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6.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7.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8.xml" ContentType="application/vnd.openxmlformats-officedocument.drawing+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10.xml" ContentType="application/vnd.openxmlformats-officedocument.drawing+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1.xml" ContentType="application/vnd.openxmlformats-officedocument.drawing+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2.xml" ContentType="application/vnd.openxmlformats-officedocument.drawing+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13.xml" ContentType="application/vnd.openxmlformats-officedocument.drawing+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14.xml" ContentType="application/vnd.openxmlformats-officedocument.drawing+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charts/chartEx1.xml" ContentType="application/vnd.ms-office.chartex+xml"/>
  <Override PartName="/xl/charts/colors110.xml" ContentType="application/vnd.ms-office.chartcolorstyle+xml"/>
  <Override PartName="/xl/charts/style11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autoCompressPictures="0"/>
  <mc:AlternateContent xmlns:mc="http://schemas.openxmlformats.org/markup-compatibility/2006">
    <mc:Choice Requires="x15">
      <x15ac:absPath xmlns:x15ac="http://schemas.microsoft.com/office/spreadsheetml/2010/11/ac" url="U:\Bioindicators\Old Version\"/>
    </mc:Choice>
  </mc:AlternateContent>
  <xr:revisionPtr revIDLastSave="2" documentId="11_2AF353CEF75A58F271C456F76EDAD67C92FFEDBB" xr6:coauthVersionLast="47" xr6:coauthVersionMax="47" xr10:uidLastSave="{0B842EF2-966B-4F1B-B13E-9141A3722DEC}"/>
  <bookViews>
    <workbookView minimized="1" xWindow="75" yWindow="465" windowWidth="24675" windowHeight="14145" tabRatio="752" firstSheet="7" activeTab="7" xr2:uid="{00000000-000D-0000-FFFF-FFFF00000000}"/>
  </bookViews>
  <sheets>
    <sheet name="OVERVIEW" sheetId="1" r:id="rId1"/>
    <sheet name="Sheet1" sheetId="31" r:id="rId2"/>
    <sheet name="ENERGY SUMMARY" sheetId="18" r:id="rId3"/>
    <sheet name="ETHANOL" sheetId="2" r:id="rId4"/>
    <sheet name="BIODIESEL" sheetId="3" r:id="rId5"/>
    <sheet name="WOOD PELLETS" sheetId="8" r:id="rId6"/>
    <sheet name="WASTE TO ENERGY" sheetId="15" r:id="rId7"/>
    <sheet name="BIOGAS" sheetId="25" r:id="rId8"/>
    <sheet name="AGRICULTURE SUMMARY" sheetId="4" r:id="rId9"/>
    <sheet name="STARCH" sheetId="27" r:id="rId10"/>
    <sheet name="LIPIDS" sheetId="28" r:id="rId11"/>
    <sheet name="CELLULOSIC" sheetId="30" r:id="rId12"/>
    <sheet name="BIOMETHANE" sheetId="29" r:id="rId13"/>
    <sheet name="AG INPUTS" sheetId="19" r:id="rId14"/>
    <sheet name="CORN" sheetId="5" r:id="rId15"/>
    <sheet name="SOY" sheetId="6" r:id="rId16"/>
    <sheet name="BIOPRODUCTS SUMMARY" sheetId="10" r:id="rId17"/>
    <sheet name="PLASTICS" sheetId="13" r:id="rId18"/>
    <sheet name="BIOCHEMICALS" sheetId="11" r:id="rId19"/>
    <sheet name="ENZYMES" sheetId="12" r:id="rId20"/>
    <sheet name="FOREST PRODUCTS" sheetId="14" r:id="rId21"/>
    <sheet name="APPAREL AND TEXTILES" sheetId="21" r:id="rId22"/>
    <sheet name="FEDERAL POLICY" sheetId="20" r:id="rId23"/>
    <sheet name="STATE BIOPRODUCTS" sheetId="22" r:id="rId24"/>
    <sheet name="STATE BIOFUELS" sheetId="26" r:id="rId25"/>
    <sheet name="B2B POLICY" sheetId="23" r:id="rId26"/>
    <sheet name="INTERNATIONAL POLICY" sheetId="24" r:id="rId27"/>
  </sheets>
  <externalReferences>
    <externalReference r:id="rId28"/>
  </externalReferences>
  <definedNames>
    <definedName name="_xlnm._FilterDatabase" localSheetId="5" hidden="1">'WOOD PELLETS'!$B$29:$C$170</definedName>
    <definedName name="_xlchart.v5.0" hidden="1">Sheet1!$A$2:$A$52</definedName>
    <definedName name="_xlchart.v5.1" hidden="1">Sheet1!$A$3:$A$52</definedName>
    <definedName name="_xlchart.v5.2" hidden="1">Sheet1!$C$2:$C$52</definedName>
    <definedName name="_xlchart.v5.3" hidden="1">Sheet1!$C$3:$C$52</definedName>
    <definedName name="_xlchart.v5.4" hidden="1">Sheet1!A1</definedName>
    <definedName name="_xlchart.v5.5" hidden="1">Sheet1!C1</definedName>
  </definedNames>
  <calcPr calcId="191028"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1" l="1"/>
  <c r="C5" i="31"/>
  <c r="C4" i="31"/>
  <c r="C6" i="31"/>
  <c r="C7" i="31"/>
  <c r="C11" i="31"/>
  <c r="C12" i="31"/>
  <c r="C17" i="31"/>
  <c r="C14" i="31"/>
  <c r="C16" i="31"/>
  <c r="C19" i="31"/>
  <c r="C20" i="31"/>
  <c r="C21" i="31"/>
  <c r="C24" i="31"/>
  <c r="C25" i="31"/>
  <c r="C27" i="31"/>
  <c r="C26" i="31"/>
  <c r="C35" i="31"/>
  <c r="C29" i="31"/>
  <c r="C31" i="31"/>
  <c r="C33" i="31"/>
  <c r="C34" i="31"/>
  <c r="C37" i="31"/>
  <c r="C39" i="31"/>
  <c r="C40" i="31"/>
  <c r="C42" i="31"/>
  <c r="C43" i="31"/>
  <c r="C44" i="31"/>
  <c r="C45" i="31"/>
  <c r="C46" i="31"/>
  <c r="C48" i="31"/>
  <c r="C47" i="31"/>
  <c r="C49" i="31"/>
  <c r="C51" i="31"/>
  <c r="C50" i="31"/>
  <c r="C52" i="31"/>
  <c r="C3" i="31"/>
  <c r="H19" i="25"/>
  <c r="F19" i="25"/>
  <c r="E19" i="25"/>
  <c r="D19" i="25"/>
  <c r="C19" i="25"/>
  <c r="B19" i="25"/>
  <c r="D27" i="15"/>
  <c r="E27" i="15"/>
  <c r="H33" i="18"/>
  <c r="J25" i="18"/>
  <c r="G4" i="18"/>
  <c r="G14" i="2"/>
  <c r="F14" i="2"/>
  <c r="E14" i="2"/>
  <c r="D14" i="2"/>
  <c r="C14" i="2"/>
  <c r="B14" i="2"/>
  <c r="G13" i="2"/>
  <c r="F13" i="2"/>
  <c r="E13" i="2"/>
  <c r="D13" i="2"/>
  <c r="C13" i="2"/>
  <c r="B13" i="2"/>
  <c r="F55" i="27"/>
  <c r="B41" i="27"/>
  <c r="C41" i="27"/>
  <c r="D41" i="27"/>
  <c r="E41" i="27"/>
  <c r="F41" i="27"/>
  <c r="G41" i="27"/>
  <c r="H41" i="27"/>
  <c r="I41" i="27"/>
  <c r="J41" i="27"/>
  <c r="B55" i="27"/>
  <c r="C55" i="27"/>
  <c r="D55" i="27"/>
  <c r="E55" i="27"/>
  <c r="G55" i="27"/>
  <c r="H55" i="27"/>
  <c r="I55" i="27"/>
  <c r="J55" i="27"/>
  <c r="J45" i="10"/>
  <c r="J44" i="10"/>
  <c r="J43" i="10"/>
  <c r="F13" i="30"/>
  <c r="E13" i="30"/>
  <c r="G78" i="28"/>
  <c r="H78" i="28"/>
  <c r="F78" i="28"/>
  <c r="F4" i="18"/>
  <c r="E4" i="18"/>
  <c r="D4" i="18"/>
  <c r="C4" i="18"/>
  <c r="B4" i="18"/>
  <c r="G7" i="18"/>
  <c r="F7" i="18"/>
  <c r="E7" i="18"/>
  <c r="D7" i="18"/>
  <c r="C7" i="18"/>
  <c r="B7" i="18"/>
  <c r="G15" i="3"/>
  <c r="F15" i="3"/>
  <c r="E15" i="3"/>
  <c r="D15" i="3"/>
  <c r="C15" i="3"/>
  <c r="B15" i="3"/>
  <c r="G14" i="3"/>
  <c r="F14" i="3"/>
  <c r="E14" i="3"/>
  <c r="D14" i="3"/>
  <c r="C14" i="3"/>
  <c r="B14" i="3"/>
  <c r="G13" i="3"/>
  <c r="F13" i="3"/>
  <c r="E13" i="3"/>
  <c r="D13" i="3"/>
  <c r="C13" i="3"/>
  <c r="B13" i="3"/>
  <c r="G5" i="18"/>
  <c r="F5" i="18"/>
  <c r="E5" i="18"/>
  <c r="D5" i="18"/>
  <c r="C5" i="18"/>
  <c r="B5" i="18"/>
</calcChain>
</file>

<file path=xl/sharedStrings.xml><?xml version="1.0" encoding="utf-8"?>
<sst xmlns="http://schemas.openxmlformats.org/spreadsheetml/2006/main" count="3962" uniqueCount="2101">
  <si>
    <t>OVERVIEW</t>
  </si>
  <si>
    <t>Energy</t>
  </si>
  <si>
    <t>a</t>
  </si>
  <si>
    <t>Ethanol</t>
  </si>
  <si>
    <t>b</t>
  </si>
  <si>
    <t>Biodiesel</t>
  </si>
  <si>
    <t>c</t>
  </si>
  <si>
    <t>Wood Pellets</t>
  </si>
  <si>
    <t>d</t>
  </si>
  <si>
    <t xml:space="preserve">Waste to Energy </t>
  </si>
  <si>
    <t>Agriculture</t>
  </si>
  <si>
    <t>Agricultural Inputs</t>
  </si>
  <si>
    <t>corn</t>
  </si>
  <si>
    <t>soy</t>
  </si>
  <si>
    <t>cotton</t>
  </si>
  <si>
    <t>f</t>
  </si>
  <si>
    <t>forestry</t>
  </si>
  <si>
    <t>BioProducts</t>
  </si>
  <si>
    <t>Plastics</t>
  </si>
  <si>
    <t>Biochemicals</t>
  </si>
  <si>
    <t>Enzymes</t>
  </si>
  <si>
    <t>Forest Products</t>
  </si>
  <si>
    <t>e</t>
  </si>
  <si>
    <t>Apparel &amp; Textiles</t>
  </si>
  <si>
    <t>Policy</t>
  </si>
  <si>
    <t>Federal</t>
  </si>
  <si>
    <t>State</t>
  </si>
  <si>
    <t>B2B</t>
  </si>
  <si>
    <t>International</t>
  </si>
  <si>
    <t>Feedstock</t>
  </si>
  <si>
    <t>Total (Million Tons)</t>
  </si>
  <si>
    <t>Current Use (million tons)</t>
  </si>
  <si>
    <t>Bioenergy</t>
  </si>
  <si>
    <t>Food</t>
  </si>
  <si>
    <t>Animal Feed</t>
  </si>
  <si>
    <t>Other*</t>
  </si>
  <si>
    <t>Starch-Based</t>
  </si>
  <si>
    <t>Lipid-Based</t>
  </si>
  <si>
    <t>Total Cellulosic Biomass (Bone Dry Ton) = 400 million bdt; most abundany bioenergy source; &gt; 50% is woody material</t>
  </si>
  <si>
    <t xml:space="preserve">Agriculutral Crop Residues </t>
  </si>
  <si>
    <t>N/A</t>
  </si>
  <si>
    <t>Forest Resouces</t>
  </si>
  <si>
    <t>Other Herbaceious</t>
  </si>
  <si>
    <t>Biomethane</t>
  </si>
  <si>
    <t>*includes export, chemicals, fiber products, recovery through composting, etc.</t>
  </si>
  <si>
    <t>Source: U.S. Department of Energy: Energy Efficiency &amp; Renewable Energy, Bioenergy Technologies Office. March 2016. "2013 Bioenergy Market Report." Prepared by the National Reneable Energy Laboratory</t>
  </si>
  <si>
    <t>STATE</t>
  </si>
  <si>
    <t>Capacidad (million metric tons)</t>
  </si>
  <si>
    <t>Biomass fuel capacity (thousand metric tons)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</si>
  <si>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</si>
  <si>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</si>
  <si>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</si>
  <si>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</si>
  <si>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</si>
  <si>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</si>
  <si>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</si>
  <si>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</si>
  <si>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</si>
  <si>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</si>
  <si>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</si>
  <si>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</si>
  <si>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</si>
  <si>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</si>
  <si>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</si>
  <si>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</si>
  <si>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</si>
  <si>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</si>
  <si>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</si>
  <si>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</si>
  <si>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</si>
  <si>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</si>
  <si>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</si>
  <si>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</si>
  <si>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</si>
  <si>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</si>
  <si>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</si>
  <si>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</si>
  <si>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</si>
  <si>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</si>
  <si>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</si>
  <si>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</si>
  <si>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</si>
  <si>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</si>
  <si>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</si>
  <si>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</si>
  <si>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</si>
  <si>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</si>
  <si>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</si>
  <si>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</si>
  <si>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</si>
  <si>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</si>
  <si>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</si>
  <si>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</si>
  <si>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</si>
  <si>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</si>
  <si>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</si>
  <si>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</si>
  <si>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</si>
  <si>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</si>
  <si>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</si>
  <si>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ENERGY SUMMARY</t>
  </si>
  <si>
    <t>PHYSICAL</t>
  </si>
  <si>
    <t>Source #1 Name</t>
  </si>
  <si>
    <t>Source #1 URL</t>
  </si>
  <si>
    <t>Source #2 Name</t>
  </si>
  <si>
    <t>Source #2 URL</t>
  </si>
  <si>
    <t>Notes</t>
  </si>
  <si>
    <t>BTUs of Ethanol Produced in the United States (trillions)</t>
  </si>
  <si>
    <t>EIA</t>
  </si>
  <si>
    <t>https://www-statista-com.proxy.lib.duke.edu/statistics/281494/us-fuel-ethanol-production/</t>
  </si>
  <si>
    <t xml:space="preserve"> 1 gall of ethanol has 76000 Btu</t>
  </si>
  <si>
    <t>BTUs of Biodiesel Produced in the United States (trillions)</t>
  </si>
  <si>
    <t>https://www-statista-com.proxy.lib.duke.edu/statistics/509875/production-volume-of-biodiesel-in-the-us/</t>
  </si>
  <si>
    <t>Converted gallons of biodiesel to BTU using EIA's conversion of 1 gal of biodiesel = 137381 BTUs</t>
  </si>
  <si>
    <t>BTUs of Energy Used for Transportation (trillions)</t>
  </si>
  <si>
    <t>http://www.eia.gov/totalenergy/data/monthly/pdf/sec2_3.pdf</t>
  </si>
  <si>
    <t>BTUs of WTE Produced in the United States (trillions)</t>
  </si>
  <si>
    <t>https://www-statista-com.proxy.lib.duke.edu/statistics/183429/biopower-generation-by-source-in-the-united-states-from-2000/</t>
  </si>
  <si>
    <t>1 kwh has 3412 BTUs</t>
  </si>
  <si>
    <t>BTUs Produced by Biomass Energy in US (quadrillion)</t>
  </si>
  <si>
    <t>http://www.eia.gov/renewable/data.php#summary</t>
  </si>
  <si>
    <t>BTUs Produced by Biogas in US (trillions)</t>
  </si>
  <si>
    <t>EPA</t>
  </si>
  <si>
    <t>https://www.epa.gov/agstar/agstar-data-and-trends</t>
  </si>
  <si>
    <t>Coverted KWh totals to BTUs with conversion of 1KWh =' 3412 BTUS</t>
  </si>
  <si>
    <t>ECONOMICS</t>
  </si>
  <si>
    <t>Source #3 URL</t>
  </si>
  <si>
    <t>Source #4 URL</t>
  </si>
  <si>
    <t>Source #5 URL</t>
  </si>
  <si>
    <t>Total Jobs Created in the Ethanol Industry</t>
  </si>
  <si>
    <t>RFA</t>
  </si>
  <si>
    <t>http://ethanolrfa.org/wp-content/uploads/2016/02/10823-RFA.pdf</t>
  </si>
  <si>
    <t>http://www.ethanolrfa.org/wp-content/uploads/2015/09/23d732bf7dea55d299_3wm6b6wwl.pdf</t>
  </si>
  <si>
    <t>http://www.ethanolrfa.org/wp-content/uploads/2015/09/2014-Pocket-Guide-to-Ethanol.pdf</t>
  </si>
  <si>
    <t>http://ethanolrfa.3cdn.net/8fabfbf8fbcb08d399_xom6injp6.pdf</t>
  </si>
  <si>
    <t>http://ethanolrfa.3cdn.net/d775222feae8a2c6fd_bem6bkqtv.pdf</t>
  </si>
  <si>
    <t>Total Jobs Created in the Biodiesel Industry</t>
  </si>
  <si>
    <t>EESI</t>
  </si>
  <si>
    <t>http://www.eesi.org/papers/view/fact-sheet-jobs-in-renewable-energy-and-energy-efficiency-2014</t>
  </si>
  <si>
    <t>http://www.eesi.org/papers/view/fact-sheet-jobs-in-renewable-energy-and-energy-efficiency-2017</t>
  </si>
  <si>
    <t>http://biodiesel.org/docs/default-source/policy--federal/lmc-study-for-nbb_economic-impact-of-biodiesel_june-2016-final.pdf?sfvrsn=4</t>
  </si>
  <si>
    <t>http://biodiesel.org/reports/20131113_GEN-431.pdf</t>
  </si>
  <si>
    <t>http://www.nrel.gov/docs/fy17osti/66995.pdf</t>
  </si>
  <si>
    <t>Total Jobs Created in the Wood Pellet Industry</t>
  </si>
  <si>
    <t>US Census Bureau</t>
  </si>
  <si>
    <t>https://www-statista-com.proxy.lib.duke.edu/statistics/660310/number-of-employees-in-the-bioenergy-or-chp-industry-by-fuel-type/</t>
  </si>
  <si>
    <t>https://www.energy.gov/sites/prod/files/2016/03/f30/U.S.%20Energy%20and%20Employment%20Report.pdf</t>
  </si>
  <si>
    <t>Total Jobs Created in the Waste to Energy Industry</t>
  </si>
  <si>
    <t>ERC</t>
  </si>
  <si>
    <t>http://energyrecoverycouncil.org/wp-content/uploads/2016/01/ERC_2014_Directory.pdf</t>
  </si>
  <si>
    <t>http://www.esf.edu/fnrm/sem/2013.06.factsheet.pdf</t>
  </si>
  <si>
    <t>Total Jobs Created in the Biogas Industry</t>
  </si>
  <si>
    <t>GDP Influence from the Ethanol Industry (Billion $)</t>
  </si>
  <si>
    <t>GDP Influence from the Biodiesel Industry (Billion $)</t>
  </si>
  <si>
    <t>Biodiesel.org</t>
  </si>
  <si>
    <t>GDP Influence from the Wood Pellets Industry (Billion $)</t>
  </si>
  <si>
    <t>GDP Influence from the Waste to Energy Industry (Billion $)</t>
  </si>
  <si>
    <t>https://www-statista-com.proxy.lib.duke.edu/statistics/251420/revenue-of-the-us-waste-industry-by-category/</t>
  </si>
  <si>
    <t>GDP Influence from the Biogas Industry (Billion $)</t>
  </si>
  <si>
    <t>BioRefinery Products/Global Market</t>
  </si>
  <si>
    <t>Global Energetic Bioproduct Demand by Segment 2010-2013</t>
  </si>
  <si>
    <t>pg 86</t>
  </si>
  <si>
    <t>1 gallon of gasoline = 120,476 Btu</t>
  </si>
  <si>
    <t>Number of Registered BioRefinery Patents per year</t>
  </si>
  <si>
    <t>pg 188</t>
  </si>
  <si>
    <t>ETHANOL</t>
  </si>
  <si>
    <t>Source #3</t>
  </si>
  <si>
    <t>Source #4</t>
  </si>
  <si>
    <t># of Ethanol Plants in the United States</t>
  </si>
  <si>
    <t>http://www.eia.gov/petroleum/ethanolcapacity/</t>
  </si>
  <si>
    <t xml:space="preserve"># of New Ethanol Plants that Went on Line </t>
  </si>
  <si>
    <t># of Existing Plants that Were Put on Standby</t>
  </si>
  <si>
    <t># of Existing Plants that Were Closed-Shut Down</t>
  </si>
  <si>
    <t># of States which have an Ethanol Production Facility </t>
  </si>
  <si>
    <t xml:space="preserve"># of Existing Plants Under Construction </t>
  </si>
  <si>
    <t>PRODUCTION</t>
  </si>
  <si>
    <t>Total Ethanol Production of Ethanol in US (billion gallons)</t>
  </si>
  <si>
    <t>Total Volume of Ethanol Imported into the US (billion gallons)</t>
  </si>
  <si>
    <t>US Ag</t>
  </si>
  <si>
    <t>https://www-statista-com.proxy.lib.duke.edu/statistics/479842/import-supply-of-fuel-ethanol-in-the-us/</t>
  </si>
  <si>
    <t>Total Volume of Ethanol Exported From the US (billion gallons)</t>
  </si>
  <si>
    <t>https://www-statista-com.proxy.lib.duke.edu/statistics/479861/exports-of-fuel-ethanol-from-the-us/</t>
  </si>
  <si>
    <t>Total Volume of Ethanol Consumed for Transportation  (billion gallons)</t>
  </si>
  <si>
    <t>USDA</t>
  </si>
  <si>
    <t>https://www.ers.usda.gov/data-products/us-bioenergy-statistics/</t>
  </si>
  <si>
    <t>Total Volume of Ethanol Consumed (billion gallons)</t>
  </si>
  <si>
    <t>http://www.eia.gov/totalenergy/data/monthly/pdf/sec10_7.pdf</t>
  </si>
  <si>
    <t># of Ethanol Plants in the United States-Corn Stover</t>
  </si>
  <si>
    <t>Volume of Ethanol Produced from Corn (percent)</t>
  </si>
  <si>
    <t xml:space="preserve">Total corn used for Fuel ethanol use (billion bushels) </t>
  </si>
  <si>
    <t>Production Volume of Corn Stover Plants (million metic tons)</t>
  </si>
  <si>
    <t>FAPRI</t>
  </si>
  <si>
    <t>https://www-statista-com.proxy.lib.duke.edu/statistics/202141/corn-stover-for-us-ethanol-production-from-2010/</t>
  </si>
  <si>
    <t># Ethanol Plants in the United States-Sugar</t>
  </si>
  <si>
    <t>http://ethanolproducer.com/plants/listplants/US/Existing/Sugar-Starch/</t>
  </si>
  <si>
    <t># Proposed Ethanol Plants in the United States-Sugar</t>
  </si>
  <si>
    <t>Production Volume of Sugar Feedstock Ethanol</t>
  </si>
  <si>
    <t># Ethanol Plants in the United States-Cellulosic</t>
  </si>
  <si>
    <t>http://ethanolproducer.com/plants/listplants/US/Existing/Cellulosic</t>
  </si>
  <si>
    <t>Production Volume of Cellulosic Feedstock Ethanol</t>
  </si>
  <si>
    <t xml:space="preserve">Source #3 </t>
  </si>
  <si>
    <t>Source #5</t>
  </si>
  <si>
    <t>Source #6</t>
  </si>
  <si>
    <t>Volume of Gasoline Blended with Ethanol (%)</t>
  </si>
  <si>
    <t>Ethanolʼs Share of Gasoline Supply (%)</t>
  </si>
  <si>
    <t># of direct jobs working with ethanol production</t>
  </si>
  <si>
    <t># of  indirect and
induced jobs working with ethanol production</t>
  </si>
  <si>
    <t>GDP influence (Billion $)</t>
  </si>
  <si>
    <t>Household income from industry (billion $)</t>
  </si>
  <si>
    <t>Tax Revenue (billion $)</t>
  </si>
  <si>
    <t>http://www.ethanolproducer.com/articles/9550/</t>
  </si>
  <si>
    <t>http://ncga.com/uploads/useruploads/ethanol_facts_printable_mar_2012.pdf</t>
  </si>
  <si>
    <t>Price for Ethanol Per gallon ($/gal)</t>
  </si>
  <si>
    <t>Jay's Potential Sources for You</t>
  </si>
  <si>
    <t>http://www.ethanolproducer.com/plants/listplants/US/Existing/All</t>
  </si>
  <si>
    <t>http://www.neo.ne.gov/statshtml/122.htm</t>
  </si>
  <si>
    <t>BIODIESEL</t>
  </si>
  <si>
    <t># of Biodiesel Plants in the United States</t>
  </si>
  <si>
    <t>http://www.eia.gov/biofuels/biodiesel/production/archive/#2016-2017</t>
  </si>
  <si>
    <t>Proposed Biodiesel Plants</t>
  </si>
  <si>
    <t>Biodiesel Magazine</t>
  </si>
  <si>
    <t>http://www.biodieselmagazine.com/plants/listplants/USA/proposed/</t>
  </si>
  <si>
    <t xml:space="preserve"># of States which have an Ethanol Production Facility </t>
  </si>
  <si>
    <t>http://www.biodieselmagazine.com/plants/listplants/USA/construction/</t>
  </si>
  <si>
    <t>Total Production of Biodiesel in US (million gallon)</t>
  </si>
  <si>
    <t>Total Volume of Biodiesel Imported into the US ( 1,000 gallon)</t>
  </si>
  <si>
    <t>https://www-statista-com.proxy.lib.duke.edu/statistics/479868/import-supply-of-biodiesel-in-the-us/</t>
  </si>
  <si>
    <t>Total Volume of Biodiesel Exported From the US (million barrels)</t>
  </si>
  <si>
    <t>https://www-statista-com.proxy.lib.duke.edu/statistics/509823/export-supply-of-biodiesel-in-the-us/</t>
  </si>
  <si>
    <t xml:space="preserve">Number of Biodiesel stations </t>
  </si>
  <si>
    <t>Total Volume of Biodiesel Consumed for Transportation (billion gallon)</t>
  </si>
  <si>
    <t>Total Volume of Bieodiesel Consumed for Non-Transportation (billion gallon)</t>
  </si>
  <si>
    <t># of Biodiesel Plants in the United States-Soy Oil</t>
  </si>
  <si>
    <t>http://www.biodieselmagazine.com/plants/listplants/USA/existing/</t>
  </si>
  <si>
    <t># of Biodiesel Plants in the United States-Distillers Corn Oil </t>
  </si>
  <si>
    <t># of Biodiesel Plants in the United States- Multi-feedstock</t>
  </si>
  <si>
    <t># of Biodiesel Plants in the United States- Used Cooking Oil </t>
  </si>
  <si>
    <t># of Biodiesel Plants in the United States- Used Canola Oil </t>
  </si>
  <si>
    <t># of Biodiesel Plants in the United States- Used Virgin Oil </t>
  </si>
  <si>
    <t># of Biodiesel Plants in the United States- Used Yellow Grease</t>
  </si>
  <si>
    <t># of Biodiesel Plants in the United States- Waste Vegetable Oil</t>
  </si>
  <si>
    <t># of Biodiesel Plants in the United States- Animal Fats</t>
  </si>
  <si>
    <t># of direct jobs working with biodisel production</t>
  </si>
  <si>
    <t>Price Per Gallon of Biodiesel ($/gall)</t>
  </si>
  <si>
    <t>http://www.afdc.energy.gov/fuels/prices.html</t>
  </si>
  <si>
    <t>Production mmgal</t>
  </si>
  <si>
    <t>Consumption mmgal</t>
  </si>
  <si>
    <t>Next exports mbbl</t>
  </si>
  <si>
    <t>WOOD PELLETS</t>
  </si>
  <si>
    <t># of WP Plants in the United States</t>
  </si>
  <si>
    <t>https://www.eia.gov/biofuels/biomass/</t>
  </si>
  <si>
    <t>Proposed WP Plants</t>
  </si>
  <si>
    <t>Biomass Mag</t>
  </si>
  <si>
    <t>http://biomassmagazine.com/plants/listplants/pellet/US/</t>
  </si>
  <si>
    <t># of New WP Plants that Went on Line </t>
  </si>
  <si>
    <t># of States which have an WP Production Facility </t>
  </si>
  <si>
    <t>PRODUCTION + CONSUMPTION</t>
  </si>
  <si>
    <t>Total Energy Consumption from Wood in US (trillion BTUs)</t>
  </si>
  <si>
    <t>https://www-statista-com.proxy.lib.duke.edu/statistics/197247/energy-consumption-from-wood-and-derived-fuels-in-the-us-since-2006/</t>
  </si>
  <si>
    <t>Wood pellet production worldwide (million metric tons)</t>
  </si>
  <si>
    <t>Hawkins Wright; REN21; FAO</t>
  </si>
  <si>
    <t>https://www-statista-com.proxy.lib.duke.edu/statistics/509075/global-wood-pellet-production/</t>
  </si>
  <si>
    <t>Annual Biomass Capacity by Region: West (million tons)</t>
  </si>
  <si>
    <t>http://www.eia.gov/biofuels/biomass/</t>
  </si>
  <si>
    <t>Annual Biomass Capacity by Region: South (million tons)</t>
  </si>
  <si>
    <t>Annual Biomass Capacity by Region: East (million tons)</t>
  </si>
  <si>
    <t>Wood Pellets Exported From US (in million $)</t>
  </si>
  <si>
    <t>https://apps.fas.usda.gov/gats/default.aspx</t>
  </si>
  <si>
    <t>Number of Jobs in Wood Biomass</t>
  </si>
  <si>
    <t>DOE</t>
  </si>
  <si>
    <t>Waste to Energy</t>
  </si>
  <si>
    <t># of WTE Plants in the United States</t>
  </si>
  <si>
    <t>Energy Recovery Council</t>
  </si>
  <si>
    <t>https://www-statista-com.proxy.lib.duke.edu/statistics/499736/waste-to-energy-recovery-facilities-in-the-us/</t>
  </si>
  <si>
    <t># of Municipal Solid Waste Plants in US</t>
  </si>
  <si>
    <t>https://www.eia.gov/electricity/data/eia860m/</t>
  </si>
  <si>
    <t># of Municipal Solid Waste Fuel Switching Plants  in US</t>
  </si>
  <si>
    <t># of Municipal Solid Waste Existing Plants that Were Put on Standby</t>
  </si>
  <si>
    <t># of Municipal Solid Waste Existing Plants that Were Closed-Shut Down</t>
  </si>
  <si>
    <t># of States which have an WTE Fuel Switching Production Facility </t>
  </si>
  <si>
    <t>Municipal solid waste combustion with energy recovery (million tons)</t>
  </si>
  <si>
    <t>https://www-statista-com.proxy.lib.duke.edu/statistics/186267/us-municipal-solid-waste-combustion-with-energy-recovery-since-1970/</t>
  </si>
  <si>
    <t>U.S. waste energy consumption (trillion BTU)</t>
  </si>
  <si>
    <t>https://www-statista-com.proxy.lib.duke.edu/statistics/197217/renewable-energy-consumption-from-waste-in-the-us-since-2006/</t>
  </si>
  <si>
    <t>Net Total Production of Electricity from waste (MW)</t>
  </si>
  <si>
    <t>https://www-statista-com.proxy.lib.duke.edu/statistics/499740/net-waste-to-energy-electric-generation-in-the-us/</t>
  </si>
  <si>
    <t>Total Production of Electricity from waste (billion Kwh)</t>
  </si>
  <si>
    <t>Total Production of Electricity from waste in Commercial Sector (mill kwh)</t>
  </si>
  <si>
    <t>https://www-statista-com.proxy.lib.duke.edu/statistics/197211/us-commercial-sector-electricity-generation-from-waste/</t>
  </si>
  <si>
    <t>Biogenic Municipal Solid Waste:Consumption for Electricity Generation in Industrial Sector (thousand tons)</t>
  </si>
  <si>
    <t>http://www.eia.gov/electricity/annual/html/epa_05_07_a.html</t>
  </si>
  <si>
    <t>Biogenic Municipal Solid Waste:Consumption for Electricity Generation in Commercial Sector (thousand tons)</t>
  </si>
  <si>
    <t>Biogenic Municipal Solid Waste:Consumption for Electricity Generation in Independent Power Producers Sector (million tons)</t>
  </si>
  <si>
    <t>Biogenic Municipal Solid Waste:Consumption for Electricity Generation in Electric Utilities Sector (thousand tons)</t>
  </si>
  <si>
    <t>Total Waste Energy Consumption (trillion BTUs)</t>
  </si>
  <si>
    <t>Revenue from waste electricity generation in the U.S. from 2011 to 2014 (in million U.S. dollars)</t>
  </si>
  <si>
    <t>https://www-statista-com.proxy.lib.duke.edu/statistics/480427/waste-electricity-generation-revenue-in-the-us/</t>
  </si>
  <si>
    <t># of direct jobs working with WTE</t>
  </si>
  <si>
    <t>Waste Business Journal</t>
  </si>
  <si>
    <t>Biogas</t>
  </si>
  <si>
    <t># of anaerobic digestion (AD) Plants</t>
  </si>
  <si>
    <t>https://www.epa.gov/agstar/livestock-anaerobic-digester-database</t>
  </si>
  <si>
    <t># anaerobic digesters in livestock farms used for Electricity</t>
  </si>
  <si>
    <t>https://www-statista-com.proxy.lib.duke.edu/statistics/478350/anaerobic-digesters-on-us-livestock-farms-number-by-biogas-use/</t>
  </si>
  <si>
    <t># anaerobic digesters in livestock farms used for Boiler/Furnace</t>
  </si>
  <si>
    <t># anaerobic digesters in livestock farms used for "Flare Full Time"</t>
  </si>
  <si>
    <t># of New Biogas Plants (AD) that Went on Line from livestock</t>
  </si>
  <si>
    <t>https://www-statista-com.proxy.lib.duke.edu/statistics/499556/operational-anaerobic-digestion-projects-us-livestock-farms-additions/</t>
  </si>
  <si>
    <t># of States which have an AD Production Facility </t>
  </si>
  <si>
    <t>resourcerecoverydata.org</t>
  </si>
  <si>
    <t>http://www.resourcerecoverydata.org/biogasdata.php</t>
  </si>
  <si>
    <t># Of Plants that Shut Down</t>
  </si>
  <si>
    <t xml:space="preserve">PRODUCTION </t>
  </si>
  <si>
    <t>Methane potential for biogas from landfills (million metric tons)</t>
  </si>
  <si>
    <t>NREL</t>
  </si>
  <si>
    <t>https://www-statista-com.proxy.lib.duke.edu/statistics/478335/methane-potential-for-select-biogas-sources-in-the-us/</t>
  </si>
  <si>
    <t>http://www.nrel.gov/docs/fy14osti/60283.pdf</t>
  </si>
  <si>
    <t>Methane potential for biogas from wastewater (million metric tons)</t>
  </si>
  <si>
    <t>Methane potential for biogas from animal maniure (million metric tons)</t>
  </si>
  <si>
    <t>Methane potential for biogas from organic waste (million metric tons)</t>
  </si>
  <si>
    <t>Total KWh Generated from Biogas (Millions)</t>
  </si>
  <si>
    <t>Estimate of Total Biogas Generated  (million cu_ft/year)</t>
  </si>
  <si>
    <t>Total Methane Emission Reductions in thousand Metric Tons of CO2 a Year</t>
  </si>
  <si>
    <t>Production of biogas worldwide (in exajoules)</t>
  </si>
  <si>
    <t>World Bioenergy Association</t>
  </si>
  <si>
    <t>https://www-statista-com.proxy.lib.duke.edu/statistics/481791/biogas-production-worldwide/</t>
  </si>
  <si>
    <t>ECONOMICS IN THEORY</t>
  </si>
  <si>
    <t>In theory, if 11,000 biogas systems made it would generate:</t>
  </si>
  <si>
    <t>https://19january2017snapshot.epa.gov/sites/production/files/2015-12/documents/biogas-roadmap.pdf</t>
  </si>
  <si>
    <t>Short Term Construction Jobs</t>
  </si>
  <si>
    <t>Permanent Jobs</t>
  </si>
  <si>
    <t>In theory, if  2,647 dairy operations were installed it would have a market potential of (billion $):</t>
  </si>
  <si>
    <t>AGRICULTURE</t>
  </si>
  <si>
    <t>Comments</t>
  </si>
  <si>
    <t># of Farms in the United States (million farms)</t>
  </si>
  <si>
    <t>USDA-ERS</t>
  </si>
  <si>
    <t>https://www.nass.usda.gov/Publications/Ag_Statistics/2015/Ag_Stats_2015_complete%20publication.pdf</t>
  </si>
  <si>
    <t>Acerage of Agriculture in the United States (million acres)</t>
  </si>
  <si>
    <t>USDA-Ag Census</t>
  </si>
  <si>
    <t>https://www.agcensus.usda.gov/Publications/2012/Preliminary_Report/Highlights.pdf</t>
  </si>
  <si>
    <t>Average Farm Size (acres)</t>
  </si>
  <si>
    <t># of People Directly Employeed in Agriculture in the US (million people)</t>
  </si>
  <si>
    <t>Bureau of Labor Statistics</t>
  </si>
  <si>
    <t>https://www-statista-com.proxy.lib.duke.edu/statistics/200143/employment-in-selected-us-industries/</t>
  </si>
  <si>
    <t>https://www.agcensus.usda.gov/Publications/2012/Online_Resources/Highlights/Farm_Demographics/</t>
  </si>
  <si>
    <t># of People Indirectly Employed in Agriculture in the US (million people)</t>
  </si>
  <si>
    <t>Total U.S. Farmland</t>
  </si>
  <si>
    <t>USDA-Ag Census</t>
  </si>
  <si>
    <t>https://www.agcensus.usda.gov/Publications/2012/Online_Resources/Highlights/Farms_and_Farmland/Highlights_Farms_and_Farmland.pdf</t>
  </si>
  <si>
    <t>U.S. Farmland Used as Permanent Pasture</t>
  </si>
  <si>
    <t>U.S. Farmland Used as Cropland</t>
  </si>
  <si>
    <t>U.S. Cropland Harvested</t>
  </si>
  <si>
    <t>U.S. Farmland Used as Woodland</t>
  </si>
  <si>
    <t>U.S. Farmland Used for other purposes</t>
  </si>
  <si>
    <t>Corn</t>
  </si>
  <si>
    <t>Total Volume of Corn Grown in the US (million metric tons)</t>
  </si>
  <si>
    <t>https://apps.fas.usda.gov/psdonline/app/index.html#/app/downloads</t>
  </si>
  <si>
    <t>US Grains Council</t>
  </si>
  <si>
    <t>https://grains.org/sites/default/files/15USGC-037_AR%20Export%20Stats_Fnl.pdf</t>
  </si>
  <si>
    <t>Corn Processed into High Fructose Corn Syrup (million metric tons)</t>
  </si>
  <si>
    <t>https://www.ers.usda.gov/publications/pub-details/?pubid=82454</t>
  </si>
  <si>
    <t>Corn Processed into Glucose and Dextrose (million metric tons)</t>
  </si>
  <si>
    <t>Corn Processed into Starch (million metric tons)</t>
  </si>
  <si>
    <t>Corn Processed into Fuel Alchohol (million metric tons)</t>
  </si>
  <si>
    <t>Corn Processed into Alchoholic Beverages (million metric tons)</t>
  </si>
  <si>
    <t>Corn Used as Cereal (million metric tons)</t>
  </si>
  <si>
    <t>Corn Saved for Seed (million metric tons)</t>
  </si>
  <si>
    <t>Soy</t>
  </si>
  <si>
    <t>Total Volume of Soy Grown in the US (million bushels)</t>
  </si>
  <si>
    <t>https://www.ers.usda.gov/topics/crops/soybeans-oil-crops/related-data-statistics/</t>
  </si>
  <si>
    <t>Total Volume of Soy Consumed for Food</t>
  </si>
  <si>
    <t>Total Volume of Soy Consumed for Feed</t>
  </si>
  <si>
    <t>Total Volume of Soy Consumed for Non-Food/Feed Purposes</t>
  </si>
  <si>
    <t>Cotton</t>
  </si>
  <si>
    <t>Total Volume of Cotton Grown in the US (1,000 480lb bales)</t>
  </si>
  <si>
    <t>National Cotton Council of America</t>
  </si>
  <si>
    <t>http://www.cotton.org/econ/cropinfo/cropdata/country-statistics.cfm</t>
  </si>
  <si>
    <t>https://www.ers.usda.gov/data-products/cotton-wool-and-textile-data/cotton-and-wool-yearbook/</t>
  </si>
  <si>
    <t>Total Volume of Cotton Used Apparel</t>
  </si>
  <si>
    <t>Can't find the breakdown</t>
  </si>
  <si>
    <t>Total Volume of Cotton Used as Fuel</t>
  </si>
  <si>
    <t>Total Volume of Cotton Used as Cellulostic Material</t>
  </si>
  <si>
    <t>Total Volume of Cotton Exported (1,000 480lb bales)</t>
  </si>
  <si>
    <t>Forestry</t>
  </si>
  <si>
    <t>Total Volume of Forestry Material Grown in the US</t>
  </si>
  <si>
    <t>This may be difficult to come by</t>
  </si>
  <si>
    <t>Total Volume of Forestry Material Used for Packaging (million tonnes)</t>
  </si>
  <si>
    <t>FAO</t>
  </si>
  <si>
    <t>http://www.fao.org/faostat/en/#data/FO/visualize</t>
  </si>
  <si>
    <t>Not sure I fully trust these numbers. FAO breaks it down into many categories.</t>
  </si>
  <si>
    <t>Total Volume of Forestry Material Used for Paper Products (million tonnes)</t>
  </si>
  <si>
    <t>Total Volume of Forestry Material Used for Fuel (million meters cubed)</t>
  </si>
  <si>
    <t>Net cash income (billion $)</t>
  </si>
  <si>
    <t>USDA ERS</t>
  </si>
  <si>
    <t>https://www.ers.usda.gov/calendar/?month=2&amp;year=2017</t>
  </si>
  <si>
    <t>Net farm income (billion $)</t>
  </si>
  <si>
    <t>Total Farm Assets (billion $)</t>
  </si>
  <si>
    <t>Total Farm Debt (billion $)</t>
  </si>
  <si>
    <t>Total Farm Equity (billion $)</t>
  </si>
  <si>
    <t>Direct Value of All Agriculture Grown in the United States</t>
  </si>
  <si>
    <t>Indirect Value of Agriculture Grown (machinery, fertilizers etc)</t>
  </si>
  <si>
    <t>Direct Value of All Corn Grown in the United States</t>
  </si>
  <si>
    <t>Able to find data for cotton, must also be available for corn</t>
  </si>
  <si>
    <t>Indirect Value of Corn Grown (machinery, fertilizers etc)</t>
  </si>
  <si>
    <t>Direct Value of All Soy Grown in the United States (billion dollars)</t>
  </si>
  <si>
    <t>Indirect Value of Soy Grown (machinery, fertilizers etc)</t>
  </si>
  <si>
    <t>Direct Value of All Cotton Grown in the United States</t>
  </si>
  <si>
    <t>Indirect Value of Cotton Grown (machinery, fertilizers etc)</t>
  </si>
  <si>
    <t>Direct Value of All Forestry Material Grown in the United States (billion $)</t>
  </si>
  <si>
    <t>IBIS World</t>
  </si>
  <si>
    <t>http://clients1.ibisworld.com.proxy.lib.duke.edu/reports/us/industry/keystatistics.aspx?entid=78</t>
  </si>
  <si>
    <t>Based on logging industry stats. Don't think it accounts for value added from processing.</t>
  </si>
  <si>
    <t>Indirect Value of Forestry (machinery, fertilizers etc)</t>
  </si>
  <si>
    <t>Saw mills and pulp plants, need to show decline of forestry</t>
  </si>
  <si>
    <t>Email with Short Bullet Points</t>
  </si>
  <si>
    <t>Writing narrative, introductory</t>
  </si>
  <si>
    <t>Figures for each section</t>
  </si>
  <si>
    <t>Food vs. Fuel</t>
  </si>
  <si>
    <t>Think about data and write up, could write peer-review article</t>
  </si>
  <si>
    <t>STARCH</t>
  </si>
  <si>
    <t>LAND USE</t>
  </si>
  <si>
    <t>Acreage</t>
  </si>
  <si>
    <t>Planted Acerage of Corn in the United States (million acres)</t>
  </si>
  <si>
    <t>https://www.ers.usda.gov/webdocs/publications/err162/43668_err162.pdf</t>
  </si>
  <si>
    <t>USDA-PSD</t>
  </si>
  <si>
    <t>ERS has data in acres, PSD in hectares. Is there updated data?</t>
  </si>
  <si>
    <t>Planted Acerage of Barley Planted in the United States (million acres)</t>
  </si>
  <si>
    <t>Planted Acerage of Sorghum Planted in the United States (million acres)</t>
  </si>
  <si>
    <t>Planted Acerage of Wheat in the United States (million acres)</t>
  </si>
  <si>
    <t>Starch Crop Volume</t>
  </si>
  <si>
    <t>Total Volume of Corn Grown in the US (billion bushels)</t>
  </si>
  <si>
    <t>Total Volume of Barley Grown in the US (million metric tons)</t>
  </si>
  <si>
    <t>Total Volume of Sorghum Grown in the US (million metric tons)</t>
  </si>
  <si>
    <t>Total Volume of Wheat Grown in the US (million bushels)</t>
  </si>
  <si>
    <t>Production in $</t>
  </si>
  <si>
    <t>Total Volume of Corn Grown in the US (billion $)</t>
  </si>
  <si>
    <t>USDA-NASS</t>
  </si>
  <si>
    <t>https://quickstats.nass.usda.gov/results/F977576B-08DC-35EC-966A-84510C625052?pivot=short_desc</t>
  </si>
  <si>
    <t>Total Volume of Wheat Grown in the US (billion $)</t>
  </si>
  <si>
    <t>Total Volume of Barley Grown in the US (billion $)</t>
  </si>
  <si>
    <t>Total Volume of Sorghum Grown in the US (billion $)</t>
  </si>
  <si>
    <t> CONSUMPTION</t>
  </si>
  <si>
    <t>Starch Material</t>
  </si>
  <si>
    <t>Total Barley processed into Starch (million metric tons)</t>
  </si>
  <si>
    <t>Total Sorghum processed into Starch (million metric tons)</t>
  </si>
  <si>
    <t>Total Wheat processed into Starch (million metric tons)</t>
  </si>
  <si>
    <t>Starch Ethanol</t>
  </si>
  <si>
    <t>Corn Processed into Ethanol (billion bushels)</t>
  </si>
  <si>
    <t>Barley Starch Processed into Fuel Alchohol (million metric tons)</t>
  </si>
  <si>
    <t>Sorghum Starch Processed into Fuel Alchohol (million metric tons)</t>
  </si>
  <si>
    <t>Wheat Starch Processed into Fuel Alchohol (million metric tons)</t>
  </si>
  <si>
    <t>Percentages</t>
  </si>
  <si>
    <t>Ethanol production as percent of total corn use</t>
  </si>
  <si>
    <t>Ethanol production as percent of total barley use</t>
  </si>
  <si>
    <t>Ethanol production as percent of total sorghum use</t>
  </si>
  <si>
    <t>Ethanol production as percent of total wheat use</t>
  </si>
  <si>
    <t>Prices</t>
  </si>
  <si>
    <t>Corn Prices (dollars per bushel)(No.2 yellow, central IL)</t>
  </si>
  <si>
    <t>Not sure which prices to use. Farm price? Which type of corn? Which location? Central IL or Gulf ports?</t>
  </si>
  <si>
    <t>Barley Prices (dollars per bushel)</t>
  </si>
  <si>
    <t>Sorghhum Prices (dollars per bushel)</t>
  </si>
  <si>
    <t>Wheat Prices (dollars per bushel)</t>
  </si>
  <si>
    <t>Values</t>
  </si>
  <si>
    <t>Value of Corn Used for Starch Ethanol (billion $)</t>
  </si>
  <si>
    <t>Value of Barley Used for Starch Ethanol (million $)</t>
  </si>
  <si>
    <t>Value of Sorghum Used for Biodeisel (million $)</t>
  </si>
  <si>
    <t>Value of Wheat Used for Biodeisel (million $)</t>
  </si>
  <si>
    <t># of Farms Growing Corn in the United States (thousand farms)</t>
  </si>
  <si>
    <t>Acerage of Corn in the United States (million acres planted)</t>
  </si>
  <si>
    <t>Yield of Corn grown in U.S. (metric tons per hectare)</t>
  </si>
  <si>
    <t>Average price of oil ($ per barrel)</t>
  </si>
  <si>
    <t>Inflation data</t>
  </si>
  <si>
    <t>https://inflationdata.com/Inflation/Inflation_Rate/Historical_Oil_Prices_Table.asp</t>
  </si>
  <si>
    <t>Average price of ethanol</t>
  </si>
  <si>
    <t>Nebraska Ethanol Board</t>
  </si>
  <si>
    <t>http://www.neo.ne.gov/statshtml/66.html</t>
  </si>
  <si>
    <t>LIPIDS</t>
  </si>
  <si>
    <t>Planted Acerage of Soy in the United States (million acres)</t>
  </si>
  <si>
    <t>Planted Acerage of Cotton Planted in the United States (million acres)</t>
  </si>
  <si>
    <t>Planted Acerage of Sunflower Planted in the United States (million acres)</t>
  </si>
  <si>
    <t>https://www.nass.usda.gov/Statistics_by_Subject/result.php?11FC4C5D-4D00-3599-A4FD-5A964D2E3563&amp;sector=CROPS&amp;group=FIELD%20CROPS&amp;comm=PEANUTS</t>
  </si>
  <si>
    <t>Planted Acerage of Canola Planted in the United States (million acres)</t>
  </si>
  <si>
    <t>Planted Acerage of Peanuts Planted in the United States (million acres)</t>
  </si>
  <si>
    <t>Oil Volumes</t>
  </si>
  <si>
    <t>Liters of Vegetable Oil Produced in the United States </t>
  </si>
  <si>
    <t>Lbs of Animal Fat Produced in the United States</t>
  </si>
  <si>
    <t>Lbs of Grease Produced in United States</t>
  </si>
  <si>
    <t>Oilcrop Volumes</t>
  </si>
  <si>
    <t>Total Volume of Cotton Grown in the US (1,000 short tons)</t>
  </si>
  <si>
    <t>Total Volume of Sunflowers Grown in the US (million lbs)</t>
  </si>
  <si>
    <t>Total Volume of Canola Grown in the U.S. (million lbs)</t>
  </si>
  <si>
    <t>Total Volume of Peanuts Grown in the U.S. (million lbs)</t>
  </si>
  <si>
    <t>Total Volume of Lard Produced in U.S.</t>
  </si>
  <si>
    <t>https://search.ers.usda.gov/search?affiliate=ers&amp;query=lard</t>
  </si>
  <si>
    <t>Total Volume of Edible Tallow Produced in U.S.</t>
  </si>
  <si>
    <t>Prodution in $</t>
  </si>
  <si>
    <t>Total Volume of Corn Grown in the U.S. (billion $)</t>
  </si>
  <si>
    <t>Total Volume of Soy Grown in the US (billion $)</t>
  </si>
  <si>
    <t>Total Volume of Cotton Grown in the US (billion $)</t>
  </si>
  <si>
    <t>Total Volume of Sunflowers Grown in the US (billion $)</t>
  </si>
  <si>
    <t>Total Volume of Canola Grown in the U.S. (billion $)</t>
  </si>
  <si>
    <t>Total Volume of Peanuts Grown in the U.S. (billion $)</t>
  </si>
  <si>
    <t>CONSUMPTION</t>
  </si>
  <si>
    <t>Volume of Soybeans Crushed</t>
  </si>
  <si>
    <t>Soybean Oil Going to Biodiesel (million lbs)</t>
  </si>
  <si>
    <t>USDA-ERS (Soybean Supply and Disappearance)</t>
  </si>
  <si>
    <t>https://www.ers.usda.gov/publications/pub-details/?pubid=38111</t>
  </si>
  <si>
    <t>Percent Soybean Oil Used for Biodiesel</t>
  </si>
  <si>
    <t>BETO Bioenergy Report</t>
  </si>
  <si>
    <t>Volume of Cottonseed Crushed</t>
  </si>
  <si>
    <t>Cottonseed Oil Going to Biodiesel</t>
  </si>
  <si>
    <t>Percent Cottonseed Oil Used for Biodiesel</t>
  </si>
  <si>
    <t>Volume of Sunflowers Crushed</t>
  </si>
  <si>
    <t>Sunflower Oil Going to Biodiesel</t>
  </si>
  <si>
    <t>Percent Sunflower Oil Used for Biodiesel</t>
  </si>
  <si>
    <t>Volume of Canola Crushed</t>
  </si>
  <si>
    <t>Canola Oil Going to Biodiesel</t>
  </si>
  <si>
    <t>Percent Canola Oil Used for Biodiesel</t>
  </si>
  <si>
    <t>Volume of Peanuts Crushed</t>
  </si>
  <si>
    <t>Peanut Oil Going to Biodiesel</t>
  </si>
  <si>
    <t>Percent Peanut OIl Used for Biodiesel</t>
  </si>
  <si>
    <t>Volume of Corn Crushed</t>
  </si>
  <si>
    <t>Corn Oil Going to Biodiesel</t>
  </si>
  <si>
    <t>Percent Corn Oil Used for Biodiesel</t>
  </si>
  <si>
    <t>Soybean Oil Price (Cents/Lb)</t>
  </si>
  <si>
    <t>USDA-ERS (Oil Crops Outlook 2014)</t>
  </si>
  <si>
    <t>Cottonseed Oil Price (Cents/Lb)</t>
  </si>
  <si>
    <t>Sunflower Oil Price (Cents/Lb)</t>
  </si>
  <si>
    <t>Canola Oil Price (Cents/Lb)</t>
  </si>
  <si>
    <t>Peanut Oil Price (Cents/Lb)</t>
  </si>
  <si>
    <t>Corn Oil Price (Cents/Lb)</t>
  </si>
  <si>
    <t>Lard Price (Cents/Lb)</t>
  </si>
  <si>
    <t>Edible Tallow Price (Cents/Lb)</t>
  </si>
  <si>
    <t>Value of Soybeans Used for Biodeisel (million $)</t>
  </si>
  <si>
    <t>Calculation</t>
  </si>
  <si>
    <t>Value of Cottonseed Used for Biodeisel (million $)</t>
  </si>
  <si>
    <t>Value of Sunflowers Used for Biodeisel (million $)</t>
  </si>
  <si>
    <t>Value of Canola Used for Biodeisel (million $)</t>
  </si>
  <si>
    <t>Value of Peanuts Used for Biodeisel (million $)</t>
  </si>
  <si>
    <t>Value of Corn Used for Biodeisel (million $)</t>
  </si>
  <si>
    <t>Cellulosic Feedstocks</t>
  </si>
  <si>
    <t>Acerage of Switchgrass in the United States (million acres planted)</t>
  </si>
  <si>
    <t>Acerage of Miscanthus grass in the United States (million acres planted)</t>
  </si>
  <si>
    <t>Acerage of Wood in the United States (million acres planted)</t>
  </si>
  <si>
    <t>Residual</t>
  </si>
  <si>
    <t>Total Agricultural Crop Residue (million dry tons)</t>
  </si>
  <si>
    <t>Harvesting Residue from Corn (million dry tons)</t>
  </si>
  <si>
    <t>Harvesting Residue from Wheat (million dry tons)</t>
  </si>
  <si>
    <t>Harvesting Residue from Other (million dry tons)</t>
  </si>
  <si>
    <t>Dedicated Energy Crops</t>
  </si>
  <si>
    <t>Total Volume of Corn Grown in the US (million bushels)</t>
  </si>
  <si>
    <t>Cellulosic Material</t>
  </si>
  <si>
    <t>Total Corn processed into Cellulose (million metric tons)</t>
  </si>
  <si>
    <t>Total Barley processed into Cellulose (million metric tons)</t>
  </si>
  <si>
    <t>Total Sorghum processed into Cellulose (million metric tons)</t>
  </si>
  <si>
    <t>Total Wheat processed into Cellulose (million metric tons)</t>
  </si>
  <si>
    <t>Cellulosic Ethanol</t>
  </si>
  <si>
    <t>Corn Cellulose Processed into Fuel Alchohol (million metric tons)</t>
  </si>
  <si>
    <t>Barley Cellulose Processed into Fuel Alchohol (million metric tons)</t>
  </si>
  <si>
    <t>Sorghum Cellulose Processed into Fuel Alchohol (million metric tons)</t>
  </si>
  <si>
    <t>Wheat Cellulose Processed into Fuel Alchohol (million metric tons)</t>
  </si>
  <si>
    <t>Barley Prices (dollars per bushel)</t>
  </si>
  <si>
    <t>Sorghum Prices (dollars per bushel)</t>
  </si>
  <si>
    <t>Wheat Prices (dollars per bushel)</t>
  </si>
  <si>
    <t>Value</t>
  </si>
  <si>
    <t>Employment</t>
  </si>
  <si>
    <t>Employement from Forest Products Sector (people employed)</t>
  </si>
  <si>
    <t>American Forest &amp; Paper Association</t>
  </si>
  <si>
    <t>Annual Electricity Generation from Agricultural Residue</t>
  </si>
  <si>
    <t>Annual Electricity Generation from Forest Resources</t>
  </si>
  <si>
    <t>Annual Electricity Generation from Other Herbacious</t>
  </si>
  <si>
    <t>BIOMETHANE</t>
  </si>
  <si>
    <t>Amount of MSW generated in U.S. (million tons)</t>
  </si>
  <si>
    <t>https://www.epa.gov/smm/advancing-sustainable-materials-management-facts-and-figures</t>
  </si>
  <si>
    <t>Percent of MSW that is organic</t>
  </si>
  <si>
    <t>AGRICULTURAL INPUTS</t>
  </si>
  <si>
    <t>FERTILIZER</t>
  </si>
  <si>
    <t>Total Fertilizer Used in US (1,000 nutrient short tons)</t>
  </si>
  <si>
    <t>Average Price of Fertilizer</t>
  </si>
  <si>
    <t>Nitrogen Applied to Farms (1,000 nutrient short tons)</t>
  </si>
  <si>
    <t>https://www.ers.usda.gov/data-products/fertilizer-use-and-price.aspx</t>
  </si>
  <si>
    <t>Not the easiest spreadsheet to navigate. Also, is there updated data?</t>
  </si>
  <si>
    <t>Average Price for Nitrogen Fertilizer ($ per material short ton)</t>
  </si>
  <si>
    <t>Phosphorous Applied to Farms (1,000 nutrient short tons)</t>
  </si>
  <si>
    <t>Average Price for Phosphorous Fertilizer ($ per material short ton)</t>
  </si>
  <si>
    <t>Potassium Applied to Farms (1,000 nutrient short tons)</t>
  </si>
  <si>
    <t>Average Price for Potassium Fertilizer ($ per material short ton)</t>
  </si>
  <si>
    <t>WATER</t>
  </si>
  <si>
    <t>Should we use Withdrawal, Applied, and Consumptive Water-Use Estimates</t>
  </si>
  <si>
    <t>Irrigated Land in Western U.S. (1,000 acre feet)</t>
  </si>
  <si>
    <t>https://www.ers.usda.gov/data-products/western-irrigated-agriculture/western-irrigated-agriculture/#1.%20Total%20irrigation%20values,%20all%20irrigated%20farms</t>
  </si>
  <si>
    <t>Volume of Water Used for U.S. Agriculture</t>
  </si>
  <si>
    <t>Average Price of Water in the U.S.</t>
  </si>
  <si>
    <t>Water Use from Corn</t>
  </si>
  <si>
    <t>Need to find sources for water use by crop</t>
  </si>
  <si>
    <t>Water Use from Soy</t>
  </si>
  <si>
    <t>Water Use from Cotton</t>
  </si>
  <si>
    <t>Water Use from CEllulostic Material</t>
  </si>
  <si>
    <t>ENERGY</t>
  </si>
  <si>
    <t>Total Energy Used for Agriculture</t>
  </si>
  <si>
    <t>CORN</t>
  </si>
  <si>
    <t># of People Directly Employeed in Corn Growth in the US</t>
  </si>
  <si>
    <t>Not sure where to find specific numbers</t>
  </si>
  <si>
    <t># of People Indirectly Employed in Corn Growth in the US</t>
  </si>
  <si>
    <t>Uses</t>
  </si>
  <si>
    <t>Total Volume of Corn Consumed for Food (million bushels)</t>
  </si>
  <si>
    <t>USDA- WASD (World Agricultural Supply and Demand)</t>
  </si>
  <si>
    <t>https://www-statista-com.proxy.lib.duke.edu/statistics/269931/global-distribution-of-grain-consumption/</t>
  </si>
  <si>
    <t>Grain Council has 2013 numbers in infographic form.</t>
  </si>
  <si>
    <t>Total Volume of Corn Consumed for Feed (million bushels)</t>
  </si>
  <si>
    <t>The Earth Policy Institute compiled this data from USDA database</t>
  </si>
  <si>
    <t>Total Volume of Corn Used for Ethanol (million bushels)</t>
  </si>
  <si>
    <t>Yield and Efficiency</t>
  </si>
  <si>
    <t>U.S. Corn Yield (Tonnes/Hectare)</t>
  </si>
  <si>
    <t>FAO-The State of Food and Agriculture 2008</t>
  </si>
  <si>
    <t>http://www.greenfacts.org/en/biofuels/figtableboxes/biofuel-yields-countries.htm</t>
  </si>
  <si>
    <t>U.S. Corn to Ethanol Conversion Efficiency (Litres/ton)</t>
  </si>
  <si>
    <t>U.S. Ethanol Yield (Liters/hectare)</t>
  </si>
  <si>
    <t>Fertilizer Use</t>
  </si>
  <si>
    <t>Nitrogen (1,000 nutrient short tons)</t>
  </si>
  <si>
    <t>Phosphate (1,000 nutrient short tons)</t>
  </si>
  <si>
    <t>Potash (1,000 nutrient short tons)</t>
  </si>
  <si>
    <t>Consumption</t>
  </si>
  <si>
    <t>Per Capita Corn Syrup Consumption</t>
  </si>
  <si>
    <t>https://www-statista-com.proxy.lib.duke.edu/statistics/328893/per-capita-consumption-of-high-fructose-corn-syrup-in-the-us/</t>
  </si>
  <si>
    <t>Per Animal Corn Consumption</t>
  </si>
  <si>
    <t>Per Capita Use of Corn-based Biofuels</t>
  </si>
  <si>
    <t>Direct Value of All Corn Grown in the United States (billion $)</t>
  </si>
  <si>
    <t>Value of Corn Used for Fuel Production ($)</t>
  </si>
  <si>
    <t>USDA-Quick Stats</t>
  </si>
  <si>
    <t>https://quickstats.nass.usda.gov/results/D737E5DE-8B12-3837-8A00-19BAAF1E271B?pivot=short_desc</t>
  </si>
  <si>
    <t>Corn imports (million bushels)</t>
  </si>
  <si>
    <t>Corn exports (million bushels)</t>
  </si>
  <si>
    <t>Beginning stocks</t>
  </si>
  <si>
    <t>Not sure of the unit here</t>
  </si>
  <si>
    <t>Ending stocks</t>
  </si>
  <si>
    <t>Top U.S. DDGS Customers</t>
  </si>
  <si>
    <t>China, Mexico, etc.</t>
  </si>
  <si>
    <t>USDA-GATS</t>
  </si>
  <si>
    <t>U.S. Grain Council has infographic</t>
  </si>
  <si>
    <t>Top U.S. Corn Gluten Feed Customers</t>
  </si>
  <si>
    <t>Ireland, Isreal, etc.</t>
  </si>
  <si>
    <t>Could probably fit on spreadsheet but wanted to check if useful</t>
  </si>
  <si>
    <t>Top U.S. Corn Gluten Meal Customers</t>
  </si>
  <si>
    <t>Egypt, Indonesia, etc.</t>
  </si>
  <si>
    <t>Top U.S. Ethanol Customers</t>
  </si>
  <si>
    <t>Canada, Brazil, etc.</t>
  </si>
  <si>
    <t>SOY</t>
  </si>
  <si>
    <t># of Farms Growing Soy in the United States</t>
  </si>
  <si>
    <t>Acerage of Soy in the United States (in million acres)</t>
  </si>
  <si>
    <t>Yield of Soy grown in the United States (metric tons per hectare)</t>
  </si>
  <si>
    <t># of People Directly Employeed in Soy Growth in the US</t>
  </si>
  <si>
    <t># of People Indirectly Employed in Soy Growth in the US</t>
  </si>
  <si>
    <t>U.S. Soy Yield (Tonnes/Hectare)</t>
  </si>
  <si>
    <t>U.S. Soy to Biodiesel Conversion Efficiency (Litres/ton)</t>
  </si>
  <si>
    <t>U.S. Biodiesel Yield (Liters/hectare)</t>
  </si>
  <si>
    <t>Soy Volume by State</t>
  </si>
  <si>
    <t>Data on states seems available on Statistica but don't have premium account.</t>
  </si>
  <si>
    <t>Soy Yield by State</t>
  </si>
  <si>
    <t>https://www.usda.gov/nass/PUBS/TODAYRPT/cropan16.pdf</t>
  </si>
  <si>
    <t>Average Soy Price ($ per bushel)</t>
  </si>
  <si>
    <t>$8.30-9.80</t>
  </si>
  <si>
    <t>Soybean Imports (million bushels)</t>
  </si>
  <si>
    <t>Soybean Exports (million bushels)</t>
  </si>
  <si>
    <t>Data is there but not sure how to use spreadsheet</t>
  </si>
  <si>
    <t>BIOPRODUCTS SUMMARY</t>
  </si>
  <si>
    <t>BIOSCIENCE</t>
  </si>
  <si>
    <t>Source #3 Name</t>
  </si>
  <si>
    <t>Number of U.S. Bioscience-Related Patents</t>
  </si>
  <si>
    <t xml:space="preserve">"Battelle/BIOBattelle/BIOState Bioscience Jobs, Investments and Innovation." (2014). </t>
  </si>
  <si>
    <t>TEConomy/BIO, (2016)."The Value of Bioscience Innovation in Growing Jobs and Improving Quality of Life."</t>
  </si>
  <si>
    <t>U.S. Academic Bioscience R&amp;D Expenditures ($ billions)</t>
  </si>
  <si>
    <t>U.S. Bioscience Venture Capital Investments ($ billions)</t>
  </si>
  <si>
    <t>ECONOMIC</t>
  </si>
  <si>
    <t># of Direct Jobs Contributed to the U.S. Economy by the U.S. Bioproducts Industry (Millions)</t>
  </si>
  <si>
    <t>USDA Golden et al. 2016</t>
  </si>
  <si>
    <t>https://www.biopreferred.gov/BPResources/files/BiobasedProductsEconomicAnalysis2016.pdf</t>
  </si>
  <si>
    <t>Golden et al. EIA of Industry, Report to Congress 2015</t>
  </si>
  <si>
    <t>https://www.biopreferred.gov/BPResources/files/EconomicReport_6_12_2015.pdf</t>
  </si>
  <si>
    <t># of Indirect or Induced Jobs Contributed to the U.S. Economy by the U.S. Bioproducts Industry (Millions)</t>
  </si>
  <si>
    <t>Total # of Jobs Contributed to the U.S. Economy by the U.S. Bioproducts Industry (Millions)</t>
  </si>
  <si>
    <t>Direct Value Added to the U.S. Economy from Sales from the U.S. Bioproducts Industry ($ Billions)</t>
  </si>
  <si>
    <t>Indirect/Induced Value Added to the U.S. Economy from Sales from the U.S. Bioproducts Industry ($ Billions)</t>
  </si>
  <si>
    <t>Total Value Added to the U.S. Economy from Sales from the U.S. Bioproducts Industry ($ Billions)</t>
  </si>
  <si>
    <t>National Research Council Estimate (for 2012), Golden 2015 Report</t>
  </si>
  <si>
    <t>Jobs Multipler (for every 1,000 jobs, x more job are supported in the U.S.</t>
  </si>
  <si>
    <t>BIOREFINERIES</t>
  </si>
  <si>
    <t>Gallons of Raw Materials used to Manufacture Biobased Products (millions)</t>
  </si>
  <si>
    <t>USDA BIOPREFFERED PROGRAM</t>
  </si>
  <si>
    <t>BioPreferred Program's Estimated Total Number of Biobased Products in the US</t>
  </si>
  <si>
    <t>Lewis, Elizabeth (2/13/2017). Email Correspondence. Amec Foster Wheeler</t>
  </si>
  <si>
    <t>And because many biobased products are distributed in multiple counties, it could be considered a rough estimate of a world-wide number. Footnote</t>
  </si>
  <si>
    <t xml:space="preserve">Cumulative Number of Designated Categories </t>
  </si>
  <si>
    <t>Cumulative Number of Certification-Only Categories</t>
  </si>
  <si>
    <t>Total Cumulative Number of Categories</t>
  </si>
  <si>
    <t>Number of Products in the Mandatory Federal Purchasing Initiative Catalog</t>
  </si>
  <si>
    <t>15,000+</t>
  </si>
  <si>
    <t>Lewis, Elizabeth (2/1/2017). Email Correspondence. Amec Foster Wheeler</t>
  </si>
  <si>
    <t>Number of Biobased Products in USDA BioPreferred Program Database</t>
  </si>
  <si>
    <t>20,000 +</t>
  </si>
  <si>
    <t>Total Number of Products in the Catalog (FP &amp;/or certified)</t>
  </si>
  <si>
    <t>-</t>
  </si>
  <si>
    <t>* Enzymes</t>
  </si>
  <si>
    <t>Unknown</t>
  </si>
  <si>
    <t>* Biobased Chemicals</t>
  </si>
  <si>
    <t>* Forest Products</t>
  </si>
  <si>
    <t>* Textiles</t>
  </si>
  <si>
    <t>* BioPlastics</t>
  </si>
  <si>
    <t>Number of Certified Products in Catalogue by Type</t>
  </si>
  <si>
    <t>Lewis, Elizabeth (3/24/2017). Email Correspondence. Amec Foster Wheeler</t>
  </si>
  <si>
    <t>Number of FP Products in Catalogue by Type</t>
  </si>
  <si>
    <t>Annual Budget of the Program ($ Millions)</t>
  </si>
  <si>
    <t>?</t>
  </si>
  <si>
    <t>Approximate Number of Certified Products each year (add footnote on bias of #'s)</t>
  </si>
  <si>
    <t>ENVIRONMENTAL</t>
  </si>
  <si>
    <t># of Barrels of Petroleum Displacement due to Biochemical Feedstocks &amp; Biobased Product Alternatives (Million)</t>
  </si>
  <si>
    <t>GHG Emission Reductions from Biobased Products Industry (Million Metric Tons of CO2 Equivalent)</t>
  </si>
  <si>
    <t>TECHNOLOGY</t>
  </si>
  <si>
    <t>Number of Public Biotechnology Companies</t>
  </si>
  <si>
    <t>Statistica: EY; Capital IQ (2016)</t>
  </si>
  <si>
    <t>Number of Private Biotechnology Companies</t>
  </si>
  <si>
    <t>Total Number of Biotechnology Companies</t>
  </si>
  <si>
    <t>Biotech Revenues in the US ($ Billion)</t>
  </si>
  <si>
    <t>&gt; 324</t>
  </si>
  <si>
    <t>Carlson, R. (March 2016). "Estimating the biotech sector's contribution to the US economy." Nature Biotechnology, Volume 34, Number 3.</t>
  </si>
  <si>
    <t>Biotech Revenue Growth ($ Billion) </t>
  </si>
  <si>
    <t>END USE OF BIOMASS OF GLOBAL BIOMASS IN BILLION TONS</t>
  </si>
  <si>
    <t>Total Food</t>
  </si>
  <si>
    <t>Gobina, Edward. (April 2014). "Biorefinery Products: Global Markets." BCC Research.</t>
  </si>
  <si>
    <t>Human Food</t>
  </si>
  <si>
    <t>Total Non-Food</t>
  </si>
  <si>
    <t>Materials</t>
  </si>
  <si>
    <t>Total Volume</t>
  </si>
  <si>
    <t xml:space="preserve"> </t>
  </si>
  <si>
    <t xml:space="preserve">     </t>
  </si>
  <si>
    <t xml:space="preserve">   </t>
  </si>
  <si>
    <t xml:space="preserve">  </t>
  </si>
  <si>
    <t xml:space="preserve">             </t>
  </si>
  <si>
    <t xml:space="preserve">       </t>
  </si>
  <si>
    <t>PLASTICS</t>
  </si>
  <si>
    <t>US/GLOBAL PLASTICS</t>
  </si>
  <si>
    <t>U.S. Plastic and Rubber Products Value Added (Millions)</t>
  </si>
  <si>
    <t>Bureau of Economic Analysis</t>
  </si>
  <si>
    <t>www.bea.gov/industry/xls/GDPbyInd_VA_NAICS_1997-2012.xlsx</t>
  </si>
  <si>
    <t>Bureau of Economic Analysis (2016)</t>
  </si>
  <si>
    <t>https://www.bea.gov/industry/xls/io-annual/GDPbyInd_VA_1947-2015.xlsx</t>
  </si>
  <si>
    <t>Value Added of Manufacturing US Plastic and Rubber Products as Percentage of GDP (%)</t>
  </si>
  <si>
    <t>Gross Output of US Plastic and Rubber Products (Millions)</t>
  </si>
  <si>
    <t>Compensation of Employees, Value Added of Plastics and Rubber Products (millions)</t>
  </si>
  <si>
    <t>Taxes of Production and Imports, Less Subsides of US Plastics and Rubber Products (millions)</t>
  </si>
  <si>
    <t>Gross Operating Surplus of Plastics and Rubber Product Products (millions)</t>
  </si>
  <si>
    <t>Full and Part Time Employees (thousands)</t>
  </si>
  <si>
    <t>Global Plastic Production (Mtonne)</t>
  </si>
  <si>
    <t>"Plastics-the Facts 2014/2015." PlasticsEurope: Association of Plastics Manufacturers, 2015.</t>
  </si>
  <si>
    <t>Nova Institute for Ecology and Innovation. (December 2015) "Bio-based Building Blocks and Polymers in the World: Capacities, Production and Applications, Status Quo and Trends towards 2020. Short Version 3rd edition</t>
  </si>
  <si>
    <t>European Bioplastics. (2013). "Bioplastics Facts and Figures.</t>
  </si>
  <si>
    <t>GLOBAL BIOPLASTIC</t>
  </si>
  <si>
    <t>Global Production of Bioplastics (Biobased only)  (in million metric Tonnes)</t>
  </si>
  <si>
    <t>European Bioplastics (2013). "Bioplastics Facts and Figures."</t>
  </si>
  <si>
    <t>Nova Institute for Ecology and Innovation. (2016) "Bio-based Building Blocks and Polymers in the World: Capacities, Production and Applications, Status Quo and Trends towards 2020. Short Version 3rd edition</t>
  </si>
  <si>
    <t>Global Production Capacities of Bioplastics (biodegradable and biobased) (in metric ktonnes); by market segment in 1,000 tonnes</t>
  </si>
  <si>
    <t>* Rigid Packaging</t>
  </si>
  <si>
    <t>* Flexible Packaging</t>
  </si>
  <si>
    <t>* Consumer Goods</t>
  </si>
  <si>
    <t>*Agriculture &amp; Horticulture</t>
  </si>
  <si>
    <t>* Automotive &amp; Transport</t>
  </si>
  <si>
    <t>* Building &amp; Construction</t>
  </si>
  <si>
    <t>* Others</t>
  </si>
  <si>
    <t>* Electronics</t>
  </si>
  <si>
    <t>% of Bioplastic in Total Global Plastic Consumption</t>
  </si>
  <si>
    <t>Erickson, B. Nelson, J. &amp; Winters, P.  (2012). "Perspective on opportunities in industrial biotechnology in renewable chemicals." Biotechology Journal 7, 176-185</t>
  </si>
  <si>
    <t>Land Used for Bioplastics (million ha)</t>
  </si>
  <si>
    <t>Land Used For Bioplastics/Total Amount of Arable Land (1.4 billion ha) (%)</t>
  </si>
  <si>
    <t>Global Demand for Bioproducts </t>
  </si>
  <si>
    <t>U.S. BIOPLASTIC</t>
  </si>
  <si>
    <t>Plastic Bottle Manufacturing Gross Output in the US (billion U.S. dollars)</t>
  </si>
  <si>
    <t>% of all Plastic Bottles and Packaging Produced in the U.S. Made w/Biobased Materials</t>
  </si>
  <si>
    <t>US BIOPLASTIC MANUFACTURING INDUSTRY DATA</t>
  </si>
  <si>
    <t>Revenue ($m)</t>
  </si>
  <si>
    <t>Witter, D. (July 2016). "IBIS World Industry Report OD4512 Bioplastics Manufactuing In the US: Sustainable Future - Revenue will grow due to expansion in new markets."</t>
  </si>
  <si>
    <t>Industry Value Added ($m)</t>
  </si>
  <si>
    <t>Establishments</t>
  </si>
  <si>
    <t>Enterprises</t>
  </si>
  <si>
    <t>Exports ($m)</t>
  </si>
  <si>
    <t>Imports ($m)</t>
  </si>
  <si>
    <t>Wages ($m)</t>
  </si>
  <si>
    <t>Domestic Demand</t>
  </si>
  <si>
    <t>US BIOPLASTIC MANUFACTURING ANNUAL CHANGE</t>
  </si>
  <si>
    <t>Revenue (%)</t>
  </si>
  <si>
    <t>Industry Value Added (%)</t>
  </si>
  <si>
    <t>Establishments (%)</t>
  </si>
  <si>
    <t>Enterprises (%)</t>
  </si>
  <si>
    <t>Employment (%)</t>
  </si>
  <si>
    <t>Exports (%)</t>
  </si>
  <si>
    <t>Imports (%)</t>
  </si>
  <si>
    <t>Wages (%)</t>
  </si>
  <si>
    <t>Domestic Demand (%)</t>
  </si>
  <si>
    <t xml:space="preserve">GLOBAL BIO-BASED STRUCTURAL POLYMERS </t>
  </si>
  <si>
    <t>Total Production Capacity</t>
  </si>
  <si>
    <t>Cellulose Acetate (CA) Production Capacities (tonnes)</t>
  </si>
  <si>
    <t>Eposxies Production Capacities (tonnes)</t>
  </si>
  <si>
    <t> Ethylene Proplene Diene Monomer Rubber (EPDM) Production Capacities (tonnes)</t>
  </si>
  <si>
    <t>Polyamides (PA) Production Capacities (tonnes)</t>
  </si>
  <si>
    <t>Poly (butylene adipate-co-terephthalate) (PBAT) Production Capacities (tonnes)</t>
  </si>
  <si>
    <t>Polybutylene Succinate (PBS) Production Capacities (tonnes)</t>
  </si>
  <si>
    <t>Polyethylene (PE) Production Capacities (tonnes)</t>
  </si>
  <si>
    <t>Polyethylene Tereohtalate (PET) Production Capacities (tonnes)</t>
  </si>
  <si>
    <t>Polyhydroxyalkanoates (PHA) Production Capacities (tonnes)</t>
  </si>
  <si>
    <t>Polylactic Acid (PLA) Production Capacities (tonnes)</t>
  </si>
  <si>
    <t>Polytrimethylene Terephthalate (PTT) Production Capacities (tonnes)</t>
  </si>
  <si>
    <t>Polyurethanes (PUR) Production Capacities (tonnes)</t>
  </si>
  <si>
    <t>Starch Blends Production Capacities (tonnes)</t>
  </si>
  <si>
    <t>BUSINESSES</t>
  </si>
  <si>
    <t>Natureworks LLC Operating Income ($ million)</t>
  </si>
  <si>
    <t>Employment Positions in Bio-Derived Products Industry</t>
  </si>
  <si>
    <t>Use of PLA by the US (metric tons)</t>
  </si>
  <si>
    <t>Chen, Jason. (June 2016). "Global Markets and Technologies for Bioplastics." BCC Research</t>
  </si>
  <si>
    <t>Use of Starch Plastics (metric tons)</t>
  </si>
  <si>
    <t>Use of PBS (metric tons)</t>
  </si>
  <si>
    <t>US Total Bioplastic Market (million metric tons); by sector</t>
  </si>
  <si>
    <t>Bottles</t>
  </si>
  <si>
    <t>Packaging</t>
  </si>
  <si>
    <t>Foamed parts (i.e. seats)</t>
  </si>
  <si>
    <t xml:space="preserve">Agricultural </t>
  </si>
  <si>
    <t>Durable (car parts)</t>
  </si>
  <si>
    <t>Other</t>
  </si>
  <si>
    <t>*According to European's Bioplastics' definition, bioplastics are biobased, biodegradable, or both.</t>
  </si>
  <si>
    <t>Industry Value Added ($ milllion): The market value of goods and services produced by the industry minus the cost of goods and services used in production. IVA is also described as the industry’s contribution to GDP, or profit plus wages and depreciation.</t>
  </si>
  <si>
    <t>DOMESTIC DEMAND Spending on industry goods and services within the United States, regardless of their country of origin. It is derived by adding imports to industry revenue, and then subtracting exports.</t>
  </si>
  <si>
    <t>EMPLOYMENT The number of permanent, part-time, temporary and seasonal employees, working proprietors, partners, managers and executives within the industry.</t>
  </si>
  <si>
    <t>ENTERPRISE A division that is separately managed and keeps management accounts. Each enterprise consists of one or more establishments that are under common ownership or control.</t>
  </si>
  <si>
    <t>ESTABLISHMENT The smallest type of accounting unit within an enterprise, an establishment is a single physical location where business is conducted or where services or industrial operations are performed. Multiple establishments under common control make up an enterprise.</t>
  </si>
  <si>
    <t>WAGES The gross total wages and salaries of all employees in the industry. The cost of bene ts is also included in this  gure.</t>
  </si>
  <si>
    <t>BIOCHEMICALS</t>
  </si>
  <si>
    <t>US CHEMICAL PRODUCTS</t>
  </si>
  <si>
    <t>Value Added of U.S. Chemical Products (billions)</t>
  </si>
  <si>
    <t>Value Added of Manufacturing US Chemical Products as Percentage of GDP (%)</t>
  </si>
  <si>
    <t>Gross Output of US Chemical Products (Millions)</t>
  </si>
  <si>
    <t>Compensation of Employees, Value Added of Chemical Products (millions)</t>
  </si>
  <si>
    <t>Taxes of Production and Imports, Less Subsides of US Chemical Products (millions)</t>
  </si>
  <si>
    <t>Gross Operating Surplus of Chemical Products (millions)</t>
  </si>
  <si>
    <t>Revenue of US Chemical Industry (Billions)</t>
  </si>
  <si>
    <t>American Chemistry Council</t>
  </si>
  <si>
    <t>Value of Chemical Imports into the US (Millions)</t>
  </si>
  <si>
    <t>GLOBAL CHEMICAL PRODUCTS</t>
  </si>
  <si>
    <t>Total Global Chemicals Market Value ($Billion)</t>
  </si>
  <si>
    <t>Total Bio-Derived Chemical Market Value ($Billion)</t>
  </si>
  <si>
    <t>Bio-derived Chemicals Market Value as % of Total Chemical Value</t>
  </si>
  <si>
    <t>Global Cellulose Fibers (in 1,000 metric tons)</t>
  </si>
  <si>
    <t>Statistica: Industrievereinigung Chemiefaser. "Global chemical fiber production from 2000-2015 by fiber type"</t>
  </si>
  <si>
    <t>Global Sythetic Fibers (in 1,000 metric tons)</t>
  </si>
  <si>
    <t>US BIOCHEMICALS</t>
  </si>
  <si>
    <t>Biochemical Revenues in the US ($ Billion)</t>
  </si>
  <si>
    <t>ENZYMES</t>
  </si>
  <si>
    <t>GLOBAL</t>
  </si>
  <si>
    <t>Global Industrial Enzyme Market ($ Billions); by market:</t>
  </si>
  <si>
    <t>Global Markets for Enzymes in Industrial Applications (fka: Enzymes for Industrial Applications).” BCC Research (June 2014), executive summary</t>
  </si>
  <si>
    <t>* Food ($ millions)</t>
  </si>
  <si>
    <t>“Global Markets for Enzymes in Industrial Applications.” BCC Research (June 2014), p. 57.</t>
  </si>
  <si>
    <t>* Feed ($ millions)</t>
  </si>
  <si>
    <t>* Technical ($ millions)</t>
  </si>
  <si>
    <t>* Detergent ($ millions)</t>
  </si>
  <si>
    <t>FOREST PRODUCTS</t>
  </si>
  <si>
    <t>US WOOD PRODUCTS (NAICS)</t>
  </si>
  <si>
    <t>U.S. Wood Products Value Added ( $ billions)</t>
  </si>
  <si>
    <t xml:space="preserve">Bureau of Economic Analysis </t>
  </si>
  <si>
    <t>Value Added of Manufacturing US Wood Products as Percentage of GDP (%)</t>
  </si>
  <si>
    <t>Gross Output of US Wood Products ($ Millions)</t>
  </si>
  <si>
    <t>Compensation of Employees, Value Added of Wood Products ($ Millions)</t>
  </si>
  <si>
    <t>Taxes of Production and Imports, Less Subsides of US Wood Products ($ Millions)</t>
  </si>
  <si>
    <t>Gross Operating Surplus of Wood Products ($ Millions)</t>
  </si>
  <si>
    <t>Full and Part Time Employees (Thousands)</t>
  </si>
  <si>
    <t>US PAPER PRODUCTS (NAICS)</t>
  </si>
  <si>
    <t>U.S. Paper Products Value Added ($ billions)</t>
  </si>
  <si>
    <t>Value Added of Manufacturing US Paper Products as Percentage of GDP (%)</t>
  </si>
  <si>
    <t>Gross Ouput of US Paper Products ($Millions)</t>
  </si>
  <si>
    <t>Compensation of Employees, Value Added of Paper Products (millions)</t>
  </si>
  <si>
    <t>Taxes of Production and Imports, Less Subsides of US Paper Products (millions)</t>
  </si>
  <si>
    <t>Gross Operating Surplus of Paper Products (millions)</t>
  </si>
  <si>
    <t>APPAREL AND TEXTILES</t>
  </si>
  <si>
    <t>US TEXTILE MILLS AND TEXTILE PRODUCT MILLS (NAICS)</t>
  </si>
  <si>
    <t>U.S. Textile Mills and Textile Product Mills Value Added ($ billions)</t>
  </si>
  <si>
    <t>Value Added of Manufacturing US Textile Mills and Textile Product Mills as a Percentage of GDP (%)</t>
  </si>
  <si>
    <t>Gross Output of US Textile Mills and Textile Product Mills ($ Millions)</t>
  </si>
  <si>
    <t>US Textile Market Value ($ Billions)</t>
  </si>
  <si>
    <t>Marketline. "MarketLine Industry Profile: Textiles in the United States." (2011)</t>
  </si>
  <si>
    <t>Compensation of Employees, Value Added of Textile Mills &amp; Textile Product Mills (millions)</t>
  </si>
  <si>
    <t>Taxes of Production and Imports, Less Subsides of US Textile Mills &amp; Textile Product Mills (millions)</t>
  </si>
  <si>
    <t>Gross Operating Surplus of Textile Mills &amp; Textile Product Mills Products (millions)</t>
  </si>
  <si>
    <t>Average Annual Expenditure on Household Textiles per consumer unit in the US (in dollars)</t>
  </si>
  <si>
    <t>Statistica, Bureau of Labor Statistics."Average annual expenditure on household textiles per consumer unit in the United States from 2007 to 2015."</t>
  </si>
  <si>
    <t>US APPAREL AND LEATHER AND ALLIED PRODUCTS (NAICS)</t>
  </si>
  <si>
    <t>Apparel and Leather and Allied Products Value Added ($ billions)</t>
  </si>
  <si>
    <t>% of Valued Added of Manufacturing US Apparel and Leather and Allied Products Against GDP ($ Millions)</t>
  </si>
  <si>
    <t>Gross Output of US Apparel and Leather and Allied Products  (Millions)</t>
  </si>
  <si>
    <t>Compensation of Employees, Value Added of Apparel and Leather and Allied Products (millions)</t>
  </si>
  <si>
    <t>Taxes of Production and Imports, Less Subsides of US Apparel and Leather and Allied Products (millions)</t>
  </si>
  <si>
    <t>Gross Operating Surplus of Apparel and Leather and Allied Products Products (millions)</t>
  </si>
  <si>
    <t>Full and Part Time Employees</t>
  </si>
  <si>
    <t>Material</t>
  </si>
  <si>
    <t>Raw Material Source</t>
  </si>
  <si>
    <t>Acetate, Triacetate Fabric</t>
  </si>
  <si>
    <t>Acetylated and regenerated celllose from pine, spruce or cotton</t>
  </si>
  <si>
    <t>Bast Fiber Fabric</t>
  </si>
  <si>
    <t>Flax (linen)</t>
  </si>
  <si>
    <t>Conventional cotton</t>
  </si>
  <si>
    <t>Lyocell Fabric</t>
  </si>
  <si>
    <t>Regenerated cellulose from wood pulp dissolved in NMMO</t>
  </si>
  <si>
    <t>Modal</t>
  </si>
  <si>
    <t>Regenerated cellulose through cellulose xanthate from wood pulp</t>
  </si>
  <si>
    <t>Polylatic Acid (PLA)</t>
  </si>
  <si>
    <t>Biodegradle thermoplast (in the polyester family) that is derived from natural sources, such as corn starch or sugar cane</t>
  </si>
  <si>
    <t>Silk</t>
  </si>
  <si>
    <t>Produced by harvesting silk worm coocons</t>
  </si>
  <si>
    <t>Vicose/rayon</t>
  </si>
  <si>
    <t>Wool</t>
  </si>
  <si>
    <t>Sheep wool</t>
  </si>
  <si>
    <t>Source: http://msi.higg.org/page/msi-home</t>
  </si>
  <si>
    <t>FEDERAL</t>
  </si>
  <si>
    <t xml:space="preserve">BioFuels </t>
  </si>
  <si>
    <t>NAME</t>
  </si>
  <si>
    <t>YEAR</t>
  </si>
  <si>
    <t>DESCRIPTION</t>
  </si>
  <si>
    <t>IMPORTANCE</t>
  </si>
  <si>
    <t>Energy Policy and Conservation Act</t>
  </si>
  <si>
    <t>Created the Corporate Average Fuel Economy (CAFE) standards beginning with cars modeled in 1978 and required the distribution of fuel economy information to consumers from the DOE</t>
  </si>
  <si>
    <t>Improves the average fuel economy </t>
  </si>
  <si>
    <t>http://www.afdc.energy.gov/laws/key_legislation</t>
  </si>
  <si>
    <t>Energy Tax Act</t>
  </si>
  <si>
    <t>An excise tax exemption for alcohol fuel blends at 100% of the petrol tax (which was 4 cents per gallon)</t>
  </si>
  <si>
    <t>Solar, wind, geothermal tax credits to private citizens</t>
  </si>
  <si>
    <t>Economic and policy drivers of liquid biofuels (FAO)</t>
  </si>
  <si>
    <t>ftp://ftp.fao.org/docrep/fao/011/i0100e/i0100e03.pdf</t>
  </si>
  <si>
    <t>Alternative Motor Fuel Act</t>
  </si>
  <si>
    <t>Created vehicle manufacturer incentives in the form of CAFE credits; the U.S. Department of Transportation, EPA and DOE will conduct a study and submit a report to Congress evaluating the success of the policy decision to offer CAFE credit calculation incentives for dual-fuel vehicles</t>
  </si>
  <si>
    <t>Any fuel not derived from petroleum</t>
  </si>
  <si>
    <t>Energy Policy Act</t>
  </si>
  <si>
    <t>Established regulations requiring certain federal, state, and alternative fuel provider fleets to build an inventory of Alternative Fuel Vehicles in order to reduce U.S. dependence on petroleum and improve air quality by addressing all aspects of energy supply and demand, including alternative fuels, renewable energy, and energy efficiency</t>
  </si>
  <si>
    <t>Authorizes research and development programs to discover alternative fuel sources</t>
  </si>
  <si>
    <t>Biomass Research and Development Act</t>
  </si>
  <si>
    <t>Created the Biomass Research and Development Initiative that provides grants to universities, companies and government for the research and development of new methods to refine types of feedstock and crops into biofuels or biobased chemical and products</t>
  </si>
  <si>
    <t>Biomass Research and Development Initiative</t>
  </si>
  <si>
    <t>http://www.taxpayer.net/library/article/biomass-research-and-development-initiative</t>
  </si>
  <si>
    <t>Farm Bill</t>
  </si>
  <si>
    <t>promote the development of bio-refineries, provide incentives to feedstock producers and to realize education programmes for farmers, local authorities and civil society promoting the benefits of biofuel production and utilization ; In addition to the mandatory federal purchasing initiative, the 2002 Farm Bill authorized USDA to implement an initiative to certify biobased products that are deemed eligible to display the “USDA Certified Biobased Product” label (mandatory federal purchasing inititative)</t>
  </si>
  <si>
    <t>Established a biobased products program</t>
  </si>
  <si>
    <t>Rural Energy for America Program</t>
  </si>
  <si>
    <t>Provides grants and loans to help agricultural producers and rural small businesses purchase renewable energy systems and make efficiency improvements</t>
  </si>
  <si>
    <t>Grant and loan program for renewables</t>
  </si>
  <si>
    <t>https://www.epa.gov/sites/production/files/2015-01/documents/05042010_hagy.pdf</t>
  </si>
  <si>
    <t>Jobs Creation Act</t>
  </si>
  <si>
    <t>Introduced the Volumetric Ethanol Excise Tax Credit (51 cents per gallon of ethanol for blenders and retailers)</t>
  </si>
  <si>
    <t>Ethanol tax credit introduced</t>
  </si>
  <si>
    <t>Extended the Volumetric Ethanol Excise Tax Credit (see the Jobs Creation Act) through to 2010 and now includes biodiesel (producers who use agricultural feedstocks are eligible for a tax credit of US $1.00 per gallon and waste-grease biodiesel producers can receive a credit of 50 cents per gallon); introduced quantitative targets for renewable fuels; established the Renewable Fuels Standard (mandated that all motor petrol sold in the US must have reached a renewable fuel content of 7.5 billion gallons by 2012); continued funding for the Biomass Program ; encouraging the use of ethanol as a renewable fuel</t>
  </si>
  <si>
    <t>Creates funds for establishing and conducting energy efficient appliance rebates and pilot energy efficiency programs and develops pilot programs for energy efficiency in low-income communities. Production is shifted more towards ethanol</t>
  </si>
  <si>
    <t>Energy Independence and Security Act</t>
  </si>
  <si>
    <t>Energy security through improved fuel economy, increase production of biofuels, energy savings in government and public institutions, improved management of energy policy</t>
  </si>
  <si>
    <t>Focuses on renewable sources, increased volume requirements, includes grant programs for research</t>
  </si>
  <si>
    <t>p`</t>
  </si>
  <si>
    <t>Renewable Fuels Standard</t>
  </si>
  <si>
    <t>Requires a certain volume of renewable fuel to replace or reduce the quantity of petroleum-based transportation fuel, heating oil or jet fuel (see source #1 for volume standards)</t>
  </si>
  <si>
    <t>Sets a quantity to the regulations</t>
  </si>
  <si>
    <t>https://www.epa.gov/renewable-fuel-standard-program/program-overview-renewable-fuel-standard-program</t>
  </si>
  <si>
    <t>Reduced the tax credit for maize-based ethanol from 51 to 45 cents per gallon and introduced a tax credit of US$1.01 per gallon for cellulose based ethanol </t>
  </si>
  <si>
    <t>Reauthorized the BioPreferred Program</t>
  </si>
  <si>
    <t>Energy Improvement and Extension Act</t>
  </si>
  <si>
    <t> Tax credits and exemptions for alternative fuels and fuel-efficient technologies</t>
  </si>
  <si>
    <t>Incentives towards renewable fuels</t>
  </si>
  <si>
    <t>Biomass Crop Assistance Program</t>
  </si>
  <si>
    <t>Authorized by 2008 Farm Bill: support the establishment and production of crops for conversion to bioenergy and assist with collection, harvest, storage and transportation of materials for biomass conversion</t>
  </si>
  <si>
    <t>Conversion to bioenergy</t>
  </si>
  <si>
    <t>Repowering Assistance</t>
  </si>
  <si>
    <t>Provides payments to existing bio-refineries to replace the fossil fuels used to heat or power for the renewable biomass</t>
  </si>
  <si>
    <t>Monetary assistance for existing biorefineries</t>
  </si>
  <si>
    <t>Bioenergy Program for Advanced Biofuels</t>
  </si>
  <si>
    <t>Provides payments to agricultural producers to support and ensure production of advanced biofuels ($14.5 million awarded to 136 producers)</t>
  </si>
  <si>
    <t>Advanced biofuel production</t>
  </si>
  <si>
    <t>USDA/DOE's Biomass Research and Development Program</t>
  </si>
  <si>
    <t>Originally established with the Food, Conservation, and Energy Act of 2008</t>
  </si>
  <si>
    <t>Joint program with the USDA and the DOE: Research and development in advanced biofuels, bioenergy and biobased products</t>
  </si>
  <si>
    <t>Research and development</t>
  </si>
  <si>
    <t>USDA News Release No. 0102.12</t>
  </si>
  <si>
    <t>https://www.usda.gov/wps/portal/usda/usdahome?contentid=2012/03/0102.xml</t>
  </si>
  <si>
    <t>https://nifa.usda.gov/funding-opportunity/biomass-research-and-development-initiative-brdi</t>
  </si>
  <si>
    <t>American Recovery and Reinvestment Act</t>
  </si>
  <si>
    <t>Nearly $800 billion towards the creation of jobs, economic growth, tax relief, improvements in education and healthcare, infrastructure modernization, and investments in energy independence and renewable energy technologies. ARRA supports a variety of alternative fuel and advanced vehicle technologies through grant programs, tax credits, research and development, fleet funding, and other measures</t>
  </si>
  <si>
    <t>Alternative fuel research and support</t>
  </si>
  <si>
    <t>Biofuels and Rural Economic Development</t>
  </si>
  <si>
    <t>Establishment of the Biofuels Interagency Working Group, creates a biofuel market development program</t>
  </si>
  <si>
    <t>Biofuels Interagency Working Group</t>
  </si>
  <si>
    <t>Bioenergy and Biobased Products</t>
  </si>
  <si>
    <t>https://www.fs.fed.us/research/pdf/RD_Bioenergy_Strategy_March_2010.pdf</t>
  </si>
  <si>
    <t>21st Century Energy Independence Act</t>
  </si>
  <si>
    <t xml:space="preserve">The Department of Energy must ensure that there is an availability of 200% of the volume of renewable fuels required in the United States by 2013 under the Energy Policy Act of 2005 and the reduction of carbon dioxide emissions from the production and use of renewable fuels by 25%. Establishes a loan guarantee program. </t>
  </si>
  <si>
    <t>Renewable fuel requirements and loan program</t>
  </si>
  <si>
    <t>Congress.gov</t>
  </si>
  <si>
    <t>https://www.congress.gov/bill/112th-congress/house-bill/230?r=89</t>
  </si>
  <si>
    <t xml:space="preserve">Renewable Fuels for America's Future Act </t>
  </si>
  <si>
    <t>Extends and modifies credits for alcohol used as a fuel</t>
  </si>
  <si>
    <t>Extends the biofuel credits</t>
  </si>
  <si>
    <t>Govtrack</t>
  </si>
  <si>
    <t>https://www.govtrack.us/congress/bills/112/hr404</t>
  </si>
  <si>
    <t>H.R. 1149</t>
  </si>
  <si>
    <t>Amends the Clean Air Act to include algae-based biofuel in the renewable fuel program and amends the Internal Revenue Code of 1986 to include algae-based biofuel in the cellulosic biofuel producer credit</t>
  </si>
  <si>
    <t>Includes algae as a biofuel</t>
  </si>
  <si>
    <t>https://www.congress.gov/bill/112th-congress/house-bill/1149</t>
  </si>
  <si>
    <t>Dual Fuel Vehicle Act</t>
  </si>
  <si>
    <t>Requires automobile manufacturers to ensure that at least 50% of 2014 and 2015 model year automobiles and light duty trucks manufactured for sale in the United States are dual fueled (capable of operating on alternative fuel and on gasoline or diesel fuel or a mixture of biodiesel and diesel fuel). Increases the minimum to 90% for later model years.</t>
  </si>
  <si>
    <t>Increase demand of ethanol</t>
  </si>
  <si>
    <t>https://www.congress.gov/bill/112th-congress/senate-bill/152</t>
  </si>
  <si>
    <t>American Tax Payer Relief</t>
  </si>
  <si>
    <t>Extends and reinstates several alternative fuel incentives; effective the alternative fuel infrastructure tax credit, biodiesel income tax credit, biodiesel mixture excise tax credit, and alternative fuel mixture excise tax credits and incorporates a tax credit for two- and three-wheeled plug-in electric vehicles through December 31, 2013. It also extends until December 31, 2013, the second generation biofuel producer tax credit and second generation biofuel plant depreciation deduction allowance. In addition, it extends discretionary funding for the U.S. Department of Agriculture's Advanced Biofuel Production Grants and Loan Guarantees, Advanced Biofuel Production Payments, Biodiesel Education Grants, Biomass Research and Development Initiative, and Ethanol Infrastructure Grants and Loan Guarantees</t>
  </si>
  <si>
    <t>Increases demand of biofuels and extends funding for critical programs</t>
  </si>
  <si>
    <t>Biofuels Market Expansion Act</t>
  </si>
  <si>
    <t xml:space="preserve"> Amends the Petroleum Marketing Practices Act, with respect to the installation of renewable fuel pumps and tanks, to revise the ethanol content requirements for renewable fuel to mean any fuel which is at least 10% ethanol by volume.</t>
  </si>
  <si>
    <t>https://www.congress.gov/bill/113th-congress/senate-bill/1563</t>
  </si>
  <si>
    <t>Authorization for the programs and services. Allows USDA to continue to record accomplishments and expand the agricultural product market.</t>
  </si>
  <si>
    <t>Continuation of critical programs</t>
  </si>
  <si>
    <t>USDA </t>
  </si>
  <si>
    <t>https://www.usda.gov/wps/portal/usda/usdahome?navid=farmbill</t>
  </si>
  <si>
    <t>Tax Increase Prevention Act</t>
  </si>
  <si>
    <t xml:space="preserve">Requires automobile manufacturers to ensure that at least 50% of 2015 and 2016 model year automobiles and light duty trucks manufactured for sale in the United States are dual fueled. Increases the minimum to 90% for 2017 and subsequent model years. </t>
  </si>
  <si>
    <t>Increased demand for biofuels</t>
  </si>
  <si>
    <t>Consolidated Appropriations Act</t>
  </si>
  <si>
    <t>Reinstates the alternative fuel infrastructure tax credit, the excise tax credit for alternative fuels and alternative fuel mixtures, the tax credit for second generation biofuel production, the income and excise tax credit for biodiesel and renewable diesel fuel mixtures, fuel cell motor vehicle tax credit, and the special depreciation allowance for second generation biofuel plant property. It also reinstates the tax credit for qualified two- or three-wheeled plug-in electric drive motor vehicles</t>
  </si>
  <si>
    <t>Tax credits</t>
  </si>
  <si>
    <t>Great Green Fleet</t>
  </si>
  <si>
    <t>Department of the Navy Inititative: deploys on alternative fuels, including nuclear power for the carrier and a blend of advanced biofuel made from beef fat and traditional petroleum for its escort ships</t>
  </si>
  <si>
    <t>Internal program beginning to use biofuel options</t>
  </si>
  <si>
    <t>http://greenfleet.dodlive.mil/energy/great-green-fleet/</t>
  </si>
  <si>
    <t>Air Force</t>
  </si>
  <si>
    <t>NPR</t>
  </si>
  <si>
    <t>http://www.npr.org/2011/09/26/140702387/air-force-and-navy-turn-to-bio-fuels</t>
  </si>
  <si>
    <t xml:space="preserve">BioProducts </t>
  </si>
  <si>
    <t>Executive Order 13101</t>
  </si>
  <si>
    <t>"Greening the Government": Prefer pollution prevention whenever feasible, waste prevention, recycling, agencies shall use environmentally preferable products and services</t>
  </si>
  <si>
    <t>First steps to bioproducts within government agencies</t>
  </si>
  <si>
    <t>https://www.epa.gov/greenerproducts/executive-order-13101-greening-government-through-waste-prevention-recycling-and</t>
  </si>
  <si>
    <t>Executive Order 13134</t>
  </si>
  <si>
    <t>Developing and Promoting Biobased Products and Bioenergy</t>
  </si>
  <si>
    <t>Biobased products and energy</t>
  </si>
  <si>
    <t>FedCenter</t>
  </si>
  <si>
    <t>https://www.fedcenter.gov/Bookmarks/index.cfm?id=48&amp;pge_id=1606</t>
  </si>
  <si>
    <t>USDA BioPreferred program</t>
  </si>
  <si>
    <t>created by the 2002 Farm Bill, further supported by the 2008 Farm Bill and the 2014 Farm Bill</t>
  </si>
  <si>
    <t>Mandatory federal purchasing initiative and voluntary “USDA Certified Biobased Product” label. Federal agencies are required to purchase biobased products designated for mandatory federal purchasing under the BioPreferred program, except as provided by Federal Acquisition Regulation (FAR) Part 23.404(b). Federal agencies are required to give preference to qualified biobased products over traditional, non-biobased alternatives when purchases exceed $10,000 per fiscal year, as prescribed by Title 7 of the U.S. Code of Federal Regulations section 3201.3.</t>
  </si>
  <si>
    <t>Federal purchasing initiative and voluntary label</t>
  </si>
  <si>
    <t>Biorefinery, Renewable Chemical, and Biobased Product Manufacturing Assistance Program</t>
  </si>
  <si>
    <t>Loan guarantees up to $250 million for the development, construction and retrofitting of new and emerging technologies (developed from the Biorefinery Loan Guarentee Program)</t>
  </si>
  <si>
    <t>https://www.rd.usda.gov/programs-services/biorefinery-renewable-chemical-and-biobased-product-manufacturing-assistance</t>
  </si>
  <si>
    <t>https://energy.gov/savings/usda-biorefinery-assistance-program</t>
  </si>
  <si>
    <t xml:space="preserve">Renewable Chemicals Act </t>
  </si>
  <si>
    <t>give a tax credit of $0.15 per pound of biobased content for producers of renewable chemicals who meet certain criteria. This credit would have an aggregate limit of $500 million and would be distributed over five years</t>
  </si>
  <si>
    <t>Biobased Products Economic Analysis 2016</t>
  </si>
  <si>
    <t>Executive Order 13693</t>
  </si>
  <si>
    <t>Planning for Federal Sustainability in the Next Decade: Cut the government's greenhouse gas emmisions by 40% in next decade (2008 levels) and increase the share of electricity the government consumes from renewable energy to 30%</t>
  </si>
  <si>
    <t>Governmental footprint</t>
  </si>
  <si>
    <t>(link may no longer work)</t>
  </si>
  <si>
    <t>https://obamawhitehouse.archives.gov/the-press-office/2015/03/19/executive-order-planning-federal-sustainability-next-decade</t>
  </si>
  <si>
    <t>Office of Energy Efficiency and Renewable Energy </t>
  </si>
  <si>
    <t>https://energy.gov/eere/femp/articles/white-house-announces-new-executive-order-reduce-greenhouse-gas-emissions-federal</t>
  </si>
  <si>
    <t xml:space="preserve">BioFuel Policies (data from The BioFuel Atlas from NREL) </t>
  </si>
  <si>
    <t>Alternative Fuel and Advanced Vehicle Technology Research and Demonstration Bonds</t>
  </si>
  <si>
    <t>Qualified state, tribal, and local governments may issue Qualified Energy Conservation Bonds subsidized by the U.S. Department of Treasury at competitive rates to fund capital expenditures on qualified energy conservation projects. Government entities may choose to issue tax credit bonds or direct payment bonds to subsidize the borrowing costs.</t>
  </si>
  <si>
    <t>Low and Zero Emission Public Transportation Research, Demonstration, and Deployment Funding</t>
  </si>
  <si>
    <t>Financial assistance is available to local, state, and federal government entities; public transportation providers; private and non-profit organizations; and higher education institutions for research, demonstration, and deployment projects involving low or zero emission public transportation vehicles. Funding opportunities include the Public Transportation Innovation Program and the Low or No Emission (Low-No) Vehicle Program. </t>
  </si>
  <si>
    <t>Alternative Fuel Infrastucture Tax Credit</t>
  </si>
  <si>
    <t>Fueling equipment for natural gas, propane, liquefied hydrogen, electricity, E85, or diesel fuel blends containing a minimum of 20% biodiesel installed between January 1, 2015, and December 31, 2016, is eligible for a tax credit of 30% of the cost, not to exceed $30,000. </t>
  </si>
  <si>
    <t>expired December 31, 2016 but waiting for the federal tax filing deadline</t>
  </si>
  <si>
    <t>Value-Added Producer Grants (VAPG)</t>
  </si>
  <si>
    <t xml:space="preserve">available to help independent agricultural producers enter into or expand value-added activities, including innovative uses of agricultural projects, such as biofuels production. No more than 10% of program funds may be awarded to majority-controlled producer-based business ventures. Grants are awarded to projects determined to be economically viable and sustainable. </t>
  </si>
  <si>
    <t>Second Generation Biofuel Production Property Depreciation Allowance</t>
  </si>
  <si>
    <t>An owner of a second generation biofuel production plant may be eligible for a 50% special depreciation allowance to recover the cost of qualified property. </t>
  </si>
  <si>
    <t>Advanced Biofuel Production Grants and Loan Guarantees</t>
  </si>
  <si>
    <t>The Biorefinery Assistance Program (Section 9003) provides loan guarantees for the development, construction, and retrofitting of commercial-scale biorefineries that produce advanced biofuels. Grants for demonstration scale biorefineries are also available.</t>
  </si>
  <si>
    <t>Biodiesel Education Grants</t>
  </si>
  <si>
    <t>Competitive grants are available through the Biodiesel Fuel Education Program (Section 9006) to educate governmental and private entities that operate vehicle fleets, the public, and other interested entities about the benefits of biodiesel use. Eligible applicants are non-profit organizations or institutes of higher education that have demonstrated knowledge of biodiesel fuel production, use, or distribution; and have demonstrated the ability to conduct educational and technical support programs. </t>
  </si>
  <si>
    <t>Advanced Biofuel Production Payments</t>
  </si>
  <si>
    <t>Through the Bioenergy Program for Advanced Biofuels (Section 9005), eligible producers of advanced biofuels, or fuels derived from renewable biomass other than corn kernel starch, may receive payments to support expanded production of advanced biofuels. Payment amounts will depend on the quantity and duration of production by the eligible producer; the net nonrenewable energy content of the advanced biofuel, if sufficient data is available; the number of producers participating in the program; and the amount of funds available.</t>
  </si>
  <si>
    <t>Ethanol Infrastructure Grants and Loan Guarantees</t>
  </si>
  <si>
    <t>The Rural Energy for America Program (REAP) provides loan guarantees and grants to agricultural producers and rural small businesses to purchase renewable energy systems or make energy efficiency improvements. Eligible renewable energy systems include flexible fuel pumps, or blender pumps, that dispense intermediate ethanol blends. The maximum loan guarantee is $25 million and the maximum grant funding is 25% of project costs. At least 20% of the grant funds awarded must be for grants of $20,000 or less. </t>
  </si>
  <si>
    <t>Qualified Plug-In Electric Drive Motor Vehicle Tax Credit</t>
  </si>
  <si>
    <t>A tax credit is available for the purchase of a new qualified plug-in electric drive motor vehicle that draws propulsion using a traction battery that has at least five kilowatt-hours (kWh) of capacity, uses an external source of energy to recharge the battery, has a gross vehicle weight rating of up to 14,000 pounds, and meets specified emission standards. The minimum credit amount is $2,500, and the credit may be up to $7,500, based on each vehicle's traction battery capacity and the gross vehicle weight rating. </t>
  </si>
  <si>
    <t>The U.S. Department of Agriculture's National Institute of Food and Agriculture, in conjunction with U.S. Department of Energy's Office of Biomass Programs, provides grant funding for projects addressing research, development, and demonstration of biofuels and bio-based products and the methods, practices, and technologies for their production, under the Biomass Research and Development Initiative (Section 9008). The competitive award process focuses on three main technical areas: feedstock development; biofuels and bio-based products development; and biofuels development analysis. </t>
  </si>
  <si>
    <t>Biodiesel Mixture Excise Tax Credit</t>
  </si>
  <si>
    <t>A biodiesel blender that is registered with the Internal Revenue Service (IRS) may be eligible for a tax incentive in the amount of $1.00 per gallon of pure biodiesel, agri-biodiesel, or renewable diesel blended with petroleum diesel to produce a mixture containing at least 0.1% diesel fuel.</t>
  </si>
  <si>
    <t>Advanced Energy Research Project Grants</t>
  </si>
  <si>
    <t>The Advanced Research Projects Agency - Energy (ARPA-E) was established within the U.S. Department of Energy with the mission to fund projects that will develop transformational technologies that reduce the nation's dependence on foreign energy imports; reduce U.S. energy related emissions, including greenhouse gases; improve energy efficiency across all sectors of the economy; and ensure that the United States maintains its leadership in developing and deploying advanced energy technologies. </t>
  </si>
  <si>
    <t>Advanced Biofuel Feedstock Incentives</t>
  </si>
  <si>
    <t>The Biomass Crop Assistance Program (BCAP; Section 9010) provides financial assistance to landowners and operators that establish, produce, and deliver biomass feedstock crops for advanced biofuel production facilities. Qualified feedstock producers are eligible for a reimbursement of 50% of the cost of establishing a biomass feedstock crop, as well as annual payments for up to five years for herbaceous feedstocks and up to 15 years for woody feedstocks. </t>
  </si>
  <si>
    <t>Second Generation Biofuel Producer Tax Credit</t>
  </si>
  <si>
    <t>A second generation biofuel producer that is registered with the Internal Revenue Service (IRS) may be eligible for a tax incentive in the amount of up to $1.01 per gallon of second generation biofuel that is: sold and used by the purchaser in the purchaser's trade or business to produce a second generation biofuel mixture; sold and used by the purchaser as a fuel in a trade or business; sold at retail for use as a motor vehicle fuel; used by the producer in a trade or business to produce a second generation biofuel mixture; or used by the producer as a fuel in a trade or business. </t>
  </si>
  <si>
    <t>Improved Energy Technology Loans</t>
  </si>
  <si>
    <t>The U.S. Department of Energy (DOE) provides loan guarantees through the Loan Guarantee Program to eligible projects that reduce air pollution and greenhouse gases, and support early commercial use of advanced technologies, including biofuels and alternative fuel vehicles. The program is not intended for research and development projects. DOE may issue loan guarantees for up to 100% of the amount of the loan for an eligible project. </t>
  </si>
  <si>
    <t>High Occupancy Vehicle (HOV) Lane Exemption</t>
  </si>
  <si>
    <t>States are allowed to exempt certified alternative fuel vehicles (AFVs) and plug-in electric vehicles (PEVs) from HOV lane requirements within the state.</t>
  </si>
  <si>
    <t>Aftermarket Alternative Fuel Vehicle (AFV) Conversions</t>
  </si>
  <si>
    <t>Conventional original equipment manufacturer vehicles altered to operate on propane, natural gas, methane gas, ethanol, or electricity are classified as aftermarket AFV conversions. All vehicle conversions, except those that are completed for a vehicle to run on electricity, must meet current applicable U.S. Environmental Protection Agency (EPA) standards. </t>
  </si>
  <si>
    <t>Renewable Fuel Standard (RFS) Program</t>
  </si>
  <si>
    <t>The national RFS Program was developed to increase the volume of renewable fuel that is blended into transportation fuels. </t>
  </si>
  <si>
    <t>Vehicle Incremental Cost Allocation</t>
  </si>
  <si>
    <t>The U.S. General Services Administration (GSA) must allocate the incremental cost of purchasing alternative fuel vehicles (AFVs) across the entire fleet of vehicles distributed by GSA. This mandate also applies to other federal agencies that procure vehicles for federal fleets. </t>
  </si>
  <si>
    <t xml:space="preserve">Alternative Fuel Labeling Requirements </t>
  </si>
  <si>
    <t>Retailers offering alternative fuel for sale must ensure dispensers are labeled with information to help consumers make informed decisions about fueling a vehicle, including the name of the fuel and the minimum percentage of the main component of the fuel. Labels may also list the percentage of other fuel components. </t>
  </si>
  <si>
    <t>Alternative Fuel Definition</t>
  </si>
  <si>
    <t>The following fuels are defined as alternative fuels by the Energy Policy Act (EPAct) of 1992: pure methanol, ethanol, and other alcohols; blends of 85% or more of alcohol with gasoline; natural gas and liquid fuels domestically produced from natural gas; propane; coal-derived liquid fuels; hydrogen; electricity; pure biodiesel (B100); fuels, other than alcohol, derived from biological materials; and P-Series fuels. In addition, the U.S. Department of Energy may designate other fuels as alternative fuels, provided that the fuel is substantially non-petroleum, yields substantial energy security benefits, and offers substantial environmental benefits.</t>
  </si>
  <si>
    <t>Biofuel Compatibility Requirement for Underground Storage Tanks (USTs)</t>
  </si>
  <si>
    <t>Fueling station owners and operators must notify the appropriate state and local implementing agencies at least 30 days before switching USTs to store ethanol blends greater than 10%, biodiesel blends greater than 20%, or any other regulated fuel the agency has identified. </t>
  </si>
  <si>
    <t>Vehicle Acquistion and Fuel Use Requirements for State and Alternative Fuel Provider Fleets</t>
  </si>
  <si>
    <t>Under the Energy Policy Act (EPAct) of 1992, as amended, certain state government and alternative fuel provider fleets are required to acquire alternative fuel vehicles (AFVs) as a portion of their annual light-duty vehicle acquisitions. Compliance is required by fleets that operate, lease, or control 50 or more light-duty vehicles within the United States. Of those 50 vehicles, at least 20 must be used primarily within a single Metropolitan Statistical Area/Consolidated Metropolitan Statistical Area, and those same 20 vehicles must also be capable of being centrally fueled for the fleet to be subject to the regulatory requirements.</t>
  </si>
  <si>
    <t>Vehicle Acquisition and Fuel Use Requirements for Federal Fleets</t>
  </si>
  <si>
    <t>Under the Energy Policy Act (EPAct) of 1992, 75% of new light-duty vehicles acquired by covered federal fleets must be alternative fuel vehicles (AFVs). As amended in January 2008, Section 301 of EPAct 1992 defines AFVs to include hybrid electric vehicles, fuel cell vehicles, and advanced lean burn vehicles. Fleets that use fuel blends containing at least 20% biodiesel (B20) may earn credits toward their annual requirements. </t>
  </si>
  <si>
    <t>Vehicle Acquisition and Fuel Use Requirements for Private and Local Government Fleets</t>
  </si>
  <si>
    <t>Under the Energy Policy Act (EPAct) of 1992, the U.S. Department of Energy (DOE) was directed to determine whether private and local government fleets should be mandated to acquire alternative fuel vehicles (AFVs). </t>
  </si>
  <si>
    <t>State Energy Program (SEP) Funding</t>
  </si>
  <si>
    <t>The SEP provides grants to states to assist in designing, developing, and implementing renewable energy and energy efficiency programs. Each state's energy office receives SEP funding and manages all SEP-funded projects.</t>
  </si>
  <si>
    <t xml:space="preserve">SmartWay Transport Partnership </t>
  </si>
  <si>
    <t>The SmartWay Transport Partnership is a market-based public-private collaboration between the U.S. Environmental Protection Agency (EPA) and the domestic freight industry. This partnership is designed to reduce greenhouse gases and air pollution by accelerating the adoption of advanced technologies and operational practices which increase fuel efficiency and reduce emissions from goods movement. EPA provides partners with performance benchmarking tools, fleet management best practices, technology verification, public recognition and awards, and use of the SmartWay Transport Partner logo to demonstrate their leadership to customers, shareholders and other stakeholders.</t>
  </si>
  <si>
    <t>Clean School Bus USA</t>
  </si>
  <si>
    <t>Clean School Bus USA is a public-private partnership that focuses on reducing children's exposure to harmful diesel exhaust by limiting school bus idling, implementing pollution reduction technologies, improving route logistics, and switching to clean fuels. Clean School Bus USA is part of the U.S. Environmental Protection Agency's National Clean Diesel Campaign and provides funding for projects designed to retrofit and/or replace older diesel school buses. Eligible applicants are school districts, state and local government programs, federally recognized Indian tribes, and non-profit organizations. </t>
  </si>
  <si>
    <t>Clean Ports USA</t>
  </si>
  <si>
    <t>Clean Ports USA is an incentive-based program designed to reduce emissions by encouraging port authorities and terminal operators to retrofit and replace older diesel engines with new technologies and use cleaner fuels. The U.S. Environmental Protection Agency's National Clean Diesel Campaign offers funding to port authorities and public entities to help them overcome barriers that impede the adoption of cleaner diesel technologies and strategies. </t>
  </si>
  <si>
    <t>Voluntary Airport Low Emission (VALE) Program</t>
  </si>
  <si>
    <t>The goal of the VALE Program is to reduce ground level emissions at commercial service airports located in designated ozone and carbon monoxide air quality nonattainment and maintenance areas. The VALE Program provides funding through the Airport Improvement Program and the Passenger Facility Charges program for the purchase of low emission vehicles, development of fueling and recharging stations, implementing gate electrification, and other airport air quality improvements. </t>
  </si>
  <si>
    <t>Clean Cities</t>
  </si>
  <si>
    <t>The mission of Clean Cities is to advance the energy, economic, and environmental security of the United States by supporting local initiatives to adopt practices that reduce the use of petroleum in the transportation sector. Clean Cities carries out this mission through a network of nearly 100 volunteer coalitions, which develop public/private partnerships to promote alternative fuels and advanced vehicles, fuel blends, fuel economy, hybrid vehicles, and idle reduction. Clean Cities provides information about financial opportunities, coordinates technical assistance projects, updates and maintains databases and websites, and publishes fact sheets, newsletters, and related technical and informational materials.</t>
  </si>
  <si>
    <t>National Clean Diesel Campaign (NCDC)</t>
  </si>
  <si>
    <t>The NCDC was established by the U.S. Environmental Protection Agency to reduce pollution emitted from diesel engines through the implementation of varied control strategies and the involvement of national, state, and local partners. The NCDC includes programs for existing diesel fleets, regulations for clean diesel engines and fuels, and regional collaborations and partnerships. </t>
  </si>
  <si>
    <t>Clean Agriculture USA</t>
  </si>
  <si>
    <t>Clean Agriculture USA is a voluntary program that promotes the reduction of diesel exhaust emissions from agricultural equipment and vehicles by encouraging proper operations and maintenance by farmers, ranchers, and agribusinesses, use of emissions-reducing technologies, and use of cleaner fuels. Clean Agriculture USA is part of the U.S. Environmental Protection Agency's National Clean Diesel Campaign, which offers funding for clean diesel agricultural equipment projects. </t>
  </si>
  <si>
    <t>Clean Construction USA</t>
  </si>
  <si>
    <t>Clean Construction USA is a voluntary program that promotes the reduction of diesel exhaust emissions from construction equipment and vehicles by encouraging proper operations and maintenance, use of emissions-reducing technologies, and use of cleaner fuels. Clean Construction USA is part of the U.S. Environmental Protection Agency's National Clean Diesel Campaign, which offers funding for clean diesel construction equipment projects.</t>
  </si>
  <si>
    <t>Air Pollution Control Program</t>
  </si>
  <si>
    <t>The Air Pollution Control Program assists state, local, and tribal agencies in planning, developing, establishing, improving, and maintaining adequate programs for prevention and control of air pollution or implementation of national air quality standards. Plans may emphasize alternative fuels, vehicle maintenance, and transportation choices to reduce vehicle miles traveled. Eligible applicants may receive federal funding for up to 60% of project costs to implement their plans. </t>
  </si>
  <si>
    <t>Congestion Mitigation and Air Quality (CMAQ) Improvement Program</t>
  </si>
  <si>
    <t>The CMAQ Program provides funding to state departments of transportation (DOTs), local governments, and transit agencies for projects and programs that help meet the requirements of the Clean Air Act by reducing mobile source emissions and regional congestion on transportation networks. Eligible activities include transit improvements, travel demand management strategies, congestion relief efforts (such as high occupancy vehicle lanes), diesel retrofit projects, and alternative fuel vehicles and infrastructure. Projects supported with CMAQ funds must demonstrate emissions reductions, be located in or benefit a U.S. Environmental Protection Agency-designated nonattainment or maintenance area, and be a transportation project.</t>
  </si>
  <si>
    <t>U.S. EPA Proposes 2014 Volume Requirements and Percentage Standards for RFS2</t>
  </si>
  <si>
    <t xml:space="preserve">The U.S. Environmental Protection Agency (EPA) published a proposed rule that would establish new volume requirements and associated percentage standards under the Renewable Fuel Standard (RFS2) program, dictating the amount of cellulosic biofuel, biomass-based diesel, advanced biofuel, and total renewable fuel that obligated parties in the United States must blend into transportation fuel in 2014. The proposed rule also includes volume requirements for biomass-based diesel in 2015. The 2014 proposed standards are 17 million gallons (0.010%) cellulosic biofuels; 1.28 billion gallons (1.16%) biomass-based diesel; 2.20 billion gallons (1.33%) advanced biofuels; and 15.21 billion gallons (9.20%) total renewable fuels. </t>
  </si>
  <si>
    <t>U.S. EPA Finalizes Additional Fuel Production Pathways under the RFS2 Program</t>
  </si>
  <si>
    <t>The U.S. Environmental Protection Agency (EPA) finalized regulations identifying additional renewable fuel production pathways and pathway components that meet the necessary lifecycle greenhouse gas reduction requirements and can, therefore, be used in producing qualifying renewable fuel under the Renewable Fuel Standard (RFS2) program. The updated regulations include biofuels produced from camelina oil and energy cane, as well as renewable gasoline and renewable gasoline blendstock made from certain feedstocks. </t>
  </si>
  <si>
    <t>U.S. DOE Proposes Rule to Implement Additional Federal Fleet Requirements</t>
  </si>
  <si>
    <t>The U.S. Department of Energy (DOE) has published a proposed rule to establish mandatory reductions in annual petroleum consumption and increases in alternative fuel consumption for federal fleets. These requirements were mandated by Section 142 of the Energy Independence and Security Act (EISA) of 2007. According to EISA, federal fleets must decrease annual petroleum consumption by 20% from Fiscal Year (FY) 2005 to FY 2015 and must achieve at least a 10% increase in annual alternative fuel consumption each year through FY 2015, as compared to a FY 2005 baseline.</t>
  </si>
  <si>
    <t xml:space="preserve">U.S. EPA Finalizes E15 Pump Label and Related Requirements </t>
  </si>
  <si>
    <t>The U.S. Environmental Protection Agency (EPA) has finalized the new fueling pump label and other requirements related to the marketing, distribution, and sale of E15. EPA defines E15 as a gasoline blend that contains more than 10%, but not more than 15%, ethanol. The new requirements follow EPA's recent partial waivers allowing E15 to be sold for use in certain vehicles, and will help ensure that E15 is properly labeled and used once it enters the market.</t>
  </si>
  <si>
    <t>U.S. EPA Proposes Additional Fuel Production Pathways under the RFS2 Program</t>
  </si>
  <si>
    <t>The U.S. Environmental Protection Agency (EPA) published a proposed rule identifying additional renewable fuel production pathways that meet the necessary greenhouse gas reduction requirements and could be used to produce qualifying renewable fuel under the Renewable Fuel Standard (RFS2) program. The new pathways would include fuels produced from landfill biogas, including renewable electricity, renewable diesel and renewable naphtha produced via the Fischer-Tropsch process, and renewable natural gas. The proposed rule also includes provisions on the handling of non-cellulosic components of cellulosic feedstocks, nameplate capacity issues for certain production facilities, and a lifecycle analysis of advanced butanol.</t>
  </si>
  <si>
    <t>U.S. EPA Proposes Draft Guidance on E85 Flecible Fuel Vehicle Weighting Factor for GHG Emissions</t>
  </si>
  <si>
    <t>The U.S. Environmental Protection Agency (EPA) issued draft guidance to automobile manufacturers for weighting the greenhouse gas (GHG) emissions of Model Year 2016 to 2019 flexible fuel vehicles operating on E85 against vehicles operating on conventional gasoline. The new guidance would assist manufacturers in ensuring compliance with EPA's light-duty GHG emissions standards. </t>
  </si>
  <si>
    <t>U.S. EPA Proposes 2012 Standards and 2013 Biomass-Basses Diesel Requirement Under the Renewable Fuel</t>
  </si>
  <si>
    <t>The U.S. Environmental Protection Agency (EPA) has proposed the 2012 volume requirements and associated percentage standards for cellulosic biofuel, biomass-based diesel, advanced biofuel, and total renewable fuel that must be blended into transportation fuel each year under the Renewable Fuel Standard Program (RFS2). The proposed 2012 standards are 3.45-12.9 million gallons (0.002-0.010%) cellulosic biofuels; 1.0 billion gallons (0.91%) biomass-based diesel, 2.0 billion gallons (1.21%) advanced biofuels; and 15.2 billion gallons (9.21%) total renewable fuels. In addition, EPA has proposed a volume requirement of 1.28 billion gallons for biomass-based diesel for 2013, as the statute does not specify applicable volumes beyond 2012. </t>
  </si>
  <si>
    <t>U.S. EPA Finalizes Biomass-Based Diesel Volume Requirements for 2013</t>
  </si>
  <si>
    <t>The U.S. Environmental Protection Agency (EPA) finalized the Renewable Fuel Standard (RFS2) biomass-based diesel volume requirements for 2013. Under the RFS2, after 2012, EPA is required to determine the applicable volume of biomass-based diesel used to set the annual percentage standards for the RFS2 program. Biomass-based diesel includes biodiesel and renewable diesel. The finalized 2013 volume requirements mandate that 1.28 billion gallons of biomass-based diesel be blended into diesel fuel by 2013. The volume specifications are based on existing and projected biodiesel production, consumption, and infrastructure.</t>
  </si>
  <si>
    <t>U.S. EPA Releases Evaluation of E15 Registration Submission and Approves First Applications</t>
  </si>
  <si>
    <t>The U.S. Environmental Protection Agency (EPA) released an evaluation of information submitted by the Renewable Fuels Association and Growth Energy to satisfy the emissions and health effects data requirements for registration of E15 (15% ethanol, 85% gasoline). The EPA evaluation concludes that the submission is sufficient to satisfy both data requirements, and that fuel and fuel additive manufacturers who wish to register E15 may choose to rely on this submission for completing their applications. </t>
  </si>
  <si>
    <t>U.S. EPA Finalizes 2013 Standards Under the Renewable Fuel Standard Program</t>
  </si>
  <si>
    <t>The U.S. Environmental Protection Agency (EPA) has finalized the 2013 volume requirements and associated percentage standards for cellulosic biofuel, biomass-based diesel, advanced biofuel, and total renewable fuel that must be blended into transportation fuel under the Renewable Fuel Standard program (RFS2). The 2013 standards are 6.00 million gallons (0.004%) cellulosic biofuels; 1.28 billion gallons (1.13%) biomass-based diesel, 2.75 billion gallons (1.62%) advanced biofuels; and 16.55 billion gallons (9.74%) total renewable fuels.</t>
  </si>
  <si>
    <t>U.S. EPA Finalizes 2012 Standards Under the Renewable  Fuel Standard Program</t>
  </si>
  <si>
    <t>The U.S. Environmental Protection Agency (EPA) has finalized the 2012 volume requirements and associated percentage standards for cellulosic biofuel, biomass-based diesel, advanced biofuel, and total renewable fuel that must be blended into transportation fuel under the Renewable Fuel Standard program (RFS2). The 2012 standards are 8.65 million gallons (0.006%) cellulosic biofuels; 1.0 billion gallons (0.91%) biomass-based diesel, 2.0 billion gallons (1.21%) advanced biofuels; and 15.2 billion gallons (9.23%) total renewable fuels. For 2012, the program is implementing the requirement established by the Energy Independence and Security Act of 2007 to blend more than 1.25 billion gallons of renewable fuels over the amount mandated for 2011.</t>
  </si>
  <si>
    <t>U.S. EPA Proposes Voluntary Quality Assurance Program for Verifying RINS</t>
  </si>
  <si>
    <t>The U.S. Environmental Protection Agency (EPA) published a proposed rule to establish a voluntary quality assurance program (QAP) for verifying the validity of Renewable Identification Numbers (RINs) under the Renewable Fuel Standard program. The proposed voluntary third party assurance program would be used to verify that RINs are generated validly. It would also provide a defense against liability for certain civil violations for the transfer or use of invalid RINs, and specify conditions under which invalid RINs must be replaced with valid RINs. </t>
  </si>
  <si>
    <t>U.S. EPA Proposes Revisions to Underground Storage Tank (UST) Regulations</t>
  </si>
  <si>
    <t>The U.S. Environmental Protection Agency (EPA) proposed revisions to the federal UST regulations to increase emphasis on properly operating and maintaining UST equipment. These revisions will help prevent and detect UST releases that can cause groundwater contamination. Among other changes, owners and operators storing gasoline blended with ethanol in quantities greater than 10% (E10) or diesel fuel blended with biodiesel in quantities greater than 20% (B20) must demonstrate compliance with federal regulations requiring USTs to be compatible with the fuel stored. </t>
  </si>
  <si>
    <t>U.S. EPA Proposes 2013 Volume Requirements and Percentage Standards for RFS2</t>
  </si>
  <si>
    <t>The U.S. Environmental Protection Agency (EPA) published a proposed rule to establish new volume requirements and associated percentage standards under the Renewable Fuels Standard (RFS2) program for cellulosic biofuel, biomass-based diesel, advanced biofuel, and total renewable fuel that would apply to all gasoline and diesel produced or imported by the United States in 2013. The proposed 2013 standards are 14 million gallons (0.008%) cellulosic biofuels; 1.28 billion gallons (1.12%) biomass-based diesel, 2.75 billion gallons (1.60%) advanced biofuels; and 16.55 billion gallons (9.63%) total renewable fuels. The new standards would ensure that transportation fuel sold in the United States in 2013 contains a minimum volume of renewable fuel as required by the Energy Independence and Security Act of 2007 (EISA). </t>
  </si>
  <si>
    <t>U.S. EPA Finalizes Underground Storage Tank Guidance for Biofuels</t>
  </si>
  <si>
    <t>The U.S. Environmental Protection Agency (EPA) has finalized guidance for owners and operators of underground storage tanks (USTs) containing ethanol blends greater than 10% (E10) or biodiesel blends greater than 20% (B20). The guidance will assist these entities in demonstrating compliance with federal regulations requiring USTs to be compatible with the fuel stored. The guidance applies to owners and operators in states that do not have a separate state program approval (SPA) in place, but may be useful for SPA states as well. </t>
  </si>
  <si>
    <t>U.S. DOT Proposes Waiver under the Buy America Program for Alternative Fuel Vehicle Projects</t>
  </si>
  <si>
    <t>The U.S. Department of Transportation's (DOT) Federal Highway Administration (FHWA) issued a proposed waiver for 74 alternative fuel vehicle projects (including sedans, vans, pickups, SUVs, trucks, buses, and equipment) to enable Congestion Mitigation and Air Quality Improvement (CMAQ) and other FHWA grant recipients and sub-recipients to use their federal funds for such projects as long as the vehicle or modification is assembled in the United States. </t>
  </si>
  <si>
    <t>Gulf Hypoxia Action Plan</t>
  </si>
  <si>
    <t>12 states along the Mississippi River to develop strategies to reduce nutrient loading to the Gulf of Mexico. Each state has outlined their specific action plans.</t>
  </si>
  <si>
    <t>Region wide collaboration to reduce nutrient runoff</t>
  </si>
  <si>
    <t>http://www.nutrientstrategy.iastate.edu/sites/default/files/documents/NRSfull-130529.pdf</t>
  </si>
  <si>
    <t>https://www.epa.gov/newsreleases/states-develop-new-strategies-reduce-nutrient-levels-mississippi-river-gulf-mexico</t>
  </si>
  <si>
    <t>Massachusetts: Environmentally Preferable Products Procurement Program</t>
  </si>
  <si>
    <t>MA provides an Environmentally Preferable Products and Services Guide that assists buyers in finding products, services and vendors</t>
  </si>
  <si>
    <t>Encourages consumers to buy bioproducts</t>
  </si>
  <si>
    <t>http://www.mass.gov/anf/budget-taxes-and-procurement/procurement-info-and-res/procurement-prog-and-serv/epp-procurement-prog/</t>
  </si>
  <si>
    <t>http://www.mass.gov/anf/budget-taxes-and-procurement/procurement-info-and-res/procurement-prog-and-serv/epp-procurement-prog/green-products-and-serv/specific-epp-statewide-contracts/</t>
  </si>
  <si>
    <t>Ohio: Bio-based Products Preference Program</t>
  </si>
  <si>
    <t>State agencies and institutions of higher learning are obligated to purchase products with the highest percentage of biobased content</t>
  </si>
  <si>
    <t>First state to establish this sort of law</t>
  </si>
  <si>
    <t>http://www.betalabservices.com/ohio-biobased-products/</t>
  </si>
  <si>
    <t>California's 75 Percent Initiative</t>
  </si>
  <si>
    <t>Goal of 75 percent recycling, composting or source reduction of solid waste by 2020 (statewide approach to decreasing California's reliance on landfills)</t>
  </si>
  <si>
    <t>Increases demand for bioproducts</t>
  </si>
  <si>
    <t>http://www.calrecycle.ca.gov/75Percent/</t>
  </si>
  <si>
    <t>Iowa Nutrient Reduction Strategy</t>
  </si>
  <si>
    <t>Voluntary efforts to reduce nutrients in surface water from both point sources, such as wastewater treatment plants and industrial facilities, and nonpoint sources, including farm fields and urban areas, in a scientific, reasonable and cost effective manner</t>
  </si>
  <si>
    <t>Reduction of nutrient pollution in the Gulf of Mexico</t>
  </si>
  <si>
    <t>Iowa: Biorenewable Chemical Tax Credit</t>
  </si>
  <si>
    <t>Creates an income tax credit equal to 5¢ per pound of qualified chemicals produced</t>
  </si>
  <si>
    <t>Accelerates the development of biorenewable chemicals</t>
  </si>
  <si>
    <t>http://www.biorenew.iastate.edu/2016/04/08/biotaxcredit/</t>
  </si>
  <si>
    <t>http://www.cultivationcorridor.org/biochem/</t>
  </si>
  <si>
    <t>BIOENERGY POLICY</t>
  </si>
  <si>
    <t>INCENTIVES</t>
  </si>
  <si>
    <t>BIOPRODUCT POLICY</t>
  </si>
  <si>
    <t>NOTES</t>
  </si>
  <si>
    <t>California</t>
  </si>
  <si>
    <t>Employer Invested Emissions Reduction Funding - South Coast</t>
  </si>
  <si>
    <t>Air Quality Investment Program (AQIV provides funding to allow employers within jurisdiction to make annual investments into an administered fund to meet employers' emissions reduction targets. Collected revenues are then used to fund alternative mobile source emissions and trip reduction programs.</t>
  </si>
  <si>
    <t>Alternative Fuel and Vehicle Incentives</t>
  </si>
  <si>
    <t xml:space="preserve">Provides financial incentives for businesses, vehicle and technology manufacturers, workforce training partners, fleet owners, consumers, and academic institutions with the goal of developing and deploying alternative and renewable fuels and advanced transporation technologies. A competitive grant program that provides as much as $100 million annually. </t>
  </si>
  <si>
    <t>Emissions Reductions Grants</t>
  </si>
  <si>
    <t xml:space="preserve">The Carl Moyer Memorial Air Quality Standards Attainment Program provides incentives to cover the incremental cost of purchasing engines and equipment that are cleaner than required by law. </t>
  </si>
  <si>
    <t>Heavy-Duty Vehicle Emissions Reduction Grants</t>
  </si>
  <si>
    <t>The Goods Movement Emission Reduction Program provides funding for projects that reduce emissions from freight movement in the state, including heaby-duty truck replacement, repower, or retrofit; and truk stop electrification infrastructure development.</t>
  </si>
  <si>
    <t>Low Emissions School Bus Grants</t>
  </si>
  <si>
    <t>Lower-Emission School Bus Program provides grant funding for the replacement of older school buses and for the purchase of air pollution control equipment for in-use buses. The air pollution control devices must reduce particulate matter emissions by at least 85% for each retrofitted school bus.</t>
  </si>
  <si>
    <t>Low Emission Vehicle Incentives and Technical Training - San Joaquin Valley</t>
  </si>
  <si>
    <t xml:space="preserve">The San Joaquin Valley Air Pollution Control District administers the REMOVE II program, which provides incentives for cost-effective projects that result in motor vehicle emissions reductions and long-term impacts on air pollution. </t>
  </si>
  <si>
    <t>Alternative Fuel and Advanced Vehicle Career Training</t>
  </si>
  <si>
    <t>The Clean Technology and Renewable Energy Job Training, Career Technical Education and Dropout Prevention Program provides grant funding to school districts for occupational training programs that focus on employment in clean technology and renewable energy businesses (clean vehicle technologies, cellulosic ethanol, biodiesel, biomass power, green waste and fuel cell production)</t>
  </si>
  <si>
    <t>Heavy-Duty Truck Vouchers San Joaquin Valley</t>
  </si>
  <si>
    <t>The San Joaquin Valley Air Pollution Control District (SJVAPCD) administers the Truck Voucher Program (TVP) for small businesses to retrofit or replace existing heavy-duty trucks. Qualified businesses must be independently owned and operated, be located in California, have fewer than 100 employees, and have an annual gross income of $14 million or less during the year of their application.</t>
  </si>
  <si>
    <t>Biofuel Volume Rebate Program - Propel Fuels</t>
  </si>
  <si>
    <t>offers a rebate to qualified fleet customers for monthly purchases of more than 500 gallons of biodiesel blends and E85. Fleet customers must purchase the fuel directly from Propel public retail locations using the Propel CleanDrive Fleet Card. The program offers a rebate of $0.03 per gallon for purchases of less than 1,000 gallons of biofuel per month, and $0.05 per gallon for purchases of 1,000 gallons or more per month.</t>
  </si>
  <si>
    <t>Alternative Fuel Vehicle (AFV) Parking Incentive Programs</t>
  </si>
  <si>
    <t>The California Department of General Services (DGS) and California Department of Transportation (DOT) must develop and implement AFV parking incentive programs in public parking facilities operated by DGS with 50 or more parking spaces and park-and-ride lots owned and operated by DOT. The incentives must provide meaningful and tangible benefits to drivers, such as preferential spaces, reduced fees, and fueling infrastructure.</t>
  </si>
  <si>
    <t>Freight Efficiency Action Plan</t>
  </si>
  <si>
    <t>Develop an integrated action plan by July 2016 that establishes targets to improve freight efficiency and transition to zero-emission technologies. The action plan will identify state policies, programs, and investments to achieve the targets, and the involved parties will initiate corridor-level freight pilot projects to integrate advanced technologies, alternative fuels, freight and fuel infrastructure, and local economic development opportunities. </t>
  </si>
  <si>
    <t>Alternative Fuel and Vehicle Policy Development</t>
  </si>
  <si>
    <t>The California Energy Commission (CEC) must prepare and submit an Integrated Energy Policy Report (IEPR) to the governor on a biannual basis. The IEPR's primary purpose is to develop energy policies that conserve resources, protect the environment, ensure energy reliability, enhance the state's economy, and protect public health and safety.</t>
  </si>
  <si>
    <t>Low Emission Vehicle (LEV) Standards</t>
  </si>
  <si>
    <t>California's LEV II exhaust emissions standards apply to Model Year (MY) 2004 and subsequent model year passenger cars, light-duty trucks, and medium-duty passenger vehicles meeting specified exhaust standards. The LEV II standards represent the maximum exhaust emissions for LEVs, Ultra Low Emission Vehicles, and Super Ultra Low Emission Vehicles, including flexible fuel, bi-fuel, and dual-fuel vehicles when operating on an alternative fuel. MY 2009 and subsequent model year passenger cars, light-duty trucks, and medium-duty passenger vehicles must meet specified fleet average greenhouse gas (GHG) exhaust emissions requirements. Each manufacturer must comply with these fleet average GHG requirements, which are based on California Air Resources Board calculations. Bi-fuel, flexible fuel, dual-fuel, and grid-connected hybrid electric vehicles may be eligible for an alternative compliance method.</t>
  </si>
  <si>
    <t>Vehicle Acquisition and Petroleum Reduction Requirements</t>
  </si>
  <si>
    <t>The California Department of General Services (DGS) is responsible for maintaining specifications and standards for passenger cars and light-duty trucks that are purchased or leased for state office, agency, and department use. These specifications include minimum vehicle emissions standards and encourage the purchase or lease of fuel-efficient and alternative fuel vehicles (AFVs).</t>
  </si>
  <si>
    <t>State Transportation Plan</t>
  </si>
  <si>
    <t>The California Department of Transportation (Caltrans) must update the California Transportation Plan (Plan) by December 31, 2020, and every five years thereafter. The Plan must address how the state will achieve maximum feasible emissions reductions, taking into consideration the use of alternative fuels, new vehicle technology, and tailpipe emissions reductions.</t>
  </si>
  <si>
    <t>Alternative Fuel and Plus-in Hybrid Electric Vehicle Retrofit Regulations</t>
  </si>
  <si>
    <t>Converting a vehicle to operate on an alternative fuel in lieu of the original gasoline or diesel fuel is prohibited unless the California Air Resources Board (ARB) has evaluated and certified the retrofit system. ARB will issue certification to the manufacturer of the system in the form of an Executive Order once the manufacturer demonstrates compliance with the emissions, warranty, and durability requirements.</t>
  </si>
  <si>
    <t>Alternative Fuel Tax</t>
  </si>
  <si>
    <t>The excise tax imposed on compressed natural gas (CNG), liquefied natural gas (LNG), and liquefied petroleum gas (LPG or propane) used to operate a vehicle can be paid through an annual flat rate sticker tax based on vehicle weights.</t>
  </si>
  <si>
    <t>Low Carbon Fuel Standard</t>
  </si>
  <si>
    <t>California's Low Carbon Fuel Standard (LCFS) Program requires a reduction in the carbon intensity of transportation fuels that are sold, supplied, or offered for sale in the state by a minimum of 10% by 2020.</t>
  </si>
  <si>
    <t>Mobile Source Emissions Reduction Requirements</t>
  </si>
  <si>
    <t>Through its Mobile Sources Program, the California Air Resources Board (ARB) has developed programs and policies to reduce emissions from on-road heavy-duty diesel vehicles through the installation of verified diesel emission control strategies (VDECS) and vehicle replacements.</t>
  </si>
  <si>
    <t>Fleet Emissions Reduction Requirements - South Coast</t>
  </si>
  <si>
    <t>The South Coast Air Quality Management District (SCAQMD) requires government fleets and private contractors under contract with public entities to purchase non-diesel lower emission and alternative fuel vehicles. The rule applies to transit bus, school bus, refuse hauler, and other vehicle fleets of at least 15 vehicles that operate in Los Angeles, San Bernardino, Riverside, and Orange counties.</t>
  </si>
  <si>
    <t>State Agency Low Carbon Fuel Use Requirement</t>
  </si>
  <si>
    <t>Beginning January 1, 2017, at least 3% of the aggregate amount of bulk transportation fuel purchased by the state government must be from very low carbon transportation fuel sources. Beginning January 1, 2018, the required amount of very low carbon transportation fuel purchased will increase by 1% annually until January 1, 2024.</t>
  </si>
  <si>
    <t>Support for Advanced Biofuel Development</t>
  </si>
  <si>
    <t>The California Legislature urges the U.S. Congress or the U.S. Environmental Protection Agency to take action to amend the U.S. Renewable Fuel Standard to favor non-food crop biofuel feedstocks and promote the development of advanced fuels, such as cellulosic ethanol.</t>
  </si>
  <si>
    <t>Alternative Fuel Vehicle Retrofit Emissions Inspection Process</t>
  </si>
  <si>
    <t>The California Department of Health and Safety may adopt a process by which state designated referees inspect vehicles that present prohibitive inspection circumstances, such as vehicles equipped with alternative fuel retrofit systems.</t>
  </si>
  <si>
    <t>Oregon</t>
  </si>
  <si>
    <t>Biofuels Production Property Tax Exemption</t>
  </si>
  <si>
    <t>Property used to produce biofuels, including ethanol and biodiesel, may be eligible for a property tax exemption if it is located in a designated Rural Renewable Energy Development Zone</t>
  </si>
  <si>
    <t>Alternative Fuel Vehicle (AFV) Loan Program</t>
  </si>
  <si>
    <t>The loan recipient may be responsible for a fee of 0.1% of the loan, up to $2,500, as well as fees to cover the cost of application processing. ODOE may set the interest rate anywhere from 0% to the current market rate, with a loan term up to six years. Eligible vehicles include those powered by electricity, biofuel, gasoline and alcohol blends with at least 20% alcohol content, hydrogen, natural gas, propane, or any other fuel ODOE approves that produces lower exhaust emissions or is more energy efficient than gasoline or diesel.</t>
  </si>
  <si>
    <t>Alternative Fuel Vehicle (AFV) and Infrastructure Tax Credit for Businesses</t>
  </si>
  <si>
    <t>Business owners and others may be eligible for a tax credit of 35% of eligible costs for qualified alternative fuel infrastructure projects, or the incremental or conversion cost of two or more AFVs.</t>
  </si>
  <si>
    <t>Alternative Fuel Loans</t>
  </si>
  <si>
    <t>Offers low-interest loans for qualified projects. Eligible alternative fuel projects include fuel production facilities, dedicated feedstock production, fueling infrastructure, and fleet vehicles.</t>
  </si>
  <si>
    <t>Biodiesel Tax Exemption</t>
  </si>
  <si>
    <t>Biodiesel blends containing at least 20% biodiesel derived from used cooking oil are exempt from the $0.30 per gallon state fuel excise tax. expires after December 31, 2019</t>
  </si>
  <si>
    <t>Alternative Fueling Infrastructure Tax Credit for Residents</t>
  </si>
  <si>
    <t>Qualified residents may receive a tax credit for 25% of alternative fuel infrastructure project costs, up to $750. Qualified residents may receive a tax credit for 50% of project costs, up to $750. Qualified alternative fuels include electricity, natural gas, gasoline blended with at least 85% ethanol (E85), propane, and other fuels that the Oregon Department of Energy approves. A company that constructs a dwelling in Oregon and installs fueling infrastructure in the dwelling may claim the credit. Qualified infrastructure must be installed to meet all federal, state, and local codes and be capable of fueling or charging an alternative fuel vehicle within 14 hours.</t>
  </si>
  <si>
    <t>Alternative Fuel Vehicle (AFV) Parking Space Regulation</t>
  </si>
  <si>
    <t>An individual is not allowed to park a motor vehicle within any parking space specifically designated for public parking and fueling of AFVs unless the motor vehicle is an AFV fueled by electricity, natural gas, methanol, propane, gasoline blended with at least 85% ethanol (E85), or other fuel the Oregon Department of Energy approves.</t>
  </si>
  <si>
    <t>Clean Transportation Fuel Standards</t>
  </si>
  <si>
    <t>Requires fuel producers and importers to register and keep records of and report the volumes and carbon intensities of the fuels they provide in Oregon.</t>
  </si>
  <si>
    <t>Alternative Fuel Vehicle (AFV) Acquisition, Fuel Use, and Emissions Reductions Requirements</t>
  </si>
  <si>
    <t xml:space="preserve">All state agencies and transit districts must purchase AFVs and use alternative fuels to operate those vehicles to the maximum extent possible, except in regions where it is not economically or logistically possible to fuel an AFV. Each state agency must develop and report a greenhouse gas reduction baseline and determine annual reduction targets. </t>
  </si>
  <si>
    <t>Renewable Fuels Mandate</t>
  </si>
  <si>
    <t>All gasoline sold in the state must be blended with 10% ethanol (E10). Gasoline with an octane rating of 91 or above is exempt from this mandate, as is gasoline sold for use in certain non-road applications. All diesel fuel sold in the state must be blended with at least 5% biodiesel (B5).</t>
  </si>
  <si>
    <t>Biodiesel Quality Testing Procedures</t>
  </si>
  <si>
    <t>Each biodiesel or other renewable diesel producer, distributor, or importer must retain the certificate of analysis for each batch or production lot of B100 sold or delivered in the state for at least one year.</t>
  </si>
  <si>
    <t>Biofuels Program Impact Studies</t>
  </si>
  <si>
    <t>The Oregon Department of Energy (ODOE) must conduct periodic impact studies related to the biofuels industry in the state. These studies should evaluate such criteria as: jobs created; current and projected feedstock availability; amount of biofuels blends produced and consumed in the state; cost comparison of biofuels blends and petroleum fuel; environmental impacts; and the extent to which Oregon producers import biofuels or biofuels feedstocks from outside the state.</t>
  </si>
  <si>
    <t>Washington</t>
  </si>
  <si>
    <t>Alternative Fuel Vehicle (AFV) Tax Exemption</t>
  </si>
  <si>
    <t>New passenger cars, light-duty trucks, and medium-duty passenger vehicles that are dedicated AFVs are exempt from state motor vehicle sales and use taxes.</t>
  </si>
  <si>
    <t>Biodiesel Feedstock Tax Exemption</t>
  </si>
  <si>
    <t>Waste vegetable oil, specifically cooking oil gathered from restaurants or commercial food processors, an individual uses to produce biodiesel for personal use is exempt from state sales and use taxes.</t>
  </si>
  <si>
    <t>Propel Fuels offers a rebate to qualified fleet customers for monthly purchases of more than 500 gallons of biodiesel blends and E85. Fleet customers must purchase the fuel directly from Propel public retail locations using the Propel CleanDrive WEX fleet card. The program offers a rebate of $0.05 per gallon for purchases of more than 500 gallons of biofuel per month.</t>
  </si>
  <si>
    <t>State Emissions Reductions Requirements</t>
  </si>
  <si>
    <t>By 2020, reduce overall GHG emissions in the state to 1990 levels;
By 2035, reduce overall GHG emissions in the state to 25% below 1990 levels; and
By 2050, reduce overall emissions to 50% below 1990 levels or 70% below the state's expected emissions that year.</t>
  </si>
  <si>
    <t>Alternative Fuel Vehicle (AFV) Labeling Requirement</t>
  </si>
  <si>
    <t>Every alternative fuel automobile, truck, motorcycle, motor home, or off-road vehicle must bear a reflective placard from the National Fire Protection Association indicating that the vehicle is powered by an alternative fuel.</t>
  </si>
  <si>
    <t>Biofuel Blend Dispenser Labeling Requirement</t>
  </si>
  <si>
    <t>Pumps dispensing ethanol or biodiesel blends must have a label that specifies the percentage of ethanol or biodiesel present in the fuel.</t>
  </si>
  <si>
    <t>Biodiesel Storage Regulations</t>
  </si>
  <si>
    <t>Underground storage tank (UST) regulations apply to all biodiesel blends with the exception of 100% biodiesel (B100).</t>
  </si>
  <si>
    <t>Alternative Fuel Use Requirement</t>
  </si>
  <si>
    <t>All state agencies must, to the extent practicable, use 100% biofuels or electricity to operate all publicly owned vehicles.</t>
  </si>
  <si>
    <t>Biodiesel Definition</t>
  </si>
  <si>
    <t>Biodiesel fuel is defined as a mono alkyl ester of long chain fatty acids derived from vegetable oils or animal fats for use in compression-ignition engines and meets the requirements of the ASTM specification D6751 in effect as of January 1, 2003.</t>
  </si>
  <si>
    <t>E85 Definition</t>
  </si>
  <si>
    <t>E85 motor fuel is defined as an alternative fuel that is a blend of ethanol and hydrocarbon, of which the ethanol portion is 75-85% denatured fuel ethanol by volume and complies with the most current ASTM specification D5798.</t>
  </si>
  <si>
    <t>Biofuel Quality Program</t>
  </si>
  <si>
    <t>The Washington State Department of Agriculture (WSDA) Biofuels Quality Program tests and assesses biofuel quality and quantity to resolve any quality issues before the product reaches the consumer.</t>
  </si>
  <si>
    <t>Provision for Alternative Fuels Corridor Pilot Projects</t>
  </si>
  <si>
    <t xml:space="preserve">The Washington State Department of Transportation (WSDOT) may enter into partnership agreements with other public and private entities to use land for alternative fuel corridor pilot projects. </t>
  </si>
  <si>
    <t>Biofuels Production and Distribution Contracts</t>
  </si>
  <si>
    <t>Conservation districts, public development authorities, municipal utilities, and public utility districts may enter into crop purchase contracts to produce, sell, and distribute biodiesel produced from Washington feedstocks, cellulosic ethanol, and cellulosic ethanol blended fuels for utility and public use. Additionally, municipal utilities and public utility districts may produce and distribute biodiesel, ethanol, and ethanol blended fuels.</t>
  </si>
  <si>
    <t>Renewable Fuel Standard</t>
  </si>
  <si>
    <t>At least 2% of all diesel fuel sold in Washington must be biodiesel or renewable diesel. At least 2% of the total gasoline sold in the state must be denatured ethanol.</t>
  </si>
  <si>
    <t>Biodiesel Use Requirement</t>
  </si>
  <si>
    <t xml:space="preserve">At least 20% of all diesel fuel used to fuel state agency vehicles, vessels, and construction equipment must be biodiesel. </t>
  </si>
  <si>
    <t>Idaho</t>
  </si>
  <si>
    <t>License Exemptions for Biodiesel Production for Personal Use</t>
  </si>
  <si>
    <t>A biodiesel producer that produces up to 5,000 gallons of biodiesel fuel in a calendar year for personal consumption is exempt from the requirement to obtain an Idaho motor fuel distributor's license.</t>
  </si>
  <si>
    <t>Alternative Fuels Tax Exemption and Refund for Government Fleet Vehicles</t>
  </si>
  <si>
    <t xml:space="preserve">State excise tax does not apply to special fuels, including gaseous special fuels, when used in state or federal government owned vehicles. Special fuels include compressed and liquefied natural gas, liquefied petroleum gas (propane), hydrogen, and fuel suitable for use in diesel engines. In addition, state excise tax paid on special fuels used in state or federal government vehicles is subject to a refund, as long as the tax was originally paid directly to a special fuel vendor. </t>
  </si>
  <si>
    <t>Biodiesel is defined as any fuel derived in whole or in part from agricultural products, animal fats, or the wastes from these products, and is suitable for use in diesel engines.</t>
  </si>
  <si>
    <t>Ethanol Blended Fuel Definition</t>
  </si>
  <si>
    <t>Ethanol blended fuel, such as gasohol, is defined as any gasoline blended with 10% or more of anhydrous ethanol.</t>
  </si>
  <si>
    <t>Nevada</t>
  </si>
  <si>
    <t>Funds for School District Alternative Fuel Use</t>
  </si>
  <si>
    <t>A portion of any penalty assessed for violations of air pollution control laws must be deposited in the county school district fund where the violation occurred.</t>
  </si>
  <si>
    <t>Alternative Fuel Vehicle (AFV) Acquisition Requirement</t>
  </si>
  <si>
    <t>Fleets containing 50 or more vehicles that are owned, leased, or operated by the state, a state agency, or a political subdivision of the state in a county with a population of 100,000 or more must acquire AFVs or U.S. Environmental Protection Agency certified Ultra Low Emission Vehicles (ULEVs).</t>
  </si>
  <si>
    <t>Biodiesel Sales Requirements</t>
  </si>
  <si>
    <t>It is unlawful for any person to sell, offer for sale, assist in the sale of, deliver, or permit to be sold or offered for sale any biodiesel, biomass-based diesel, or biomass-based diesel blend unless it meets applicable registration requirements for fuels and additives.</t>
  </si>
  <si>
    <t>Biodiesel Producer Requirements</t>
  </si>
  <si>
    <t>Biodiesel is defined as a fuel that is composed of mono-alkyl esters of long-chain fatty acids derived from plant or animal matter, meets the registration requirements for fuels and fuel additives of Title 40 of the U.S. Code of Federal Regulations, section 79, and conforms to ASTM Standard D6751.</t>
  </si>
  <si>
    <t>Arizona</t>
  </si>
  <si>
    <t>Federal Fleet Operation Regulations</t>
  </si>
  <si>
    <t xml:space="preserve">Federal fleets based in Arizona that operate primarily in counties with a population of more than 1.2 million people must be comprised of at least 90% alternative fuel vehicles. </t>
  </si>
  <si>
    <t>Municipal Alternative Fuel Vehicle (AFV) Acquisition Requirements</t>
  </si>
  <si>
    <t>Local governments in Maricopa, Pinal, and Yavapai counties with a population of more than 1.2 million people must develop and implement vehicle fleet plans to encourage and increase the use of alternative fuels in municipal fleets. At least 75% of the total municipal fleet must operate on alternative fuels.</t>
  </si>
  <si>
    <t>School District Alternative Fuel Vehicle Acquisition Requirements</t>
  </si>
  <si>
    <t>Within Maricopa, Pinal, and Yavapai counties, school districts with an average student population of more than 3,000 students must ensure that 50% of the portion of the fleet with a gross vehicle weight rating of at least 17,500 pounds per vehicle operates on alternative fuels or meets specified emissions standards.</t>
  </si>
  <si>
    <t>State Vehicle Acquisition and Fuel Use Requirements</t>
  </si>
  <si>
    <t>Arizona state agencies, boards, and commissions must purchase hybrid electric vehicles (HEVs), alternative fuel vehicles (AFVs), or vehicles that meet set greenhouse gas emissions standards; or use alternative fuels; with the goal that all state vehicles be HEVs, meet low emissions standards, or be AFVs by January 2012. At least 75% of light-duty state fleet vehicles operating in counties with a population of more than 250,000 people must be capable of operating on alternative fuels.</t>
  </si>
  <si>
    <t>Biofuels Definitions and Specifications</t>
  </si>
  <si>
    <t xml:space="preserve">Biodiesel is a fuel that is produced from nonpetroleum renewable resources and meets the U.S. Environmental Protection Agency registration requirements for fuels and fuel additives established in Section 211 of the Clean Air Act. </t>
  </si>
  <si>
    <t>Clean Fuel Contracts for Heavy-Duty Equipment</t>
  </si>
  <si>
    <t xml:space="preserve">As part of the proposal process, any state agency that contracts for the use of on- or off-road heavy-duty diesel equipment in Maricopa, Pima, and Pinal Counties must provide incentives to bidders that use equipment retrofitted with diesel retrofit kits, newer clean diesel technologies and fuels, or biodiesel or other cleaner petroleum diesel alternatives. </t>
  </si>
  <si>
    <t>Utah</t>
  </si>
  <si>
    <t>Provision for Establishment of Alternative Fuel Use Mandate</t>
  </si>
  <si>
    <t>The Utah Air Quality Board may require fleets that own 10 or more vehicles capable of being fueled at a central location to use clean fuels if such a mandate is necessary to meet national air quality standards.</t>
  </si>
  <si>
    <t>Alternative Fuel Use and Vehicle Acquisition Requirement</t>
  </si>
  <si>
    <t>By August 30, 2018, at least 50% of new or replacement light-duty state agency vehicles must meet Bin 2 emissions standards established in Title 40 of the U.S. Code of Federal Regulations, or be propelled to a significant extent by electricity, natural gas, propane, hydrogen, or biodiesel.</t>
  </si>
  <si>
    <t>Alternative Fuel Vehicle (AFV) Conversion Promotion</t>
  </si>
  <si>
    <t>An interlocal entity composed of members from state and local government, school and transit districts, and the private sector may be created to promote the conversion of AFVs and to encourage the construction, operation, and maintenance of facilities for AFVs.</t>
  </si>
  <si>
    <t>Compressed Natural Gas (CNG) Vehicle Aftermarket Conversion Requirements</t>
  </si>
  <si>
    <t>Vehicles converted to operate on CNG must be inspected and certified in accordance with relevant safety standards by a CSA America-certified CNG Fuel System Inspector. The vehicle must also be tested to ensure that it meets emissions standards in the applicable county, or the county with the most lenient emissions standards if the vehicle is registered in a county without its own emissions standards.</t>
  </si>
  <si>
    <t>Hawaii</t>
  </si>
  <si>
    <t>Renewable Fuels Production Incentive</t>
  </si>
  <si>
    <t xml:space="preserve">Renewable fuels produced from renewable feedstocks, such as ethanol, hydrogen, biodiesel, and biofuel, may qualify for an income tax credit equal to $0.20 per 76,000 British thermal units (BTUs) of renewable fuels sold for distribution in Hawaii. The facility must produce at least 15 billion BTUs of its nameplate capacity annually to receive the tax credit and may claim the tax credit for up to five years, not to exceed $3,000,000 annually. </t>
  </si>
  <si>
    <t>Alternative Fuel Tax Rate</t>
  </si>
  <si>
    <t>A distributor of any alternative fuel used to operate an internal combustion engine must pay a license tax of $0.0025 for each gallon of alternative fuel the distributor sells or uses.</t>
  </si>
  <si>
    <t>Biofuels Procurement Preference</t>
  </si>
  <si>
    <t>State and county agency contracts awarded for the purchase of diesel fuel must give preference to bids for biofuels or blends of biofuel and petroleum fuel. When purchasing fuel for use in diesel engines, the price preference is $0.05 per gallon of B100.</t>
  </si>
  <si>
    <t>Alternative Fuel Standard Development</t>
  </si>
  <si>
    <t>The state of Hawaii is responsible for facilitating the development of alternative fuels and supporting the attainment of a statewide alternative fuels standard. According to this standard, alternative fuels will provide 20% of highway fuel demand by 2020 and 30% by 2030.</t>
  </si>
  <si>
    <t>Clean Transportation Promotion</t>
  </si>
  <si>
    <t xml:space="preserve">The state of Hawaii has signed a memorandum of understanding (MOU) with the U.S. Department of Energy to collaborate to produce 70% of the state's energy needs from energy-efficient and renewable sources by 2030 and 100% of the state's energy needs from energy-efficient and renewable sources by 2045. This effort is part of the Hawaii Clean Energy Initiative. </t>
  </si>
  <si>
    <t>Biofuels Production Land Use Allowance and Exemption</t>
  </si>
  <si>
    <t>Lands originally zoned as agricultural land use districts may be used for renewable energy production, storage, and distribution, including the production of biofuels. Biofuels production facilities must be integrated with an agricultural activity and may not adversely impact agricultural land and other agricultural uses in the vicinity. Biofuels production facilities include those that produce liquid or gaseous fuels from organic sources such as biomass crops, agricultural residues, food wastes, animal residues and wastes, and oil crops including palm, canola, soybean, and waste cooking oils. Additionally, biofuels production facilities are exempt from subdivision requirements for leases and easements within agricultural land use districts.</t>
  </si>
  <si>
    <t>Alternative Fuel and Advanced Vehicle Acquisition Requirements</t>
  </si>
  <si>
    <t>State and county agencies must purchase light-duty vehicles that reduce petroleum consumption and meet the needs of the agency.</t>
  </si>
  <si>
    <t>Energy Feedstock Program</t>
  </si>
  <si>
    <t xml:space="preserve">The Hawaii Department of Agriculture established the Energy Feedstock Program to promote and support the production of energy feedstock development in Hawaii and to establish milestones and objectives for production of energy feedstock in the state to meet its energy requirements. Energy feedstock includes feedstock used to produce biofuels. </t>
  </si>
  <si>
    <t>New Mexico</t>
  </si>
  <si>
    <t>Biofuels Production Tax Deduction</t>
  </si>
  <si>
    <t>The cost of purchasing qualified biomass feedstocks to be processed into biofuels, as well as the associated equipment, may be deducted in computing the compensating tax due under the New Mexico Gross Receipts and Compensating Tax Act.</t>
  </si>
  <si>
    <t>Biodiesel Tax Deduction</t>
  </si>
  <si>
    <t xml:space="preserve">Entities and individuals that receive or manufacture and deliver biodiesel within the state for blending or resale are eligible for a tax deduction for the fuel. </t>
  </si>
  <si>
    <t>Alternative Fuel Tax Exemption</t>
  </si>
  <si>
    <t>Alternative fuel distributed by or used for U.S. government, state government, or Indian nation, tribe, or pueblo purposes is exempt from the state excise tax.</t>
  </si>
  <si>
    <t>Biodiesel Blending Facility Loading Fee Deduction</t>
  </si>
  <si>
    <t>In calculating the annual petroleum products loading fee, a facility owner may deduct the number of biodiesel gallons delivered to be blended into petroleum products. The total deducted amount must be documented in the tax return associated with the facility in a format the New Mexico Taxation and Revenue Department approves.</t>
  </si>
  <si>
    <t>Alternative Fuel Vehicle (AFV) and Fueling Infrastructure Grants</t>
  </si>
  <si>
    <t xml:space="preserve">The New Mexico Energy, Minerals, and Natural Resources Department administers the Clean Energy Grants Program, which provides grants for projects using clean energy technologies, including alternative fuel vehicles and fueling infrastructure, as well as projects that provide clean energy education, technical assistance, and training programs. </t>
  </si>
  <si>
    <t>Biodiesel Blending Facility Tax Credit</t>
  </si>
  <si>
    <t xml:space="preserve">A tax credit is available for up to 30% of the cost of both purchasing and installing equipment used to produce biodiesel blends containing at least 2% biodiesel (B2). The tax credit is limited to $50,000 per facility and is claimed against gross receipts tax or compensating tax. </t>
  </si>
  <si>
    <t>Biodiesel Blend Mandate</t>
  </si>
  <si>
    <t>All diesel fuel sold to state agencies, political subdivisions of the state, and public schools for use in on-road motor vehicles must contain at least 5% biodiesel (B5).</t>
  </si>
  <si>
    <t>Alternative fuels are defined as natural gas, liquefied petroleum gas, electricity, hydrogen, fuel mixtures containing not less than 85% ethanol or methanol, and fuel mixtures containing not less than 20% vegetable oil, or a water-phased hydrocarbon fuel emulsion in an amount not less than 20% by volume. Biodiesel is defined as a renewable, biodegradable, mono alkyl ester combustible liquid fuel that is derived from agricultural plant oils or animal fats and meets current ASTM biodiesel standards.</t>
  </si>
  <si>
    <t>Alternative Fuel Vehicle (AFV) and Hybrid Electric Vehicle (HEV) Acquisition Requirements</t>
  </si>
  <si>
    <t>A minimum of 75% of state government and educational institution fleet vehicles purchased must be HEVs or bi-fuel or dedicated AFVs. Vehicles must meet or exceed the federal corporate average fuel economy standards. Up to $5 million is authorized for a revolving loan fund for AFV acquisitions by state agencies, political subdivisions, and educational institutions. The maximum amount of a loan per vehicle must not exceed the actual cost of acquiring the vehicle or $3,000, whichever is less.</t>
  </si>
  <si>
    <t>Green Jobs Training Program</t>
  </si>
  <si>
    <t>The New Mexico Higher Education Department must develop a state research program in partnership with the Workforce Solutions Department to collect labor market data for renewable energy industries. The New Mexico Department of Finance and Administration administers a green jobs fund to support the programs.</t>
  </si>
  <si>
    <t>Colorado</t>
  </si>
  <si>
    <t>Biogas Production Sales Tax Exemption</t>
  </si>
  <si>
    <t>Biogas production systems, including sales and storage systems, that create a transportation fuel or renewable natural gas, are exempt from state sales and use tax. Towns, cities, and/or counties that currently have production sales or use taxes may choose to individually enforce or exempt producers from their local taxes.</t>
  </si>
  <si>
    <t>Low Emission Vehicle (LEV) Sales Tax Exemption</t>
  </si>
  <si>
    <t>Vehicles, vehicle power sources, or parts used for converting a vehicle power source to reduce emissions are exempt from state sales tax. Exempt vehicles include vehicles certified to federal LEV standards that have a gross vehicle weight rating (GVWR) of over 26,000 pounds.</t>
  </si>
  <si>
    <t>Alternative Fuel Vehicle (AFV) Weight Limit Exemption</t>
  </si>
  <si>
    <t xml:space="preserve">Gross vehicle weight rating limits for AFVs are 1,000 pounds greater than those for comparable conventional vehicles, as long as the AFVs operate using an alternative fuel or both alternative and conventional fuel, when operating on a highway that is not part of the interstate system. </t>
  </si>
  <si>
    <t>Alternative Fuel Vehicle (AFV) Fleet Technical Assistance</t>
  </si>
  <si>
    <t>The Colorado Energy Office administers Refuel Colorado Fleets, a free energy coaching program for fleet managers and communities.</t>
  </si>
  <si>
    <t>Advanced Industries Accelerator Program Grants</t>
  </si>
  <si>
    <t>The Advanced Industries (AI) Accelerator Programs promote growth and sustainability in Colorado's advanced industries. Grants may be available for advanced industries such as vehicle and component manufacturing and biofuels. Four types of grants are available, including Proof of Concept, Early-Stage Capital &amp; Retention, Infrastructure Funding, and AI Exports.</t>
  </si>
  <si>
    <t>Ethanol Infrastructure Grants</t>
  </si>
  <si>
    <t>The Colorado Corn Blender Pump Program provides funding assistance for each qualified station dispensing mid-level ethanol blends. Projects must meet the application requirements and receive approval from Colorado Corn and the Colorado Department of Oil and Public Safety.</t>
  </si>
  <si>
    <t>Gasoline and Diesel Gallon Equivalent Definition</t>
  </si>
  <si>
    <t>Motor fuels, including alternative fuels, may be sold by gasoline gallon equivalent (GGE) or diesel gallon equivalent (DGE) as long as the dispenser used for the sale of motor fuel in GGEs or DGEs clearly displays the applicable conversion factor and other required information.</t>
  </si>
  <si>
    <t>Alternative Fuel Vehicle (AFV) Registration</t>
  </si>
  <si>
    <t>Upon registering a motor vehicle with the Colorado Department of Revenue Division of Motor Vehicles, the vehicle owner must report the type of alternative fuel used to operate the vehicle and whether the vehicle is dedicated to one alternative fuel or uses more than one fuel.</t>
  </si>
  <si>
    <t>Inter-Agency Fleet Improvement Coordination</t>
  </si>
  <si>
    <t>The Colorado Energy Office, Department of Transportation (CDOT), Department of Public Health and Environment, and Department of Personnel and Administration (DPA) will establish a State Fleet Sub-Council (Sub-Council) to help develop, implement, and improve programs, plans, and policies that save money, reduce emissions, promote domestic fuel use, and conserve natural resources.</t>
  </si>
  <si>
    <t>Vehicle Fleet Maintenance and Fuel Cost-Savings Contracts</t>
  </si>
  <si>
    <t>Government fleets may finance the lease or purchase cost of alternative fuel vehicles and alternative fueling infrastructure through energy performance contracts where vehicle operational and fuel cost savings pay for the capital investment. Energy performance contracts must show that the annual cost savings associated with the fueling and maintenance of vehicles with higher efficiency ratings or alternative fueling methods is equal to or higher than the annual contract payments.</t>
  </si>
  <si>
    <t>Renewable and Alternative Fuel Storage Tank Regulations</t>
  </si>
  <si>
    <t>The Colorado Department of Labor and Employment, Division of Oil and Public Safety, enforces rules concerning the placement of underground and aboveground storage tanks that contain alternative and renewable fuel.</t>
  </si>
  <si>
    <t>Alternative fuel is defined as compressed natural gas, propane, ethanol, or any mixture containing 85% or more ethanol (E85) with gasoline or other fuels, electricity, or any other fuels, which may include clean diesel and reformulated gasoline, so long as the Colorado Air Quality Control Commission determines that these other fuels result in comparable reductions in carbon monoxide emissions and brown cloud pollutants.</t>
  </si>
  <si>
    <t>State Agency Alternative Fuel Use and Vehicle Acquisition Requirement</t>
  </si>
  <si>
    <t>The Colorado Department of Personnel and Administration (DPA) requires all state-owned diesel vehicles and equipment to be fueled with a fuel blend of 20% biodiesel (B20), subject to the availability of the fuel and so long as the price differential is not greater than $0.10 more per gallon as compared to conventional diesel.</t>
  </si>
  <si>
    <t>Wyoming</t>
  </si>
  <si>
    <t>Alternative Fuel Tax Refund</t>
  </si>
  <si>
    <t>Any person exporting alternative fuel for which the license tax has been paid is eligible for a refund of the license tax paid. The exporter must submit the refund request within one year of the date of fuel purchase.</t>
  </si>
  <si>
    <t>Alternative Fuel Export Tax Exemption</t>
  </si>
  <si>
    <t>Alternative fuel sold for use in motor vehicles and intended for export from the state by a licensed alternative fuel exporter is exempt from the alternative fuel license tax.</t>
  </si>
  <si>
    <t>Alternative Fuel License Fee</t>
  </si>
  <si>
    <t>Each alternative fuel supplier, refiner, distributor, terminal operator, importer or exporter of alternative fuel used in motor vehicles must obtain an annual license from the Wyoming Department of Transportation to conduct business in the state. The fee for each type of license is $25.</t>
  </si>
  <si>
    <t>Alternative fuels are defined as pure methanol, ethanol and other blends of at least 85% alcohol, natural gas, propane, coal-derived liquid fuels, hydrogen, electricity, pure biodiesel, renewable diesel, fuels other than alcohol that are derived from biological materials, and P-series fuels. Biodiesel is defined as mono-alkyl esters of long chain fatty acids derived from vegetable oils or animal fats that meets current ASTM biodiesel standards.</t>
  </si>
  <si>
    <t>A license tax of $0.24 per gasoline gallon equivalent (GGE) or diesel gallon equivalent (DGE) is collected on all alternative fuel used, sold, or distributed for sale or use in Wyoming.</t>
  </si>
  <si>
    <t>Montana</t>
  </si>
  <si>
    <t>Alternative Fuel Vehicle (AFV) Conversion Tax Credit</t>
  </si>
  <si>
    <t xml:space="preserve">Businesses and individuals are eligible for an income tax credit of up to 50% of the equipment and labor costs for converting vehicles to operate using alternative fuels. </t>
  </si>
  <si>
    <t>Biodiesel Blending Tax Credit</t>
  </si>
  <si>
    <t>Businesses and individuals are eligible for a tax credit of up to 15% of the cost of qualified equipment used for storing or blending biodiesel with petroleum diesel offered for sale. Biodiesel must be made entirely from components produced in Montana and must account for at least 2% of the business' or individual's total diesel sales within three years of the initial credit. The credit may not exceed $52,500 for a special fuel distributor and $7,500 for an owner or operator of a motor fuel outlet.</t>
  </si>
  <si>
    <t>Biodiesel Tax Refund</t>
  </si>
  <si>
    <t>A licensed distributor who pays the special fuel tax on biodiesel may claim a refund equal to $0.02 per gallon of biodiesel sold during the previous quarter if the biodiesel is made entirely from components produced in Montana. Additionally, the owner or operator of a retail motor fuel outlet may claim a refund equal to $0.01 per gallon of biodiesel purchased from a licensed distributor if the biodiesel is made entirely from components produced in the state.</t>
  </si>
  <si>
    <t>Biodiesel Production Facility Tax Credit</t>
  </si>
  <si>
    <t>Businesses and individuals are eligible for a tax credit of up to 15% of the cost of constructing and equipping a facility to be used for biodiesel or bio-lubricant production. Additionally, a tax credit is available for property used primarily to crush oilseed crops for purposes of biodiesel production.</t>
  </si>
  <si>
    <t>Alternative Fuel and Vehicle Production Property Tax Incentive</t>
  </si>
  <si>
    <t xml:space="preserve">Alternative fuel production facilities, including biodiesel, biomass, biogas, and ethanol production facilities, may qualify for a reduced property tax rate of 3% of market value. </t>
  </si>
  <si>
    <t>Biodiesel producers that produce biodiesel from waste vegetable oil feedstock are exempt from the state special fuel tax.</t>
  </si>
  <si>
    <t>Ethanol Production Facility Property Tax Exemption</t>
  </si>
  <si>
    <t xml:space="preserve">Equipment used to produce ethanol from grain is exempt from state property taxes during construction of an ethanol manufacturing facility and for 10 years after ethanol production begins at the facility. </t>
  </si>
  <si>
    <t>Ethanol Production Incentive</t>
  </si>
  <si>
    <t>Montana-based ethanol producers are eligible for a tax incentive of $0.20 per gallon of ethanol produced solely from Montana agricultural products or ethanol produced from non-Montana agricultural products when Montana products are unavailable.</t>
  </si>
  <si>
    <t>Ethanol Blend Mandate</t>
  </si>
  <si>
    <t>Within one year after the Montana Department of Transportation has certified that ethanol producers in the state have produced a total of 40 million gallons of denatured ethanol and have maintained that level of production on an annualized basis for at least three months, all gasoline sold to consumers for use in motor vehicles operating on public roads must be blended with 10% agriculturally derived, denatured ethanol by volume.</t>
  </si>
  <si>
    <t>Ethanol Fuel Blend Use Requirement</t>
  </si>
  <si>
    <t xml:space="preserve">State government agencies and universities owning or operating motor vehicles capable of using ethanol-blended gasoline must take all reasonable steps to ensure that the operators of those vehicles fuel with ethanol-blended gasoline if it is commercially available within the vehicle's operating area and competitively priced as compared to conventional gasoline. </t>
  </si>
  <si>
    <t>North Dakota</t>
  </si>
  <si>
    <t>Advanced Biofuel Incentives</t>
  </si>
  <si>
    <t>The North Dakota Industrial Commission's Renewable Energy Program provides matching grants and other forms of assistance to support research and development projects involving advanced and sugar-based biofuel.</t>
  </si>
  <si>
    <t>Biofuel Loan Program</t>
  </si>
  <si>
    <t>The Biofuels Partnership in Assisting Community Expansion (PACE) Loan Program provides an interest buy down of up to 5% below the note rate to biodiesel, ethanol, or green diesel production facilities; livestock operations feeding by-products produced at a biodiesel, ethanol, or green diesel facility; and grain handling facilities which provide storage of grain used in biofuels production. Qualified biodiesel, ethanol, and green diesel production facilities located in North Dakota may receive up to $500,000 of interest buy down for the purchase, construction, or expansion of a production facility, or the purchase or installation of equipment at the facility.</t>
  </si>
  <si>
    <t>Agriculturally-Based Fuel Production Wage and Salary Tax Credit</t>
  </si>
  <si>
    <t>New ethanol, biodiesel, green diesel, and biogas producers may be eligible for an income tax credit equal to a percentage of wages and salaries paid each year. A corporation involved in processing an agricultural product, including ethanol, biodiesel, and biogas feedstocks, may claim an income tax credit equal to 1% of wages and salaries paid during the tax year for each of the first three years of operation and 0.5% of wages and salaries paid during the tax year for the fourth and fifth years.</t>
  </si>
  <si>
    <t>Biodiesel Blender Tax Credit</t>
  </si>
  <si>
    <t>A licensed fuel supplier who blends biodiesel or green diesel with diesel fuel may claim an income tax credit of $0.05 per gallon for fuel containing at least 5% biodiesel or green diesel.</t>
  </si>
  <si>
    <t>Ethanol Blend Infrastructure Grants</t>
  </si>
  <si>
    <t>E15 Pumps: 50% of the costs of installation, up to $15,000
E85 Pumps: 43% of the costs of installation, up $15,000
Blender Pumps: 33% of the costs of installation, up to $14,985
Tanks: 25% of the costs of installation, up to $25,000</t>
  </si>
  <si>
    <t>Agriculturally-Derived Fuel Production Facility Loan Guarantees</t>
  </si>
  <si>
    <t>TThe Bank of North Dakota offers loan guarantees for eligible entities constructing facilities using biomass for agriculturally-derived fuel production. The total value of loan guarantees under this program may not exceed $25 million at any one time.</t>
  </si>
  <si>
    <t>Biodiesel Sales Equipment Tax Credit</t>
  </si>
  <si>
    <t>Qualified retailers may be eligible for a corporate income tax credit of 10% of the direct costs incurred to adapt or add equipment to a facility so that it may sell diesel fuel containing at least 2% biodiesel or green diesel. A retailer may only claim the credit for up to five years and is limited to $50,000 in cumulative credits for all taxable years.</t>
  </si>
  <si>
    <t>Biodiesel Production and Blending Equipment Tax Credit</t>
  </si>
  <si>
    <t>Qualified producers or blenders may be eligible for a corporate income tax credit of 10% of the direct costs incurred to add equipment to retrofit an existing facility or construct a new facility in the state for the purpose of producing or blending diesel fuel containing at least 2% biodiesel or green diesel.</t>
  </si>
  <si>
    <t>The Ethanol Production Incentive provides qualified ethanol producers with quarterly payments based on production volume during times when ethanol prices are unusually low and/or corn prices are unusually high. The incentive amount is based on the average North Dakota wholesale ethanol price for the preceding quarter and the average North Dakota corn price for the preceding quarter. The total cumulative incentive available to all eligible producers in any single year is $1.6 million. </t>
  </si>
  <si>
    <t>Alternative Fuel Tax Rates</t>
  </si>
  <si>
    <t>A special excise tax rate of 2% is imposed on the sale of propane and an excise tax of $0.23 per gallon is imposed on all special fuels sales and deliveries, including compressed natural gas (CNG) and liquefied natural gas (LNG).</t>
  </si>
  <si>
    <t>Alternative Fuel Labeling Requirements</t>
  </si>
  <si>
    <t>Alternative fuel retailers must label retail dispensing units with the price, name, and main components of the alternative fuel or alternative fuel blend being sold.</t>
  </si>
  <si>
    <t>Biodiesel and Green Diesel Definitions</t>
  </si>
  <si>
    <t>Biodiesel is defined as a fuel that is comprised of mono-alkyl esters of long chain fatty acids derived from vegetable oil or animal fats and that meets ASTM D6751. Green diesel is defined as a fuel produced from non-fossil renewable resources, including agricultural or silvicultural plants, animal fats, residue, and waste generated from the production, processing, and marketing of agricultural products, silvicultural products, and other renewable resources.</t>
  </si>
  <si>
    <t>Renewable Fuels Promotion</t>
  </si>
  <si>
    <t>Recognizing that biofuels such as ethanol and biodiesel will be an important part of the state's energy economy and advanced research in biofuels production from biomass will be critical to the long-term viability of biofuels, the North Dakota Legislature adopted the goal that 25% of the nation's energy consumption will come from renewable sources by the year 2025.</t>
  </si>
  <si>
    <t>South Dakota</t>
  </si>
  <si>
    <t>Ethanol and Biobutanol Production Incentive</t>
  </si>
  <si>
    <t>Qualified and licensed ethanol and biobutanol producers are eligible for a $0.20 per gallon production incentive for ethanol and biobutanol that is fully distilled and produced in South Dakota. Ethanol must also be denatured, 99% pure, distilled from cereal grains, and blended with gasoline to create an ethanol blend.</t>
  </si>
  <si>
    <t>Biodiesel Blend Tax Credit</t>
  </si>
  <si>
    <t xml:space="preserve">Licensed biodiesel blenders are eligible for a tax credit for special fuel, including diesel, blended with biodiesel to create a biodiesel blend. The tax credit is granted on a per gallon basis in the amount that the rate for special fuel exceeds the rate for the biodiesel blend. </t>
  </si>
  <si>
    <t>Tax Refund for Methanol Used in Biodiesel Production</t>
  </si>
  <si>
    <t>A licensed biodiesel producer may apply for and obtain a tax refund for state fuel taxes paid on methanol used to produce biodiesel.</t>
  </si>
  <si>
    <t>The South Dakota Governor's Office of Economic Development administers the Ethanol Infrastructure Incentive Program, providing grants to offset the cost of installing ethanol blender pumps and underground storage tanks (UST) for ethanol at retail fueling stations throughout the state. Awardees may receive up to $29,054 per blender pump. Additionally, awardees may receive up to $40,000 per station for the installation of a UST that allows for the use of ethanol blender pumps.</t>
  </si>
  <si>
    <t>Fuel Quality Standards</t>
  </si>
  <si>
    <t>Standards for the maximum volume percentages of ethanol and methanol in alcohol blended fuels;
A program and prescribed methods for the inspection and testing of alcohol blended fuels, petroleum products, biodiesel, and biodiesel blends;
Labeling requirements for devices dispensing alcohol blended fuels, biodiesel, and biodiesel blends;
Standards setting the specifications and tolerance requirements for petroleum products, biodiesel, and biodiesel blends; and
Regulations for filtering systems used on devices dispensing alcohol blended fuels.</t>
  </si>
  <si>
    <t>Ethanol Production Facility Fee</t>
  </si>
  <si>
    <t>The cost to submit an air quality permit application for an ethanol production plant is $1,000. An annual renewal fee is also required for the duration of the air quality permit. The annual renewal fee includes an administrative fee of $1,000 and an emissions fee equaling $40 per ton of particulate matter, sulfur dioxide, nitrogen oxide, volatile organic compounds, and hazardous air pollutants emitted during the previous calendar year.</t>
  </si>
  <si>
    <t>Biodiesel Tax</t>
  </si>
  <si>
    <t>Biodiesel and biodiesel blends are taxed at the state motor fuel excise tax rate of $0.28 per gallon. Beginning the fiscal quarter after which a biodiesel production facility in the state reaches a name plate capacity of at least 20 million gallons per year and fully produces at least 10 million gallons of biodiesel within one year, the tax on biodiesel and biodiesel blends is reduced to $0.20 per gallon.</t>
  </si>
  <si>
    <t>Ethanol Blend Definition</t>
  </si>
  <si>
    <t xml:space="preserve">An ethanol blend is defined as a blended motor fuel containing ethyl alcohol that is at least 99% pure, derived from agricultural products, and blended exclusively with gasoline. </t>
  </si>
  <si>
    <t>Ethanol and Methanol Tax</t>
  </si>
  <si>
    <t>Ethyl alcohol and methyl alcohol motor fuels are taxed at a rate of $0.14 per gallon when used as a motor fuel.</t>
  </si>
  <si>
    <t>Biofuel Franchising Contract Regulations</t>
  </si>
  <si>
    <t>Franchise documents may not restrict a franchisee from participating in any of the following activities:
Installing a biofuel pump or tank, except property leased from the franchisor;
Converting an existing tank or pump for biofuels use;
Advertising the sale of biofuels, including listing biofuel availability or prices on signage;
Selling biofuels;
Purchasing biofuel from other sources if the franchisor does not offer biofuel;
Installing or operating an ethanol blender pump, if the pump is approved for use by the appropriate jurisdictional authority; or
Selling a biofuel in place of one grade of gasoline, if the franchisee is required to sell three grades of gasoline.</t>
  </si>
  <si>
    <t>Nebraska</t>
  </si>
  <si>
    <t>Alternative Fuel Vehicle (AFV) and Fueling Infrastructure Loans</t>
  </si>
  <si>
    <t>The Nebraska Energy Office administers the Dollar and Energy Saving Loan Program, which makes low-cost loans available for a variety of alternative fuel projects, including the replacement of conventional vehicles with AFVs; the purchase of new AFVs; the conversion of conventional vehicles to operate on alternative fuels; and the construction or purchase of fueling stations or equipment. The maximum loan amount is $750,000 per borrower, and the interest rate is 5% or less.</t>
  </si>
  <si>
    <t>Cellulosic Ethanol Investment Tax Credit</t>
  </si>
  <si>
    <t>A qualified investor may receive a tax credit for 40% of an investment, up to $350,000, in a small business that is improving, researching, developing, or producing a proprietary product, process, or service related to cellulosic ethanol.</t>
  </si>
  <si>
    <t>Alternative Fuel Vehicle (AFV) Conversion Rebate</t>
  </si>
  <si>
    <t>rebates for qualified AFV conversions completed after January 4, 2016. The rebate amount for vehicle conversions is 50% of the cost of the equipment and installation, up to $4,500 per vehicle.</t>
  </si>
  <si>
    <t>Ethanol and Biodiesel Tax Exemption</t>
  </si>
  <si>
    <t>Motor fuels sold to an ethanol or biodiesel production facility and motor fuels manufactured at and sold from an ethanol or biodiesel facility are exempt from certain motor fuel tax laws the Motor Fuels Division of the Nebraska Department of Revenue enforces.</t>
  </si>
  <si>
    <t>Kansas</t>
  </si>
  <si>
    <t>Alternative Fuel Vehicle (AFV) Tax Credit</t>
  </si>
  <si>
    <r>
      <t xml:space="preserve">An income tax credit is available for 40% of the incremental or conversion cost for qualified AFVs, based on gross vehicle weight rating.                                          </t>
    </r>
    <r>
      <rPr>
        <b/>
        <sz val="11"/>
        <color rgb="FF333333"/>
        <rFont val="Calibri"/>
        <scheme val="minor"/>
      </rPr>
      <t xml:space="preserve">Less than 10,000 lbs.: Up to $2,400
10,000 to 26,000 lbs.: Up to $4,000
Over 26,000 lbs.: Up to $40,000 </t>
    </r>
    <r>
      <rPr>
        <sz val="11"/>
        <color rgb="FF333333"/>
        <rFont val="Calibri"/>
        <scheme val="minor"/>
      </rPr>
      <t xml:space="preserve">                                     Alternatively, a tax credit of 5% of the cost of the AFV, up to $750, is available for the purchase of an original equipment manufacturer AFV.</t>
    </r>
  </si>
  <si>
    <t>Alternative Fueling Infrastructure Tax Credit</t>
  </si>
  <si>
    <t>An income tax credit is available for 40% of the total cost to install alternative fueling infrastructure after January 1, 2009. Qualified property must be directly related to the delivery of alternative fuel into the fuel tank of a motor vehicle propelled by such fuel. The tax credit may not exceed $100,000 per fueling station. </t>
  </si>
  <si>
    <t>Cellulosic Ethanol Production Financing</t>
  </si>
  <si>
    <t>The Kansas Development Finance Authority may issue revenue bonds to cover the costs of construction or expansion of a biomass-to-energy facility.</t>
  </si>
  <si>
    <t>Biofuel Production Facility Tax Exemption</t>
  </si>
  <si>
    <t>Any newly constructed or expanded biomass-to-energy facility is exempt from state property taxes for up to 10 taxable years immediately following the taxable year in which construction or installation is completed.</t>
  </si>
  <si>
    <t>Biofuel Blending Equipment Tax Exemption</t>
  </si>
  <si>
    <t>Qualified equipment used for storing and blending petroleum-based fuel with biodiesel, ethanol, or other biofuel is exempt from state property taxes.</t>
  </si>
  <si>
    <t>An ethanol producer may collect $0.035 for each gallon sold to an alcohol blender that is in excess of the producer's base sales, up to 15 million gallons, provided the producer was in production before July 1, 2001, and increases production capacity by five million gallons over the producer's base sales. The same credit applies to a producer who began production on or after July 1, 2001, and before July 1, 2012, and who has sold at least five million gallons to an alcohol blender. A producer who begins production of cellulosic ethanol on or after July 1, 2012, and who sells at least five million gallons to a blender may receive $0.035 for each gallon sold, up to 15 million gallons.</t>
  </si>
  <si>
    <t>Renewable Fuel Retailer Tax Incentive</t>
  </si>
  <si>
    <t> A qualified motor fuel dealer is eligible for up to $0.065 for every gallon of renewable fuel sold and up to $0.03 for every gallon of biodiesel sold, if the required threshold percentage is met.</t>
  </si>
  <si>
    <t>Biodiesel Rebates - Kansas Soybean Commission</t>
  </si>
  <si>
    <t>Kansas residents are eligible for a rebate from the Kansas Soybean Commission of up to $2,000 for fleets ($200 for individuals), for using biodiesel blends above 5% in diesel-powered vehicles.</t>
  </si>
  <si>
    <t>Natural Gas Vehicle Loans - Communication Federal Credit Union (CFCU)</t>
  </si>
  <si>
    <t>Offers loans to individuals and businesses that purchase new or converted compressed natural gas (CNG) vehicles. Conversion systems must be U.S. Environmental Protection Agency certified and installed by an insured and state licensed facility. New vehicle loans are available at amounts up to the manufacturer's suggested retail price plus the cost of the conversion. </t>
  </si>
  <si>
    <t>Natural Gas Vehicle (NGV) Rebate Pilot Program - Kansas Gas Service</t>
  </si>
  <si>
    <t>Kansas Gas Service offers rebates for NGV purchases or conversions in the amount of $1,000 for a dedicated or bi-fuel vehicle. Vehicles must be purchased or converted after February 2, 2016, and each applicant is limited to three rebates per calendar year.</t>
  </si>
  <si>
    <t>E85 Tax Rate and Definition</t>
  </si>
  <si>
    <t>The minimum motor vehicle fuel tax rate on E85 is $0.17 per gallon, compared to the conventional motor fuel tax rate of $0.24 per gallon. E85 is defined as an alternative fuel that is a blend of denatured ethanol and hydrocarbon and typically contains 85% ethanol by volume, but must contain at least 70% ethanol by volume and complies with ASTM specification D5798-99. </t>
  </si>
  <si>
    <t>Biodiesel and Renewable Fuel Definitions</t>
  </si>
  <si>
    <t>Biodiesel is defined as a renewable, biodegradable, mono alkyl ester combustible liquid fuel that is derived from vegetable oils or animal fats and meets the specifications adopted by rules and regulations of the Kansas Department of Agriculture pursuant to current law. Renewable fuels are defined as combustible liquids derived from grain starch, oil seed, animal fats, or other biomass; or produced from a biogas source, including any non-fossilized, decaying, organic matter capable of powering spark ignition machinery.</t>
  </si>
  <si>
    <t>Ethanol Blend Dispenser Requirement</t>
  </si>
  <si>
    <t xml:space="preserve">A retail motor fuel dispenser that dispenses fuel containing more than 10% ethanol by volume must be labeled with the capital letter "E" followed by the numerical value representing the volume percentage of ethanol, such as E85, as specified in Kansas Department of Agriculture guidelines. </t>
  </si>
  <si>
    <t>Biofuels Use Requirement</t>
  </si>
  <si>
    <t>State-owned diesel-powered vehicles and equipment must use a biodiesel blend that contains at least 2% biodiesel (B2), where available, as long as the price of the biodiesel blend is not more than $0.10 per gallon as compared to the price of diesel fuel. Individuals operating state-owned motor vehicles must purchase fuel blends containing at least 10% ethanol (E10), as long as these fuel blends are not more than $0.10 per gallon as compared to the price per gallon of regular gasoline fuel. </t>
  </si>
  <si>
    <t>Alternative Fuel Vehicle (AFV) Acquisition Requirements</t>
  </si>
  <si>
    <t>State agencies must purchase flexible fuel vehicles (FFVs) capable of operating on E85 fuel unless the desired vehicle model is not available with an E85-capable engine or the cost of the vehicle is at least $250 more than a comparable vehicle that does not use E85. When leasing motor vehicles, state agencies must lease FFVs unless no such vehicles are available for lease.</t>
  </si>
  <si>
    <t>Oklahoma</t>
  </si>
  <si>
    <t>Biofuels Construction and Permitting Assistance</t>
  </si>
  <si>
    <t>The Oklahoma Department of Environmental Quality (DEQ) provides technical and regulatory assistance to small businesses that need permits to construct and operate biodiesel and ethanol production facilities. </t>
  </si>
  <si>
    <t>Biofuels Tax Exemption</t>
  </si>
  <si>
    <t>Biodiesel or other biofuels produced by an individual from feedstocks grown on the individual's property and used in the individual's own vehicle are exempt from the state motor fuel excise tax. </t>
  </si>
  <si>
    <t>Ethanol Sales Tax Exemption</t>
  </si>
  <si>
    <t>The portion of ethanol (ethyl alcohol) sold and blended with motor fuel is exempt from sales tax.</t>
  </si>
  <si>
    <t>Ethanol Fuel Retailer Tax Credit</t>
  </si>
  <si>
    <t>Retailers that sell fuel blends of gasoline containing up to 15% ethanol by volume (E15) are eligible for a motor fuel tax credit of $0.016 per gallon of ethanol blended into gasoline and sold in Oklahoma, as long as the retailer provides a price reduction to the purchaser of the ethanol fuel in the same amount.</t>
  </si>
  <si>
    <t>Alternative Fuel Vehicle (AFV) Low-Interest Loans</t>
  </si>
  <si>
    <t>Oklahoma has a private loan program with a 3% interest rate for the cost of converting private fleets to operate on alternative fuels and for the incremental cost of purchasing an original equipment manufacturer AFV. </t>
  </si>
  <si>
    <t>For tax years beginning before January 1, 2020, a one-time income tax credit is available for 45% of the incremental cost of purchasing a new original equipment manufacturer AFV, excluding electric vehicles, or converting a vehicle to operate on an alternative fuel. The state also provides a tax credit in the amount of 10% of the total vehicle cost, up to $1,500, if the incremental cost of a new AFV cannot be determined or when an AFV is resold, as long as a tax credit has not been previously taken on the vehicle. </t>
  </si>
  <si>
    <t>CFCU offers loans to individuals and businesses that purchase new or converted compressed natural gas (CNG) vehicles. New vehicle loans are available at amounts up to the manufacturer's suggested retail price plus the cost of the conversion. Pre-owned or CFCU member-owned vehicles with a CNG fuel system or conversion installation are eligible for loans at up to 115% of the National Automobile Dealers Association suggested retail value.</t>
  </si>
  <si>
    <t>Natural Gas Vehicle (NGV) and Infrastructure Rebate - Oklahoma Natural Gas</t>
  </si>
  <si>
    <t>Oklahoma Natural Gas (ONG) offers rebates for NGVs purchased or converted after June 20, 2016, in the amount of $2,000 for a dedicated NGV and $2,000 for a bi-fuel vehicle. ONG also offers $3,000 toward the cost of a compressed natural gas home fueling station or appliance. </t>
  </si>
  <si>
    <t>Alternative Fuels Technician Certificates</t>
  </si>
  <si>
    <t>The Department of Labor (DOL) will issue a certificate to any person who has successfully passed the appropriate alternative fuels equipment, alternative fuels compression, or electric vehicle technician examination as provided in the Alternative Fuels Technician Certification Act. A certification fee applies. DOL can issue an alternative fuels trainee certificate to any person who submits a trainee application within 15 business days of being hired by a licensed alternative fuels conversion or fueling station installation company.</t>
  </si>
  <si>
    <t>Committee of Alternative Fuels Technician Examiners</t>
  </si>
  <si>
    <t>The Committee of Alternative Fuels Technician Examiners (Committee) was established to assist the Commissioner of Labor on matters relating to the formulation of rules and standards to comply with the Alternative Fuels Technician Certification Act. </t>
  </si>
  <si>
    <t>Ethanol Labeling Requirement</t>
  </si>
  <si>
    <t>Motor fuel containing more than 1% ethanol or methanol may not be sold or offered for sale from a motor fuel dispenser unless the individual selling or offering the fuel for sale prominently displays a label on the pump stating the fuel "Contains Ethanol" or "Contains Methanol," as applicable. </t>
  </si>
  <si>
    <t>All school and government fleets may convert their vehicles to operate on alternative fuels, and all school districts should consider purchasing only vehicles able to operate on alternative fuels. </t>
  </si>
  <si>
    <t>Biodiesel Definition and Specifications</t>
  </si>
  <si>
    <t>Biodiesel is defined as a fuel that is comprised only of mono-alkyl esters of long chain fatty acids, is produced from vegetable oils or animal fats, and meets ASTM specification D6751. </t>
  </si>
  <si>
    <t>Alternative Fuel Technician Training</t>
  </si>
  <si>
    <t>Regulates the training, testing, and certification of technicians and trainees who install, modify, repair, or renovate equipment used in alternative fueling infrastructure and in the conversion of any engine to operate on an alternative fuel.</t>
  </si>
  <si>
    <t>Access to State Alternative Fueling Stations</t>
  </si>
  <si>
    <t>The Oklahoma Office of Management and Enterprise Services (OMES) Fleet Management Division may construct, install, acquire, operate, and provide alternative fueling infrastructure for use by state agencies and local government and for use by the public in areas of the state where public access to alternative fuel infrastructure is not readily available.</t>
  </si>
  <si>
    <t>Texas</t>
  </si>
  <si>
    <t>Natural Gas Vehicle (NGV) and Fueling Infrastructure Grants</t>
  </si>
  <si>
    <t>The Texas Commission on Environmental Quality (TCEQ) administers the NGV Grant Program (Program) as part of the Texas Emissions Reduction Plan. The Program provides grants to replace existing medium- and heavy-duty vehicles with new, converted, or repowered NGVs.</t>
  </si>
  <si>
    <t>Clean Vehicle and Infrastructure Grants</t>
  </si>
  <si>
    <t>The Texas Commission on Environmental Quality (TCEQ) administers the Emissions Reduction Incentive Grants (ERIG) Program as part of the Texas Emissions Reduction Plan. The ERIG Program provides grants for various types of clean air projects to improve air quality in the state's nonattainment areas. </t>
  </si>
  <si>
    <t>Clean School Bus Program</t>
  </si>
  <si>
    <t>Any school district or charter school may receive a grant through the Texas Commission on Environmental Quality (TCEQ) to pay for the incremental costs to install diesel oxidation catalysts, diesel particulate filters, emission-reducing add-on equipment, and other emissions reduction technologies in qualified school buses. Furthermore, funds may also be used to purchase qualifying fuels, including any liquid or gaseous fuel or additive registered or verified by the U.S. Environmental Protection Agency (other than standard gasoline or diesel) that provides particulate matter emission reductions. </t>
  </si>
  <si>
    <t>Alternative Fueling Infrastructure Grants</t>
  </si>
  <si>
    <t>The Texas Commission on Environmental Quality (TCEQ) administers the Alternative Fueling Facilities Program (AFFP) as part of the Texas Emissions Reduction Plan. AFFP provides grants for 50% of eligible costs, up to $600,000, to construct, reconstruct, or acquire a facility to store, compress, or dispense alternative fuels in Texas air quality nonattainment areas.</t>
  </si>
  <si>
    <t>Diesel Fuel Blend Tax Exemption</t>
  </si>
  <si>
    <t>The biodiesel or ethanol portion of blended fuel containing taxable diesel is exempt from the diesel fuel tax. </t>
  </si>
  <si>
    <t>Natural Gas Vehicle (NGV) and Fueling Infrastructure Rebates - Texas Gas Service</t>
  </si>
  <si>
    <t xml:space="preserve">The Texas Gas Service Conservation Program offers a rebate of up to $2,000 for the purchase of a qualified NGV or $3,000 for the conversion of a gasoline powered vehicle to operate on natural gas. A rebate of $1,000 is also available for the purchase of a natural gas forklift. Additionally, qualified residential and commercial NGV fueling infrastructure may be eligible for a rebate of up to $2,000. </t>
  </si>
  <si>
    <t>Fuel Dispenser Labeling Requirement</t>
  </si>
  <si>
    <t>All equipment used to dispense motor fuel containing at least 1% ethanol or methanol must be clearly labeled to inform customers that the fuel contains ethanol or methanol. </t>
  </si>
  <si>
    <t>Alternative Fuel Use and Vehicle Acquisition Requirements</t>
  </si>
  <si>
    <t>State agency fleets with more than 15 vehicles, excluding emergency and law enforcement vehicles, may not purchase or lease a motor vehicle unless the vehicle uses compressed or liquefied natural gas, propane, ethanol or fuel blends of at least 85% ethanol (E85), methanol or fuel blends of at least 85% methanol (M85), biodiesel or fuel blends of at least 20% biodiesel (B20), or electricity (including plug-in hybrid electric vehicles). </t>
  </si>
  <si>
    <t>Renewable Fuel Promotion</t>
  </si>
  <si>
    <t>The Texas Bioenergy Policy Council and the Texas Bioenergy Research Committee were established to promote the goal of making biofuels a significant part of the energy industry in Texas by January 1, 2019. Goals are: Provide a vision for unifying the state's agricultural, energy, and research strengths in a successful launch of a cellulosic biofuel and bioenergy industry;
Foster development of cellulosic and bio-based fuels;
Pursue the creation of a next-generation biofuels energy research program at a university in the state;
Pursue federal and other funding to position the state as a bioenergy leader;
Study the feasibility and economic development effect of a blending requirement for biodiesel or cellulosic fuels;
Pursue the development and use of thermochemical process technologies to produce alternative chemical feedstocks; and
Study the feasibility of the requirements for renewable natural gas.</t>
  </si>
  <si>
    <t>Louisiana</t>
  </si>
  <si>
    <t>Provision for Green Jobs Tax Credit</t>
  </si>
  <si>
    <t>The Louisiana Department of Economic Development will offer a corporate or income tax credit for qualified capital infrastructure projects in Louisiana that are directly related to industries including, but not limited to, the advanced drivetrain vehicle and biofuels industries. The tax credit is for 7.2% to 18% of the project costs, calculated based on the investment costs, up to $720,000 per state-certified green project. The portion of the base investment expended on payroll for Louisiana residents employed in connection with the construction of the project may be eligible for an additional 7.2% tax credit on the payroll.</t>
  </si>
  <si>
    <t>Alternative Fuel Vehicle (AFV) and Fueling Infrastructure Tax Credit</t>
  </si>
  <si>
    <t>The state offers an income tax credit of 36% of the cost of converting a vehicle to operate on an alternative fuel, the incremental cost of purchasing an original equipment manufacturer AFV, and the cost of alternative fueling equipment. Alternatively, a taxpayer may take a tax credit of 7.2% of the cost of the motor vehicle, up to $1,500. </t>
  </si>
  <si>
    <t>Within six months following the point at which monthly production of denatured ethanol produced in Louisiana equals or exceeds a minimum annualized production volume of 50 million gallons, at least 2% of the total gasoline sold by volume in the state must be denatured ethanol.</t>
  </si>
  <si>
    <t>The Louisiana Division of Administration must purchase dedicated alternative fuel vehicles (AFVs) capable of operating on natural gas or liquefied petroleum gas (propane), or bi-fuel vehicles capable of operating on conventional fuel or natural gas, propane, or any non-ethanol advanced biofuel. Any AFV a state agency purchases or leases must have a minimum fuel economy of 18 miles per gallon (mpg) for city driving, 28 mpg for highway driving, or a combined city/highway average of 24 mpg. Law enforcement vehicles, certified emergency vehicles, and state agency vehicles with prior written authorization are exempt from this requirement.</t>
  </si>
  <si>
    <t>Compressed Natural Gas (CNG) and Propane Regulatory Authority</t>
  </si>
  <si>
    <t>The Louisiana Department of Natural Resources' Office of Conservation has regulatory authority over CNG safety, including fueling stations and the installation of conversion equipment in a vehicle. Vehicles capable of operating on, liquefied petroleum gas (propane) must have passed a safety inspection from the Louisiana Liquefied Petroleum Gas Commission. </t>
  </si>
  <si>
    <t>Biofuels Feedstock Requirements</t>
  </si>
  <si>
    <t>The minimum percentage of Louisiana-harvested corn and soybeans used to produce renewable fuel in Louisiana facilities must be at least the same percentage of corn and soybeans used nationally to produce renewable fuel as reported by the U.S. Department of Agriculture's Office of the Chief Economist.</t>
  </si>
  <si>
    <t>Arkansas</t>
  </si>
  <si>
    <t>Alternative Fuel Vehicle and Infrastructure Rebate Program</t>
  </si>
  <si>
    <t xml:space="preserve">the Arkansas Gaseous Fuels Vehicle Rebate Program: provides 50% of the incremental cost, up to $4,500, of a qualified natural gas or propane vehicle, and provides 50% of the conversion cost, up to $2,500, for hydrogen fuel cell, natural gas, or propane vehicles. Rebates are also available for natural gas and propane fueling stations in the amount of 75% of qualifying costs, up to $400,000. </t>
  </si>
  <si>
    <t>Alternative Fuel Definition and Specifications</t>
  </si>
  <si>
    <t xml:space="preserve">Alternative fuels include biofuel, ethanol, methanol, hydrogen, coal-derived liquid fuels, electricity, natural gas, propane gas, or a synthetic transportation fuel. Biofuel is defined as a renewable, biodegradable, combustible liquid or gaseous fuel derived from biomass or other renewable resources that can be used as transportation fuel, combustion fuel, or refinery feedstock and that meets ASTM specifications and federal quality requirements for each category or grade of fuel. </t>
  </si>
  <si>
    <t>Alternative Fuels Tax and Reporting</t>
  </si>
  <si>
    <t>Excise taxes on alternative fuels are imposed on a gasoline gallon equivalent (GGE) basis. The tax rate for each alternative fuel type is based on the number of motor vehicles licensed in the state that use the specific fuel, not including vehicles the federal government owns or leases. Licensed alternative fuel suppliers must pay alternative fuel taxes for product dispensed, sold to a dealer or user, or used in a motor vehicle owned or operated by the alternative fuel supplier.</t>
  </si>
  <si>
    <t>Alternative Fuel Vehicle Conversion</t>
  </si>
  <si>
    <t>Any individual or company who converts a vehicle to operate on an alternative fuel must report the conversion to the Arkansas Department of Finance and Administration (DFA) within 10 days of the conversion. </t>
  </si>
  <si>
    <t>All diesel-powered motor vehicles, light trucks, and equipment owned or leased by a state agency must operate using diesel fuel that contains a minimum of 2% biodiesel (B2). </t>
  </si>
  <si>
    <t>Missouri</t>
  </si>
  <si>
    <t>An income tax credit is available for the cost of constructing a qualified alternative fueling station. The credit is 20% of the costs directly associated with the purchase and installation of any alternative fuel storage and dispensing equipment or electric vehicle supply equipment (EVSE), up to $1,500 for individuals or $20,000 for businesses. </t>
  </si>
  <si>
    <t>Alternative Fuel Vehicle (AFV) Decal</t>
  </si>
  <si>
    <t xml:space="preserve">The state motor fuel tax does not apply to passenger vehicles, certain buses, or commercial vehicles that are powered by an alternative fuel, if they obtain an AFV decal. </t>
  </si>
  <si>
    <t>Alternative Fuel Vehicle (AFV) Acquisition and Alternative Fuel Use Requirements</t>
  </si>
  <si>
    <t>A state agency that operates a vehicle fleet consisting of 15 vehicles or more must ensure that at least 50% of new vehicles purchased over a defined biennial period are capable of operating using an alternative fuel. Excess acquisitions of AFVs may be credited towards future biennial goals. 30% of the fuel purchased annually for use in operating state fleet vehicles must be alternative fuels.</t>
  </si>
  <si>
    <t>Renewable Fuel Distributor and Vehicle Manufacturer Liability Protection</t>
  </si>
  <si>
    <t>Renewable fuel refiners, suppliers, terminals, wholesalers, distributors, retailers, and motor vehicle manufacturers and dealers are not liable for property damages related to a customer's purchase of renewable fuel, including blends, if the consumer selected the fuel for use. Motor fuel blended with any amount of renewable fuel will not be considered a defective product provided the fuel compiles with motor fuel quality regulations.</t>
  </si>
  <si>
    <t>State Energy Plan</t>
  </si>
  <si>
    <t>The Missouri Department of Economic Development's Division of Energy developed a comprehensive state energy plan to include information related to alternative fuels and advanced vehicles, as well as electric generation, fuels and resource extraction, energy distribution, energy usage, energy storage, energy-related land use issues, energy prices, energy security, and emergency resource planning. </t>
  </si>
  <si>
    <t>State Fleet Biodiesel Fuel Use</t>
  </si>
  <si>
    <t>The Missouri Biodiesel Fuel Revolving Fund uses the money generated by the sale of Energy Policy Act of 1992 credits to cover the incremental cost of purchasing fuel containing biodiesel blends of at least 20% (B20) for state fleet vehicle use.</t>
  </si>
  <si>
    <t>At least 75% of the Missouri Department of Transportation (MoDOT) vehicles and heavy equipment that use diesel fuel must be fueled with biodiesel blends of at least 20% (B20), if such fuel is commercially available. </t>
  </si>
  <si>
    <t>All gasoline offered for sale at retail stations within the state must contain 10% ethanol (E10).</t>
  </si>
  <si>
    <t>Alternative Fuel Promotion</t>
  </si>
  <si>
    <t>The Missouri Alternative Fuels Commission (Commission) promotes the continued production and use of alternative transportation fuels in Missouri. </t>
  </si>
  <si>
    <t>Iowa</t>
  </si>
  <si>
    <t>Ethanol Blend Retailer Tax Credit</t>
  </si>
  <si>
    <t>The Ethanol Promotion Tax Credit is available to any fuel retailer for up to $0.08 per gallon of pure ethanol blended into gasoline, as long as the retailer sells a certain percentage of renewable fuels (ethanol and biodiesel) as part of their total motor fuel sales on a company-wide or a site-by-site basis. </t>
  </si>
  <si>
    <t>Biofuel Infrastructure Grants</t>
  </si>
  <si>
    <t>The Renewable Fuel Infrastructure Program provides financial assistance to qualified E85 or dual E15 and biodiesel retailers. Cost-share grants are available to upgrade or install new E85 or dual E15 and biodiesel infrastructure. Three-year cost-share grants are available for up to 50% of the total cost of the total project, up to $30,000, and five-year cost-share grants are available for up to 70% of the total cost of the project, up to $50,000.</t>
  </si>
  <si>
    <t>Alternative Fuel Production Tax Credits</t>
  </si>
  <si>
    <t>The High Quality Jobs Program offers state tax incentives to business projects for the production of biomass or alternative fuels. Incentives may include an investment tax credit equal to a percentage of the qualifying investment, amortized over five years; a refund of state sales, service, or use taxes paid to contractors or subcontractors during construction; an increase of the state's refundable research activities credit; and a local property tax exemption of up to 100% of the value added to the property.</t>
  </si>
  <si>
    <t>Mid-Level Ethanol Blend Retailer Tax Credit</t>
  </si>
  <si>
    <t>Retail stations dispensing mid-level blends of ethanol in gasoline between 15% (E15) up to 69% (E69) for use in motor vehicles may be eligible for a tax credit. Credit amounts vary by date: September 16 through May 31 the credit is equal to $0.03 per gallon and June 1 through September 15 the credit is equal to $0.10 per gallon. The tax credit expires December 31, 2024. </t>
  </si>
  <si>
    <t>Biodiesel Producer Tax Refund</t>
  </si>
  <si>
    <t>A biodiesel producer may apply for a refund of Iowa state sales or use taxes paid on purchases. To qualify, the producer must be registered with the U.S. Environmental Protection Agency and any biodiesel produced must be used in biodiesel fuel blends. The refund amount is based on the total gallons of biodiesel produced in the state multiplied by the designated rate of $0.02.</t>
  </si>
  <si>
    <t>E85 Retailer Tax Credit</t>
  </si>
  <si>
    <t>Retail stations dispensing gasoline fuel blends of 70% ethanol (E70) to 85% ethanol (E85) for use in motor vehicles may be eligible for a tax credit in the amount of $0.16 per gallon sold. </t>
  </si>
  <si>
    <t>Biodiesel Blend Retailer Tax Credit</t>
  </si>
  <si>
    <t>Retailers selling biodiesel blends containing a minimum of 5% biodiesel (B5) are eligible for a state income tax credit of $0.045 per gallon of biodiesel sold through December 31, 2017, and $0.035 per gallon thereafter. Biodiesel blends containing a minimum of 11% biodiesel (B11) are eligible for a state income tax of $0.055 per gallon beginning January 1, 2018.</t>
  </si>
  <si>
    <t>An ethanol retailer selling a blend of at least 9% ethanol by volume must use gasoline storage and dispensing infrastructure that the Iowa Department of Natural Resources and state fire marshal have determined is compatible with the ethanol blend being dispensed. </t>
  </si>
  <si>
    <t>Alternative Fuel Vehicle (AFV) Conversion Registration</t>
  </si>
  <si>
    <t>When a motor vehicle is modified to use a different fuel type or more than one type of fuel, the vehicle's registered owner must notify the county treasurer of the new fuel type or alternative fuel types within 30 days. If the vehicle uses, or may use, a special fuel, the county treasurer will issue a special fuel identification sticker.</t>
  </si>
  <si>
    <t>Biofuel Specifications</t>
  </si>
  <si>
    <t>Ethanol-blended gasoline must conform to ASTM D4814, E85 must conform to ASTM D4806, and biodiesel-blended fuel containing at least 6%, but no more than 20%, biodiesel must conform to ASTM D7467. Additionally, biobutanol must be an agriculturally derived isobutyl alcohol that meets ASTM D7862 for butanol for blending with gasoline for use as a motor fuel. Gasoline blended with biobutanol must conform to ASTM D4814. </t>
  </si>
  <si>
    <t>Compressed natural gas used as a special motor fuel is subject to the state fuel excise tax of $0.31 per gasoline gallon equivalent, measured at 5.66 pounds (lbs.) or 126.67 cubic feet at a base temperature of 60 degrees Fahrenheit and a pressure of 14.73 lbs. per square inch. Liquefied natural gas is subject to the excise tax of $0.325 per diesel gallon equivalent, measured at 6.06 lbs. Liquefied petroleum gas (propane) is subject to the excise tax of $0.30 per gallon. E85 is subject to the excise tax of $0.293 per gallon. </t>
  </si>
  <si>
    <t>Renewable Fuel Labeling Requirement</t>
  </si>
  <si>
    <t>Biodiesel, biobutanol, and ethanol blend dispensers must be affixed with decals identifying the type of fuel blend. If fuel blends containing more than 10% ethanol are being dispensed, the decal must include the following statement: "For Flexible Fuel Vehicles Only." </t>
  </si>
  <si>
    <t>Biodiesel Fuel Use</t>
  </si>
  <si>
    <t>The Iowa Department of Transportation (IDOT) may purchase biodiesel for use in IDOT vehicles through the biodiesel fuel revolving fund created in the state treasury.</t>
  </si>
  <si>
    <t>Alternative Fuel Vehicle Acquisition Requirements</t>
  </si>
  <si>
    <t>At least 10% of new light-duty vehicles purchased by institutions under the control of the state fleet director, including the Iowa Department of Transportation, Board of Directors of Community Colleges, Board of Regents, Commission for the Blind, and Department of Corrections must be capable of using alternative fuels. </t>
  </si>
  <si>
    <t>E85 Fuel Exclusivity Contract Regulations</t>
  </si>
  <si>
    <t>Any motor fuel franchise contract entered into or renewed on or after May 30, 2006, must allow for the delivery of E85 at any time requested by the motor fuel dealer or allow the dealer to purchase E85 from another source. If a contract was already in effect on May 30, 2006, and does not have an expiration date, the franchisor must provide for the delivery of E85 at the request of the franchisee or allow the franchisee to purchase those volumes of E85 from another source.</t>
  </si>
  <si>
    <t>Minnesota</t>
  </si>
  <si>
    <t>Ethanol Fueling Infrastructure Grants</t>
  </si>
  <si>
    <t>The Minnesota Corn Research &amp; Promotion Council and the Minnesota Department of Agriculture offer funding assistance to fuel retailers for the installation of equipment to dispense ethanol fuel blends ranging from E15 through E85.</t>
  </si>
  <si>
    <t>A tax credit is available for investments in a qualified small business that uses or is involved in the research or development of a proprietary technology related to cellulosic ethanol. The tax credit is equal to 25% of the qualified investment, up to $250,000 annually. The credit is available for an investment of up to $1 million over the life of a qualified small business. </t>
  </si>
  <si>
    <t>Ethanol Production Facility Environmental Assessment Exemption</t>
  </si>
  <si>
    <t>An ethanol production facility that produces less than 125 million gallons of ethanol annually and is located outside of the seven-county metropolitan area is exempt from preparing an environmental impact statement.</t>
  </si>
  <si>
    <t>State Agency Sustainability Plan and Requirements</t>
  </si>
  <si>
    <t>State agencies must establish interagency teams to develop and implement sustainability goals that reduce state vehicle petroleum consumption. In addition, each state department or agency must prepare an annual sustainability plan that includes ways to modify vehicle use practices and report annually on progress towards implementing their plan.</t>
  </si>
  <si>
    <t>Biofuel Blend Mandate</t>
  </si>
  <si>
    <t>All gasoline sold or offered for sale in Minnesota must contain at least: 10% corn-based ethanol by volume or the maximum percent by volume of corn-based ethanol authorized in a waiver issued by the EPA, whichever is greater; or 10% other biofuel authorized in an EPA waiver by volume</t>
  </si>
  <si>
    <t>Biodiesel is defined as a renewable, biodegradable, mono alkyl ester combustible liquid fuel that is derived from agricultural plant oils or animal fats and meets ASTM specification D6751-11b. A biodiesel blend is a blend of diesel fuel and biodiesel fuel (between 6% and 20%) for on-road and off-road diesel vehicle use. </t>
  </si>
  <si>
    <t>Authorization for Biofuel Production Grants</t>
  </si>
  <si>
    <t>The Minnesota Department of Agriculture may establish a program to provide grants to biofuel producers for up to $2.1053 per million British Thermal Unit (MMbtu) for advanced biofuel produced from cellulosic biomass and $1.053 per MMbtu for advanced biofuel produced from sugar- or starch-based crops. Eligible facilities must obtain 80% of their feedstocks from Minnesota; begin production by June 30, 2025; and not produce more than 23,750 MMbtu of biofuel quarterly before July 1, 2015. </t>
  </si>
  <si>
    <t>During the months of April through September, diesel fuel sold in the state must be at least B10, increasing to 20% biodiesel (B20) on May 1, 2018. Diesel fuel sold during the remainder of the year must contain at least 5% biodiesel (B5).</t>
  </si>
  <si>
    <t>Biofuel Use Requirement</t>
  </si>
  <si>
    <t>State agencies must take all reasonable actions to develop the infrastructure necessary to increase the availability and use of E85 and biodiesel throughout the state. Employees using state-owned vehicles are expected to use E85 fuel when operating flexible fuel vehicles whenever E85 is reasonably available.</t>
  </si>
  <si>
    <t>Minnesota Biofuels Replacement Goals</t>
  </si>
  <si>
    <t>The Minnesota Department of Weights and Measures promotes the replacement of petroleum used in the state with the goal that biofuels will account for at least the specified percentage of all gasoline offered for sale by the dates: 2015-14%; 2017-18%;2020-25%; 2025-30%</t>
  </si>
  <si>
    <t>Authorization for E15 Infrastructure Grant Program</t>
  </si>
  <si>
    <t>The Minnesota Department of Agriculture may establish a program to provide grants to eligible fuel retailers for equipment and installation costs to dispense E15. Grants are available to retailers with no more than 15 fueling stations in the state. </t>
  </si>
  <si>
    <t>Ethanol Fuel Blend Dispensing Regulations</t>
  </si>
  <si>
    <t>Gasoline blended for use in an alternative fuel vehicle (AFV) may contain any percentage of agriculturally derived, denatured ethanol, up to and including 85% (E85).</t>
  </si>
  <si>
    <t>Authorization for Biofuel Incentive</t>
  </si>
  <si>
    <t>The Agricultural Growth, Research, and Innovation Program may offer grants, loans, or other financial incentives to alternative fuel retailers for the installation of ethanol blender pumps or other rural economic infrastructure activities, or to producers of transportation fuels from cellulosic material or bio-based products. Once established, the program will remain in effective through June 30, 2025, with funding subject to legislative appropriation. </t>
  </si>
  <si>
    <t>The Minnesota Department of Revenue imposes an excise tax on the first licensed distributor that receives E85 fuel products in the state and on distributors, special fuel dealers, or bulk purchasers of other alternative fuels. E85 is taxed at the pump at a rate of $0.2025 per gallon, pure biodiesel (B100) is taxed at $0.285 per gallon, propane is taxed at $0.2135 per gallon, liquefied natural gas is taxed at $0.171 per gallon, and compressed natural gas is taxed at the rate of $2.474 per thousand cubic feet. Gasoline is taxed at the rate of $0.285 per gallon. </t>
  </si>
  <si>
    <t>E85 is defined as a blend of ethanol and gasoline that contains no more than 85% ethanol and is produced for use in alternative fuel vehicles. </t>
  </si>
  <si>
    <t>Wisconsin</t>
  </si>
  <si>
    <t>No county, city, village, town, or other political subdivision may levy or collect any excise, license, privilege, or occupational tax on motor vehicle fuel or alternative fuels, or on the purchase, sale, handling, or consumption of motor vehicle fuel or alternative fuels. </t>
  </si>
  <si>
    <t>Renewable Fuel Producer Excise Tax and Inspection Exemption</t>
  </si>
  <si>
    <t>The first 1,000 gallons of renewable fuel that an individual produces each year are exempt from the motor vehicle fuel excise tax, the petroleum inspection fee, and any petroleum inspection requirements not required under federal law. These exemptions only apply if the fuel is used in the individual's personal vehicle and is not sold.</t>
  </si>
  <si>
    <t>Biodiesel Fuel Use Incentive</t>
  </si>
  <si>
    <t>The Wisconsin Department of Public Instruction (DPI) may provide financial aid to school districts that use biodiesel fuel to operate school buses to cover the incremental cost of purchasing biodiesel as compared to the cost of petroleum diesel fuel. If in any fiscal year, insufficient funds are available to provide school districts with the full amount of reimbursement for which a school district qualifies, DPI will prorate the available funds among the entitled school districts on a per pupil basis.</t>
  </si>
  <si>
    <t>Biodiesel is defined as a fuel comprised of mono-alkyl esters of long chain fatty acids derived from vegetable oils or animal fats, either in pure form or mixed in any combination with petroleum-based diesel fuel. The definition of biodiesel is expanded for purposes of existing provisions that encourage alternative fuels use in state-owned vehicles. </t>
  </si>
  <si>
    <t>Alternative Fuel License</t>
  </si>
  <si>
    <t>Any person acting as an alternative fuels dealer must hold a valid alternative fuel license and certificate from the Wisconsin Department of Administration. </t>
  </si>
  <si>
    <t>Petroleum Reduction Requirements</t>
  </si>
  <si>
    <t>The Wisconsin Department of Administration's fleet management policy requires all state agencies to collectively reduce gasoline use in state-owned vehicles by at least 50% by 2015 as compared to the total amount used in 2006. In addition, state agencies must reduce petroleum-based diesel fuel use by 25% by 2015. </t>
  </si>
  <si>
    <t>Biodiesel Labeling Requirement</t>
  </si>
  <si>
    <t>Biodiesel fuel retailers may not advertise or offer for sale fuel labeled as pure biodiesel unless the fuel contains no other type of petroleum product, is registered as biodiesel fuel with the federal government, and meets all applicable ASTM specifications. Retailers also may not sell fuel labeled as a biodiesel blend unless the fuel contains at least 2% pure biodiesel fuel, the blend percentage is identified, and the fuel meets all applicable ASTM standards. </t>
  </si>
  <si>
    <t>Alternative Fuel Vehicle Acquisition and Alternative Fuel Use Requirements</t>
  </si>
  <si>
    <t>The Wisconsin Department of Administration (DOA) encourages state employees operating state-owned or leased motor vehicles to use hybrid electric vehicles or vehicles that operate on gasohol (a motor fuel containing at least 10% alcohol) or alternative fuels whenever feasible and cost effective. </t>
  </si>
  <si>
    <t>Alternative Fueling Infrastructure Development</t>
  </si>
  <si>
    <t>The Wisconsin Department of Agriculture, Trade and Consumer Protection must pursue the establishment and maintenance of sufficient alternative fueling infrastructure at public retail outlets to meet the public's traveling needs. </t>
  </si>
  <si>
    <t>Sustainable Biofuels Production Practices</t>
  </si>
  <si>
    <t>The Wisconsin Bioenergy Council (Council) must identify voluntary best management practices for sustainable biomass and biofuels production. The Council must report its findings, at least biennially, to agencies and private parties that assist biofuel feedstocks and biofuels producers.</t>
  </si>
  <si>
    <t>Renewable Fuel Sales Volume Goals</t>
  </si>
  <si>
    <t>The Wisconsin Legislature sets goals for minimum annual renewable fuel sales volumes based on annual renewable fuel volumes required under the federal Renewable Fuel Standard.</t>
  </si>
  <si>
    <t>Illinois</t>
  </si>
  <si>
    <t>Alternative Fuel Vehicle (AFV) and Alternative Fuel Rebates</t>
  </si>
  <si>
    <t xml:space="preserve">The Illinois Alternate Fuels Rebate Program provides a rebate for 80%, up to $4,000, of the incremental cost of purchasing an AFV; 80%, up to $4,000, of the cost of converting a conventional vehicle to an AFV using a federally certified conversion; and the incremental cost of purchasing alternative fuels. Eligible fuels for the program include E85, fuel blends containing at least 20% biodiesel (B20), natural gas, propane, electricity, and hydrogen. </t>
  </si>
  <si>
    <t>School Bus Retrofit Reimbursement</t>
  </si>
  <si>
    <t>The Illinois Department of Education will reimburse any qualifying school district for the cost of converting gasoline buses to more fuel-efficient engines or to engines using alternative fuels. Restrictions may apply. </t>
  </si>
  <si>
    <t>Ethanol Tax Exemption</t>
  </si>
  <si>
    <t>Sales and use taxes apply to 80% of the proceeds from the sale of fuels containing 10% ethanol (E10) made between July 1, 2003, and December 31, 2018. If at any time these taxes are imposed at a rate of 1.25%, the tax on E10 will apply to 100% of the proceeds of sales. State sales and use taxes do not apply to fuels containing between 70% and 90% ethanol (E70-E90) sold between July 1, 2003, and December 31, 2018. Taxes will apply to 100% of the proceeds from ethanol fuel blend sales made after December 31, 2018. </t>
  </si>
  <si>
    <t>Alternative Fuel Vehicle (AFV) Fleet Incentives</t>
  </si>
  <si>
    <t>The Illinois Green Fleets Program recognizes and provides additional marketing opportunities for fleets in Illinois that have a significant number of AFVs and use clean, domestically produced fuels. </t>
  </si>
  <si>
    <t>Sales and use taxes apply to 80% of the proceeds from the sale of fuel blends containing between 1% and 10% biodiesel and the sale of fuels containing 10% ethanol (E10) made between July 1, 2003, and December 31, 2018. If at any time these taxes are imposed at a rate of 1.25%, the tax on biodiesel blends and E10 will then apply to 100% of the proceeds of sales. </t>
  </si>
  <si>
    <t>E85 Fueling Infrastructure Grants</t>
  </si>
  <si>
    <t>The Illinois Department of Commerce and Economic Opportunity's (Department) Renewable Fuels Development Program is partnered with the Illinois Corn Marketing Board to fund new E85 fueling infrastructure at retail gasoline stations. The American Lung Association of Illinois-Iowa administers grants of up to $15,000 for a blender pump installation, $10,000 for a new E85 dispenser installation, and $7,500 to convert existing stations to dispense E85. The maximum grant amount is $15,000 per facility or $75,000 for four or more facilities. </t>
  </si>
  <si>
    <t>Fuel-Efficient Vehicle Acquisition Goals</t>
  </si>
  <si>
    <t>Illinois state agencies must work towards meeting the following goals: By July 1, 2015, at least 20% of new passenger vehicles purchased must be hybrid electric vehicles (HEVs) and 5% must be battery electric vehicles (EVs); and By July 1, 2025, at least 60% of new passenger vehicles purchased must be HEVs and 15% must be EVs.</t>
  </si>
  <si>
    <t>Biofuels Education and Promotion</t>
  </si>
  <si>
    <t>The Promote Illinois Ethanol and Biodiesel Act requires state agencies, including state-supported universities and colleges, to provide links from their websites to sites containing information on ethanol and biodiesel fuels. The links must connect to websites maintained and operated by state agencies and may also include links to private websites.</t>
  </si>
  <si>
    <t>Advanced Vehicle Acquisition and Biodiesel Fuel Use Requirement</t>
  </si>
  <si>
    <t>All gasoline-powered vehicles purchased with state funds must be flexible fuel vehicles (FFVs) or fuel-efficient hybrid electric vehicles (HEVs). </t>
  </si>
  <si>
    <t>Biodiesel Blend Use Requirement</t>
  </si>
  <si>
    <t>Any diesel-powered vehicle the state, county or local government, school district, community college, public college or university, or mass transit agency owns or operates must use a biodiesel blend that contains at least 5% biodiesel (B5) when fueling at a bulk central fueling facility. These entities are required to use B5 where available unless the vehicle engine is designed or retrofitted to operate on a higher percentage of biodiesel.</t>
  </si>
  <si>
    <t>Alternative Fuels Labeling Requirement</t>
  </si>
  <si>
    <t>Retailers must display ratings on fueling pumps that are consistent with the percentage by volume of the alternative fuel being dispensed. </t>
  </si>
  <si>
    <t>Biodiesel Definition and Specification</t>
  </si>
  <si>
    <t>Biodiesel is defined as a fuel that is comprised of mono-alkyl esters of long-chain fatty acids derived from vegetable oils or animal fats and that conforms to ASTM standard D6751. All fuel consisting of at least 99% biodiesel (B99) that is sold or offered for sale must conform to ASTM standard D6751. </t>
  </si>
  <si>
    <t>State Government Energy Initiative</t>
  </si>
  <si>
    <t>The Green Governments Illinois Act (Act) demonstrates the state's commitment to reduce negative environmental impacts, reduce greenhouse gases, and preserve resources for current and future generations. The Act also aims to strengthen the capacity of local governments and educational institutions to enable a more environmentally sustainable future. The Act established the Green Governments Coordinating Council (Council) to fully integrate cost-effective environmental sustainability measures into the ongoing management systems, long-range planning, and daily operations of state agencies.</t>
  </si>
  <si>
    <t>Biofuels Preference for State Vehicle Procurement</t>
  </si>
  <si>
    <t>When awarding contracts that require vehicle procurement, state agencies may give preference to an otherwise qualified bidder who will fulfill the contract through the use of vehicles powered by ethanol produced from Illinois corn or biodiesel produced from Illinois soybeans. </t>
  </si>
  <si>
    <t>Ethanol and Hydrogen Production Facility Permits</t>
  </si>
  <si>
    <t>The Illinois Environmental Protection Agency (EPA) may issue air pollution control permits through the Bureau of Air for thermochemical conversion technology facilities that are constructed and operated to demonstrate the process of applying heat to woody biomass to produce ethanol or hydrogen for use as transportation fuel. </t>
  </si>
  <si>
    <t>Biodiesel Production Tax</t>
  </si>
  <si>
    <t>A private biodiesel producer that produces less than 5,000 gallons of biodiesel annually is subject to the annual state motor fuel tax.</t>
  </si>
  <si>
    <t>Indiana</t>
  </si>
  <si>
    <t>Diesel Vehicle Retrofit and Improvement Grants</t>
  </si>
  <si>
    <t>The Indiana Department of Environmental Management (IDEM) administers two DieselWise Indiana grant programs to support projects that reduce diesel emissions. The Clean Diesel Across Northern Indiana program provides grants ranging from $25,000 to $200,000 for projects in the Gary, Hammond, Michigan City, South Bend, Elkhart, and Fort Wayne areas. The Clean Diesel Across Indiana program provides grants ranging from $10,000 to $75,000 for projects in central and south Indiana. </t>
  </si>
  <si>
    <t>Vehicle Research and Development Grants</t>
  </si>
  <si>
    <t>The Indiana 21st Century Research and Technology Fund provides grants and loans to support economic development in high technology industry clusters. Incentives are available for qualified alternative fuel technologies and fuel-efficient vehicle development and production. </t>
  </si>
  <si>
    <t>Alternative Fuel Vehicle (AFV) Inspection and Maintenance Exemption</t>
  </si>
  <si>
    <t>Dedicated AFVs are exempt from inspection and maintenance requirements if they operate exclusively on natural gas, propane, ethanol, hydrogen, or methanol.</t>
  </si>
  <si>
    <t>E85 Fuel Use Incentive</t>
  </si>
  <si>
    <t>A political subdivision that purchases E85 for use in flexible fuel vehicles (FFVs) may be entitled to a monthly incentive payment of $33.33 for each FFV owned by the political subdivision for fewer than five years. The political subdivision is eligible if 75% of its motor vehicle fuel purchases were E85 in the previous month.</t>
  </si>
  <si>
    <t>Biodiesel Blend Tax Exemption</t>
  </si>
  <si>
    <t>Biodiesel blends of at least 20% (B20) that are used for personal, noncommercial use by the individual that produced the biodiesel portion of the fuel are exempt from the $0.16 per gallon license tax. </t>
  </si>
  <si>
    <t>Biodiesel Price Preference</t>
  </si>
  <si>
    <t>A governmental body, state educational institution, or instrumentality of the state that performs essential governmental functions on a statewide or local basis is entitled to a 10% price preference for the purchase of fuels containing at least 20% biodiesel (B20) by volume or fuels that are primarily ester-derived (other than alcohol) made from biological materials, such as oilseeds and animal fats, for use in operating compression and ignition engines.</t>
  </si>
  <si>
    <t>Natural Gas Vehicle (NGV) Rebate for Fleets</t>
  </si>
  <si>
    <t xml:space="preserve"> Citizens Gas &amp; Coke Utility (Citizens) offers rebates for qualified compressed natural gas (CNG) vehicle conversions or for the purchase of an original equipment manufacturer dedicated or bi-fuel CNG vehicle. </t>
  </si>
  <si>
    <t>Certified Technology Park Designation</t>
  </si>
  <si>
    <t>The Indiana Economic Development Corporation (IDEC) may designate an area as a certified technology park if certain criteria are met, including a commitment from at least one business engaged in a high technology activity that creates a significant number of jobs. </t>
  </si>
  <si>
    <t>Alternative Fuel and Special Fuel Definitions</t>
  </si>
  <si>
    <t>The definition of alternative fuel includes liquefied petroleum gas (propane). Special fuel is defined as all combustible gases and liquids that are suitable for powering an internal combustion engine or motor or are used exclusively for heating, industrial, or farm purposes. Special fuels include biodiesel, blended biodiesel, and natural gas products, including liquefied and compressed natural gas.</t>
  </si>
  <si>
    <t>Immunity for Misuse of E85</t>
  </si>
  <si>
    <t>E85 sellers, suppliers, distributors, manufacturers, and refiners are immune from civil liability for personal injury or property damage resulting from a person fueling any vehicle with E85 that is not a flexible fuel vehicle. </t>
  </si>
  <si>
    <t>Biodiesel is defined as a renewable, biodegradable fuel derived from agricultural plant oils or animal fats that meet ASTM specification D6751. Blended biodiesel is a blend of biodiesel with petroleum diesel fuel so that the volume percentage of biodiesel in the blend is at least 2% (B2). </t>
  </si>
  <si>
    <t>Special Fuel Tax</t>
  </si>
  <si>
    <t>Certain special fuels sold or used to propel motor vehicles are subject to a license tax. Liquefied natural gas is subject to a tax of $0.16 per diesel gallon equivalent. Compressed natural gas, butane, and propane are subject to a tax of $0.16 per gasoline gallon equivalent. The tax does not apply to nominal biodiesel blends of at least 20% (B20); special fuel used only for a personal, noncommercial use and not for resale; and biodiesel used by a biodiesel producer holding an exemption certificate. </t>
  </si>
  <si>
    <t>E85 is a fuel blend nominally consisting of 85% ethanol and 15% gasoline by volume that meets ASTM specification D5798. </t>
  </si>
  <si>
    <t>E85 Promotion and Education</t>
  </si>
  <si>
    <t>The Indiana State Department of Agriculture must work with automobile manufacturers to improve awareness and labeling of E85 and must coordinate with the appropriate companies to include E85 fueling stations in updates of global positioning navigation software. </t>
  </si>
  <si>
    <t>Biofuels Blend Use Requirement</t>
  </si>
  <si>
    <t>Whenever possible, governmental entities and state educational institutions must fuel diesel vehicles with biodiesel blends containing at least 2% biodiesel (B2), gasoline vehicles with mid-level ethanol blends between 20% and 73%, and flexible fuel vehicles with E85. </t>
  </si>
  <si>
    <t>Alternative Fuel Motor Carrier Fuel Tax</t>
  </si>
  <si>
    <t>A person who operates a commercial motor vehicle on any highway in Indiana is subject to a surcharge tax on the consumption of motor fuel. The tax rate is $0.11 per diesel gallon equivalent for liquefied natural gas and $0.11 per gasoline gallon equivalent for compressed natural gas, butane, or propane.</t>
  </si>
  <si>
    <t>E85 Retail Sales Reporting</t>
  </si>
  <si>
    <t>A retailer who dispenses E85 must report to the Indiana Department of State Revenue the total number of gallons of E85 sold from a metered pump. </t>
  </si>
  <si>
    <t>Michigan</t>
  </si>
  <si>
    <t>Alternative Fuel Development Property Tax Exemption</t>
  </si>
  <si>
    <t>A tax exemption may apply to industrial property that is used for, among other purposes, high-technology activities or the creation or synthesis of biodiesel fuel.</t>
  </si>
  <si>
    <t>Biodiesel Retail and Storage Requirements</t>
  </si>
  <si>
    <t>All biodiesel and biodiesel blends sold in Michigan must meet state fuel quality requirements, including ASTM D6751 specification. A refiner, distributor, or retailer cannot transfer or dispense biodiesel or biodiesel blends unless the fuel is visibly free of undissolved water, sediments, and other suspended matter. Additionally, a biodiesel retailer may not sell biodiesel or biodiesel blends drawn from a storage tank that has more than two inches of water or water-alcohol at the bottom. Any retailer of biodiesel or biodiesel blends must obtain a license from the Michigan Department of Agriculture for each operating retail location. </t>
  </si>
  <si>
    <t>Ohio</t>
  </si>
  <si>
    <t>Diesel Emissions Reduction Grant Program</t>
  </si>
  <si>
    <t>The Ohio Environmental Protection Agency administers a Diesel Emissions Reduction Grant Program for the purpose of reducing emissions from diesel engines in trucks, school and transit buses, marine fleets, and locomotives, as well as highway construction equipment.</t>
  </si>
  <si>
    <t>Alternative Fueling Infrastructure Incentive</t>
  </si>
  <si>
    <t>The Ohio Development Services Agency administers the Alternative Fuel Transportation Program (Program), which provides financial assistance to businesses, non-profit organizations, school districts, and local governments for the purchase and installation of alternative fueling, blending, and distribution facilities or terminals. For more information, see the Program website. </t>
  </si>
  <si>
    <t>School Bus Replacement Grant Program</t>
  </si>
  <si>
    <t>The Ohio Environmental Protection Agency (EPA) supports the purchase of replacement school buses in eligible Ohio counties through the Diesel Emission Reduction Grant program. Purchases are also supported with state allocated grant funding from the U.S. Environmental Protection Agency under the Diesel Emission Reduction Act. </t>
  </si>
  <si>
    <t>Alternative Fuel Vehicle Conversion Grant Program</t>
  </si>
  <si>
    <t>In early 2017, the Ohio Environmental Protection Agency will administer a one-time, $5 million grant program to replace or convert Class 7 and Class 8 diesel or gasoline trucks to natural gas or propane trucks. Vehicles must be privately operated in Ohio at least 50% of the time. Maximum grant awards will be 50% of the fuel components of the new vehicle or 50% of the cost of the conversion parts, up to $25,000. Total grants to any recipient may not exceed $400,000. </t>
  </si>
  <si>
    <t>Alternative Fuel Vehicle (AFV) Acquisition and Fuel Use Requirements</t>
  </si>
  <si>
    <t>All newly acquired state agency vehicles must be capable of using an alternative fuel and must use the relevant alternative fuel if it is reasonably priced and available. </t>
  </si>
  <si>
    <t>Alternative Fuel Signage</t>
  </si>
  <si>
    <t>The Ohio Turnpike Commission allows businesses to place their logos on directional signs within the right-of-way of state turnpikes. An alternative fuel retailer may include a marking or symbol within their logo indicating that it sells one or more types of alternative fuel. </t>
  </si>
  <si>
    <t>It is unlawful to tamper with vehicle emissions control systems unless the action is for the purpose of converting a motor vehicle to operate on an alternative fuel and is in compliance with the standards adopted under the Clean Air Act Amendments. </t>
  </si>
  <si>
    <t>Kentucky</t>
  </si>
  <si>
    <t>Alternative Fuel Production Tax Incentives</t>
  </si>
  <si>
    <t>The Kentucky Economic Development Finance Authority (KEDFA) provides tax incentives to construct, retrofit, or upgrade an alternative fuel production or gasification facility that uses coal or biomass as a feedstock. KEDFA also provides tax incentives for energy-efficient alternative fuel production facilities and for up to five alternative fuel production facilities that use natural gas or natural gas liquids as a feedstock. </t>
  </si>
  <si>
    <t>Biodiesel Production and Blending Tax Credit</t>
  </si>
  <si>
    <t>Qualified biodiesel producers or blenders are eligible for an income tax credit of $1.00 per gallon of pure biodiesel (B100) or renewable diesel produced or used in the blending process. Re-blending of blended biodiesel does not qualify for the tax credit. The total amount of credits claimed by all biodiesel producers may not exceed the annual biodiesel tax credit cap of $10 million. </t>
  </si>
  <si>
    <t>Ethanol Production Tax Credit</t>
  </si>
  <si>
    <t>Qualified ethanol producers are eligible for an income tax credit of $1.00 per gallon of corn- or cellulosic-based ethanol that meets ASTM specification D4806. The total credit amount available for producers is $5 million for each fuel type in each taxable year.</t>
  </si>
  <si>
    <t>On-Farm Biofuel Production Grants</t>
  </si>
  <si>
    <t>The Governor's Office of Agricultural Policy provides grants through the County Agricultural Investment Program for on-farm energy efficiency and renewable energy production projects, including funding for equipment, structures, or other supplies necessary to convert biomass crops into useable energy or to convert grains and oilseeds into ethanol or biodiesel for use in on-farm equipment. </t>
  </si>
  <si>
    <t>Alternative Fuel Research, Development, and Promotion</t>
  </si>
  <si>
    <t>The Kentucky New Energy Ventures (KNEV) program provides grants and investments to companies for research, development, and commercialization of alternative fuels and renewable energy. </t>
  </si>
  <si>
    <t>Natural Gas Vehicles Safety Regulations</t>
  </si>
  <si>
    <t>Vehicles converted to operate on compressed natural gas (CNG), liquefied natural gas (LNG), or a bi-fuel system must be inspected for compliance with applicable Federal Motor Vehicle Safety Standards (FMVSS). The inspection must occur proximate to the conversion; every three years or 36,000 miles after the conversion, whichever comes first; and following any collision in which the vehicle was traveling at five miles per hour or greater.</t>
  </si>
  <si>
    <t>Clean Transportation Fuels for School Buses</t>
  </si>
  <si>
    <t>The Kentucky Department of Education (Department) must consider the use of clean transportation fuels in school buses as part of its regular procedure for establishing and updating school bus standards and specifications. </t>
  </si>
  <si>
    <t>Alternative Fuel and Conversion Definitions</t>
  </si>
  <si>
    <t>Clean transportation fuels include liquefied petroleum gas (or propane), compressed natural gas (CNG), liquefied natural gas (LNG), electricity, and other transportation fuels determined to be comparable with respect to emissions. </t>
  </si>
  <si>
    <t>An excise tax rate of 9% of the average wholesale price on a per gallon basis applies to all special fuels, including diesel, natural gas, liquefied petroleum gas (propane), ethanol, biodiesel, hydrogen, and any other combustible gases and liquids, excluding gasoline, used to propel motor vehicles. For taxation purposes, one gasoline gallon equivalent (GGE) of compressed natural gas (CNG) is equal to 5.66 pounds (lbs.) or 126.67 cubic feet. One GGE of liquefied natural gas (LNG) is equal to 6.06 lbs. </t>
  </si>
  <si>
    <t>Vehicle Acquisition Priorities and Alternative Fuel Use Requirement</t>
  </si>
  <si>
    <t>The Kentucky Finance and Administration Cabinet (Cabinet) must develop a strategy to replace at least 50% of commonwealth motor fleet light-duty vehicles with energy-efficient vehicles including hybrid electric, advanced lean burn, fuel cell, and alternative fuel vehicles. The Cabinet must also develop a strategy to increase the use of ethanol (including cellulosic ethanol), biodiesel, and other alternative fuels in commonwealth motor vehicle fleets.</t>
  </si>
  <si>
    <t>Tennessee</t>
  </si>
  <si>
    <t>Biofuel Fueling Infrastructure Grants</t>
  </si>
  <si>
    <t>The Tennessee Department of Transportation (TDOT) engages in public-private partnerships with transportation fuel providers to install biofuel fueling facilities. TDOT administers the Biofuel Green Island Corridor Grant Project (Project) to provide financial assistance for purchasing, preparing, and installing fueling facilities at private sector fuel stations. The goal of the Project is to help establish biofuel stations within 100 miles of each other along Tennessee's interstate system and major highways.</t>
  </si>
  <si>
    <t>Alternative Fuel and Fuel-Efficient Vehicle Acquisition and Use Requirements</t>
  </si>
  <si>
    <t>The Tennessee Department of General Services must ensure that at least 25% of newly purchased passenger motor vehicles procured for use in areas designated as ozone nonattainment areas are all-electric vehicles (EVs), hybrid electric vehicles (HEVs), natural gas vehicles (NGVs), or propane powered vehicles, provided that such vehicles are available at the time of procurement. </t>
  </si>
  <si>
    <t>Supply of Petroleum Products for Blending with Biofuels</t>
  </si>
  <si>
    <t>Petroleum product refiners and suppliers must make all grades of gasoline and diesel fuel available to any wholesaler in a condition that allows for the fuel to be blended with ethanol or other bio-based products and sold in Tennessee. In addition, gasoline products must be available with detergent additives in sufficient concentrations such that after the addition of ethanol, the final product meets or exceeds the lowest additive concentrations that the U.S. Environmental Protection Agency requires.</t>
  </si>
  <si>
    <t>Biodiesel and Ethanol Definitions and Retail Requirements</t>
  </si>
  <si>
    <t xml:space="preserve">Biodiesel blend stock must be at least 99% biodiesel (no more than 1% diesel fuel) and meet ASTM specification D6751. Ethanol is defined as nominally anhydrous ethyl alcohol meeting ASTM specification D4806. Ethanol blends made available for public use at a retail location must be labeled accordingly. </t>
  </si>
  <si>
    <t>Biofuel Blending Contract Regulation</t>
  </si>
  <si>
    <t>Any provision in a contract between a fuel wholesaler and a refiner or supplier that limits or restricts the wholesaler's ability to blend petroleum products with ethanol or biodiesel is null and void. </t>
  </si>
  <si>
    <t>Biofuels Quality Specifications</t>
  </si>
  <si>
    <t>The Tennessee Department of Agriculture may inspect and test biofuels under the Kerosene and Motor Fuels Quality Inspection Act of 1989. </t>
  </si>
  <si>
    <t>Mississippi</t>
  </si>
  <si>
    <t>Alternative Fuel Vehicle (AFV) Revolving Loan Program</t>
  </si>
  <si>
    <t>The Mississippi Alternative Fuel School Bus and Municipal Motor Vehicle Revolving Loan Program provides zero-interest loans for public school districts and municipalities to cover the incremental cost to purchase alternative fuel school buses and other motor vehicles, convert school buses and other motor vehicles to use U.S. Environmental Protection Agency compliant alternative fuel systems, purchase alternative fuel equipment, and install fueling stations. Loans are available for up to $300,000 for the purchase and retrofit of AFVs, and up to $500,000 for the purchase and installation of fueling station equipment and infrastructure. </t>
  </si>
  <si>
    <t>Fuel-Efficient and Alternative Fuel Vehicle Use</t>
  </si>
  <si>
    <t>The State Bureau of Fleet Management (Bureau), operated through the Mississippi Department of Finance and Administration, coordinates and promotes fuel efficiency when state agencies purchase, lease, rent, acquire, use, maintain, and dispose of vehicles. At least 75% of all vehicles titled under the Bureau must have a U.S. Environmental Protection Agency estimated fuel economy rating of at least 40 miles per gallon for highway driving.</t>
  </si>
  <si>
    <t>Installation of Alternative Fuel Components in Vehicles</t>
  </si>
  <si>
    <t>A propane or compressed natural gas (CNG) carburetion system installer who collects an installation service fee must hold an installer's license from the State Liquefied Compressed Gas Board (Board) and must notify the Board of any applicable installation.</t>
  </si>
  <si>
    <t>All gasoline containing 1% or more ethanol by volume offered for sale must be conspicuously identified as "with ethanol" or "containing ethanol." </t>
  </si>
  <si>
    <t>Biodiesel and Renewable Diesel Definitions and Requirements</t>
  </si>
  <si>
    <t>All producers, importers, wholesalers, and retailers of biodiesel, biodiesel blends, and renewable diesel blends must register their product with the Mississippi Department of Agriculture and Commerce (Department) 30 days before selling the product. Biodiesel is defined as an oxygenated fuel comprised of mono-alkyl esters of long chain fatty acids from biologically derived oil and fats. A biodiesel blend is defined as a fuel comprised of a specified ratio of biodiesel with petroleum-based fuel.</t>
  </si>
  <si>
    <t>Alabama</t>
  </si>
  <si>
    <t>Alternative Fuel and Idle Reduction Revolving Loan Program for Public Entities</t>
  </si>
  <si>
    <t>The Alabama Department of Economic and Community Affairs provides low-interest energy efficiency loans through its Local Government Energy Loan program to local governments and educational institutions. Local governments and public colleges and universities can borrow up to $350,000; K-12 public schools may borrow up to $350,000 per campus or $500,000 per school system. The minimum loan amount is $50,000 and the maximum loan term is five years.</t>
  </si>
  <si>
    <t>Biofuel Production Jobs Tax Credit</t>
  </si>
  <si>
    <t>Companies that invest in the development of a biofuel production facility may be eligible for a tax credit of 3% of the previous year's annual employee wages. Companies may also be eligible for a tax credit of 1.5% of qualified capital investment annually for up to 10 years. Companies may claim this credit against the income tax, estimated income taxes, financial institution excise tax, or the insurance premium tax; the credit may be claimed as a credit against taxes paid with a carryforward for earned but unused amounts.</t>
  </si>
  <si>
    <t>Alternative Fuel and Idle Reduction Revolving Loan Program for Private Entities</t>
  </si>
  <si>
    <t>The Alabama Department of Economic and Community Affairs provides an energy efficiency and renewable energy loan through its AlabamaSAVES program to commercial, industrial, and non-profit entities. </t>
  </si>
  <si>
    <t>Alternative Fuels Promotion and Information</t>
  </si>
  <si>
    <t>The Center for Alternative Fuels (Center) promotes alternative fuels as viable energy sources in the state. The Center may administer a grant program using income tax check-off program funds from the Alabama Alternative Fuels and Research Development Fund.</t>
  </si>
  <si>
    <t>Fuel-Efficient Green Fleets Policy and Fleet Management Program Development</t>
  </si>
  <si>
    <t>The Alabama Green Fleets Review Committee (Committee) is establishing a Green Fleets Policy (Policy) outlining a procedure for procuring state vehicles based on criteria that includes fuel economy and life cycle costing. </t>
  </si>
  <si>
    <t>Georgia</t>
  </si>
  <si>
    <t>High Occupancy Vehicle (HOV) and High Occupancy Toll (HOT) Lane Exemption</t>
  </si>
  <si>
    <t>Alternative fuel vehicles (AFVs) displaying the proper alternative fuel license plate may use HOV and HOT lanes, regardless of the number of passengers. Qualified AFVs may also use the HOT lanes toll-free.</t>
  </si>
  <si>
    <t>Alternative Fuel and Advanced Vehicle Job Creation Tax Credit</t>
  </si>
  <si>
    <t>A business that manufactures alternative energy products for use in battery, biofuel, and electric vehicle enterprises may claim an annual tax credit for five years. The amount of the tax credit is based on the number of eligible new full-time employee jobs. </t>
  </si>
  <si>
    <t>Alternative Fuel Vehicle (AFV) Infrastructure Incentives Study</t>
  </si>
  <si>
    <t>The Georgia Joint Alternative Fuels Infrastructure Study Committee will evaluate how providing market incentives for AFV fueling infrastructure may lead to AFV market deployment. The Committee will provide a report of its recommendations and proposed legislation by December 1, 2016. </t>
  </si>
  <si>
    <t>Alternative Fuel Excise Tax</t>
  </si>
  <si>
    <t>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t>
  </si>
  <si>
    <t>Ethanol Blending Regulation</t>
  </si>
  <si>
    <t>Gasoline suppliers who provide fuel to distributors in the state must offer gasoline that is suitable for blending with fuel alcohol. Suppliers may not prevent or inhibit a gasoline distributor from being a blender or from qualifying for any federal or state tax credit offered to blenders. </t>
  </si>
  <si>
    <t>Biodiesel Specifications</t>
  </si>
  <si>
    <t>Biodiesel produced or sold in the state, including for the purpose of blending with petroleum diesel, must meet ASTM specification D6751. </t>
  </si>
  <si>
    <t>Florida</t>
  </si>
  <si>
    <t>Natural Gas Vehicle (NGV) and Propane Vehicle Rebates</t>
  </si>
  <si>
    <t>The Florida Department of Agriculture and Consumer Services offers a rebate for up to 50% of the incremental cost to purchase or lease a new original equipment manufacturer NGV or propane vehicle, or convert a vehicle to run on natural gas or propane, up to $25,000 per vehicle and $250,000 per applicant per fiscal year. </t>
  </si>
  <si>
    <t>Renewable Energy and Energy Efficient Technology Grant Matching Program</t>
  </si>
  <si>
    <t>The Renewable Energy and Energy-Efficient Technologies (REET) Grant Matching Program provides matching grants of $50,000 to $1 million for demonstration, commercialization, research, and development projects relating to renewable energy technologies, bioenergy, and innovative technologies that significantly increase energy efficiency for vehicles. Municipalities and higher education institutions must match 50% of funds requested. All other eligible parties must provide a 100% match. Awards are subject to state funding availability.</t>
  </si>
  <si>
    <t>Ethanol Production Credit</t>
  </si>
  <si>
    <t>County governments are eligible to apply waste reduction credits towards their recycling goal, by using yard clippings, clean wood waste, or paper waste as feedstock for the production of clean-burning fuels such as ethanol. </t>
  </si>
  <si>
    <t>Biofuels Investment Tax Credit</t>
  </si>
  <si>
    <t>An income tax credit is available for 75% of all capital, operation, maintenance, and research and development costs incurred in connection with an investment in the production, storage, and distribution of biodiesel (B10-B100), ethanol (E10-E100), or other renewable fuel in the state, up to $1 million annually per taxpayer and $10 million annually for all taxpayers combined. </t>
  </si>
  <si>
    <t>Excise Tax Exemption for Biodiesel Produced by Schools</t>
  </si>
  <si>
    <t>Biodiesel fuel manufactured by a public or private secondary school is exempt from the diesel fuel excise tax and the associated registration requirements. To qualify for the exemption, total annual production of biodiesel must be less than 1,000 gallons and may only be used by the school, its employees, or its students.</t>
  </si>
  <si>
    <t>Provision for Renewable Fuels Investment</t>
  </si>
  <si>
    <t>To create jobs and improve the state's general infrastructure, the Florida State Board of Administration may invest up to 1.5% of the net assets of the system trust fund in technology and growth investments of businesses operating in Florida, including businesses related to biofuels, renewable energy, and other related applications.</t>
  </si>
  <si>
    <t>Biofuels Promotion</t>
  </si>
  <si>
    <t>The Florida Department of Management Services (DMS), in coordination with the Florida Department of Transportation (DOT), must conduct an analysis of fuel additives and biofuels DOT uses through its central fueling facilities. The DMS must also encourage other state government entities to analyze transportation fuel usage, including the types and percentages of fuels consumed, and report this information to the DMS. </t>
  </si>
  <si>
    <t>Biodiesel Producer Fuel Tax</t>
  </si>
  <si>
    <t>Municipalities, counties, or school districts producing biodiesel must file a return documenting their biodiesel production activities and pay $0.03 of the $0.04 tax required under Florida Statutes 206.87(1)(a), (b), and (c) each month to the Florida Department of Revenue.</t>
  </si>
  <si>
    <t>Alternative Fuel Economic Development</t>
  </si>
  <si>
    <t>Landowners may apply to amend the local government comprehensive plan to expand existing uses of rural agricultural industrial centers to include facilities that prepare biomass materials that can be used for the production of fuel, renewable energy, bioenergy, or alternative fuel. In addition, permitting agencies may expedite applications and local comprehensive plan amendments submitted for projects resulting in the production of biofuels or construction of a biofuel processing facility. </t>
  </si>
  <si>
    <t>Fuel-Efficient Vehicle Acquisition and Alternative Fuel Use Requirements</t>
  </si>
  <si>
    <t>When procuring new vehicles under a state purchasing plan, all Florida state agency, state university, community college, and local government fleets must select the vehicles with the greatest fuel efficiency available for a given use class, when fuel economy data is available. </t>
  </si>
  <si>
    <t>South Carolina</t>
  </si>
  <si>
    <t>Alternative Fuel Vehicle (AFV) Revolving Loan Program for Private Entities</t>
  </si>
  <si>
    <t>The South Carolina Business Development Corporation provides low interest loans for a variety of energy efficiency improvements, including AFV conversions and incremental costs, with qualified project payback periods. Eligible recipients include business and industries; utilities, non-profit organizations, and government entities may be eligible under special conditions. The loan may cover up to 100% of the project costs ranging from $50,000 to $1 million and must be repaid after one and one half times the projected payback period of the loan. </t>
  </si>
  <si>
    <t>Biofuels Distribution Infrastructure Tax Credit</t>
  </si>
  <si>
    <t>A taxpayer that purchases, constructs, or installs, and places into service a qualified commercial facility for distributing or dispensing biofuels is eligible for an income tax credit of up to 25% of the purchase, construction, and installation costs. </t>
  </si>
  <si>
    <t>Alternative Fuel Vehicle (AFV) Revolving Loan Program for Public Entities</t>
  </si>
  <si>
    <t>The South Carolina Energy Office (SCEO) provides low interest loans for a variety of energy efficiency improvements, including AFV conversions and incremental costs, with qualified project payback periods. Eligible recipients include state agencies, local governments, public colleges and universities, school districts, and private non-profit organizations. Private non-profit organizations and local government entities may be eligible for loans of up to 100% of eligible project costs ranging from $25,000 to $500,000 per state fiscal year. For state agencies and public educational institutions, SCEO will provide 70% of each project's funding as a loan and entities may also be eligible for ConserFund Plus grant of up to 30% project cost. </t>
  </si>
  <si>
    <t>Biofuels Production Facility Tax Credit</t>
  </si>
  <si>
    <t>A taxpayer that constructs and places into service a commercial facility for the production of biofuel is eligible for a tax credit of up to 25% of the cost of constructing or renovating a building and equipping the facility. </t>
  </si>
  <si>
    <t>Clean Energy Advisory Commission</t>
  </si>
  <si>
    <t>The South Carolina Clean Energy Industry Manufacturing Market Development Advisory Commission (Commission) will assist with the development of clean energy technologies, materials, and products, including advanced vehicle, alternative transportation fuel, battery manufacturing, and hydrogen fuel cell industries.</t>
  </si>
  <si>
    <t>State Agency Preference for Alternative Fuel and Advanced Vehicles</t>
  </si>
  <si>
    <t>State agencies purchasing motor vehicles must give preference to hybrid, plug-in hybrid electric, all-electric, biodiesel, hydrogen, fuel cell, or flexible fuel vehicles when the performance, quality, and anticipated life cycle costs are comparable to other available motor vehicles. </t>
  </si>
  <si>
    <t>Biofuel Blending Capability Requirements and Liability</t>
  </si>
  <si>
    <t>Terminal operators and other entities involved in the bulk transfer of gasoline or diesel, including suppliers and refiners, must offer all grades of petroleum products not already pre-blended with ethanol and biodiesel, and ensure that the motor fuel is suitable for subsequent blending with biofuels. Terminal operators and other bulk suppliers are not liable for fines, penalties, injuries, or damages resulting from subsequent blending of fuel sold at retail locations. Furthermore, no individual or entity can deny a distributor and retailer from blending biofuels for sale in South Carolina, as long as the individual or entity is registered with the U.S. Internal Revenue Service. </t>
  </si>
  <si>
    <t>Biodiesel Blend Distribution Mandate</t>
  </si>
  <si>
    <t>All state-owned diesel fueling facilities must provide fuel containing at least 5% biodiesel (B5) at all diesel pumps. </t>
  </si>
  <si>
    <t>Biodiesel Use in School Buses</t>
  </si>
  <si>
    <t>The South Carolina Department of Education must fuel state school bus fleets with biodiesel when feasible. </t>
  </si>
  <si>
    <t>North Carolina</t>
  </si>
  <si>
    <t>The retail sale, use, storage, and consumption of alternative fuels is exempt from the state retail sales and use tax. </t>
  </si>
  <si>
    <t>Alternative Fuel and Alternative Fuel Vehicle (AFV) Fund</t>
  </si>
  <si>
    <t>The North Carolina State Energy Office administers the Energy Policy Act (EPAct) Credit Banking and Selling Program, which enables the state to generate funds from the sale of EPAct 1992 credits. The funds that EPAct credit sales generate are deposited into the Alternative Fuel Revolving Fund (Fund) for state agencies to offset the incremental costs of purchasing biodiesel blends of at least 20% (B20) or ethanol blends of at least 85% (E85), developing alternative fueling infrastructure, and purchasing AFVs and hybrid electric vehicles. The Fund also covers additional projects approved by the Energy Policy Council.</t>
  </si>
  <si>
    <t>Alternative Fuel Vehicle (AFV) and Hybrid Electric Vehicle (HEV) Support</t>
  </si>
  <si>
    <t>The Clean Fuel Advanced Technology (CFAT) project provides grant funding to reducing transportation-related emissions in nonattainment and maintenance counties for National Ambient Air Quality Standards. A project that is adjacent to these areas may also be eligible for funding if the project will reduce emissions in eligible counties. The North Carolina Department of Transportation funds the CFAT project, which covers three broad areas: education and outreach; project funding; and recognition of exemplary activities. </t>
  </si>
  <si>
    <t>An individual who produces biodiesel for use in that individual's private passenger vehicle is exempt from the state motor fuel excise tax. </t>
  </si>
  <si>
    <t>Bond Exemption for Small Biofuels Suppliers</t>
  </si>
  <si>
    <t>Fuel blenders or suppliers of ethanol or biodiesel are not required to file a bond with the North Carolina Department of Revenue when the expected motor fuel tax liability is less than $2,000. </t>
  </si>
  <si>
    <t>Alternative Fuel and Idle Reduction Grants</t>
  </si>
  <si>
    <t>The North Carolina Department of Environment and Natural Resources Division of Air Quality provides grants for the incremental cost of original equipment manufacturer alternative fuel vehicles, vehicle conversions, and implementing idle reduction programs. </t>
  </si>
  <si>
    <t>Biodiesel Warranty Requirement</t>
  </si>
  <si>
    <t>All new state government diesel vehicles must have a manufacturer's warranty that allows the use of biodiesel blends of 20% (B20) in the vehicle. </t>
  </si>
  <si>
    <t>Ethanol Blend Labeling Requirements</t>
  </si>
  <si>
    <t>Pumps that dispense ethanol-blended gasoline available for purchase must be labeled with the registered brand name and the volume percentage, or blend level, of the ethanol (10% or less, 10-15%, 15-85% or 85%). The labels must be affixed to the front panel of the pump in a position that is clearly visible to the vehicle driver. Graphics requirements apply.</t>
  </si>
  <si>
    <t>Alternative Fuel Use and Fuel-Efficient Vehicle Requirements</t>
  </si>
  <si>
    <t>State-owned vehicle fleets must implement petroleum displacement plans to increase the use of alternative fuels and fuel-efficient vehicles. </t>
  </si>
  <si>
    <t>Ethanol Blend Requirement</t>
  </si>
  <si>
    <t>Suppliers that import gasoline for sale in North Carolina must offer fuel that is not pre-blended with fuel alcohol but that is suitable for future blending. Future contract provisions that restrict distributors or retailers from blending gasoline with fuel alcohol are void.</t>
  </si>
  <si>
    <t>Biodiesel Requirement for School Buses</t>
  </si>
  <si>
    <t>Every school bus that is capable of operating on diesel fuel must be capable of operating using blends of at least 20% biodiesel (B20). At least 2% of the total volume of fuel purchased annually by local school districts statewide for use in diesel school buses must be a minimum of B20, to the extent that biodiesel blends are available and compatible with the technology of the vehicles and the equipment used. </t>
  </si>
  <si>
    <t>Alternative Fuel Vehicle (AFV) Acquisition Goal</t>
  </si>
  <si>
    <t>North Carolina established a goal that at least 75% of new or replacement state government light-duty cars and trucks with a gross vehicle weight rating of 8,500 pounds or less must be AFVs or low emission vehicles.</t>
  </si>
  <si>
    <t>Virginia</t>
  </si>
  <si>
    <t>Green Jobs Tax Credit</t>
  </si>
  <si>
    <t>Qualified employers are eligible for a $500 tax credit for each new green job created that offers a salary of at least $50,000, for up to 350 jobs per employer. The credit is allowed for the first five years that the job is continuously filled. </t>
  </si>
  <si>
    <t>Alternative fuel is exempt from taxes if it is sold to a government entity for its exclusive use, sold to a non-profit charitable organization for the purpose of providing charitable services for low-income medical patients, or produced by an agricultural operator and used exclusively for farm use or vehicles of that operator. </t>
  </si>
  <si>
    <t>Biofuel Feedstock Registration Exemption</t>
  </si>
  <si>
    <t>Individuals that transport waste kitchen grease for conversion to biofuel are exempt from both the Virginia Department of Health registration and the associated annual application fee. </t>
  </si>
  <si>
    <t>Clean Energy Manufacturing Grants</t>
  </si>
  <si>
    <t xml:space="preserve">The Clean Energy Manufacturing Incentive Grant Program provides financial incentives to clean energy manufacturers, including biofuel producers. Producers must make a capital investment greater than $50 million and create at least 200 full-time jobs that pay at least the prevailing wage. </t>
  </si>
  <si>
    <t>Alternative Fuel Vehicle and Fueling Infrastructure Loans</t>
  </si>
  <si>
    <t>The Virginia Board of Education may use funding from the Literary Fund to provide loans to school boards that convert school buses to operate on alternative fuels or construct alternative fueling stations. </t>
  </si>
  <si>
    <t>Biofuels Production Grants</t>
  </si>
  <si>
    <t>The Biofuels Production Incentive Grant Program provides grants to producers of neat advanced biofuels, which include fuels derived from any cellulose, hemicellulose, or lignin from renewable biomass or algae, and producers of neat biofuels, which include biofuels derived from cereal grains. The grant for neat advanced biofuels or neat biofuels produced in the Commonwealth is $0.025 per gallon for 2016 through June 30, 2017.</t>
  </si>
  <si>
    <t>Ethanol Production Equipment Tax Exemption</t>
  </si>
  <si>
    <t>A county, city, or town may exempt, partially exempt, or set a lower tax rate for qualified equipment used by farmers or farm cooperatives to produce ethanol, provided that the ethanol feedstock consists primarily of farm products. </t>
  </si>
  <si>
    <t>Government Alternative Fuel Vehicle (AFV) Incentive</t>
  </si>
  <si>
    <t>The Virginia Department of Mines, Minerals and Energy, in collaboration with the Virginia Department of Transportation, offers up to $10,000 to state agencies and local governments for the incremental cost of new or converted AFVs. To be eligible, vehicles must comply with Buy America provisions or qualify for a waiver from the Federal Highway Administration, and must be garaged in areas of air quality nonattainment, as recognized by the federal Congestion Mitigation and Air Quality Improvement (CMAQ) program. </t>
  </si>
  <si>
    <t>Agriculture and Forestry Biofuel Production Grants</t>
  </si>
  <si>
    <t>The Agriculture and Forestry Industries Development Fund provides grants to promote and develop the agriculture and forestry industry in Virginia and create or expand value-added facilities, including qualified biofuel production facilities. Individual grants may not exceed $250,000 or 25% of qualified capital expenditures and are awarded at the governor's discretion. The grants are awarded to local governments and other Virginia political subdivisions working with qualified businesses.</t>
  </si>
  <si>
    <t>Clean Transportation Technology Investment Funding</t>
  </si>
  <si>
    <t>The Commonwealth Energy Fund (CEF), administered through the Center for Innovative Technology, provides early-stage investment funds for Virginia-based technology, life science, and clean technology companies. Eligible clean transportation technologies may include vehicles, components, batteries, and fuel cells, in addition to biofuels.</t>
  </si>
  <si>
    <t>Biodiesel Production Tax Credit</t>
  </si>
  <si>
    <t>Qualified biodiesel and green diesel producers are eligible for a tax credit of $0.01 per gallon of biodiesel or green diesel fuels produced.</t>
  </si>
  <si>
    <t>Alternative Fuel Vehicle (AFV) Conversion Fund</t>
  </si>
  <si>
    <t>The AFV Conversion Fund (Fund) was created to assist commonwealth agencies, local government, and local school divisions with the incremental cost of commonwealth and local government owned AFVs, both original equipment manufacturer vehicles and aftermarket conversions. </t>
  </si>
  <si>
    <t>Biodiesel and Green Diesel Fuel Use Requirement</t>
  </si>
  <si>
    <t>Commonwealth agencies and institutions must procure only diesel fuel containing at least 2% biodiesel (B2) or green diesel fuel for use in on-road diesel internal combustion engines; this requirement does not apply if supply is not readily available or the cost of the fuel exceeds the cost of conventional diesel by 5% or more. </t>
  </si>
  <si>
    <t>Alternative Fuel and Vehicle Tax</t>
  </si>
  <si>
    <t xml:space="preserve">Alternative fuels used to operate on-road vehicles are taxed at a rate of $0.162 per gasoline gallon equivalent (GGE). Alternative fuels are taxed at the same rate as gasoline and gasohol (5.1% of the statewide average wholesale price of a gallon of self-serve unleaded regular gasoline). All-electric vehicles (EVs) registered in Virginia are subject to a $64.00 annual license tax at time of registration. </t>
  </si>
  <si>
    <t>Alternative Fuel School Bus Regulations</t>
  </si>
  <si>
    <t>The Virginia Board of Education may not unreasonably limit the authority of any local school division to purchase and use school buses powered by compressed natural gas (CNG) or other alternative fuels or convert its school buses to use CNG or other alternative fuels.</t>
  </si>
  <si>
    <t>Alternative fuel providers, bulk users, and retailers, or any person who fuels an alternative fuel vehicle from a private source that does not pay the alternative fuels tax must obtain an alternative fuel license from the Virginia Department of Motor Vehicles (DMV). </t>
  </si>
  <si>
    <t xml:space="preserve">The Virginia Energy Plan (Plan) assesses the commonwealth's primary energy sources and recommends actions to meet the following goals: make Virginia the energy capital of the East Coast by expanding traditional and alternative energy production, jobs, and investment, and increasing energy conservation and efficiency; expand public education about Virginia's energy production and consumption, its effect on the economy, and methods to increase energy efficiency; assess the impact of federal clean air standards; and maximize investment in clean energy research and development. The Plan includes policies to promote alternative fuel and efficient vehicle use, encourage efficient driving techniques, and reduce vehicle miles traveled. </t>
  </si>
  <si>
    <t>Alternative Fuel Vehicle (AFV) Signs for School Buses</t>
  </si>
  <si>
    <t>The Virginia Board of Education may provide for the display of signs or other markings on school buses using alternative fuels to identify the vehicle as an AFV and indicate the type of alternative fuel used. </t>
  </si>
  <si>
    <t>Biofuels and Green Diesel Definitions</t>
  </si>
  <si>
    <t>Advanced biofuels are defined as fuels derived from any cellulose, hemicellulose, or lignin from renewable biomass or algae. Biofuels are defined as neat biodiesel, green diesel, or ethanol fuels that are not blended with a conventional fuel such as gasoline or diesel. Green diesel is a fuel produced from non-fossil renewable resources, including agricultural or silvicultural plants; animal fats; residue and waste generated from the production, processing, and marketing of agricultural products, silvicultural products; and other renewable resources; that meets applicable ASTM specifications. Ethanol is defined as denatured alcohol fuel that is derived from agricultural products or other renewable resources and meets applicable ASTM standards.</t>
  </si>
  <si>
    <t>West Virginia</t>
  </si>
  <si>
    <t>An income tax credit is available to eligible taxpayers who convert a vehicle to operate as a dedicated or bi-fuel natural gas or propane vehicle or who purchase a new original equipment manufacturer dedicated or bi-fuel natural gas or propane vehicle. The value of the tax credit is 35% of the vehicle purchase price or 50% of the vehicle conversion cost, up to $7,500 for vehicles with a gross vehicle weight rating (GVWR) up to 26,000 pounds (lbs.) and up to $25,000 for vehicles with a GVWR greater than or equal to 26,000 lbs. </t>
  </si>
  <si>
    <t>Alternative Fuel School Bus Incentive</t>
  </si>
  <si>
    <t>Any county that uses compressed natural gas (CNG) for the operation of any portion of its school bus fleet is eligible for a 10% reimbursement from the West Virginia Department of Education to help offset the cost of maintenance, operation, and other costs incurred from using those CNG school buses. Counties receiving this reimbursement that also use biodiesel school buses may receive an additional 7.5% reimbursement to help offset the cost of maintenance, operation, and other costs incurred from the biodiesel buses. </t>
  </si>
  <si>
    <t>An income tax credit is available to eligible taxpayers who construct or purchase and install qualified alternative fueling infrastructure. The tax credit is 20% of the total allowable costs associated with construction or purchase and installation of the equipment, up to $400,000 per facility. For the purpose of this tax credit, qualified alternative fuels include natural gas and propane. </t>
  </si>
  <si>
    <t>West Virginia higher education governing boards must use alternative fuels to the maximum extent feasible.</t>
  </si>
  <si>
    <t>Alternative Fuel Production Subsidy Prohibition</t>
  </si>
  <si>
    <t>Incentives or subsidies from political subdivisions for the production of alternative fuels are prohibited by law, with exceptions for certain coal-based liquid fuels. </t>
  </si>
  <si>
    <t>Provision for Establishment of Alternative Fuel Vehicle (AFV) Acquisition Requirements</t>
  </si>
  <si>
    <t>The West Virginia Department of Administration (Department) may require that up to 75% of a state agency's fleet consist of AFVs. To meet these requirements, agencies may purchase or lease AFVs or convert existing vehicles to operate using alternative fuels. </t>
  </si>
  <si>
    <t>Alternative Fuels Tax</t>
  </si>
  <si>
    <t>Alternative fuels are subject to an excise tax at a rate of $0.205 per gasoline gallon equivalent, with a variable component equal to at least 5% of the average wholesale price of the fuel.</t>
  </si>
  <si>
    <t>Alternative Fuel Vehicle (AFV) and Infrastructure Tax Credit</t>
  </si>
  <si>
    <t>Businesses and individuals are eligible for an income tax credit of 50% of the incremental or conversion cost for qualified AFVs, up to $19,000 per vehicle. A tax credit is also available for 50% of the equipment and labor costs for the purchase and installation of alternative fuel infrastructure on qualified AFV fueling property. The maximum credit is $1,000 per residential electric vehicle charging station, and $10,000 per publicly accessible AFV fueling station. Qualified alternative fuels include, ethanol blends of at least 85%, compressed natural gas, liquefied natural gas, propane, biodiesel, electricity, and hydrogen. </t>
  </si>
  <si>
    <t>Alternative Fuel Vehicle Exemption from Driving Restrictions</t>
  </si>
  <si>
    <t>Certified clean fuel vehicles are exempt from time-of-day and day-of-week restrictions and commercial vehicle bans, if these vehicles are part of a fleet that operates at least 10 vehicles in the District of Columbia, a Clean Air Act designated ozone nonattainment area. </t>
  </si>
  <si>
    <t>Fleets that operate at least 10 vehicles in the District of Columbia, a Clean Air Act designated ozone nonattainment area, must ensure that 70% of newly purchased vehicles with a gross vehicle weight rating (GVWR) of 8,500 pounds (lbs.) or less and 50% of vehicles with a GVWR between 8,500 lbs. and 26,000 lbs. are clean fuel vehicles. </t>
  </si>
  <si>
    <t>Maryland</t>
  </si>
  <si>
    <t>Innovative Transportation Project Competitive Grant Program</t>
  </si>
  <si>
    <t>The Maryland Energy Administration (MEA) provides funds to deploy "game changing" or innovative transportation projects that increase the use of alternative fuel vehicles, such as workplace charging.</t>
  </si>
  <si>
    <t>Alternative Fuel Infrastructure Grants</t>
  </si>
  <si>
    <t>The Maryland Energy Administration administers the Maryland Alternative Fuel Infrastructure Program (AFIP), which provides grants to develop public access alternative fueling and charging infrastructure. Only Maryland-based private businesses are eligible, and projects must take place in the state. Grant awards will range from $35,000 to $500,000 and applicant cost share must be at least 50%. </t>
  </si>
  <si>
    <t>Biofuels Production Incentive</t>
  </si>
  <si>
    <t xml:space="preserve">Qualified ethanol and biodiesel producers are eligible for production incentives on a per gallon basis. Ethanol production credits are as follows: a) $0.20 per gallon of ethanol produced from small grains such as wheat, rye, triticale, oats, and hulled or hull-less barley; or b) $0.05 per gallon of ethanol produced from other agricultural products. Biodiesel production credits are as follows: a) $0.20 per gallon of biodiesel produced from soybean oil (the soybean oil must be produced in a facility or through expanded capacity of a facility that began operating after December 31, 2004), or b) $0.05 per gallon for biodiesel produced from other feedstocks, including soybean oil produced in a facility that began operating on or before December 31, 2004. </t>
  </si>
  <si>
    <t xml:space="preserve">At least 50% of state vehicles using petroleum diesel fuel must use a minimum blend of 5% biodiesel (B5) or other biofuel approved by the U.S. Environmental Protection Agency (EPA) as a fuel or fuel additive. dditionally, bi-fuel and flexible fuel vehicles capable of operating on either alternative fuel or conventional fuel must use alternative fuel when it is available. </t>
  </si>
  <si>
    <t>Aftermarket Alternative Fuel Vehicle (AFV) Conversion Requirements</t>
  </si>
  <si>
    <t>Conventional original equipment manufacturer vehicles altered to operate on propane, natural gas, methane, ethanol, or electricity are classified as aftermarket AFV conversions. </t>
  </si>
  <si>
    <t>Pennsylvania</t>
  </si>
  <si>
    <t>Alternative Fuel Vehicle (AFV) and Hybrid Electric Vehicle (HEV) Funding</t>
  </si>
  <si>
    <t xml:space="preserve">The Alternative Fuels Incentive Grant (AFIG) Program provides financial assistance for qualified projects; information on alternative fuels, AFVs, and HEVs; and advanced vehicle technology research, development, and demonstration. The rebate amounts are $2,000 for qualified EVs and PHEVs and $1,000 for NGVs and propane vehicles. </t>
  </si>
  <si>
    <t>All gasoline sold in Pennsylvania must contain at least 10% cellulosic ethanol. All diesel fuel sold in Pennsylvania must contain at least 2% biodiesel (B2) one year after in-state production of biodiesel reaches 40 million gallons.</t>
  </si>
  <si>
    <t>Alternative fuels used to propel vehicles of any kind on public highways are taxed at a rate determined on a gasoline gallon equivalent basis. </t>
  </si>
  <si>
    <t>Conventional original equipment manufacturer vehicles altered to operate on propane, natural gas, methane, ethanol, or electricity are classified as aftermarket AFV conversions.</t>
  </si>
  <si>
    <t>Deleware</t>
  </si>
  <si>
    <t>Taxes imposed on alternative fuels used in official vehicles for the United States government or any Delaware state government agency, including volunteer fire and rescue companies, are waived. Alternative fuel retailers must obtain a fuel supplier's license from the Delaware Department of Transportation (DelDOT), and operators or owners of vehicles using alternative fuel must obtain either a special fuel user's license from DelDOT or pay the special fuel tax. </t>
  </si>
  <si>
    <t>Alternative Fuel Vehicle (AFV) Rebates</t>
  </si>
  <si>
    <t>As part of the Delaware Clean Transportation Incentive Program, the Delaware Department of Natural Resources and Environmental Control offers rebates for new, leased, or converted AFVs.</t>
  </si>
  <si>
    <t>All new light-duty vehicles that Delaware state agencies, departments, and offices purchase must be hybrid electric, alternative fuel, fuel-efficient, or low emission vehicles, unless such a purchase compromises health, safety, or law enforcement needs. Additionally, the state must develop procedures for diesel fleet vehicles to use biodiesel fuel blends of the highest practical percent.</t>
  </si>
  <si>
    <t>New Jersey</t>
  </si>
  <si>
    <t>Biofuel Use Requirements</t>
  </si>
  <si>
    <t xml:space="preserve">To reduce fossil fuel dependence and statewide greenhouse gas emissions, New Jersey state departments, agencies, offices, universities, and colleges must purchase biofuels for use in motor vehicles if the cost of biofuel is the same or less than the cost of gasoline or diesel, and if the fuel replacement is reasonable. For the purpose of this regulation, a biofuel is a liquid or gaseous fuel produced from organic sources, including native noninvasive energy crops, agricultural residues, and non-recycled organic waste, such as waste cooking oil, grease, food wastes, sewage, and algae. </t>
  </si>
  <si>
    <t>Low Emission or Alternative Fuel Bus Acquisition Requirement</t>
  </si>
  <si>
    <t>All buses purchased by the New Jersey Transit Corporation (NJTC) must be: 1) equipped with improved pollution controls that reduce particulate emissions; or 2) powered by a fuel other than conventional diesel. </t>
  </si>
  <si>
    <t>Biodiesel and Renewable Diesel Definitions</t>
  </si>
  <si>
    <t>Biodiesel is defined as the monoalkyl esters of long chain fatty acids derived from plant or animals that meet the registration requirements for fuels and fuel additives established in Section 211 of the Clean Air Act, Title 42 of the U.S. Code of Federal Regulations, section 7545, and the requirements of ASTM D6751. Renewable diesel is defined as diesel fuel derived from biomass using a thermal depolymerization process that meets the registration requirements for fuels and fuel additives established in Section 211 of the Clean Air Act, Title 42 of the U.S. Code of Federal Regulations, section 7545, and the requirements of ASTM D975 or D396.</t>
  </si>
  <si>
    <t>The New Jersey Assembly urges the U.S. Congress to maintain the federal Renewable Fuels Standard, which will increase the production of domestic renewable fuel, enhance consumer choice, improve the economy, increase national security, and improve the environment. </t>
  </si>
  <si>
    <t>Conventional original equipment manufacturer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 </t>
  </si>
  <si>
    <t>New York</t>
  </si>
  <si>
    <t>Alternative Fuel Vehicle Research and Development Funding</t>
  </si>
  <si>
    <t>The New York State Energy Research and Development Authority's (NYSERDA) Clean Transportation Program provides funding for projects that enhance mobility, improve efficiency, reduce congestion, and diversity transportation methods and fuels through research and development of advanced technologies. </t>
  </si>
  <si>
    <t>Biofuel Production Tax Credit</t>
  </si>
  <si>
    <t xml:space="preserve">Biofuel producers in New York State may qualify for a state tax credit of $0.15 per gallon of biodiesel (B100) or denatured ethanol produced after the production facility has produced, and made available for sale, 40,000 gallons of biofuel per year. </t>
  </si>
  <si>
    <t>Fuel Exclusivity Contract Regulation</t>
  </si>
  <si>
    <t>Motor fuel franchise dealers may obtain alternative fuels from a supplier other than a franchise distributor. Any franchise provision that prohibits or discourages a dealer from purchasing or selling E85, biodiesel blends of at least 2% (B2), hydrogen, or compressed natural gas from a firm or individual other than the distributor is null and void as it pertains to that particular alternative fuel if the distributor does not supply or offer to supply the dealer with the alternative fuel. Distributors who violate the law by entering into exclusivity contracts will be subject to a $1,000 fine. </t>
  </si>
  <si>
    <t>Conventional original equipment manufacturer vehicles altered to operate on propane, natural gas, methane, ethanol, or electricity are classified as aftermarket AFV conversions. All vehicle conversions must meet current applicable California Air Resources Board standards for aftermarket conversions. </t>
  </si>
  <si>
    <t>Connecticut</t>
  </si>
  <si>
    <t>Biofuels Research Grants</t>
  </si>
  <si>
    <t>The Connecticut Department of Economic and Community Development administers a fuel diversification grant program to provide funding to Connecticut higher education or agricultural research institutions for research to promote biofuel production from agricultural products, algae, and waste grease, as well as biofuel quality testing.</t>
  </si>
  <si>
    <t>Alternative Fuel and Fuel-Efficient Vehicle Acquisition and Emissions Reduction Requirements</t>
  </si>
  <si>
    <t>Cars and light-duty trucks that a state agency purchases must: 1) have an average U.S. Environmental Protection Agency estimated fuel economy of at least 40 miles per gallon; 2) comply with state fleet vehicle acquisition requirements set forth under the Energy Policy Act of 1992 (EPAct); and 3) obtain the best achievable fuel economy per pound of carbon dioxide emitted for the applicable vehicle classes. all cars and light-duty trucks that the state purchases or leases must be hybrid electric vehicles, plug-in hybrid electric vehicles, or capable of using alternative fuel.</t>
  </si>
  <si>
    <t>Any motor vehicle fuel sold at retail containing more than 1% ethanol or methanol must be labeled according to Connecticut Department of Consumer Protection specifications to indicate the percentage of ethanol in the fuel. </t>
  </si>
  <si>
    <t>Alternative Fuel Vehicle (AFV) Procurement Preference</t>
  </si>
  <si>
    <t>In determining the lowest responsible qualified bidder for the award of state contracts, the Connecticut Department of Administrative Services may give a price preference of up to 10% for the purchase of AFVs or for the purchase of conventional vehicles plus the conversion equipment to convert the vehicles to dual or dedicated alternative fuel use. </t>
  </si>
  <si>
    <t>School Bus Emissions Reduction</t>
  </si>
  <si>
    <t>Each full-sized school bus with a Model Year (MY) 1994 or newer engine must be equipped with specific emissions control systems, including either: a closed crankcase filtration system and a level 1, level 2, or level 3 device; an engine that the U.S. Environmental Protection Agency (EPA) has certified as meeting MY 2007 emissions standards; or use of compressed natural gas or other alternative fuel that EPA or the California Air Resources Board has certified to reduce particulate matter emissions by at least 85% as compared to ultra-low sulfur diesel fuel. </t>
  </si>
  <si>
    <t>Emissions Reduction Credits</t>
  </si>
  <si>
    <t>Any state mobile emissions reduction credits program must allow credits for emissions reductions achieved by converting a vehicle to operate on an alternative fuel, even if the conversion took place before the credit program began. </t>
  </si>
  <si>
    <t>Rhode Island</t>
  </si>
  <si>
    <t>Biodiesel is exempt from the $0.30 per gallon state motor fuel tax. Biodiesel may be blended with other fuel for use in motor vehicles, but only the biodiesel portion of the blended fuel is exempt. </t>
  </si>
  <si>
    <t>State Agency Coordination to Address Climate Change</t>
  </si>
  <si>
    <t>The Rhode Island Climate Change Coordinating Council (Council) was established to coordinate efforts between state agencies to reduce greenhouse gas (GHG) emissions. The Council will pursue GHG emissions reductions of 10% below 1990 levels by 2020, 45% below 1990 levels by 2035, and 80% below 1990 levels by 2050. With assistance from the Council, state agencies will develop programs to encourage state employees to reduce vehicle miles traveled and use public transportation when available. The Council will also work with municipalities to encourage sustainability; identify federal, state, and private funding opportunities that can be leveraged to reduce emissions in Rhode Island; and develop GHG emissions reduction strategies. </t>
  </si>
  <si>
    <t>Alternative Fuel Vehicle (AFV) and Zero Emission Vehicle (ZEV) Acquisition Requirements</t>
  </si>
  <si>
    <t>At least 75% of state motor vehicle acquisitions must be AFVs, and the remaining 25% must be HEVs to the greatest extent possible. By 2025, 25% of state motor vehicle acquisitions must be ZEVs; All new light-duty trucks in the state fleet must achieve a minimum city fuel economy of 19 miles per gallon (mpg) and achieve at least a Low Emission Vehicle certification, and all new passenger vehicles in the state fleet must achieve a minimum city fuel economy of 23 mpg; All state agencies must purchase the most economical, fuel-efficient, and lowest emission vehicles appropriate to meet requirements and discourage the purchase of sport utility vehicles; All state agencies must purchase low rolling resistance tires with superior tread life for state vehicles when possible; and All state vehicles must be maintained according to manufacturer specifications, including specified tire pressures and ratings.</t>
  </si>
  <si>
    <t>Alternative Transportation Fuel Study</t>
  </si>
  <si>
    <t>The Rhode Island Office of Energy Resources (OER) will prepare a study on strategies to reduce greenhouse gas emissions and promote alternative transportation fuels in Rhode Island, including any suggested regulatory changes. OER will submit the report to the governor and the senate. </t>
  </si>
  <si>
    <t>Massachusetts</t>
  </si>
  <si>
    <t>Alternative Fuel Vehicle and Infrastructure Grants</t>
  </si>
  <si>
    <t>The Massachusetts Department of Energy Resources' Clean Vehicle Project offers grant funding for public and private fleets to purchase alternative fuel vehicles and infrastructure, as well as idle reduction technology. Eligible vehicles include those fueled by natural gas, propane, and electricity, including hybrid electric, solar electric, and hydraulic hybrid vehicles. </t>
  </si>
  <si>
    <t>Cellulosic Biofuel Tax Exemption</t>
  </si>
  <si>
    <t>Fuel consisting of cellulosic biofuel or a blend of gasoline and cellulosic biofuel is eligible for a fuel tax exemption in proportion to the percentage of the fuel content consisting of cellulosic biofuel. </t>
  </si>
  <si>
    <t>Alternative Fuel Offering Requirement</t>
  </si>
  <si>
    <t>The Massachusetts Department of Transportation may not enter into, renew, or renegotiate a contract with a fuel provider for services on the Massachusetts Turnpike without requiring the provider to offer alternative fuel. Alternative fuel is defined as an energy source that is used to power a vehicle and is not gasoline or diesel. </t>
  </si>
  <si>
    <t>State Hybrid Electric (HEV) Alternative Fuel Vehicle (AFV) Acquisition Requirements</t>
  </si>
  <si>
    <t xml:space="preserve">When purchasing new motor vehicles, the Commonwealth of Massachusetts must purchase HEVs or AFVs to the maximum extent feasible and consistent with the ability of such vehicles to perform their intended functions. HEVs and AFVs must be acquired at a rate of at least 5% annually for all new motor vehicle purchases so that not less than 50% of the motor vehicles the Commonwealth owns and operates will be HEVs or AFVs by 2018. State fleets must also acquire AFVs according to the requirements of the Energy Policy Act (EPAct) of 1992 and the Massachusetts Office of Vehicle Management (OVM) must approve any light-duty vehicle acquisition. </t>
  </si>
  <si>
    <t>Voluntary Biofuels Program</t>
  </si>
  <si>
    <t>In place of the formal Biodiesel Blend Mandate, the Massachusetts Department of Energy Resources (DOER) will launch a voluntary biofuels program through which DOER will work with biodiesel suppliers to certify biofuels. </t>
  </si>
  <si>
    <t>Pursuant to state law, all diesel motor vehicle fuel and all other liquid fuel used to operate motor vehicle diesel engines in Massachusetts must contain at least 2% renewable diesel fuel by July 1, 2010; 3% renewable diesel fuel by July 1, 2011; 4% renewable diesel fuel by July 1, 2012; and 5% renewable diesel fuel by July 1, 2013. </t>
  </si>
  <si>
    <t>State Agency Alternative Fuel Use Requirement</t>
  </si>
  <si>
    <t>All Massachusetts agencies must use a minimum of 15% biodiesel (B15) in all on- and off-road diesel engines, provided that the Commonwealth Office of Vehicle Management and other appropriate agencies have determined that a B15 goal is appropriate. Each year, the Massachusetts Department of Energy Resources (DOER) must set minimum percentage requirements for E85 use in state flexible fuel vehicles, depending on the availability of the fuel in the state. </t>
  </si>
  <si>
    <t>Vermont</t>
  </si>
  <si>
    <t>Alternative Fuel and Advanced Vehicle Research and Development Tax Credit</t>
  </si>
  <si>
    <t>Vermont businesses that qualify as a high-tech business involved exclusively in the design, development, and manufacture of alternative fuel vehicles, hybrid electric vehicles, all-electric vehicles, or energy technology involving fuel sources other than fossil fuels are eligible for up to three of the following tax credits: 1) payroll income tax credit; 2) qualified research and development income tax credit; 3) export tax credit; 4) small business investment tax credit; and 5) high-tech growth tax credit. </t>
  </si>
  <si>
    <t>State Agency Energy Plan Transportation Requirements</t>
  </si>
  <si>
    <t>The Vermont Agency of Administration developed and oversees the implementation of the State Agency Energy Plan (Plan). The Agency of Administration must modify the Plan as necessary and re-adopt it on or before January 15 of each fifth year. As specified in the 2010 Plan, the Vermont Agency of Transportation must continue to use 5% biodiesel (B5) in its fleet of heavy-duty vehicles. The Vermont Department of Buildings and General Services must continue to use hybrid electric vehicles and Partial Zero Emission Vehicles in its fleet, while adjusting purchases based on annual fleet selection monitoring and available vehicle technology. All state agencies must investigate the use of additional alternative fuel and advanced technology vehicles, as well as the necessary fueling infrastructure, such as incorporating electric vehicle supply equipment at appropriate state facilities.</t>
  </si>
  <si>
    <t>Carbon Reduction Procurement Policies</t>
  </si>
  <si>
    <t xml:space="preserve">The Vermont Agency of Administration and the Climate Cabinet must revise state acquisition policies to ensure consideration of vendor business practices that promote clean energy and address climate change. Policies should consider, for example, the use of and support of plug-in electric and zero emission vehicles, including providing workplace charging stations. </t>
  </si>
  <si>
    <t>The Vermont Department of Buildings and General Services must consider AFVs when purchasing vehicles for state use, provided that the alternative fuel is suitable for the vehicle's operation, is available in the region where the vehicle will be used, and is competitively priced with conventional fuels.</t>
  </si>
  <si>
    <t>New Hampshire</t>
  </si>
  <si>
    <t>Diesel Emissions Reduction Grants</t>
  </si>
  <si>
    <t>The New Hampshire Department of Environmental Services (NHDES) provides U.S. Environmental Protection Agency Diesel Emissions Reduction Act (DERA) funding for projects that reduce diesel emissions in New Hampshire. Funding for between 25% and 100% of eligible project costs is available for businesses, individuals, and local or state agencies that reduce diesel emissions by converting engines to alternative fuels, retrofitting exhaust controls, purchasing new vehicles, or adding idle reduction equipment. </t>
  </si>
  <si>
    <t>Biodiesel Blend Purchase Requirement</t>
  </si>
  <si>
    <t>Diesel fuel that the New Hampshire Department of Transportation (DOT) purchases through the Motor Fuel Inventory Fund must contain at least 5% biodiesel (B5). Compliance with this requirement is at DOT's discretion only if the fuel is unavailable or more expensive than 100% petroleum diesel. DOT is encouraged to purchase diesel fuel containing up to 20% biodiesel (B20) when the fuel is acceptable for use. </t>
  </si>
  <si>
    <t>State Energy Strategy Development</t>
  </si>
  <si>
    <t>The New Hampshire Office of Energy Planning, in consultation with the New Hampshire Energy Advisory Council, prepared a 10-year energy strategy for the state. Among other issues, the strategy addresses the impact of transportation policies and programs on electricity energy needs in the state. The recommendations in the strategy include enabling and encouraging adoption of plug-in electric vehicles, and reducing unnecessary idling. </t>
  </si>
  <si>
    <t>Biodiesel Distributor License and Recordkeeping Requirements</t>
  </si>
  <si>
    <t>Any person who refines, distills, prepares, blends, manufactures, or purchases biodiesel on which the road tax has not been paid and who is not a licensed and bonded distributor must become licensed with the New Hampshire Department of Safety (DOS). An annual license fee of $25 applies.</t>
  </si>
  <si>
    <t>Biodiesel is a renewable special fuel that is composed of mono-alkyl esters of long chain fatty acids, derived from vegetable oils or animal fats, and meets the requirements of the ASTM specification D6751.</t>
  </si>
  <si>
    <t>Maine</t>
  </si>
  <si>
    <t>Biodiesel Fuel Tax Exemption</t>
  </si>
  <si>
    <t>An individual that produces biodiesel for personal use or use by a member of his or her immediate family is exempt from the state fuel excise tax.</t>
  </si>
  <si>
    <t>Provision for Establishment of Clean Fuel Vehicle Insurance Incentives</t>
  </si>
  <si>
    <t>An insurer may credit or refund any portion of the premium charged for an insurance policy on a clean fuel vehicle in order to encourage its policyholders to use clean fuel vehicles, as long as insurance premiums on other vehicles are not increased to fund these credits or refunds. Clean fuels include, but are not limited to, natural gas, propane, hydrogen, alcohol fuels containing not less than 85% alcohol by volume, and electricity. </t>
  </si>
  <si>
    <t>Prohibition of the Sale of Ethanol-Blended Gasoline</t>
  </si>
  <si>
    <t>A person or distributor may not offer, sell, or distribute gasoline that contains ethanol at a level greater than 10% (E10) or contains corn-based ethanol as an additive. The prohibition does not take effect until at least ten other states or a number of states with a collective population of 30 million have enacted laws preventing the sale of these fuel blends. </t>
  </si>
  <si>
    <t>Blended fuels that contain at least 10% gasoline or diesel are taxed at the full tax rates of gasoline ($0.30 per gallon) or diesel ($0.312 per gallon).</t>
  </si>
  <si>
    <t>State Plan to Reduce Petroleum Consumption</t>
  </si>
  <si>
    <t>The Governor's Office of Energy Independence and Security developed the Comprehensive Energy Action Plan in response to Public Law 656, 2008, in an effort to advance the principles, the programs and the integrated plans necessary to secure a safe, clean and affordable energy future for the citizens of Maine. The updated plan, published in February 2015, notes that Maine is not in the position to independently fund alternative fuel stations, mainly due to low population density, and encourages public-private partnerships. Maine is also evaluating mass transit options and liquefied natural gas (LNG) powered ferries. </t>
  </si>
  <si>
    <t>Biodiesel-Blended Diesel Documentation Requirement</t>
  </si>
  <si>
    <t>A person that sells or transfers a title to a biomass-based diesel or biodiesel blend for resale purposes must document the transfer.</t>
  </si>
  <si>
    <t>Alaska</t>
  </si>
  <si>
    <t>Alternative Fuel Vehicle Acquistion Requirement</t>
  </si>
  <si>
    <t>The Alaska Department of Transportation and Public Facilities (Department) must evaluate the cost, efficiency, and commercial availability of alternative fuels for automotive purposes every five years, and purchase or convert to vehicles that operate using alternative fuels whenever practical. The Department may participate in joint ventures with public or private partners to foster the availability of alternative fuels for consumers.</t>
  </si>
  <si>
    <t>Ethanol Fuel Blend Tax Rate</t>
  </si>
  <si>
    <t>The tax rate on fuel containing ethanol is $0.06 per gallon less than the tax rate on other motor fuels in certain geographic areas. This reduced rate is in effect during months ethanol fuel blends must be sold, transferred, or used to operate motor vehicles to reduce carbon monoxide emissions and attain federal or state air quality standards. </t>
  </si>
  <si>
    <t>BUSINESS TO BUSINESS</t>
  </si>
  <si>
    <t>Higg Index</t>
  </si>
  <si>
    <t>Created by the Sustainable Apparel Coalition, the Higg Index is a set of self-assessment tools to measure a company's environmental, social and labor impacts. </t>
  </si>
  <si>
    <t>Base line for companies to compare</t>
  </si>
  <si>
    <t>Sustainable Apparel Coalition</t>
  </si>
  <si>
    <t>http://apparelcoalition.org/the-higg-index/</t>
  </si>
  <si>
    <t>B Lab</t>
  </si>
  <si>
    <t>A nonprofit organization that allows companies to become Certified B Corporations. These companies meet the standards of verified, social and environmental performance, public transparency and legal accountability.</t>
  </si>
  <si>
    <t>Certification (looking into how companies can incorporate bioindicators)</t>
  </si>
  <si>
    <t>https://www.bcorporation.net/what-are-b-corps/about-b-lab</t>
  </si>
  <si>
    <t>Fair Trade</t>
  </si>
  <si>
    <t>Products that become certified through following social, environmental and economic standards. The companies must promote safe working conditions, aim to protect the environment, be transparents and empower the community. </t>
  </si>
  <si>
    <t>http://fairtradeusa.org</t>
  </si>
  <si>
    <t>Life Cycle Assessment</t>
  </si>
  <si>
    <t>Tool used to evaluate the environmental impacts of a product of service through all stages of its life. The framework of LCA is standardised by the International Organization for Standardisation (ISO).</t>
  </si>
  <si>
    <t>Supply Chain Breakdown: should/can biofuels replace hot spots?</t>
  </si>
  <si>
    <t>http://www.unep.org/resourceefficiency/Consumption/StandardsandLabels/MeasuringSustainability/LifeCycleAssessment/tabid/101348/Default.aspx</t>
  </si>
  <si>
    <t>American Chemistry Council (ACC)</t>
  </si>
  <si>
    <t>Chemical companies have committed $153 billion in new investment in production in the United</t>
  </si>
  <si>
    <t>Research development</t>
  </si>
  <si>
    <t>https://www.americanchemistry.com</t>
  </si>
  <si>
    <t>Alliance of like-competitors within the apparel industry to account for one another. Creation of the Higg Index</t>
  </si>
  <si>
    <t>Influence company thought</t>
  </si>
  <si>
    <t>http://apparelcoalition.org/the-coalition/</t>
  </si>
  <si>
    <t>Outdoor Industry Alliance</t>
  </si>
  <si>
    <t>Collaboration of hundreds of outdoor organizations to implement better practices in the supply chain</t>
  </si>
  <si>
    <t>Potential to introduce biofuel and products as an alternative option</t>
  </si>
  <si>
    <t>https://outdoorindustry.org</t>
  </si>
  <si>
    <t>Biotechnology Innovation Organization</t>
  </si>
  <si>
    <t>Modern biotechnology provides breakthrough products and technologies to combat debilitating and rare diseases, reduce our environmental footprint, feed the hungry, use less and cleaner energy, and have safer, cleaner and more efficient industrial manufacturing processes.</t>
  </si>
  <si>
    <t>https://www.bio.org/bio-initiatives</t>
  </si>
  <si>
    <t>Certificate programs offered to companies</t>
  </si>
  <si>
    <t>Airlines</t>
  </si>
  <si>
    <t>https://www.environmentalleader.com/2017/02/reduce-aviation-emissions-ground-sky/</t>
  </si>
  <si>
    <t>INTERNATIONAL</t>
  </si>
  <si>
    <t>General Agreement on Tariffs and Trade</t>
  </si>
  <si>
    <t>Biofuel markets and poilicy impacts (FAO)</t>
  </si>
  <si>
    <t>ftp://ftp.fao.org/docrep/fao/011/i0100e/i0100e04.pdf</t>
  </si>
  <si>
    <t>World Trade Organization Agreements</t>
  </si>
  <si>
    <t>Everything But Arms</t>
  </si>
  <si>
    <t>Provides lesser developed countries (LDCs) with duty-free and quota-free access to ethanol exports</t>
  </si>
  <si>
    <t>Cotonue Agreement</t>
  </si>
  <si>
    <t xml:space="preserve">Provides duty-free access for certain imports from African, Caribbean and Pacific Countries </t>
  </si>
  <si>
    <t>Caribbean Basin Initiative </t>
  </si>
  <si>
    <t>Ethanol may be imported duty-free to the US from certain Caribbean countries</t>
  </si>
  <si>
    <t>China</t>
  </si>
  <si>
    <t>launched in 2013</t>
  </si>
  <si>
    <t>Use biodegradable plastics for making agricultural films in the Xinjiang Autonomous Region</t>
  </si>
  <si>
    <t>Nigeria</t>
  </si>
  <si>
    <t>Govt Plans U.S.$50 Billion for Local Biofuels Production</t>
  </si>
  <si>
    <t>http://allafrica.com/stories/201702080445.html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</si>
</sst>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3" formatCode="_(* #,##0.00_);_(* \(#,##0.00\);_(* &quot;-&quot;??_);_(@_)"/>
    <numFmt numFmtId="164" formatCode="0.0"/>
    <numFmt numFmtId="165" formatCode="#,##0.0"/>
    <numFmt numFmtId="166" formatCode="_(* #,##0_);_(* \(#,##0\);_(* &quot;-&quot;??_);_(@_)"/>
    <numFmt numFmtId="167" formatCode="_(* #,##0.0_);_(* \(#,##0.0\);_(* &quot;-&quot;??_);_(@_)"/>
    <numFmt numFmtId="168" formatCode="#,##0.000"/>
    <numFmt numFmtId="169" formatCode="_(* #,##0.000_);_(* \(#,##0.000\);_(* &quot;-&quot;??_);_(@_)"/>
    <numFmt numFmtId="170" formatCode="0.0000"/>
  </numFmts>
  <fonts count="29">
    <font>
      <sz val="11"/>
      <color theme="1"/>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u/>
      <sz val="11"/>
      <color rgb="FF000000"/>
      <name val="Calibri"/>
      <family val="2"/>
      <scheme val="minor"/>
    </font>
    <font>
      <b/>
      <sz val="11"/>
      <color rgb="FF000000"/>
      <name val="Calibri"/>
      <family val="2"/>
      <scheme val="minor"/>
    </font>
    <font>
      <b/>
      <sz val="14"/>
      <color rgb="FF000000"/>
      <name val="Calibri"/>
      <family val="2"/>
      <scheme val="minor"/>
    </font>
    <font>
      <sz val="12"/>
      <color rgb="FF000000"/>
      <name val="Calibri"/>
      <family val="2"/>
      <scheme val="minor"/>
    </font>
    <font>
      <sz val="11"/>
      <color rgb="FF7F7F7F"/>
      <name val="Calibri"/>
      <family val="2"/>
      <scheme val="minor"/>
    </font>
    <font>
      <sz val="11"/>
      <color rgb="FF548DD4"/>
      <name val="Calibri"/>
      <family val="2"/>
      <scheme val="minor"/>
    </font>
    <font>
      <sz val="11"/>
      <color rgb="FFBFBFBF"/>
      <name val="Calibri"/>
      <family val="2"/>
      <scheme val="minor"/>
    </font>
    <font>
      <b/>
      <sz val="14"/>
      <color theme="1"/>
      <name val="Calibri"/>
      <family val="2"/>
      <scheme val="minor"/>
    </font>
    <font>
      <u/>
      <sz val="11"/>
      <color theme="11"/>
      <name val="Calibri"/>
      <family val="2"/>
      <scheme val="minor"/>
    </font>
    <font>
      <sz val="11"/>
      <color rgb="FF333333"/>
      <name val="Calibri"/>
      <scheme val="minor"/>
    </font>
    <font>
      <sz val="11"/>
      <color rgb="FFFF0000"/>
      <name val="Calibri"/>
      <family val="2"/>
      <scheme val="minor"/>
    </font>
    <font>
      <sz val="11"/>
      <name val="Calibri"/>
      <scheme val="minor"/>
    </font>
    <font>
      <sz val="11"/>
      <name val="Arial"/>
    </font>
    <font>
      <b/>
      <sz val="11"/>
      <color rgb="FF333333"/>
      <name val="Calibri"/>
      <scheme val="minor"/>
    </font>
    <font>
      <sz val="11"/>
      <name val="PT Sans"/>
      <charset val="204"/>
    </font>
    <font>
      <sz val="14"/>
      <color rgb="FF444444"/>
      <name val="PT Sans"/>
      <charset val="204"/>
    </font>
    <font>
      <b/>
      <sz val="14"/>
      <color rgb="FF444444"/>
      <name val="PT Sans"/>
      <charset val="204"/>
    </font>
    <font>
      <b/>
      <sz val="11.5"/>
      <color rgb="FF000000"/>
      <name val="Calibri"/>
      <family val="2"/>
      <scheme val="minor"/>
    </font>
    <font>
      <sz val="10"/>
      <color rgb="FF000000"/>
      <name val="Arial"/>
      <family val="2"/>
    </font>
    <font>
      <sz val="11"/>
      <color rgb="FF000000"/>
      <name val="Calibri"/>
    </font>
  </fonts>
  <fills count="17">
    <fill>
      <patternFill patternType="none"/>
    </fill>
    <fill>
      <patternFill patternType="gray125"/>
    </fill>
    <fill>
      <patternFill patternType="solid">
        <fgColor theme="0" tint="-0.499984740745262"/>
        <bgColor indexed="64"/>
      </patternFill>
    </fill>
    <fill>
      <patternFill patternType="solid">
        <fgColor rgb="FFFFC000"/>
        <bgColor indexed="64"/>
      </patternFill>
    </fill>
    <fill>
      <patternFill patternType="solid">
        <fgColor rgb="FF7030A0"/>
        <bgColor indexed="6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C00000"/>
        <bgColor indexed="64"/>
      </patternFill>
    </fill>
    <fill>
      <patternFill patternType="solid">
        <fgColor rgb="FF7F7F7F"/>
        <bgColor indexed="64"/>
      </patternFill>
    </fill>
    <fill>
      <patternFill patternType="solid">
        <fgColor rgb="FFBFBFBF"/>
        <bgColor indexed="64"/>
      </patternFill>
    </fill>
    <fill>
      <patternFill patternType="solid">
        <fgColor rgb="FFA5A5A5"/>
        <bgColor indexed="64"/>
      </patternFill>
    </fill>
    <fill>
      <patternFill patternType="solid">
        <fgColor rgb="FFF2F2F2"/>
        <bgColor indexed="64"/>
      </patternFill>
    </fill>
    <fill>
      <patternFill patternType="solid">
        <fgColor rgb="FF8DB3E2"/>
        <bgColor indexed="64"/>
      </patternFill>
    </fill>
    <fill>
      <patternFill patternType="solid">
        <fgColor rgb="FFC4BD97"/>
        <bgColor indexed="64"/>
      </patternFill>
    </fill>
    <fill>
      <patternFill patternType="solid">
        <fgColor rgb="FFD8D8D8"/>
        <bgColor indexed="64"/>
      </patternFill>
    </fill>
    <fill>
      <patternFill patternType="solid">
        <fgColor rgb="FFC6D9F0"/>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style="thin">
        <color auto="1"/>
      </left>
      <right/>
      <top/>
      <bottom/>
      <diagonal/>
    </border>
  </borders>
  <cellStyleXfs count="5">
    <xf numFmtId="0" fontId="0" fillId="0" borderId="0"/>
    <xf numFmtId="0" fontId="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8" fillId="0" borderId="0"/>
  </cellStyleXfs>
  <cellXfs count="480">
    <xf numFmtId="0" fontId="0" fillId="0" borderId="0" xfId="0"/>
    <xf numFmtId="0" fontId="3" fillId="0" borderId="0" xfId="0" applyFont="1"/>
    <xf numFmtId="0" fontId="0" fillId="0" borderId="0" xfId="0" applyAlignment="1">
      <alignment horizontal="right"/>
    </xf>
    <xf numFmtId="0" fontId="3" fillId="0" borderId="1" xfId="0" applyFont="1" applyBorder="1" applyAlignment="1">
      <alignment horizontal="center"/>
    </xf>
    <xf numFmtId="0" fontId="0" fillId="0" borderId="1" xfId="0" applyBorder="1"/>
    <xf numFmtId="0" fontId="0" fillId="2" borderId="1" xfId="0" applyFill="1" applyBorder="1"/>
    <xf numFmtId="0" fontId="0" fillId="3" borderId="0" xfId="0" applyFill="1"/>
    <xf numFmtId="0" fontId="4" fillId="4" borderId="0" xfId="0" applyFont="1" applyFill="1"/>
    <xf numFmtId="0" fontId="3" fillId="3" borderId="0" xfId="0" applyFont="1" applyFill="1"/>
    <xf numFmtId="0" fontId="3" fillId="5" borderId="0" xfId="0" applyFont="1" applyFill="1"/>
    <xf numFmtId="0" fontId="0" fillId="5" borderId="0" xfId="0" applyFill="1"/>
    <xf numFmtId="0" fontId="2" fillId="4" borderId="0" xfId="0" applyFont="1" applyFill="1"/>
    <xf numFmtId="3" fontId="0" fillId="0" borderId="1" xfId="0" applyNumberFormat="1" applyBorder="1"/>
    <xf numFmtId="0" fontId="6" fillId="0" borderId="1" xfId="1" applyBorder="1"/>
    <xf numFmtId="0" fontId="3" fillId="0" borderId="3" xfId="0" applyFont="1" applyBorder="1" applyAlignment="1">
      <alignment horizontal="center"/>
    </xf>
    <xf numFmtId="0" fontId="0" fillId="0" borderId="3" xfId="0" applyBorder="1"/>
    <xf numFmtId="0" fontId="0" fillId="0" borderId="4" xfId="0" applyBorder="1"/>
    <xf numFmtId="0" fontId="0" fillId="0" borderId="5" xfId="0" applyBorder="1"/>
    <xf numFmtId="3" fontId="0" fillId="0" borderId="3" xfId="0" applyNumberFormat="1" applyBorder="1"/>
    <xf numFmtId="0" fontId="0" fillId="0" borderId="6" xfId="0" applyBorder="1"/>
    <xf numFmtId="0" fontId="3" fillId="0" borderId="1" xfId="0" applyFont="1" applyBorder="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0" fillId="0" borderId="1" xfId="0" applyBorder="1" applyAlignment="1">
      <alignment horizontal="left"/>
    </xf>
    <xf numFmtId="0" fontId="0" fillId="0" borderId="3" xfId="0" applyBorder="1" applyAlignment="1">
      <alignment horizontal="center" vertical="center"/>
    </xf>
    <xf numFmtId="0" fontId="0" fillId="7" borderId="1" xfId="0" applyFill="1" applyBorder="1"/>
    <xf numFmtId="0" fontId="3" fillId="0" borderId="3" xfId="0" applyFont="1" applyBorder="1" applyAlignment="1">
      <alignment horizontal="center" vertical="center"/>
    </xf>
    <xf numFmtId="0" fontId="0" fillId="0" borderId="6" xfId="0" applyBorder="1" applyAlignment="1">
      <alignment horizontal="center" vertical="center"/>
    </xf>
    <xf numFmtId="0" fontId="6" fillId="0" borderId="1" xfId="1" applyBorder="1" applyAlignment="1">
      <alignment wrapText="1"/>
    </xf>
    <xf numFmtId="8" fontId="0" fillId="0" borderId="1" xfId="0" applyNumberFormat="1" applyBorder="1"/>
    <xf numFmtId="6" fontId="0" fillId="0" borderId="1" xfId="0" applyNumberFormat="1" applyBorder="1"/>
    <xf numFmtId="0" fontId="3" fillId="0" borderId="4" xfId="0" applyFont="1" applyBorder="1" applyAlignment="1">
      <alignment horizontal="center"/>
    </xf>
    <xf numFmtId="0" fontId="6" fillId="0" borderId="4" xfId="1" applyBorder="1"/>
    <xf numFmtId="0" fontId="0" fillId="0" borderId="8" xfId="0" applyBorder="1"/>
    <xf numFmtId="0" fontId="0" fillId="0" borderId="1" xfId="0" applyBorder="1" applyAlignment="1">
      <alignment wrapText="1"/>
    </xf>
    <xf numFmtId="0" fontId="6" fillId="0" borderId="3" xfId="1" applyBorder="1"/>
    <xf numFmtId="0" fontId="6" fillId="0" borderId="6" xfId="1" applyBorder="1"/>
    <xf numFmtId="3" fontId="0" fillId="0" borderId="6" xfId="0" applyNumberFormat="1" applyBorder="1"/>
    <xf numFmtId="0" fontId="6" fillId="0" borderId="0" xfId="1"/>
    <xf numFmtId="0" fontId="0" fillId="0" borderId="1" xfId="0" applyBorder="1" applyAlignment="1">
      <alignment horizontal="center"/>
    </xf>
    <xf numFmtId="0" fontId="6" fillId="0" borderId="1" xfId="1" applyBorder="1" applyAlignment="1">
      <alignment horizontal="center"/>
    </xf>
    <xf numFmtId="4" fontId="0" fillId="0" borderId="1" xfId="0" applyNumberFormat="1" applyBorder="1"/>
    <xf numFmtId="0" fontId="0" fillId="0" borderId="1" xfId="0"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left" vertical="top"/>
    </xf>
    <xf numFmtId="2" fontId="0" fillId="0" borderId="0" xfId="0" applyNumberFormat="1"/>
    <xf numFmtId="0" fontId="6" fillId="0" borderId="7" xfId="1" applyBorder="1"/>
    <xf numFmtId="0" fontId="3" fillId="0" borderId="7" xfId="0" applyFont="1" applyBorder="1" applyAlignment="1">
      <alignment horizontal="center"/>
    </xf>
    <xf numFmtId="0" fontId="0" fillId="0" borderId="0" xfId="0" applyAlignment="1">
      <alignment wrapText="1"/>
    </xf>
    <xf numFmtId="0" fontId="0" fillId="0" borderId="6" xfId="0" applyBorder="1" applyAlignment="1">
      <alignment horizontal="left" vertical="center"/>
    </xf>
    <xf numFmtId="0" fontId="3" fillId="0" borderId="0" xfId="0" applyFont="1" applyAlignment="1">
      <alignment horizontal="center" vertical="center"/>
    </xf>
    <xf numFmtId="0" fontId="3" fillId="0" borderId="0" xfId="0" applyFont="1" applyAlignment="1">
      <alignment horizontal="center"/>
    </xf>
    <xf numFmtId="3" fontId="0" fillId="0" borderId="4" xfId="0" applyNumberFormat="1" applyBorder="1"/>
    <xf numFmtId="0" fontId="6" fillId="0" borderId="5" xfId="1" applyBorder="1"/>
    <xf numFmtId="0" fontId="1" fillId="0" borderId="1" xfId="0" applyFont="1" applyBorder="1"/>
    <xf numFmtId="0" fontId="0" fillId="9" borderId="1" xfId="0" applyFill="1" applyBorder="1"/>
    <xf numFmtId="0" fontId="0" fillId="9" borderId="4" xfId="0" applyFill="1" applyBorder="1"/>
    <xf numFmtId="0" fontId="0" fillId="9" borderId="3" xfId="0" applyFill="1" applyBorder="1"/>
    <xf numFmtId="0" fontId="9" fillId="0" borderId="1" xfId="1" applyFont="1" applyBorder="1"/>
    <xf numFmtId="0" fontId="7" fillId="0" borderId="1" xfId="1" applyFont="1" applyBorder="1"/>
    <xf numFmtId="0" fontId="0" fillId="0" borderId="11" xfId="0" applyBorder="1"/>
    <xf numFmtId="0" fontId="0" fillId="0" borderId="6" xfId="0" applyBorder="1" applyAlignment="1">
      <alignment horizontal="center" vertical="center" wrapText="1"/>
    </xf>
    <xf numFmtId="0" fontId="7" fillId="0" borderId="1" xfId="0" applyFont="1" applyBorder="1"/>
    <xf numFmtId="0" fontId="7" fillId="3" borderId="0" xfId="0" applyFont="1" applyFill="1"/>
    <xf numFmtId="0" fontId="10" fillId="0" borderId="1" xfId="0" applyFont="1" applyBorder="1" applyAlignment="1">
      <alignment horizontal="center"/>
    </xf>
    <xf numFmtId="3" fontId="7" fillId="0" borderId="1" xfId="0" applyNumberFormat="1" applyFont="1" applyBorder="1"/>
    <xf numFmtId="0" fontId="0" fillId="0" borderId="1" xfId="0" applyBorder="1" applyAlignment="1">
      <alignment horizontal="center" vertical="center" wrapText="1"/>
    </xf>
    <xf numFmtId="0" fontId="6" fillId="0" borderId="1" xfId="1" applyFill="1" applyBorder="1" applyAlignment="1">
      <alignment wrapText="1"/>
    </xf>
    <xf numFmtId="0" fontId="7" fillId="0" borderId="0" xfId="0" applyFont="1"/>
    <xf numFmtId="0" fontId="7" fillId="3" borderId="0" xfId="0" applyFont="1" applyFill="1" applyAlignment="1">
      <alignment horizontal="center" vertical="center"/>
    </xf>
    <xf numFmtId="0" fontId="10"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9" fillId="0" borderId="1" xfId="1" applyFont="1" applyBorder="1" applyAlignment="1">
      <alignment horizontal="left"/>
    </xf>
    <xf numFmtId="0" fontId="7" fillId="0" borderId="1" xfId="0" applyFont="1" applyBorder="1" applyAlignment="1">
      <alignment horizontal="left"/>
    </xf>
    <xf numFmtId="0" fontId="7" fillId="0" borderId="0" xfId="0" applyFont="1" applyAlignment="1">
      <alignment horizontal="left"/>
    </xf>
    <xf numFmtId="0" fontId="9" fillId="0" borderId="1" xfId="1" applyFont="1" applyBorder="1" applyAlignment="1">
      <alignment wrapText="1"/>
    </xf>
    <xf numFmtId="0" fontId="7" fillId="0" borderId="3" xfId="0" applyFont="1" applyBorder="1" applyAlignment="1">
      <alignment horizontal="center" vertical="center"/>
    </xf>
    <xf numFmtId="0" fontId="12" fillId="0" borderId="9" xfId="0" applyFont="1" applyBorder="1" applyAlignment="1">
      <alignment horizontal="center" vertical="center" wrapText="1"/>
    </xf>
    <xf numFmtId="0" fontId="12" fillId="0" borderId="0" xfId="0" applyFont="1" applyAlignment="1">
      <alignment horizontal="center" vertical="center" wrapText="1"/>
    </xf>
    <xf numFmtId="0" fontId="7" fillId="0" borderId="3" xfId="0" applyFont="1" applyBorder="1" applyAlignment="1">
      <alignment horizontal="center" vertical="center" wrapText="1"/>
    </xf>
    <xf numFmtId="0" fontId="12" fillId="0" borderId="3" xfId="0" applyFont="1" applyBorder="1"/>
    <xf numFmtId="0" fontId="7" fillId="0" borderId="3" xfId="0" applyFont="1" applyBorder="1"/>
    <xf numFmtId="0" fontId="7" fillId="0" borderId="4" xfId="0" applyFont="1" applyBorder="1" applyAlignment="1">
      <alignment horizontal="center" vertical="center"/>
    </xf>
    <xf numFmtId="0" fontId="12" fillId="0" borderId="1" xfId="0" applyFont="1" applyBorder="1" applyAlignment="1">
      <alignment horizontal="center" vertical="center" wrapText="1"/>
    </xf>
    <xf numFmtId="0" fontId="7" fillId="0" borderId="6" xfId="0" applyFont="1" applyBorder="1" applyAlignment="1">
      <alignment horizontal="center" vertical="center"/>
    </xf>
    <xf numFmtId="0" fontId="7" fillId="0" borderId="6" xfId="0" applyFont="1" applyBorder="1" applyAlignment="1">
      <alignment horizontal="center" vertical="center" wrapText="1"/>
    </xf>
    <xf numFmtId="0" fontId="12" fillId="0" borderId="6" xfId="0" applyFont="1" applyBorder="1"/>
    <xf numFmtId="0" fontId="7" fillId="0" borderId="6" xfId="0" applyFont="1" applyBorder="1"/>
    <xf numFmtId="0" fontId="12" fillId="0" borderId="1" xfId="0" applyFont="1" applyBorder="1"/>
    <xf numFmtId="0" fontId="9" fillId="0" borderId="3" xfId="1" applyFont="1" applyBorder="1" applyAlignment="1">
      <alignment horizontal="left" wrapText="1"/>
    </xf>
    <xf numFmtId="0" fontId="12" fillId="0" borderId="8" xfId="0" applyFont="1" applyBorder="1" applyAlignment="1">
      <alignment horizontal="center" vertical="center" wrapText="1"/>
    </xf>
    <xf numFmtId="0" fontId="12" fillId="0" borderId="13" xfId="0" applyFont="1" applyBorder="1" applyAlignment="1">
      <alignment horizontal="center" vertical="center" wrapText="1"/>
    </xf>
    <xf numFmtId="0" fontId="7" fillId="0" borderId="7" xfId="0" applyFont="1" applyBorder="1" applyAlignment="1">
      <alignment horizontal="center" vertical="center" wrapText="1"/>
    </xf>
    <xf numFmtId="0" fontId="7" fillId="0" borderId="4" xfId="0" applyFont="1" applyBorder="1" applyAlignment="1">
      <alignment horizontal="center" vertical="center" wrapText="1"/>
    </xf>
    <xf numFmtId="0" fontId="9" fillId="0" borderId="1" xfId="1" applyFont="1" applyBorder="1" applyAlignment="1">
      <alignment horizontal="left" wrapText="1"/>
    </xf>
    <xf numFmtId="0" fontId="9" fillId="0" borderId="3" xfId="1" applyFont="1" applyBorder="1" applyAlignment="1">
      <alignment horizontal="left"/>
    </xf>
    <xf numFmtId="0" fontId="7" fillId="0" borderId="12" xfId="0" applyFont="1" applyBorder="1" applyAlignment="1">
      <alignment horizontal="center" vertical="center"/>
    </xf>
    <xf numFmtId="0" fontId="9" fillId="0" borderId="6" xfId="1" applyFont="1" applyFill="1" applyBorder="1" applyAlignment="1">
      <alignment wrapText="1"/>
    </xf>
    <xf numFmtId="0" fontId="7" fillId="0" borderId="12" xfId="0" applyFont="1" applyBorder="1" applyAlignment="1">
      <alignment horizontal="center" vertical="center" wrapText="1"/>
    </xf>
    <xf numFmtId="0" fontId="9" fillId="0" borderId="6" xfId="1" applyFont="1" applyBorder="1"/>
    <xf numFmtId="0" fontId="9" fillId="0" borderId="6" xfId="1" applyFont="1" applyBorder="1" applyAlignment="1">
      <alignment wrapText="1"/>
    </xf>
    <xf numFmtId="0" fontId="7" fillId="0" borderId="0" xfId="0" applyFont="1" applyAlignment="1">
      <alignment horizontal="center" vertical="center"/>
    </xf>
    <xf numFmtId="15" fontId="7" fillId="0" borderId="0" xfId="0" applyNumberFormat="1" applyFont="1" applyAlignment="1">
      <alignment horizontal="center" vertical="center"/>
    </xf>
    <xf numFmtId="0" fontId="7" fillId="0" borderId="0" xfId="0" applyFont="1" applyAlignment="1">
      <alignment horizontal="center" vertical="center" wrapText="1"/>
    </xf>
    <xf numFmtId="0" fontId="9" fillId="0" borderId="0" xfId="1" applyFont="1"/>
    <xf numFmtId="0" fontId="10" fillId="0" borderId="0" xfId="0" applyFont="1" applyAlignment="1">
      <alignment horizontal="center" vertical="center"/>
    </xf>
    <xf numFmtId="0" fontId="10" fillId="0" borderId="0" xfId="0" applyFont="1" applyAlignment="1">
      <alignment horizontal="center"/>
    </xf>
    <xf numFmtId="0" fontId="9" fillId="0" borderId="0" xfId="1" applyFont="1" applyBorder="1"/>
    <xf numFmtId="0" fontId="12" fillId="0" borderId="0" xfId="0" applyFont="1"/>
    <xf numFmtId="0" fontId="6" fillId="0" borderId="11" xfId="1" applyBorder="1"/>
    <xf numFmtId="0" fontId="0" fillId="0" borderId="11" xfId="0" applyBorder="1" applyAlignment="1">
      <alignment horizontal="center" vertical="center"/>
    </xf>
    <xf numFmtId="0" fontId="3" fillId="0" borderId="5" xfId="0" applyFont="1" applyBorder="1" applyAlignment="1">
      <alignment horizontal="center"/>
    </xf>
    <xf numFmtId="0" fontId="6" fillId="0" borderId="6" xfId="1" applyBorder="1" applyAlignment="1">
      <alignment wrapText="1"/>
    </xf>
    <xf numFmtId="0" fontId="0" fillId="0" borderId="1" xfId="0" applyBorder="1" applyAlignment="1">
      <alignment horizontal="left" vertical="top" wrapText="1"/>
    </xf>
    <xf numFmtId="0" fontId="6" fillId="0" borderId="3" xfId="1" applyBorder="1" applyAlignment="1">
      <alignment horizontal="left"/>
    </xf>
    <xf numFmtId="0" fontId="6" fillId="0" borderId="1" xfId="1" applyBorder="1" applyAlignment="1">
      <alignment horizontal="left" wrapText="1"/>
    </xf>
    <xf numFmtId="0" fontId="7" fillId="0" borderId="8" xfId="0" applyFont="1" applyBorder="1"/>
    <xf numFmtId="0" fontId="7" fillId="0" borderId="5" xfId="0" applyFont="1" applyBorder="1"/>
    <xf numFmtId="0" fontId="0" fillId="0" borderId="5" xfId="0" applyBorder="1" applyAlignment="1">
      <alignment horizontal="center"/>
    </xf>
    <xf numFmtId="0" fontId="0" fillId="0" borderId="5" xfId="0" applyBorder="1" applyAlignment="1">
      <alignment horizontal="left" vertical="top"/>
    </xf>
    <xf numFmtId="0" fontId="6" fillId="0" borderId="8" xfId="1" applyBorder="1"/>
    <xf numFmtId="0" fontId="0" fillId="0" borderId="3" xfId="0" applyBorder="1" applyAlignment="1">
      <alignment horizontal="left" vertical="top"/>
    </xf>
    <xf numFmtId="0" fontId="0" fillId="0" borderId="1" xfId="0" applyBorder="1" applyAlignment="1">
      <alignment horizontal="right" vertical="center"/>
    </xf>
    <xf numFmtId="166" fontId="0" fillId="0" borderId="1" xfId="0" applyNumberFormat="1" applyBorder="1"/>
    <xf numFmtId="166" fontId="0" fillId="0" borderId="3" xfId="0" applyNumberFormat="1" applyBorder="1"/>
    <xf numFmtId="166" fontId="0" fillId="0" borderId="1" xfId="0" applyNumberFormat="1" applyBorder="1" applyAlignment="1">
      <alignment horizontal="right"/>
    </xf>
    <xf numFmtId="166" fontId="0" fillId="0" borderId="1" xfId="0" applyNumberFormat="1" applyBorder="1" applyAlignment="1">
      <alignment horizontal="center" vertical="center"/>
    </xf>
    <xf numFmtId="166" fontId="0" fillId="0" borderId="3" xfId="0" applyNumberFormat="1" applyBorder="1" applyAlignment="1">
      <alignment horizontal="center" vertical="center"/>
    </xf>
    <xf numFmtId="166" fontId="0" fillId="0" borderId="5" xfId="0" applyNumberFormat="1" applyBorder="1"/>
    <xf numFmtId="166" fontId="0" fillId="0" borderId="6" xfId="0" applyNumberFormat="1" applyBorder="1" applyAlignment="1">
      <alignment horizontal="center" vertical="center"/>
    </xf>
    <xf numFmtId="0" fontId="6" fillId="0" borderId="10" xfId="1" applyBorder="1"/>
    <xf numFmtId="0" fontId="0" fillId="0" borderId="3" xfId="0" applyBorder="1" applyAlignment="1">
      <alignment horizontal="left" vertical="top" wrapText="1"/>
    </xf>
    <xf numFmtId="0" fontId="0" fillId="0" borderId="6" xfId="0" applyBorder="1" applyAlignment="1">
      <alignment wrapText="1"/>
    </xf>
    <xf numFmtId="164" fontId="0" fillId="0" borderId="0" xfId="0" applyNumberFormat="1"/>
    <xf numFmtId="0" fontId="0" fillId="0" borderId="1" xfId="0" applyBorder="1" applyAlignment="1">
      <alignment horizontal="left" vertical="center" wrapText="1"/>
    </xf>
    <xf numFmtId="0" fontId="3" fillId="10" borderId="1" xfId="0" applyFont="1" applyFill="1" applyBorder="1" applyAlignment="1">
      <alignment horizontal="center" vertical="center"/>
    </xf>
    <xf numFmtId="168" fontId="0" fillId="0" borderId="1" xfId="0" applyNumberFormat="1" applyBorder="1"/>
    <xf numFmtId="0" fontId="0" fillId="0" borderId="3" xfId="0" applyBorder="1" applyAlignment="1">
      <alignment horizontal="left"/>
    </xf>
    <xf numFmtId="3" fontId="0" fillId="0" borderId="1" xfId="0" applyNumberFormat="1" applyBorder="1" applyAlignment="1">
      <alignment horizontal="right"/>
    </xf>
    <xf numFmtId="3" fontId="0" fillId="0" borderId="4" xfId="0" applyNumberFormat="1" applyBorder="1" applyAlignment="1">
      <alignment horizontal="right"/>
    </xf>
    <xf numFmtId="3" fontId="0" fillId="0" borderId="1" xfId="0" applyNumberFormat="1" applyBorder="1" applyAlignment="1">
      <alignment horizontal="right" vertical="center"/>
    </xf>
    <xf numFmtId="0" fontId="0" fillId="0" borderId="0" xfId="0" applyAlignment="1">
      <alignment horizontal="right" vertical="center"/>
    </xf>
    <xf numFmtId="0" fontId="0" fillId="0" borderId="1" xfId="0" applyBorder="1" applyAlignment="1">
      <alignment horizontal="right"/>
    </xf>
    <xf numFmtId="0" fontId="0" fillId="0" borderId="3" xfId="0" applyBorder="1" applyAlignment="1">
      <alignment horizontal="right" vertical="center"/>
    </xf>
    <xf numFmtId="0" fontId="3" fillId="0" borderId="1" xfId="0" applyFont="1" applyBorder="1" applyAlignment="1">
      <alignment horizontal="right"/>
    </xf>
    <xf numFmtId="3" fontId="0" fillId="0" borderId="3" xfId="0" applyNumberFormat="1" applyBorder="1" applyAlignment="1">
      <alignment horizontal="right"/>
    </xf>
    <xf numFmtId="3" fontId="0" fillId="0" borderId="3" xfId="0" applyNumberFormat="1" applyBorder="1" applyAlignment="1">
      <alignment horizontal="right" vertical="center"/>
    </xf>
    <xf numFmtId="0" fontId="0" fillId="0" borderId="3" xfId="0" applyBorder="1" applyAlignment="1">
      <alignment horizontal="right"/>
    </xf>
    <xf numFmtId="0" fontId="0" fillId="0" borderId="6" xfId="0" applyBorder="1" applyAlignment="1">
      <alignment horizontal="right" vertical="center"/>
    </xf>
    <xf numFmtId="0" fontId="0" fillId="7" borderId="3" xfId="0" applyFill="1" applyBorder="1" applyAlignment="1">
      <alignment horizontal="right"/>
    </xf>
    <xf numFmtId="166" fontId="0" fillId="7" borderId="1" xfId="0" applyNumberFormat="1" applyFill="1" applyBorder="1" applyAlignment="1">
      <alignment horizontal="right"/>
    </xf>
    <xf numFmtId="166" fontId="0" fillId="0" borderId="6" xfId="0" applyNumberFormat="1" applyBorder="1" applyAlignment="1">
      <alignment horizontal="right"/>
    </xf>
    <xf numFmtId="3" fontId="0" fillId="7" borderId="1" xfId="0" applyNumberFormat="1" applyFill="1" applyBorder="1" applyAlignment="1">
      <alignment horizontal="right"/>
    </xf>
    <xf numFmtId="166" fontId="0" fillId="0" borderId="4" xfId="0" applyNumberFormat="1" applyBorder="1" applyAlignment="1">
      <alignment horizontal="right"/>
    </xf>
    <xf numFmtId="167" fontId="0" fillId="0" borderId="1" xfId="0" applyNumberFormat="1" applyBorder="1" applyAlignment="1">
      <alignment horizontal="right"/>
    </xf>
    <xf numFmtId="167" fontId="0" fillId="0" borderId="4" xfId="0" applyNumberFormat="1" applyBorder="1" applyAlignment="1">
      <alignment horizontal="right"/>
    </xf>
    <xf numFmtId="166" fontId="0" fillId="0" borderId="3" xfId="0" applyNumberFormat="1" applyBorder="1" applyAlignment="1">
      <alignment horizontal="right"/>
    </xf>
    <xf numFmtId="165" fontId="0" fillId="0" borderId="1" xfId="0" applyNumberFormat="1" applyBorder="1" applyAlignment="1">
      <alignment horizontal="right"/>
    </xf>
    <xf numFmtId="3" fontId="0" fillId="9" borderId="5" xfId="0" applyNumberFormat="1" applyFill="1" applyBorder="1"/>
    <xf numFmtId="43" fontId="0" fillId="0" borderId="1" xfId="0" applyNumberFormat="1" applyBorder="1" applyAlignment="1">
      <alignment horizontal="right"/>
    </xf>
    <xf numFmtId="43" fontId="0" fillId="0" borderId="1" xfId="0" applyNumberFormat="1" applyBorder="1"/>
    <xf numFmtId="167" fontId="0" fillId="0" borderId="6" xfId="0" applyNumberFormat="1" applyBorder="1" applyAlignment="1">
      <alignment horizontal="center" vertical="center"/>
    </xf>
    <xf numFmtId="167" fontId="0" fillId="0" borderId="5" xfId="0" applyNumberFormat="1" applyBorder="1"/>
    <xf numFmtId="3" fontId="0" fillId="0" borderId="0" xfId="0" applyNumberFormat="1"/>
    <xf numFmtId="0" fontId="3" fillId="0" borderId="1" xfId="0" applyFont="1" applyBorder="1" applyAlignment="1">
      <alignment horizontal="left"/>
    </xf>
    <xf numFmtId="0" fontId="6" fillId="0" borderId="1" xfId="1" applyBorder="1" applyAlignment="1">
      <alignment horizontal="left"/>
    </xf>
    <xf numFmtId="0" fontId="0" fillId="0" borderId="6" xfId="0" applyBorder="1" applyAlignment="1">
      <alignment horizontal="left"/>
    </xf>
    <xf numFmtId="0" fontId="6" fillId="0" borderId="0" xfId="1" applyBorder="1"/>
    <xf numFmtId="0" fontId="3" fillId="9" borderId="1" xfId="0" applyFont="1" applyFill="1" applyBorder="1" applyAlignment="1">
      <alignment horizontal="center"/>
    </xf>
    <xf numFmtId="0" fontId="0" fillId="9" borderId="0" xfId="0" applyFill="1"/>
    <xf numFmtId="0" fontId="0" fillId="9" borderId="5" xfId="0" applyFill="1" applyBorder="1"/>
    <xf numFmtId="0" fontId="6" fillId="0" borderId="5" xfId="1" applyBorder="1" applyAlignment="1">
      <alignment horizontal="center"/>
    </xf>
    <xf numFmtId="0" fontId="0" fillId="0" borderId="0" xfId="0" quotePrefix="1"/>
    <xf numFmtId="0" fontId="13" fillId="9" borderId="1" xfId="0" applyFont="1" applyFill="1" applyBorder="1"/>
    <xf numFmtId="3" fontId="0" fillId="9" borderId="1" xfId="0" applyNumberFormat="1" applyFill="1" applyBorder="1"/>
    <xf numFmtId="3" fontId="0" fillId="11" borderId="1" xfId="0" applyNumberFormat="1" applyFill="1" applyBorder="1"/>
    <xf numFmtId="0" fontId="0" fillId="11" borderId="1" xfId="0" applyFill="1" applyBorder="1"/>
    <xf numFmtId="0" fontId="7" fillId="9" borderId="1" xfId="0" applyFont="1" applyFill="1" applyBorder="1"/>
    <xf numFmtId="0" fontId="0" fillId="10" borderId="1" xfId="0" applyFill="1" applyBorder="1"/>
    <xf numFmtId="0" fontId="6" fillId="9" borderId="1" xfId="1" applyFill="1" applyBorder="1"/>
    <xf numFmtId="0" fontId="7" fillId="9" borderId="1" xfId="1" applyFont="1" applyFill="1" applyBorder="1"/>
    <xf numFmtId="0" fontId="7" fillId="10" borderId="1" xfId="0" applyFont="1" applyFill="1" applyBorder="1"/>
    <xf numFmtId="0" fontId="3" fillId="9" borderId="4" xfId="0" applyFont="1" applyFill="1" applyBorder="1" applyAlignment="1">
      <alignment horizontal="center"/>
    </xf>
    <xf numFmtId="3" fontId="0" fillId="7" borderId="1" xfId="0" applyNumberFormat="1" applyFill="1" applyBorder="1"/>
    <xf numFmtId="165" fontId="0" fillId="7" borderId="1" xfId="0" applyNumberFormat="1" applyFill="1" applyBorder="1"/>
    <xf numFmtId="164" fontId="0" fillId="0" borderId="1" xfId="0" applyNumberFormat="1" applyBorder="1" applyAlignment="1">
      <alignment horizontal="center"/>
    </xf>
    <xf numFmtId="0" fontId="13" fillId="9" borderId="1" xfId="0" applyFont="1" applyFill="1" applyBorder="1" applyAlignment="1">
      <alignment horizontal="center"/>
    </xf>
    <xf numFmtId="0" fontId="0" fillId="9" borderId="1" xfId="0" applyFill="1" applyBorder="1" applyAlignment="1">
      <alignment horizontal="center"/>
    </xf>
    <xf numFmtId="0" fontId="14" fillId="9" borderId="1" xfId="0" applyFont="1" applyFill="1" applyBorder="1"/>
    <xf numFmtId="4" fontId="0" fillId="12" borderId="1" xfId="0" applyNumberFormat="1" applyFill="1" applyBorder="1"/>
    <xf numFmtId="0" fontId="13" fillId="10" borderId="1" xfId="0" applyFont="1" applyFill="1" applyBorder="1"/>
    <xf numFmtId="168" fontId="0" fillId="10" borderId="1" xfId="0" applyNumberFormat="1" applyFill="1" applyBorder="1"/>
    <xf numFmtId="0" fontId="15" fillId="10" borderId="1" xfId="0" applyFont="1" applyFill="1" applyBorder="1"/>
    <xf numFmtId="0" fontId="15" fillId="12" borderId="1" xfId="0" applyFont="1" applyFill="1" applyBorder="1"/>
    <xf numFmtId="0" fontId="0" fillId="9" borderId="6" xfId="0" applyFill="1" applyBorder="1"/>
    <xf numFmtId="167" fontId="0" fillId="7" borderId="3" xfId="0" applyNumberFormat="1" applyFill="1" applyBorder="1" applyAlignment="1">
      <alignment horizontal="right"/>
    </xf>
    <xf numFmtId="167" fontId="0" fillId="0" borderId="1" xfId="0" applyNumberFormat="1" applyBorder="1" applyAlignment="1">
      <alignment horizontal="center" vertical="center"/>
    </xf>
    <xf numFmtId="167" fontId="0" fillId="0" borderId="1" xfId="0" applyNumberFormat="1" applyBorder="1"/>
    <xf numFmtId="166" fontId="0" fillId="0" borderId="1" xfId="0" applyNumberFormat="1" applyBorder="1" applyAlignment="1">
      <alignment horizontal="right" vertical="center"/>
    </xf>
    <xf numFmtId="166" fontId="0" fillId="0" borderId="6" xfId="0" applyNumberFormat="1" applyBorder="1" applyAlignment="1">
      <alignment vertical="center"/>
    </xf>
    <xf numFmtId="166" fontId="0" fillId="0" borderId="6" xfId="0" applyNumberFormat="1" applyBorder="1"/>
    <xf numFmtId="3" fontId="0" fillId="0" borderId="6" xfId="0" applyNumberFormat="1" applyBorder="1" applyAlignment="1">
      <alignment horizontal="right" vertical="center"/>
    </xf>
    <xf numFmtId="3" fontId="0" fillId="0" borderId="6" xfId="0" applyNumberFormat="1" applyBorder="1" applyAlignment="1">
      <alignment horizontal="right"/>
    </xf>
    <xf numFmtId="0" fontId="0" fillId="9" borderId="6" xfId="0" applyFill="1" applyBorder="1" applyAlignment="1">
      <alignment horizontal="right"/>
    </xf>
    <xf numFmtId="0" fontId="0" fillId="9" borderId="1" xfId="0" applyFill="1" applyBorder="1" applyAlignment="1">
      <alignment horizontal="right"/>
    </xf>
    <xf numFmtId="0" fontId="0" fillId="9" borderId="1" xfId="0" applyFill="1" applyBorder="1" applyAlignment="1">
      <alignment horizontal="right" vertical="center"/>
    </xf>
    <xf numFmtId="0" fontId="0" fillId="9" borderId="3" xfId="0" applyFill="1" applyBorder="1" applyAlignment="1">
      <alignment horizontal="right"/>
    </xf>
    <xf numFmtId="0" fontId="0" fillId="9" borderId="6" xfId="0" applyFill="1" applyBorder="1" applyAlignment="1">
      <alignment horizontal="center" vertical="center"/>
    </xf>
    <xf numFmtId="3" fontId="0" fillId="9" borderId="1" xfId="0" applyNumberFormat="1" applyFill="1" applyBorder="1" applyAlignment="1">
      <alignment horizontal="right" vertical="center"/>
    </xf>
    <xf numFmtId="0" fontId="0" fillId="9" borderId="3" xfId="0" applyFill="1" applyBorder="1" applyAlignment="1">
      <alignment horizontal="center" vertical="center"/>
    </xf>
    <xf numFmtId="0" fontId="0" fillId="9" borderId="3" xfId="0" applyFill="1" applyBorder="1" applyAlignment="1">
      <alignment horizontal="center"/>
    </xf>
    <xf numFmtId="3" fontId="0" fillId="9" borderId="1" xfId="0" applyNumberFormat="1" applyFill="1" applyBorder="1" applyAlignment="1">
      <alignment horizontal="right"/>
    </xf>
    <xf numFmtId="0" fontId="13" fillId="9" borderId="3" xfId="0" applyFont="1" applyFill="1" applyBorder="1"/>
    <xf numFmtId="0" fontId="3" fillId="0" borderId="0" xfId="0" applyFont="1" applyAlignment="1">
      <alignment horizontal="left" vertical="center" wrapText="1"/>
    </xf>
    <xf numFmtId="0" fontId="1" fillId="0" borderId="0" xfId="0" applyFont="1"/>
    <xf numFmtId="0" fontId="3" fillId="13" borderId="0" xfId="0" applyFont="1" applyFill="1"/>
    <xf numFmtId="0" fontId="0" fillId="13" borderId="0" xfId="0" applyFill="1"/>
    <xf numFmtId="0" fontId="0" fillId="0" borderId="4" xfId="0" applyBorder="1" applyAlignment="1">
      <alignment horizontal="left"/>
    </xf>
    <xf numFmtId="2" fontId="0" fillId="0" borderId="1" xfId="0" applyNumberFormat="1" applyBorder="1"/>
    <xf numFmtId="2" fontId="0" fillId="0" borderId="3" xfId="0" applyNumberFormat="1" applyBorder="1"/>
    <xf numFmtId="0" fontId="3" fillId="0" borderId="1" xfId="0" applyFont="1" applyBorder="1"/>
    <xf numFmtId="0" fontId="7" fillId="10" borderId="4" xfId="0" applyFont="1" applyFill="1" applyBorder="1"/>
    <xf numFmtId="3" fontId="0" fillId="9" borderId="3" xfId="0" applyNumberFormat="1" applyFill="1" applyBorder="1" applyAlignment="1">
      <alignment horizontal="right" vertical="center"/>
    </xf>
    <xf numFmtId="0" fontId="0" fillId="9" borderId="1" xfId="0" applyFill="1" applyBorder="1" applyAlignment="1">
      <alignment horizontal="center" vertical="center"/>
    </xf>
    <xf numFmtId="0" fontId="0" fillId="9" borderId="4" xfId="0" applyFill="1" applyBorder="1" applyAlignment="1">
      <alignment horizontal="center"/>
    </xf>
    <xf numFmtId="167" fontId="0" fillId="0" borderId="1" xfId="0" applyNumberFormat="1" applyBorder="1" applyAlignment="1">
      <alignment horizontal="right" vertical="center"/>
    </xf>
    <xf numFmtId="166" fontId="0" fillId="9" borderId="1" xfId="0" applyNumberFormat="1" applyFill="1" applyBorder="1" applyAlignment="1">
      <alignment horizontal="center" vertical="center"/>
    </xf>
    <xf numFmtId="166" fontId="0" fillId="9" borderId="1" xfId="0" applyNumberFormat="1" applyFill="1" applyBorder="1"/>
    <xf numFmtId="166" fontId="0" fillId="9" borderId="6" xfId="0" applyNumberFormat="1" applyFill="1" applyBorder="1" applyAlignment="1">
      <alignment horizontal="center" vertical="center"/>
    </xf>
    <xf numFmtId="166" fontId="0" fillId="9" borderId="5" xfId="0" applyNumberFormat="1" applyFill="1" applyBorder="1"/>
    <xf numFmtId="43" fontId="0" fillId="9" borderId="1" xfId="0" applyNumberFormat="1" applyFill="1" applyBorder="1"/>
    <xf numFmtId="43" fontId="0" fillId="9" borderId="3" xfId="0" applyNumberFormat="1" applyFill="1" applyBorder="1" applyAlignment="1">
      <alignment horizontal="center" vertical="center"/>
    </xf>
    <xf numFmtId="166" fontId="0" fillId="9" borderId="3" xfId="0" applyNumberFormat="1" applyFill="1" applyBorder="1" applyAlignment="1">
      <alignment horizontal="center" vertical="center"/>
    </xf>
    <xf numFmtId="166" fontId="0" fillId="9" borderId="3" xfId="0" applyNumberFormat="1" applyFill="1" applyBorder="1"/>
    <xf numFmtId="0" fontId="10" fillId="3" borderId="0" xfId="0" applyFont="1" applyFill="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1" fillId="6" borderId="0" xfId="0" applyFont="1" applyFill="1" applyAlignment="1">
      <alignment horizontal="center" vertical="center" wrapText="1"/>
    </xf>
    <xf numFmtId="0" fontId="11" fillId="6" borderId="2" xfId="0"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6" xfId="0" applyFont="1" applyBorder="1" applyAlignment="1">
      <alignment horizontal="center" vertical="center" wrapText="1"/>
    </xf>
    <xf numFmtId="0" fontId="3" fillId="0" borderId="1" xfId="0" applyFont="1" applyBorder="1" applyAlignment="1">
      <alignment horizontal="center" vertical="center" wrapText="1"/>
    </xf>
    <xf numFmtId="0" fontId="5" fillId="6" borderId="2" xfId="0" applyFont="1" applyFill="1" applyBorder="1" applyAlignment="1">
      <alignment horizontal="center" vertical="center" wrapText="1"/>
    </xf>
    <xf numFmtId="0" fontId="3" fillId="3" borderId="0" xfId="0" applyFont="1" applyFill="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center" wrapText="1"/>
    </xf>
    <xf numFmtId="0" fontId="3" fillId="6" borderId="0" xfId="0" applyFont="1" applyFill="1" applyAlignment="1">
      <alignment horizontal="center" vertical="center"/>
    </xf>
    <xf numFmtId="0" fontId="0" fillId="6" borderId="0" xfId="0" applyFill="1" applyAlignment="1">
      <alignment horizontal="center" vertical="center"/>
    </xf>
    <xf numFmtId="0" fontId="0" fillId="6" borderId="0" xfId="0" applyFill="1"/>
    <xf numFmtId="0" fontId="16" fillId="6" borderId="0" xfId="0" applyFont="1" applyFill="1" applyAlignment="1">
      <alignment horizontal="center" vertical="center"/>
    </xf>
    <xf numFmtId="0" fontId="0" fillId="6" borderId="0" xfId="0" applyFill="1" applyAlignment="1">
      <alignment vertical="top"/>
    </xf>
    <xf numFmtId="0" fontId="3" fillId="0" borderId="1" xfId="0" applyFont="1" applyBorder="1" applyAlignment="1">
      <alignment horizontal="center" vertical="top"/>
    </xf>
    <xf numFmtId="0" fontId="1" fillId="0" borderId="1" xfId="0" applyFont="1" applyBorder="1" applyAlignment="1">
      <alignment vertical="top" wrapText="1"/>
    </xf>
    <xf numFmtId="0" fontId="0" fillId="0" borderId="0" xfId="0" applyAlignment="1">
      <alignment vertical="top"/>
    </xf>
    <xf numFmtId="0" fontId="16" fillId="0" borderId="0" xfId="0" applyFont="1"/>
    <xf numFmtId="0" fontId="0" fillId="0" borderId="0" xfId="0" applyAlignment="1">
      <alignment horizontal="center" wrapText="1"/>
    </xf>
    <xf numFmtId="0" fontId="0" fillId="0" borderId="0" xfId="0" applyAlignment="1">
      <alignment vertical="center"/>
    </xf>
    <xf numFmtId="0" fontId="3" fillId="0" borderId="9" xfId="0" applyFont="1" applyBorder="1" applyAlignment="1">
      <alignment horizontal="center" vertical="center"/>
    </xf>
    <xf numFmtId="0" fontId="3" fillId="0" borderId="15" xfId="0" applyFont="1" applyBorder="1"/>
    <xf numFmtId="0" fontId="0" fillId="0" borderId="0" xfId="0" applyAlignment="1">
      <alignment horizontal="center"/>
    </xf>
    <xf numFmtId="0" fontId="0" fillId="0" borderId="9" xfId="0" applyBorder="1" applyAlignment="1">
      <alignment horizontal="center"/>
    </xf>
    <xf numFmtId="0" fontId="0" fillId="10" borderId="0" xfId="0" applyFill="1" applyAlignment="1">
      <alignment horizontal="center"/>
    </xf>
    <xf numFmtId="0" fontId="0" fillId="10" borderId="9" xfId="0" applyFill="1" applyBorder="1" applyAlignment="1">
      <alignment horizontal="center"/>
    </xf>
    <xf numFmtId="0" fontId="3" fillId="0" borderId="12" xfId="0" applyFont="1" applyBorder="1"/>
    <xf numFmtId="0" fontId="0" fillId="0" borderId="2" xfId="0" applyBorder="1" applyAlignment="1">
      <alignment horizontal="center"/>
    </xf>
    <xf numFmtId="0" fontId="0" fillId="10" borderId="10" xfId="0" applyFill="1" applyBorder="1" applyAlignment="1">
      <alignment horizontal="center"/>
    </xf>
    <xf numFmtId="0" fontId="3" fillId="7" borderId="1" xfId="0" applyFont="1" applyFill="1" applyBorder="1" applyAlignment="1">
      <alignment horizontal="center"/>
    </xf>
    <xf numFmtId="0" fontId="6" fillId="0" borderId="1" xfId="1" applyFill="1" applyBorder="1"/>
    <xf numFmtId="0" fontId="6" fillId="0" borderId="3" xfId="1" applyFill="1" applyBorder="1"/>
    <xf numFmtId="0" fontId="0" fillId="0" borderId="7" xfId="0" applyBorder="1"/>
    <xf numFmtId="0" fontId="3" fillId="0" borderId="3" xfId="0" applyFont="1" applyBorder="1" applyAlignment="1">
      <alignment horizontal="center" vertical="center" wrapText="1"/>
    </xf>
    <xf numFmtId="0" fontId="0" fillId="0" borderId="7" xfId="0" applyBorder="1" applyAlignment="1">
      <alignment horizontal="center" vertical="center"/>
    </xf>
    <xf numFmtId="0" fontId="6" fillId="0" borderId="1" xfId="1" applyBorder="1" applyAlignment="1">
      <alignment vertical="top"/>
    </xf>
    <xf numFmtId="0" fontId="0" fillId="0" borderId="1" xfId="0" applyBorder="1" applyAlignment="1">
      <alignment vertical="top"/>
    </xf>
    <xf numFmtId="0" fontId="0" fillId="0" borderId="3" xfId="0" applyBorder="1" applyAlignment="1">
      <alignment horizontal="center" vertical="center" wrapText="1"/>
    </xf>
    <xf numFmtId="0" fontId="1" fillId="0" borderId="3" xfId="0" applyFont="1" applyBorder="1" applyAlignment="1">
      <alignment vertical="top"/>
    </xf>
    <xf numFmtId="0" fontId="0" fillId="3" borderId="9" xfId="0" applyFill="1" applyBorder="1"/>
    <xf numFmtId="3" fontId="0" fillId="0" borderId="1" xfId="0" applyNumberFormat="1" applyBorder="1" applyAlignment="1">
      <alignment horizontal="center"/>
    </xf>
    <xf numFmtId="3" fontId="0" fillId="0" borderId="3" xfId="0" applyNumberFormat="1" applyBorder="1" applyAlignment="1">
      <alignment horizontal="center"/>
    </xf>
    <xf numFmtId="0" fontId="0" fillId="3" borderId="0" xfId="0" applyFill="1" applyAlignment="1">
      <alignment horizontal="center"/>
    </xf>
    <xf numFmtId="3" fontId="0" fillId="0" borderId="1" xfId="0" applyNumberFormat="1" applyBorder="1" applyAlignment="1">
      <alignment horizontal="center" vertical="center"/>
    </xf>
    <xf numFmtId="3" fontId="0" fillId="0" borderId="3" xfId="0" applyNumberFormat="1" applyBorder="1" applyAlignment="1">
      <alignment horizontal="center" vertical="center"/>
    </xf>
    <xf numFmtId="0" fontId="0" fillId="9" borderId="11" xfId="0" applyFill="1" applyBorder="1" applyAlignment="1">
      <alignment horizontal="right"/>
    </xf>
    <xf numFmtId="0" fontId="0" fillId="9" borderId="15" xfId="0" applyFill="1" applyBorder="1" applyAlignment="1">
      <alignment horizontal="center"/>
    </xf>
    <xf numFmtId="10" fontId="0" fillId="0" borderId="15" xfId="0" applyNumberFormat="1" applyBorder="1" applyAlignment="1">
      <alignment horizontal="right" vertical="center"/>
    </xf>
    <xf numFmtId="0" fontId="0" fillId="9" borderId="9" xfId="0" applyFill="1" applyBorder="1" applyAlignment="1">
      <alignment horizontal="right" vertical="center"/>
    </xf>
    <xf numFmtId="10" fontId="0" fillId="9" borderId="9" xfId="0" applyNumberFormat="1" applyFill="1" applyBorder="1" applyAlignment="1">
      <alignment horizontal="right" vertical="center"/>
    </xf>
    <xf numFmtId="0" fontId="6" fillId="0" borderId="1" xfId="1" applyFill="1" applyBorder="1" applyAlignment="1">
      <alignment horizontal="center"/>
    </xf>
    <xf numFmtId="0" fontId="0" fillId="0" borderId="3" xfId="0" applyBorder="1" applyAlignment="1">
      <alignment horizontal="center"/>
    </xf>
    <xf numFmtId="0" fontId="0" fillId="0" borderId="6" xfId="0" applyBorder="1" applyAlignment="1">
      <alignment horizontal="center"/>
    </xf>
    <xf numFmtId="0" fontId="0" fillId="9" borderId="6" xfId="0" applyFill="1" applyBorder="1" applyAlignment="1">
      <alignment horizontal="center"/>
    </xf>
    <xf numFmtId="4" fontId="7" fillId="0" borderId="1" xfId="0" applyNumberFormat="1" applyFont="1" applyBorder="1"/>
    <xf numFmtId="4" fontId="0" fillId="0" borderId="1" xfId="0" applyNumberFormat="1" applyBorder="1" applyAlignment="1">
      <alignment wrapText="1"/>
    </xf>
    <xf numFmtId="4" fontId="0" fillId="9" borderId="1" xfId="0" applyNumberFormat="1" applyFill="1" applyBorder="1" applyAlignment="1">
      <alignment horizontal="right" vertical="center"/>
    </xf>
    <xf numFmtId="4" fontId="0" fillId="9" borderId="1" xfId="0" applyNumberFormat="1" applyFill="1" applyBorder="1" applyAlignment="1">
      <alignment horizontal="right"/>
    </xf>
    <xf numFmtId="164" fontId="0" fillId="0" borderId="1" xfId="0" applyNumberFormat="1" applyBorder="1" applyAlignment="1">
      <alignment horizontal="center" vertical="center"/>
    </xf>
    <xf numFmtId="0" fontId="19" fillId="0" borderId="1" xfId="0" applyFont="1" applyBorder="1" applyAlignment="1">
      <alignment horizontal="center"/>
    </xf>
    <xf numFmtId="0" fontId="19" fillId="0" borderId="1" xfId="0" applyFont="1" applyBorder="1" applyAlignment="1">
      <alignment horizontal="center" vertical="center"/>
    </xf>
    <xf numFmtId="164" fontId="19" fillId="0" borderId="1" xfId="0" applyNumberFormat="1" applyFont="1" applyBorder="1" applyAlignment="1">
      <alignment horizontal="center"/>
    </xf>
    <xf numFmtId="0" fontId="3" fillId="9" borderId="3" xfId="0" applyFont="1" applyFill="1" applyBorder="1" applyAlignment="1">
      <alignment horizontal="center"/>
    </xf>
    <xf numFmtId="0" fontId="3" fillId="9" borderId="1" xfId="0" applyFont="1" applyFill="1" applyBorder="1" applyAlignment="1">
      <alignment horizontal="center" vertical="center"/>
    </xf>
    <xf numFmtId="0" fontId="3" fillId="9" borderId="3" xfId="0" applyFont="1" applyFill="1" applyBorder="1" applyAlignment="1">
      <alignment horizontal="center" vertical="center"/>
    </xf>
    <xf numFmtId="4" fontId="0" fillId="9" borderId="1" xfId="0" applyNumberFormat="1" applyFill="1" applyBorder="1"/>
    <xf numFmtId="3" fontId="0" fillId="7" borderId="1" xfId="0" applyNumberFormat="1" applyFill="1" applyBorder="1" applyAlignment="1">
      <alignment horizontal="center" vertical="center"/>
    </xf>
    <xf numFmtId="165" fontId="0" fillId="0" borderId="1" xfId="0" applyNumberFormat="1" applyBorder="1" applyAlignment="1">
      <alignment horizontal="center" vertical="center"/>
    </xf>
    <xf numFmtId="4" fontId="0" fillId="0" borderId="1" xfId="0" applyNumberFormat="1" applyBorder="1" applyAlignment="1">
      <alignment horizontal="center" vertical="center"/>
    </xf>
    <xf numFmtId="3" fontId="0" fillId="9" borderId="3" xfId="0" applyNumberFormat="1" applyFill="1" applyBorder="1" applyAlignment="1">
      <alignment horizontal="center" vertical="center"/>
    </xf>
    <xf numFmtId="0" fontId="0" fillId="9" borderId="4" xfId="0" applyFill="1" applyBorder="1" applyAlignment="1">
      <alignment horizontal="center" vertical="center"/>
    </xf>
    <xf numFmtId="166" fontId="0" fillId="0" borderId="1" xfId="0" applyNumberFormat="1" applyBorder="1" applyAlignment="1">
      <alignment horizontal="left" vertical="center"/>
    </xf>
    <xf numFmtId="0" fontId="0" fillId="3" borderId="1" xfId="0" applyFill="1" applyBorder="1"/>
    <xf numFmtId="9" fontId="0" fillId="0" borderId="1" xfId="0" applyNumberFormat="1" applyBorder="1"/>
    <xf numFmtId="3" fontId="0" fillId="0" borderId="1" xfId="0" applyNumberFormat="1" applyBorder="1" applyAlignment="1">
      <alignment horizontal="left"/>
    </xf>
    <xf numFmtId="0" fontId="6" fillId="0" borderId="4" xfId="1" applyBorder="1" applyAlignment="1">
      <alignment horizontal="center"/>
    </xf>
    <xf numFmtId="0" fontId="0" fillId="0" borderId="0" xfId="0" applyAlignment="1">
      <alignment horizontal="left"/>
    </xf>
    <xf numFmtId="0" fontId="0" fillId="9" borderId="1" xfId="0" applyFill="1" applyBorder="1" applyAlignment="1">
      <alignment horizontal="left"/>
    </xf>
    <xf numFmtId="0" fontId="6" fillId="0" borderId="3" xfId="1" applyBorder="1" applyAlignment="1">
      <alignment horizontal="center"/>
    </xf>
    <xf numFmtId="0" fontId="6" fillId="0" borderId="6" xfId="1" applyBorder="1" applyAlignment="1">
      <alignment horizontal="left"/>
    </xf>
    <xf numFmtId="0" fontId="0" fillId="0" borderId="1" xfId="0" applyBorder="1" applyAlignment="1">
      <alignment horizontal="left" wrapText="1"/>
    </xf>
    <xf numFmtId="0" fontId="7" fillId="0" borderId="3" xfId="0" applyFont="1" applyBorder="1" applyAlignment="1">
      <alignment horizontal="left"/>
    </xf>
    <xf numFmtId="0" fontId="0" fillId="0" borderId="8" xfId="0" applyBorder="1" applyAlignment="1">
      <alignment horizontal="left"/>
    </xf>
    <xf numFmtId="3" fontId="7" fillId="0" borderId="3" xfId="0" applyNumberFormat="1" applyFont="1" applyBorder="1" applyAlignment="1">
      <alignment horizontal="left"/>
    </xf>
    <xf numFmtId="0" fontId="7" fillId="9" borderId="3" xfId="0" applyFont="1" applyFill="1" applyBorder="1" applyAlignment="1">
      <alignment horizontal="left"/>
    </xf>
    <xf numFmtId="10" fontId="0" fillId="0" borderId="1" xfId="0" applyNumberFormat="1" applyBorder="1"/>
    <xf numFmtId="0" fontId="20" fillId="0" borderId="1" xfId="0" applyFont="1" applyBorder="1" applyAlignment="1">
      <alignment wrapText="1"/>
    </xf>
    <xf numFmtId="0" fontId="23" fillId="0" borderId="1" xfId="0" applyFont="1" applyBorder="1" applyAlignment="1">
      <alignment wrapText="1"/>
    </xf>
    <xf numFmtId="0" fontId="24" fillId="0" borderId="0" xfId="0" applyFont="1"/>
    <xf numFmtId="0" fontId="25" fillId="0" borderId="0" xfId="0" applyFont="1"/>
    <xf numFmtId="0" fontId="25" fillId="0" borderId="1" xfId="0" applyFont="1" applyBorder="1"/>
    <xf numFmtId="0" fontId="24" fillId="0" borderId="1" xfId="0" applyFont="1" applyBorder="1"/>
    <xf numFmtId="0" fontId="0" fillId="7" borderId="4" xfId="0" applyFill="1" applyBorder="1"/>
    <xf numFmtId="9" fontId="0" fillId="7" borderId="4" xfId="0" applyNumberFormat="1" applyFill="1" applyBorder="1"/>
    <xf numFmtId="0" fontId="0" fillId="0" borderId="14" xfId="0" applyBorder="1"/>
    <xf numFmtId="0" fontId="0" fillId="9" borderId="14" xfId="0" applyFill="1" applyBorder="1"/>
    <xf numFmtId="0" fontId="0" fillId="0" borderId="13" xfId="0" applyBorder="1"/>
    <xf numFmtId="0" fontId="0" fillId="0" borderId="12" xfId="0" applyBorder="1"/>
    <xf numFmtId="0" fontId="0" fillId="0" borderId="2" xfId="0" applyBorder="1"/>
    <xf numFmtId="0" fontId="3" fillId="14" borderId="1" xfId="0" applyFont="1" applyFill="1" applyBorder="1" applyAlignment="1">
      <alignment horizontal="center"/>
    </xf>
    <xf numFmtId="0" fontId="3" fillId="14" borderId="5" xfId="0" applyFont="1" applyFill="1" applyBorder="1" applyAlignment="1">
      <alignment horizontal="center"/>
    </xf>
    <xf numFmtId="0" fontId="0" fillId="14" borderId="0" xfId="0" applyFill="1"/>
    <xf numFmtId="0" fontId="10" fillId="14" borderId="1" xfId="0" applyFont="1" applyFill="1" applyBorder="1" applyAlignment="1">
      <alignment horizontal="center"/>
    </xf>
    <xf numFmtId="0" fontId="10" fillId="7" borderId="1" xfId="0" applyFont="1" applyFill="1" applyBorder="1" applyAlignment="1">
      <alignment horizontal="center"/>
    </xf>
    <xf numFmtId="0" fontId="3" fillId="7" borderId="0" xfId="0" applyFont="1" applyFill="1" applyAlignment="1">
      <alignment horizontal="center"/>
    </xf>
    <xf numFmtId="0" fontId="0" fillId="7" borderId="0" xfId="0" applyFill="1"/>
    <xf numFmtId="0" fontId="0" fillId="7" borderId="3" xfId="0" applyFill="1" applyBorder="1"/>
    <xf numFmtId="0" fontId="3" fillId="0" borderId="3" xfId="0" applyFont="1" applyBorder="1"/>
    <xf numFmtId="0" fontId="0" fillId="7" borderId="7" xfId="0" applyFill="1" applyBorder="1"/>
    <xf numFmtId="0" fontId="6" fillId="7" borderId="1" xfId="1" applyFill="1" applyBorder="1"/>
    <xf numFmtId="3" fontId="0" fillId="7" borderId="1" xfId="0" applyNumberFormat="1" applyFill="1" applyBorder="1" applyAlignment="1">
      <alignment horizontal="center"/>
    </xf>
    <xf numFmtId="0" fontId="3" fillId="14" borderId="0" xfId="0" applyFont="1" applyFill="1"/>
    <xf numFmtId="0" fontId="0" fillId="7" borderId="5" xfId="0" applyFill="1" applyBorder="1"/>
    <xf numFmtId="0" fontId="0" fillId="7" borderId="6" xfId="0" applyFill="1" applyBorder="1"/>
    <xf numFmtId="3" fontId="0" fillId="9" borderId="3" xfId="0" applyNumberFormat="1" applyFill="1" applyBorder="1"/>
    <xf numFmtId="0" fontId="6" fillId="0" borderId="0" xfId="1" applyFill="1" applyBorder="1"/>
    <xf numFmtId="0" fontId="0" fillId="10" borderId="3" xfId="0" applyFill="1" applyBorder="1"/>
    <xf numFmtId="0" fontId="0" fillId="3" borderId="6" xfId="0" applyFill="1" applyBorder="1"/>
    <xf numFmtId="0" fontId="3" fillId="14" borderId="3" xfId="0" applyFont="1" applyFill="1" applyBorder="1" applyAlignment="1">
      <alignment horizontal="center"/>
    </xf>
    <xf numFmtId="0" fontId="10" fillId="14" borderId="3" xfId="0" applyFont="1" applyFill="1" applyBorder="1" applyAlignment="1">
      <alignment horizontal="center"/>
    </xf>
    <xf numFmtId="0" fontId="3" fillId="14" borderId="8" xfId="0" applyFont="1" applyFill="1" applyBorder="1" applyAlignment="1">
      <alignment horizontal="center"/>
    </xf>
    <xf numFmtId="0" fontId="6" fillId="0" borderId="0" xfId="1" applyFill="1"/>
    <xf numFmtId="0" fontId="5" fillId="0" borderId="1" xfId="0" applyFont="1" applyBorder="1" applyAlignment="1">
      <alignment horizontal="center" vertical="center"/>
    </xf>
    <xf numFmtId="0" fontId="26" fillId="0" borderId="1" xfId="0" applyFont="1" applyBorder="1" applyAlignment="1">
      <alignment horizontal="left" vertical="center"/>
    </xf>
    <xf numFmtId="0" fontId="26" fillId="0" borderId="3" xfId="0" applyFont="1" applyBorder="1" applyAlignment="1">
      <alignment horizontal="left" vertical="center"/>
    </xf>
    <xf numFmtId="9" fontId="0" fillId="7" borderId="1" xfId="0" applyNumberFormat="1" applyFill="1" applyBorder="1"/>
    <xf numFmtId="4" fontId="0" fillId="0" borderId="5" xfId="0" applyNumberFormat="1" applyBorder="1"/>
    <xf numFmtId="0" fontId="3" fillId="14" borderId="6" xfId="0" applyFont="1" applyFill="1" applyBorder="1" applyAlignment="1">
      <alignment horizontal="center"/>
    </xf>
    <xf numFmtId="0" fontId="3" fillId="0" borderId="3" xfId="0" applyFont="1" applyBorder="1" applyAlignment="1">
      <alignment horizontal="left"/>
    </xf>
    <xf numFmtId="0" fontId="3" fillId="10" borderId="1" xfId="0" applyFont="1" applyFill="1" applyBorder="1" applyAlignment="1">
      <alignment horizontal="center"/>
    </xf>
    <xf numFmtId="0" fontId="10" fillId="0" borderId="3" xfId="0" applyFont="1" applyBorder="1" applyAlignment="1">
      <alignment horizontal="center"/>
    </xf>
    <xf numFmtId="0" fontId="3" fillId="0" borderId="8" xfId="0" applyFont="1" applyBorder="1" applyAlignment="1">
      <alignment horizontal="center"/>
    </xf>
    <xf numFmtId="0" fontId="7" fillId="0" borderId="3" xfId="0" applyFont="1" applyBorder="1" applyAlignment="1">
      <alignment horizontal="center"/>
    </xf>
    <xf numFmtId="0" fontId="0" fillId="0" borderId="8" xfId="0" applyBorder="1" applyAlignment="1">
      <alignment horizontal="center"/>
    </xf>
    <xf numFmtId="0" fontId="10" fillId="0" borderId="3" xfId="0" applyFont="1" applyBorder="1" applyAlignment="1">
      <alignment horizontal="left"/>
    </xf>
    <xf numFmtId="0" fontId="3" fillId="10" borderId="5" xfId="0" applyFont="1" applyFill="1" applyBorder="1" applyAlignment="1">
      <alignment horizontal="center"/>
    </xf>
    <xf numFmtId="3" fontId="0" fillId="9" borderId="6" xfId="0" applyNumberFormat="1" applyFill="1" applyBorder="1"/>
    <xf numFmtId="3" fontId="0" fillId="7" borderId="6" xfId="0" applyNumberFormat="1" applyFill="1" applyBorder="1"/>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20"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0" fillId="0" borderId="0" xfId="0" applyFont="1" applyAlignment="1">
      <alignment horizontal="center" vertical="center" wrapText="1"/>
    </xf>
    <xf numFmtId="0" fontId="5" fillId="6" borderId="0" xfId="0" applyFont="1" applyFill="1" applyAlignment="1">
      <alignment horizontal="center" vertical="center" wrapText="1"/>
    </xf>
    <xf numFmtId="0" fontId="3" fillId="0" borderId="6" xfId="0" applyFont="1" applyBorder="1" applyAlignment="1">
      <alignment horizontal="center" vertical="center"/>
    </xf>
    <xf numFmtId="0" fontId="3" fillId="0" borderId="6" xfId="0" applyFont="1" applyBorder="1" applyAlignment="1">
      <alignment horizontal="center"/>
    </xf>
    <xf numFmtId="0" fontId="11" fillId="3" borderId="4" xfId="0" applyFont="1" applyFill="1" applyBorder="1" applyAlignment="1">
      <alignment horizontal="center" vertical="center" wrapText="1"/>
    </xf>
    <xf numFmtId="0" fontId="5" fillId="3" borderId="14" xfId="0" applyFont="1" applyFill="1" applyBorder="1" applyAlignment="1">
      <alignment horizontal="center" vertical="center"/>
    </xf>
    <xf numFmtId="0" fontId="5" fillId="3" borderId="5" xfId="0" applyFont="1" applyFill="1" applyBorder="1" applyAlignment="1">
      <alignment horizontal="center" vertical="center"/>
    </xf>
    <xf numFmtId="0" fontId="6" fillId="0" borderId="0" xfId="1" applyBorder="1" applyAlignment="1">
      <alignment horizontal="left" wrapText="1"/>
    </xf>
    <xf numFmtId="0" fontId="10" fillId="3" borderId="4" xfId="0" applyFont="1" applyFill="1" applyBorder="1" applyAlignment="1">
      <alignment horizontal="center" vertical="center" wrapText="1"/>
    </xf>
    <xf numFmtId="0" fontId="7" fillId="3" borderId="14" xfId="0" applyFont="1" applyFill="1" applyBorder="1" applyAlignment="1">
      <alignment horizontal="center" vertical="center"/>
    </xf>
    <xf numFmtId="0" fontId="7" fillId="3" borderId="14" xfId="0" applyFont="1" applyFill="1" applyBorder="1"/>
    <xf numFmtId="0" fontId="7" fillId="3" borderId="5" xfId="0" applyFont="1" applyFill="1" applyBorder="1"/>
    <xf numFmtId="0" fontId="0" fillId="15" borderId="1" xfId="0" applyFill="1" applyBorder="1"/>
    <xf numFmtId="0" fontId="0" fillId="7" borderId="1" xfId="0" applyFill="1" applyBorder="1" applyAlignment="1">
      <alignment horizontal="right"/>
    </xf>
    <xf numFmtId="3" fontId="0" fillId="0" borderId="5" xfId="0" applyNumberFormat="1" applyBorder="1" applyAlignment="1">
      <alignment horizontal="center"/>
    </xf>
    <xf numFmtId="0" fontId="0" fillId="16" borderId="1" xfId="0" applyFill="1" applyBorder="1" applyAlignment="1">
      <alignment horizontal="right"/>
    </xf>
    <xf numFmtId="0" fontId="0" fillId="16" borderId="1" xfId="0" applyFill="1" applyBorder="1" applyAlignment="1">
      <alignment horizontal="right" vertical="center"/>
    </xf>
    <xf numFmtId="3" fontId="0" fillId="16" borderId="1" xfId="0" applyNumberFormat="1" applyFill="1" applyBorder="1" applyAlignment="1">
      <alignment horizontal="right" vertical="center"/>
    </xf>
    <xf numFmtId="0" fontId="0" fillId="16" borderId="1" xfId="0" applyFill="1" applyBorder="1"/>
    <xf numFmtId="0" fontId="0" fillId="3" borderId="5" xfId="0" applyFill="1" applyBorder="1"/>
    <xf numFmtId="0" fontId="0" fillId="0" borderId="1" xfId="0" applyBorder="1" applyAlignment="1">
      <alignment horizontal="center" wrapText="1"/>
    </xf>
    <xf numFmtId="0" fontId="0" fillId="9" borderId="0" xfId="0" applyFill="1" applyAlignment="1">
      <alignment horizontal="right"/>
    </xf>
    <xf numFmtId="0" fontId="0" fillId="9" borderId="0" xfId="0" applyFill="1" applyAlignment="1">
      <alignment horizontal="center"/>
    </xf>
    <xf numFmtId="4" fontId="0" fillId="0" borderId="0" xfId="0" applyNumberFormat="1" applyAlignment="1">
      <alignment horizontal="center" vertical="center"/>
    </xf>
    <xf numFmtId="4" fontId="0" fillId="9" borderId="0" xfId="0" applyNumberFormat="1" applyFill="1" applyAlignment="1">
      <alignment horizontal="right" vertical="center"/>
    </xf>
    <xf numFmtId="4" fontId="0" fillId="9" borderId="0" xfId="0" applyNumberFormat="1" applyFill="1" applyAlignment="1">
      <alignment horizontal="right"/>
    </xf>
    <xf numFmtId="0" fontId="0" fillId="11" borderId="3" xfId="0" applyFill="1" applyBorder="1"/>
    <xf numFmtId="164" fontId="0" fillId="0" borderId="1" xfId="0" applyNumberFormat="1" applyBorder="1" applyAlignment="1">
      <alignment horizontal="right" vertical="center"/>
    </xf>
    <xf numFmtId="164" fontId="0" fillId="0" borderId="1" xfId="0" applyNumberFormat="1" applyBorder="1" applyAlignment="1">
      <alignment horizontal="right"/>
    </xf>
    <xf numFmtId="164" fontId="0" fillId="0" borderId="3" xfId="0" applyNumberFormat="1" applyBorder="1" applyAlignment="1">
      <alignment horizontal="right"/>
    </xf>
    <xf numFmtId="164" fontId="0" fillId="0" borderId="3" xfId="0" applyNumberFormat="1" applyBorder="1" applyAlignment="1">
      <alignment horizontal="right" vertical="center"/>
    </xf>
    <xf numFmtId="0" fontId="0" fillId="11" borderId="3" xfId="0" applyFill="1" applyBorder="1" applyAlignment="1">
      <alignment vertical="center"/>
    </xf>
    <xf numFmtId="0" fontId="0" fillId="11" borderId="1" xfId="0" applyFill="1" applyBorder="1" applyAlignment="1">
      <alignment horizontal="center" vertical="center"/>
    </xf>
    <xf numFmtId="0" fontId="0" fillId="11" borderId="1" xfId="0" applyFill="1" applyBorder="1" applyAlignment="1">
      <alignment horizontal="center"/>
    </xf>
    <xf numFmtId="0" fontId="0" fillId="11" borderId="3" xfId="0" applyFill="1" applyBorder="1" applyAlignment="1">
      <alignment horizontal="center" vertical="center"/>
    </xf>
    <xf numFmtId="0" fontId="0" fillId="11" borderId="3" xfId="0" applyFill="1" applyBorder="1" applyAlignment="1">
      <alignment horizontal="center"/>
    </xf>
    <xf numFmtId="4" fontId="0" fillId="0" borderId="3" xfId="0" applyNumberFormat="1" applyBorder="1" applyAlignment="1">
      <alignment horizontal="center"/>
    </xf>
    <xf numFmtId="165" fontId="0" fillId="0" borderId="3" xfId="0" applyNumberFormat="1" applyBorder="1" applyAlignment="1">
      <alignment horizontal="center"/>
    </xf>
    <xf numFmtId="0" fontId="0" fillId="0" borderId="7" xfId="0" applyBorder="1" applyAlignment="1">
      <alignment horizontal="center"/>
    </xf>
    <xf numFmtId="3" fontId="0" fillId="0" borderId="0" xfId="0" applyNumberFormat="1" applyAlignment="1">
      <alignment horizontal="center" vertical="center"/>
    </xf>
    <xf numFmtId="3" fontId="0" fillId="0" borderId="7" xfId="0" applyNumberFormat="1" applyBorder="1"/>
    <xf numFmtId="3" fontId="3" fillId="10" borderId="1" xfId="0" applyNumberFormat="1" applyFont="1" applyFill="1" applyBorder="1" applyAlignment="1">
      <alignment horizontal="center"/>
    </xf>
    <xf numFmtId="1" fontId="0" fillId="7" borderId="1" xfId="0" applyNumberFormat="1" applyFill="1" applyBorder="1"/>
    <xf numFmtId="3" fontId="3" fillId="0" borderId="1" xfId="0" applyNumberFormat="1" applyFont="1" applyBorder="1" applyAlignment="1">
      <alignment horizontal="center"/>
    </xf>
    <xf numFmtId="3" fontId="3" fillId="7" borderId="1" xfId="0" applyNumberFormat="1" applyFont="1" applyFill="1" applyBorder="1" applyAlignment="1">
      <alignment horizontal="center"/>
    </xf>
    <xf numFmtId="4" fontId="0" fillId="0" borderId="1" xfId="0" applyNumberFormat="1" applyBorder="1" applyAlignment="1">
      <alignment horizontal="center"/>
    </xf>
    <xf numFmtId="3" fontId="0" fillId="7" borderId="5" xfId="0" applyNumberFormat="1" applyFill="1" applyBorder="1"/>
    <xf numFmtId="0" fontId="0" fillId="9" borderId="12" xfId="0" applyFill="1" applyBorder="1"/>
    <xf numFmtId="166" fontId="0" fillId="0" borderId="3" xfId="0" applyNumberFormat="1" applyBorder="1" applyAlignment="1">
      <alignment horizontal="center"/>
    </xf>
    <xf numFmtId="0" fontId="6" fillId="0" borderId="7" xfId="1" applyBorder="1" applyAlignment="1">
      <alignment horizontal="center"/>
    </xf>
    <xf numFmtId="0" fontId="0" fillId="0" borderId="4" xfId="0" applyBorder="1" applyAlignment="1">
      <alignment wrapText="1"/>
    </xf>
    <xf numFmtId="166" fontId="3" fillId="9" borderId="3" xfId="0" applyNumberFormat="1" applyFont="1" applyFill="1" applyBorder="1" applyAlignment="1">
      <alignment horizontal="center"/>
    </xf>
    <xf numFmtId="166" fontId="0" fillId="9" borderId="3" xfId="0" applyNumberFormat="1" applyFill="1" applyBorder="1" applyAlignment="1">
      <alignment horizontal="center"/>
    </xf>
    <xf numFmtId="166" fontId="0" fillId="9" borderId="8" xfId="0" applyNumberFormat="1" applyFill="1" applyBorder="1" applyAlignment="1">
      <alignment horizontal="center"/>
    </xf>
    <xf numFmtId="166" fontId="3" fillId="0" borderId="3" xfId="0" applyNumberFormat="1" applyFont="1" applyBorder="1" applyAlignment="1">
      <alignment horizontal="center"/>
    </xf>
    <xf numFmtId="166" fontId="0" fillId="11" borderId="3" xfId="0" applyNumberFormat="1" applyFill="1" applyBorder="1"/>
    <xf numFmtId="166" fontId="0" fillId="0" borderId="8" xfId="0" applyNumberFormat="1" applyBorder="1"/>
    <xf numFmtId="166" fontId="0" fillId="0" borderId="4" xfId="0" applyNumberFormat="1" applyBorder="1"/>
    <xf numFmtId="166" fontId="0" fillId="11" borderId="1" xfId="0" applyNumberFormat="1" applyFill="1" applyBorder="1"/>
    <xf numFmtId="0" fontId="3" fillId="0" borderId="0" xfId="0" applyFont="1" applyAlignment="1">
      <alignment horizontal="center" vertical="center" wrapText="1"/>
    </xf>
    <xf numFmtId="0" fontId="11" fillId="6" borderId="0" xfId="0" applyFont="1" applyFill="1" applyAlignment="1">
      <alignment horizontal="center" vertical="center"/>
    </xf>
    <xf numFmtId="0" fontId="11" fillId="6" borderId="2" xfId="0" applyFont="1" applyFill="1" applyBorder="1" applyAlignment="1">
      <alignment horizontal="center" vertical="center"/>
    </xf>
    <xf numFmtId="0" fontId="5" fillId="6" borderId="0" xfId="0" applyFont="1" applyFill="1" applyAlignment="1">
      <alignment horizontal="center" vertical="center"/>
    </xf>
    <xf numFmtId="0" fontId="5" fillId="6" borderId="2" xfId="0" applyFont="1" applyFill="1" applyBorder="1" applyAlignment="1">
      <alignment horizontal="center" vertical="center"/>
    </xf>
    <xf numFmtId="169" fontId="0" fillId="0" borderId="3" xfId="0" applyNumberFormat="1" applyBorder="1" applyAlignment="1">
      <alignment horizontal="center"/>
    </xf>
    <xf numFmtId="168" fontId="0" fillId="0" borderId="6" xfId="0" applyNumberFormat="1" applyBorder="1"/>
    <xf numFmtId="1" fontId="0" fillId="0" borderId="1" xfId="0" applyNumberFormat="1" applyBorder="1"/>
    <xf numFmtId="0" fontId="27" fillId="0" borderId="0" xfId="0" applyFont="1" applyAlignment="1">
      <alignment horizontal="left" vertical="center" wrapText="1" indent="1"/>
    </xf>
    <xf numFmtId="0" fontId="28" fillId="0" borderId="0" xfId="4"/>
    <xf numFmtId="170" fontId="0" fillId="0" borderId="0" xfId="0" applyNumberFormat="1"/>
    <xf numFmtId="167" fontId="0" fillId="0" borderId="3" xfId="0" applyNumberFormat="1" applyBorder="1" applyAlignment="1">
      <alignment horizontal="center"/>
    </xf>
    <xf numFmtId="0" fontId="6" fillId="0" borderId="1" xfId="0" applyFont="1" applyBorder="1"/>
    <xf numFmtId="0" fontId="5" fillId="4" borderId="0" xfId="0" applyFont="1" applyFill="1" applyAlignment="1">
      <alignment horizontal="center" vertical="center"/>
    </xf>
    <xf numFmtId="0" fontId="5" fillId="4" borderId="2" xfId="0" applyFont="1" applyFill="1" applyBorder="1" applyAlignment="1">
      <alignment horizontal="center" vertical="center"/>
    </xf>
    <xf numFmtId="0" fontId="8" fillId="0" borderId="0" xfId="0" applyFont="1" applyAlignment="1">
      <alignment horizontal="left" wrapText="1"/>
    </xf>
    <xf numFmtId="0" fontId="0" fillId="0" borderId="9" xfId="0" applyBorder="1" applyAlignment="1">
      <alignment horizontal="left" vertical="center" wrapText="1"/>
    </xf>
    <xf numFmtId="0" fontId="0" fillId="0" borderId="0" xfId="0" applyAlignment="1">
      <alignment horizontal="center"/>
    </xf>
    <xf numFmtId="0" fontId="3" fillId="0" borderId="13" xfId="0" applyFont="1" applyBorder="1" applyAlignment="1">
      <alignment horizontal="center" vertical="center" wrapText="1"/>
    </xf>
    <xf numFmtId="0" fontId="3" fillId="0" borderId="0" xfId="0" applyFont="1" applyAlignment="1">
      <alignment horizontal="center" vertical="center" wrapText="1"/>
    </xf>
    <xf numFmtId="0" fontId="3" fillId="0" borderId="13" xfId="0" applyFont="1" applyBorder="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0" fontId="3" fillId="0" borderId="15" xfId="0" applyFont="1" applyBorder="1" applyAlignment="1">
      <alignment horizontal="center" vertical="center"/>
    </xf>
    <xf numFmtId="0" fontId="5" fillId="5" borderId="0" xfId="0" applyFont="1" applyFill="1" applyAlignment="1">
      <alignment horizontal="center" vertical="center"/>
    </xf>
    <xf numFmtId="0" fontId="5" fillId="5" borderId="2" xfId="0" applyFont="1" applyFill="1" applyBorder="1" applyAlignment="1">
      <alignment horizontal="center" vertical="center"/>
    </xf>
    <xf numFmtId="0" fontId="5" fillId="5" borderId="1" xfId="0" applyFont="1" applyFill="1" applyBorder="1" applyAlignment="1">
      <alignment horizontal="center" vertical="center"/>
    </xf>
    <xf numFmtId="0" fontId="5" fillId="8" borderId="0" xfId="0" applyFont="1" applyFill="1" applyAlignment="1">
      <alignment horizontal="center" vertical="center"/>
    </xf>
    <xf numFmtId="0" fontId="5" fillId="8" borderId="2" xfId="0" applyFont="1" applyFill="1" applyBorder="1" applyAlignment="1">
      <alignment horizontal="center" vertical="center"/>
    </xf>
    <xf numFmtId="0" fontId="8" fillId="0" borderId="13" xfId="0" applyFont="1" applyBorder="1" applyAlignment="1">
      <alignment horizontal="left"/>
    </xf>
    <xf numFmtId="0" fontId="11" fillId="6" borderId="0" xfId="0" applyFont="1" applyFill="1" applyAlignment="1">
      <alignment horizontal="center" vertical="center"/>
    </xf>
    <xf numFmtId="0" fontId="11" fillId="6" borderId="2" xfId="0" applyFont="1" applyFill="1" applyBorder="1" applyAlignment="1">
      <alignment horizontal="center" vertical="center"/>
    </xf>
    <xf numFmtId="0" fontId="5" fillId="6" borderId="0" xfId="0" applyFont="1" applyFill="1" applyAlignment="1">
      <alignment horizontal="center" vertical="center"/>
    </xf>
    <xf numFmtId="0" fontId="5" fillId="6" borderId="2" xfId="0" applyFont="1" applyFill="1" applyBorder="1" applyAlignment="1">
      <alignment horizontal="center" vertical="center"/>
    </xf>
    <xf numFmtId="0" fontId="5" fillId="6" borderId="9" xfId="0" applyFont="1" applyFill="1" applyBorder="1" applyAlignment="1">
      <alignment horizontal="center" vertical="center"/>
    </xf>
    <xf numFmtId="0" fontId="5" fillId="6" borderId="10" xfId="0" applyFont="1" applyFill="1" applyBorder="1" applyAlignment="1">
      <alignment horizontal="center" vertical="center"/>
    </xf>
    <xf numFmtId="0" fontId="5" fillId="0" borderId="0" xfId="0" applyFont="1" applyAlignment="1">
      <alignment horizontal="center" vertical="center"/>
    </xf>
  </cellXfs>
  <cellStyles count="5">
    <cellStyle name="Followed Hyperlink" xfId="2" builtinId="9" hidden="1"/>
    <cellStyle name="Followed Hyperlink" xfId="3" builtinId="9" hidden="1"/>
    <cellStyle name="Hyperlink" xfId="1" builtinId="8"/>
    <cellStyle name="Normal" xfId="0" builtinId="0"/>
    <cellStyle name="Normal 2" xfId="4" xr:uid="{00000000-0005-0000-0000-000004000000}"/>
  </cellStyles>
  <dxfs count="0"/>
  <tableStyles count="0" defaultTableStyle="TableStyleMedium2" defaultPivotStyle="PivotStyleLight16"/>
  <colors>
    <mruColors>
      <color rgb="FF6BAED6"/>
      <color rgb="FF2171B5"/>
      <color rgb="FF08306B"/>
      <color rgb="FFC6DBEF"/>
      <color rgb="FFCC4C02"/>
      <color rgb="FF993404"/>
      <color rgb="FFFE9929"/>
      <color rgb="FFE2F793"/>
      <color rgb="FFC7E9C0"/>
      <color rgb="FFE8EE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Ex1.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441B"/>
            </a:solidFill>
            <a:ln>
              <a:noFill/>
            </a:ln>
            <a:effectLst/>
          </c:spPr>
          <c:invertIfNegative val="0"/>
          <c:cat>
            <c:numRef>
              <c:f>ETHANOL!$B$11:$G$11</c:f>
              <c:numCache>
                <c:formatCode>General</c:formatCode>
                <c:ptCount val="6"/>
                <c:pt idx="0">
                  <c:v>2010</c:v>
                </c:pt>
                <c:pt idx="1">
                  <c:v>2011</c:v>
                </c:pt>
                <c:pt idx="2">
                  <c:v>2012</c:v>
                </c:pt>
                <c:pt idx="3">
                  <c:v>2013</c:v>
                </c:pt>
                <c:pt idx="4">
                  <c:v>2014</c:v>
                </c:pt>
                <c:pt idx="5">
                  <c:v>2015</c:v>
                </c:pt>
              </c:numCache>
            </c:numRef>
          </c:cat>
          <c:val>
            <c:numRef>
              <c:f>ETHANOL!$B$12:$G$12</c:f>
              <c:numCache>
                <c:formatCode>#,##0.000</c:formatCode>
                <c:ptCount val="6"/>
                <c:pt idx="0">
                  <c:v>13.298</c:v>
                </c:pt>
                <c:pt idx="1">
                  <c:v>13.929</c:v>
                </c:pt>
                <c:pt idx="2">
                  <c:v>13.218</c:v>
                </c:pt>
                <c:pt idx="3">
                  <c:v>13.292999999999999</c:v>
                </c:pt>
                <c:pt idx="4">
                  <c:v>14.313000000000001</c:v>
                </c:pt>
                <c:pt idx="5">
                  <c:v>14.7</c:v>
                </c:pt>
              </c:numCache>
            </c:numRef>
          </c:val>
          <c:extLst>
            <c:ext xmlns:c16="http://schemas.microsoft.com/office/drawing/2014/chart" uri="{C3380CC4-5D6E-409C-BE32-E72D297353CC}">
              <c16:uniqueId val="{00000001-A59D-452F-AEB6-D9F054BF2A0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ETHANOL!$B$11:$G$11</c:f>
              <c:numCache>
                <c:formatCode>General</c:formatCode>
                <c:ptCount val="6"/>
                <c:pt idx="0">
                  <c:v>2010</c:v>
                </c:pt>
                <c:pt idx="1">
                  <c:v>2011</c:v>
                </c:pt>
                <c:pt idx="2">
                  <c:v>2012</c:v>
                </c:pt>
                <c:pt idx="3">
                  <c:v>2013</c:v>
                </c:pt>
                <c:pt idx="4">
                  <c:v>2014</c:v>
                </c:pt>
                <c:pt idx="5">
                  <c:v>2015</c:v>
                </c:pt>
              </c:numCache>
            </c:numRef>
          </c:cat>
          <c:val>
            <c:numRef>
              <c:f>ETHANOL!$B$12:$G$12</c:f>
              <c:numCache>
                <c:formatCode>#,##0.000</c:formatCode>
                <c:ptCount val="6"/>
                <c:pt idx="0">
                  <c:v>13.298</c:v>
                </c:pt>
                <c:pt idx="1">
                  <c:v>13.929</c:v>
                </c:pt>
                <c:pt idx="2">
                  <c:v>13.218</c:v>
                </c:pt>
                <c:pt idx="3">
                  <c:v>13.292999999999999</c:v>
                </c:pt>
                <c:pt idx="4">
                  <c:v>14.313000000000001</c:v>
                </c:pt>
                <c:pt idx="5">
                  <c:v>14.7</c:v>
                </c:pt>
              </c:numCache>
            </c:numRef>
          </c:val>
          <c:extLst>
            <c:ext xmlns:c16="http://schemas.microsoft.com/office/drawing/2014/chart" uri="{C3380CC4-5D6E-409C-BE32-E72D297353CC}">
              <c16:uniqueId val="{00000000-CAB4-4C84-A38D-DEF9B1C5411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Total ethanol production in the U.S.</c:v>
          </c:tx>
          <c:spPr>
            <a:solidFill>
              <a:srgbClr val="08306B"/>
            </a:solidFill>
            <a:ln>
              <a:noFill/>
            </a:ln>
            <a:effectLst/>
          </c:spPr>
          <c:invertIfNegative val="0"/>
          <c:cat>
            <c:numRef>
              <c:f>ETHANOL!$B$11:$G$11</c:f>
              <c:numCache>
                <c:formatCode>General</c:formatCode>
                <c:ptCount val="6"/>
                <c:pt idx="0">
                  <c:v>2010</c:v>
                </c:pt>
                <c:pt idx="1">
                  <c:v>2011</c:v>
                </c:pt>
                <c:pt idx="2">
                  <c:v>2012</c:v>
                </c:pt>
                <c:pt idx="3">
                  <c:v>2013</c:v>
                </c:pt>
                <c:pt idx="4">
                  <c:v>2014</c:v>
                </c:pt>
                <c:pt idx="5">
                  <c:v>2015</c:v>
                </c:pt>
              </c:numCache>
            </c:numRef>
          </c:cat>
          <c:val>
            <c:numRef>
              <c:f>ETHANOL!$B$12:$G$12</c:f>
              <c:numCache>
                <c:formatCode>#,##0.000</c:formatCode>
                <c:ptCount val="6"/>
                <c:pt idx="0">
                  <c:v>13.298</c:v>
                </c:pt>
                <c:pt idx="1">
                  <c:v>13.929</c:v>
                </c:pt>
                <c:pt idx="2">
                  <c:v>13.218</c:v>
                </c:pt>
                <c:pt idx="3">
                  <c:v>13.292999999999999</c:v>
                </c:pt>
                <c:pt idx="4">
                  <c:v>14.313000000000001</c:v>
                </c:pt>
                <c:pt idx="5">
                  <c:v>14.7</c:v>
                </c:pt>
              </c:numCache>
            </c:numRef>
          </c:val>
          <c:extLst>
            <c:ext xmlns:c16="http://schemas.microsoft.com/office/drawing/2014/chart" uri="{C3380CC4-5D6E-409C-BE32-E72D297353CC}">
              <c16:uniqueId val="{00000000-323F-47AD-9E21-310635E82520}"/>
            </c:ext>
          </c:extLst>
        </c:ser>
        <c:ser>
          <c:idx val="2"/>
          <c:order val="1"/>
          <c:tx>
            <c:v>Total ethanol consumption in the U.S.</c:v>
          </c:tx>
          <c:spPr>
            <a:solidFill>
              <a:srgbClr val="6BAED6"/>
            </a:solidFill>
            <a:ln>
              <a:noFill/>
            </a:ln>
            <a:effectLst/>
          </c:spPr>
          <c:invertIfNegative val="0"/>
          <c:val>
            <c:numRef>
              <c:f>ETHANOL!$B$16:$G$16</c:f>
              <c:numCache>
                <c:formatCode>#,##0.000</c:formatCode>
                <c:ptCount val="6"/>
                <c:pt idx="0">
                  <c:v>12.858000000000001</c:v>
                </c:pt>
                <c:pt idx="1">
                  <c:v>12.893000000000001</c:v>
                </c:pt>
                <c:pt idx="2">
                  <c:v>12.882</c:v>
                </c:pt>
                <c:pt idx="3">
                  <c:v>13.215999999999999</c:v>
                </c:pt>
                <c:pt idx="4">
                  <c:v>13.444000000000001</c:v>
                </c:pt>
                <c:pt idx="5">
                  <c:v>13.946999999999999</c:v>
                </c:pt>
              </c:numCache>
            </c:numRef>
          </c:val>
          <c:extLst>
            <c:ext xmlns:c16="http://schemas.microsoft.com/office/drawing/2014/chart" uri="{C3380CC4-5D6E-409C-BE32-E72D297353CC}">
              <c16:uniqueId val="{00000002-323F-47AD-9E21-310635E8252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5"/>
          <c:min val="11.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272325334333209"/>
          <c:y val="5.5555555555555552E-2"/>
          <c:w val="0.69304555680539937"/>
          <c:h val="7.1619641294838152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solidFill>
                <a:srgbClr val="08306B"/>
              </a:solidFill>
            </a:ln>
            <a:effectLst/>
          </c:spPr>
          <c:invertIfNegative val="0"/>
          <c:cat>
            <c:numRef>
              <c:f>ETHANOL!$B$11:$G$11</c:f>
              <c:numCache>
                <c:formatCode>General</c:formatCode>
                <c:ptCount val="6"/>
                <c:pt idx="0">
                  <c:v>2010</c:v>
                </c:pt>
                <c:pt idx="1">
                  <c:v>2011</c:v>
                </c:pt>
                <c:pt idx="2">
                  <c:v>2012</c:v>
                </c:pt>
                <c:pt idx="3">
                  <c:v>2013</c:v>
                </c:pt>
                <c:pt idx="4">
                  <c:v>2014</c:v>
                </c:pt>
                <c:pt idx="5">
                  <c:v>2015</c:v>
                </c:pt>
              </c:numCache>
            </c:numRef>
          </c:cat>
          <c:val>
            <c:numRef>
              <c:f>ETHANOL!$B$13:$G$13</c:f>
              <c:numCache>
                <c:formatCode>0.00</c:formatCode>
                <c:ptCount val="6"/>
                <c:pt idx="0">
                  <c:v>1.5665999999999999E-2</c:v>
                </c:pt>
                <c:pt idx="1">
                  <c:v>0.17186399999999999</c:v>
                </c:pt>
                <c:pt idx="2">
                  <c:v>0.49413000000000001</c:v>
                </c:pt>
                <c:pt idx="3">
                  <c:v>0.37699199999999999</c:v>
                </c:pt>
                <c:pt idx="4">
                  <c:v>7.4676000000000006E-2</c:v>
                </c:pt>
                <c:pt idx="5">
                  <c:v>9.1518000000000002E-2</c:v>
                </c:pt>
              </c:numCache>
            </c:numRef>
          </c:val>
          <c:extLst>
            <c:ext xmlns:c16="http://schemas.microsoft.com/office/drawing/2014/chart" uri="{C3380CC4-5D6E-409C-BE32-E72D297353CC}">
              <c16:uniqueId val="{00000000-F114-4BCB-BF0D-13F321B1BE7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ETHANOL!$B$11:$G$11</c:f>
              <c:numCache>
                <c:formatCode>General</c:formatCode>
                <c:ptCount val="6"/>
                <c:pt idx="0">
                  <c:v>2010</c:v>
                </c:pt>
                <c:pt idx="1">
                  <c:v>2011</c:v>
                </c:pt>
                <c:pt idx="2">
                  <c:v>2012</c:v>
                </c:pt>
                <c:pt idx="3">
                  <c:v>2013</c:v>
                </c:pt>
                <c:pt idx="4">
                  <c:v>2014</c:v>
                </c:pt>
                <c:pt idx="5">
                  <c:v>2015</c:v>
                </c:pt>
              </c:numCache>
            </c:numRef>
          </c:cat>
          <c:val>
            <c:numRef>
              <c:f>ETHANOL!$B$14:$G$14</c:f>
              <c:numCache>
                <c:formatCode>0.00</c:formatCode>
                <c:ptCount val="6"/>
                <c:pt idx="0">
                  <c:v>0.39857999999999999</c:v>
                </c:pt>
                <c:pt idx="1">
                  <c:v>1.1951940000000001</c:v>
                </c:pt>
                <c:pt idx="2">
                  <c:v>0.74155199999999999</c:v>
                </c:pt>
                <c:pt idx="3">
                  <c:v>0.61899599999999999</c:v>
                </c:pt>
                <c:pt idx="4">
                  <c:v>0.84621599999999997</c:v>
                </c:pt>
                <c:pt idx="5">
                  <c:v>0.82714799999999999</c:v>
                </c:pt>
              </c:numCache>
            </c:numRef>
          </c:val>
          <c:extLst>
            <c:ext xmlns:c16="http://schemas.microsoft.com/office/drawing/2014/chart" uri="{C3380CC4-5D6E-409C-BE32-E72D297353CC}">
              <c16:uniqueId val="{00000000-C079-40F6-A075-FF405510995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ETHANOL!$B$11:$H$11</c:f>
              <c:numCache>
                <c:formatCode>General</c:formatCode>
                <c:ptCount val="7"/>
                <c:pt idx="0">
                  <c:v>2010</c:v>
                </c:pt>
                <c:pt idx="1">
                  <c:v>2011</c:v>
                </c:pt>
                <c:pt idx="2">
                  <c:v>2012</c:v>
                </c:pt>
                <c:pt idx="3">
                  <c:v>2013</c:v>
                </c:pt>
                <c:pt idx="4">
                  <c:v>2014</c:v>
                </c:pt>
                <c:pt idx="5">
                  <c:v>2015</c:v>
                </c:pt>
                <c:pt idx="6">
                  <c:v>2016</c:v>
                </c:pt>
              </c:numCache>
            </c:numRef>
          </c:cat>
          <c:val>
            <c:numRef>
              <c:f>ETHANOL!$B$19:$H$19</c:f>
              <c:numCache>
                <c:formatCode>#,##0</c:formatCode>
                <c:ptCount val="7"/>
                <c:pt idx="0">
                  <c:v>4.5910000000000002</c:v>
                </c:pt>
                <c:pt idx="1">
                  <c:v>5.0190000000000001</c:v>
                </c:pt>
                <c:pt idx="2">
                  <c:v>5</c:v>
                </c:pt>
                <c:pt idx="3">
                  <c:v>4.641</c:v>
                </c:pt>
                <c:pt idx="4">
                  <c:v>5.1239999999999997</c:v>
                </c:pt>
                <c:pt idx="5">
                  <c:v>5.2</c:v>
                </c:pt>
                <c:pt idx="6">
                  <c:v>5.2060000000000004</c:v>
                </c:pt>
              </c:numCache>
            </c:numRef>
          </c:val>
          <c:extLst>
            <c:ext xmlns:c16="http://schemas.microsoft.com/office/drawing/2014/chart" uri="{C3380CC4-5D6E-409C-BE32-E72D297353CC}">
              <c16:uniqueId val="{00000000-1D55-4DE3-8950-B08087B78F05}"/>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bushels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ETHANOL!$B$11:$H$11</c:f>
              <c:numCache>
                <c:formatCode>General</c:formatCode>
                <c:ptCount val="7"/>
                <c:pt idx="0">
                  <c:v>2010</c:v>
                </c:pt>
                <c:pt idx="1">
                  <c:v>2011</c:v>
                </c:pt>
                <c:pt idx="2">
                  <c:v>2012</c:v>
                </c:pt>
                <c:pt idx="3">
                  <c:v>2013</c:v>
                </c:pt>
                <c:pt idx="4">
                  <c:v>2014</c:v>
                </c:pt>
                <c:pt idx="5">
                  <c:v>2015</c:v>
                </c:pt>
                <c:pt idx="6">
                  <c:v>2016</c:v>
                </c:pt>
              </c:numCache>
            </c:numRef>
          </c:cat>
          <c:val>
            <c:numRef>
              <c:f>ETHANOL!$B$20:$H$20</c:f>
              <c:numCache>
                <c:formatCode>General</c:formatCode>
                <c:ptCount val="7"/>
                <c:pt idx="0">
                  <c:v>1.6E-2</c:v>
                </c:pt>
                <c:pt idx="1">
                  <c:v>0.114</c:v>
                </c:pt>
                <c:pt idx="2">
                  <c:v>0.40799999999999997</c:v>
                </c:pt>
                <c:pt idx="3">
                  <c:v>0.71299999999999997</c:v>
                </c:pt>
                <c:pt idx="4">
                  <c:v>0.95899999999999996</c:v>
                </c:pt>
                <c:pt idx="5">
                  <c:v>1.208</c:v>
                </c:pt>
                <c:pt idx="6">
                  <c:v>1.454</c:v>
                </c:pt>
              </c:numCache>
            </c:numRef>
          </c:val>
          <c:extLst>
            <c:ext xmlns:c16="http://schemas.microsoft.com/office/drawing/2014/chart" uri="{C3380CC4-5D6E-409C-BE32-E72D297353CC}">
              <c16:uniqueId val="{00000000-EBFE-4D8D-AC97-1256DF1B3C1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296109331518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ETHANOL!$C$11:$G$11</c:f>
              <c:numCache>
                <c:formatCode>General</c:formatCode>
                <c:ptCount val="5"/>
                <c:pt idx="0">
                  <c:v>2011</c:v>
                </c:pt>
                <c:pt idx="1">
                  <c:v>2012</c:v>
                </c:pt>
                <c:pt idx="2">
                  <c:v>2013</c:v>
                </c:pt>
                <c:pt idx="3">
                  <c:v>2014</c:v>
                </c:pt>
                <c:pt idx="4">
                  <c:v>2015</c:v>
                </c:pt>
              </c:numCache>
            </c:numRef>
          </c:cat>
          <c:val>
            <c:numRef>
              <c:f>ETHANOL!$C$30:$G$30</c:f>
              <c:numCache>
                <c:formatCode>General</c:formatCode>
                <c:ptCount val="5"/>
                <c:pt idx="0">
                  <c:v>90200</c:v>
                </c:pt>
                <c:pt idx="1">
                  <c:v>87000</c:v>
                </c:pt>
                <c:pt idx="2">
                  <c:v>86504</c:v>
                </c:pt>
                <c:pt idx="3">
                  <c:v>83949</c:v>
                </c:pt>
                <c:pt idx="4">
                  <c:v>85967</c:v>
                </c:pt>
              </c:numCache>
            </c:numRef>
          </c:val>
          <c:extLst>
            <c:ext xmlns:c16="http://schemas.microsoft.com/office/drawing/2014/chart" uri="{C3380CC4-5D6E-409C-BE32-E72D297353CC}">
              <c16:uniqueId val="{00000000-4B1F-4B3D-AF71-1485DD31D04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direct jobs</a:t>
                </a:r>
                <a:r>
                  <a:rPr lang="en-US" sz="1000" baseline="0">
                    <a:solidFill>
                      <a:sysClr val="windowText" lastClr="000000"/>
                    </a:solidFill>
                  </a:rPr>
                  <a:t> </a:t>
                </a:r>
                <a:endParaRPr lang="en-US" sz="1000">
                  <a:solidFill>
                    <a:sysClr val="windowText" lastClr="000000"/>
                  </a:solidFill>
                </a:endParaRPr>
              </a:p>
            </c:rich>
          </c:tx>
          <c:layout>
            <c:manualLayout>
              <c:xMode val="edge"/>
              <c:yMode val="edge"/>
              <c:x val="1.587296109331518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ETHANOL!$C$11:$G$11</c:f>
              <c:numCache>
                <c:formatCode>General</c:formatCode>
                <c:ptCount val="5"/>
                <c:pt idx="0">
                  <c:v>2011</c:v>
                </c:pt>
                <c:pt idx="1">
                  <c:v>2012</c:v>
                </c:pt>
                <c:pt idx="2">
                  <c:v>2013</c:v>
                </c:pt>
                <c:pt idx="3">
                  <c:v>2014</c:v>
                </c:pt>
                <c:pt idx="4">
                  <c:v>2015</c:v>
                </c:pt>
              </c:numCache>
            </c:numRef>
          </c:cat>
          <c:val>
            <c:numRef>
              <c:f>ETHANOL!$C$31:$G$31</c:f>
              <c:numCache>
                <c:formatCode>General</c:formatCode>
                <c:ptCount val="5"/>
                <c:pt idx="0">
                  <c:v>311400</c:v>
                </c:pt>
                <c:pt idx="1">
                  <c:v>295000</c:v>
                </c:pt>
                <c:pt idx="2">
                  <c:v>300277</c:v>
                </c:pt>
                <c:pt idx="3">
                  <c:v>295265</c:v>
                </c:pt>
                <c:pt idx="4">
                  <c:v>271440</c:v>
                </c:pt>
              </c:numCache>
            </c:numRef>
          </c:val>
          <c:extLst>
            <c:ext xmlns:c16="http://schemas.microsoft.com/office/drawing/2014/chart" uri="{C3380CC4-5D6E-409C-BE32-E72D297353CC}">
              <c16:uniqueId val="{00000000-E344-4B7B-9360-CA98121DB68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indirect jobs</a:t>
                </a:r>
                <a:r>
                  <a:rPr lang="en-US" sz="1000" baseline="0">
                    <a:solidFill>
                      <a:sysClr val="windowText" lastClr="000000"/>
                    </a:solidFill>
                  </a:rPr>
                  <a:t> </a:t>
                </a:r>
                <a:endParaRPr lang="en-US" sz="1000">
                  <a:solidFill>
                    <a:sysClr val="windowText" lastClr="000000"/>
                  </a:solidFill>
                </a:endParaRPr>
              </a:p>
            </c:rich>
          </c:tx>
          <c:layout>
            <c:manualLayout>
              <c:xMode val="edge"/>
              <c:yMode val="edge"/>
              <c:x val="1.587296109331518E-2"/>
              <c:y val="0.305270660660055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Gross domestic product influence</c:v>
          </c:tx>
          <c:spPr>
            <a:solidFill>
              <a:srgbClr val="08306B"/>
            </a:solidFill>
            <a:ln>
              <a:noFill/>
            </a:ln>
            <a:effectLst/>
          </c:spPr>
          <c:invertIfNegative val="0"/>
          <c:cat>
            <c:numRef>
              <c:f>ETHANOL!$C$27:$G$27</c:f>
              <c:numCache>
                <c:formatCode>General</c:formatCode>
                <c:ptCount val="5"/>
                <c:pt idx="0">
                  <c:v>2011</c:v>
                </c:pt>
                <c:pt idx="1">
                  <c:v>2012</c:v>
                </c:pt>
                <c:pt idx="2">
                  <c:v>2013</c:v>
                </c:pt>
                <c:pt idx="3">
                  <c:v>2014</c:v>
                </c:pt>
                <c:pt idx="4">
                  <c:v>2015</c:v>
                </c:pt>
              </c:numCache>
            </c:numRef>
          </c:cat>
          <c:val>
            <c:numRef>
              <c:f>ETHANOL!$C$32:$G$32</c:f>
              <c:numCache>
                <c:formatCode>General</c:formatCode>
                <c:ptCount val="5"/>
                <c:pt idx="0">
                  <c:v>42.4</c:v>
                </c:pt>
                <c:pt idx="1">
                  <c:v>43.4</c:v>
                </c:pt>
                <c:pt idx="2">
                  <c:v>44</c:v>
                </c:pt>
                <c:pt idx="3">
                  <c:v>53</c:v>
                </c:pt>
                <c:pt idx="4">
                  <c:v>44</c:v>
                </c:pt>
              </c:numCache>
            </c:numRef>
          </c:val>
          <c:extLst>
            <c:ext xmlns:c16="http://schemas.microsoft.com/office/drawing/2014/chart" uri="{C3380CC4-5D6E-409C-BE32-E72D297353CC}">
              <c16:uniqueId val="{00000000-6B99-4689-A96A-A220BC565444}"/>
            </c:ext>
          </c:extLst>
        </c:ser>
        <c:ser>
          <c:idx val="2"/>
          <c:order val="1"/>
          <c:tx>
            <c:v>Household income from industry</c:v>
          </c:tx>
          <c:spPr>
            <a:solidFill>
              <a:srgbClr val="2171B5"/>
            </a:solidFill>
            <a:ln>
              <a:solidFill>
                <a:srgbClr val="2171B5"/>
              </a:solidFill>
            </a:ln>
            <a:effectLst/>
          </c:spPr>
          <c:invertIfNegative val="0"/>
          <c:cat>
            <c:numRef>
              <c:f>ETHANOL!$C$27:$G$27</c:f>
              <c:numCache>
                <c:formatCode>General</c:formatCode>
                <c:ptCount val="5"/>
                <c:pt idx="0">
                  <c:v>2011</c:v>
                </c:pt>
                <c:pt idx="1">
                  <c:v>2012</c:v>
                </c:pt>
                <c:pt idx="2">
                  <c:v>2013</c:v>
                </c:pt>
                <c:pt idx="3">
                  <c:v>2014</c:v>
                </c:pt>
                <c:pt idx="4">
                  <c:v>2015</c:v>
                </c:pt>
              </c:numCache>
            </c:numRef>
          </c:cat>
          <c:val>
            <c:numRef>
              <c:f>ETHANOL!$C$33:$G$33</c:f>
              <c:numCache>
                <c:formatCode>General</c:formatCode>
                <c:ptCount val="5"/>
                <c:pt idx="0">
                  <c:v>29.9</c:v>
                </c:pt>
                <c:pt idx="1">
                  <c:v>30.2</c:v>
                </c:pt>
                <c:pt idx="2">
                  <c:v>31</c:v>
                </c:pt>
                <c:pt idx="3">
                  <c:v>27</c:v>
                </c:pt>
                <c:pt idx="4">
                  <c:v>24</c:v>
                </c:pt>
              </c:numCache>
            </c:numRef>
          </c:val>
          <c:extLst>
            <c:ext xmlns:c16="http://schemas.microsoft.com/office/drawing/2014/chart" uri="{C3380CC4-5D6E-409C-BE32-E72D297353CC}">
              <c16:uniqueId val="{00000001-6B99-4689-A96A-A220BC565444}"/>
            </c:ext>
          </c:extLst>
        </c:ser>
        <c:ser>
          <c:idx val="0"/>
          <c:order val="2"/>
          <c:tx>
            <c:v>Tax revenue</c:v>
          </c:tx>
          <c:spPr>
            <a:solidFill>
              <a:srgbClr val="6BAED6"/>
            </a:solidFill>
            <a:ln>
              <a:solidFill>
                <a:srgbClr val="6BAED6"/>
              </a:solidFill>
            </a:ln>
            <a:effectLst/>
          </c:spPr>
          <c:invertIfNegative val="0"/>
          <c:cat>
            <c:numRef>
              <c:f>ETHANOL!$C$27:$G$27</c:f>
              <c:numCache>
                <c:formatCode>General</c:formatCode>
                <c:ptCount val="5"/>
                <c:pt idx="0">
                  <c:v>2011</c:v>
                </c:pt>
                <c:pt idx="1">
                  <c:v>2012</c:v>
                </c:pt>
                <c:pt idx="2">
                  <c:v>2013</c:v>
                </c:pt>
                <c:pt idx="3">
                  <c:v>2014</c:v>
                </c:pt>
                <c:pt idx="4">
                  <c:v>2015</c:v>
                </c:pt>
              </c:numCache>
            </c:numRef>
          </c:cat>
          <c:val>
            <c:numRef>
              <c:f>ETHANOL!$C$34:$G$34</c:f>
              <c:numCache>
                <c:formatCode>General</c:formatCode>
                <c:ptCount val="5"/>
                <c:pt idx="0">
                  <c:v>8</c:v>
                </c:pt>
                <c:pt idx="1">
                  <c:v>7.9</c:v>
                </c:pt>
                <c:pt idx="2">
                  <c:v>8.3000000000000007</c:v>
                </c:pt>
                <c:pt idx="3">
                  <c:v>10.3</c:v>
                </c:pt>
                <c:pt idx="4">
                  <c:v>10</c:v>
                </c:pt>
              </c:numCache>
            </c:numRef>
          </c:val>
          <c:extLst>
            <c:ext xmlns:c16="http://schemas.microsoft.com/office/drawing/2014/chart" uri="{C3380CC4-5D6E-409C-BE32-E72D297353CC}">
              <c16:uniqueId val="{00000002-6B99-4689-A96A-A220BC56544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487064190249282"/>
          <c:y val="5.5555448160942426E-2"/>
          <c:w val="0.83958786840165622"/>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ETHANOL!$B$11:$H$11</c:f>
              <c:numCache>
                <c:formatCode>General</c:formatCode>
                <c:ptCount val="7"/>
                <c:pt idx="0">
                  <c:v>2010</c:v>
                </c:pt>
                <c:pt idx="1">
                  <c:v>2011</c:v>
                </c:pt>
                <c:pt idx="2">
                  <c:v>2012</c:v>
                </c:pt>
                <c:pt idx="3">
                  <c:v>2013</c:v>
                </c:pt>
                <c:pt idx="4">
                  <c:v>2014</c:v>
                </c:pt>
                <c:pt idx="5">
                  <c:v>2015</c:v>
                </c:pt>
                <c:pt idx="6">
                  <c:v>2016</c:v>
                </c:pt>
              </c:numCache>
            </c:numRef>
          </c:cat>
          <c:val>
            <c:numRef>
              <c:f>ETHANOL!$B$35:$H$35</c:f>
              <c:numCache>
                <c:formatCode>General</c:formatCode>
                <c:ptCount val="7"/>
                <c:pt idx="0">
                  <c:v>1.84</c:v>
                </c:pt>
                <c:pt idx="1">
                  <c:v>2.56</c:v>
                </c:pt>
                <c:pt idx="2">
                  <c:v>2.5</c:v>
                </c:pt>
                <c:pt idx="3">
                  <c:v>2.5</c:v>
                </c:pt>
                <c:pt idx="4">
                  <c:v>2.39</c:v>
                </c:pt>
                <c:pt idx="5">
                  <c:v>1.82</c:v>
                </c:pt>
                <c:pt idx="6">
                  <c:v>1.55</c:v>
                </c:pt>
              </c:numCache>
            </c:numRef>
          </c:val>
          <c:extLst>
            <c:ext xmlns:c16="http://schemas.microsoft.com/office/drawing/2014/chart" uri="{C3380CC4-5D6E-409C-BE32-E72D297353CC}">
              <c16:uniqueId val="{00000000-A9B5-4DE5-A4C6-AFBA431D13C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gallon</a:t>
                </a:r>
              </a:p>
            </c:rich>
          </c:tx>
          <c:layout>
            <c:manualLayout>
              <c:xMode val="edge"/>
              <c:yMode val="edge"/>
              <c:x val="1.587296109331518E-2"/>
              <c:y val="0.305270660660055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Production</c:v>
          </c:tx>
          <c:spPr>
            <a:solidFill>
              <a:srgbClr val="08306B"/>
            </a:solidFill>
            <a:ln>
              <a:solidFill>
                <a:srgbClr val="08306B"/>
              </a:solidFill>
            </a:ln>
            <a:effectLst/>
          </c:spPr>
          <c:invertIfNegative val="0"/>
          <c:cat>
            <c:numRef>
              <c:f>BIODIESEL!$B$40:$Q$40</c:f>
              <c:numCache>
                <c:formatCode>General</c:formatCode>
                <c:ptCount val="1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numCache>
            </c:numRef>
          </c:cat>
          <c:val>
            <c:numRef>
              <c:f>BIODIESEL!$B$41:$Q$41</c:f>
              <c:numCache>
                <c:formatCode>General</c:formatCode>
                <c:ptCount val="16"/>
                <c:pt idx="0">
                  <c:v>8.5769999999999996E-3</c:v>
                </c:pt>
                <c:pt idx="1">
                  <c:v>1.0484E-2</c:v>
                </c:pt>
                <c:pt idx="2">
                  <c:v>1.421E-2</c:v>
                </c:pt>
                <c:pt idx="3">
                  <c:v>2.7982E-2</c:v>
                </c:pt>
                <c:pt idx="4">
                  <c:v>9.0787000000000007E-2</c:v>
                </c:pt>
                <c:pt idx="5">
                  <c:v>0.25043899999999997</c:v>
                </c:pt>
                <c:pt idx="6">
                  <c:v>0.48982500000000001</c:v>
                </c:pt>
                <c:pt idx="7">
                  <c:v>0.67810599999999999</c:v>
                </c:pt>
                <c:pt idx="8">
                  <c:v>0.51580499999999996</c:v>
                </c:pt>
                <c:pt idx="9">
                  <c:v>0.343445</c:v>
                </c:pt>
                <c:pt idx="10">
                  <c:v>0.96748100000000004</c:v>
                </c:pt>
                <c:pt idx="11">
                  <c:v>0.99071100000000001</c:v>
                </c:pt>
                <c:pt idx="12">
                  <c:v>1.359456</c:v>
                </c:pt>
                <c:pt idx="13">
                  <c:v>1.2789780000000002</c:v>
                </c:pt>
                <c:pt idx="14">
                  <c:v>1.263347</c:v>
                </c:pt>
                <c:pt idx="15">
                  <c:v>1.5677300000000001</c:v>
                </c:pt>
              </c:numCache>
            </c:numRef>
          </c:val>
          <c:extLst>
            <c:ext xmlns:c16="http://schemas.microsoft.com/office/drawing/2014/chart" uri="{C3380CC4-5D6E-409C-BE32-E72D297353CC}">
              <c16:uniqueId val="{00000000-F3D3-4DDC-B07A-D267D1C58887}"/>
            </c:ext>
          </c:extLst>
        </c:ser>
        <c:ser>
          <c:idx val="2"/>
          <c:order val="1"/>
          <c:tx>
            <c:v>Consumption</c:v>
          </c:tx>
          <c:spPr>
            <a:solidFill>
              <a:srgbClr val="2171B5"/>
            </a:solidFill>
            <a:ln>
              <a:solidFill>
                <a:srgbClr val="2171B5"/>
              </a:solidFill>
            </a:ln>
            <a:effectLst/>
          </c:spPr>
          <c:invertIfNegative val="0"/>
          <c:cat>
            <c:numRef>
              <c:f>BIODIESEL!$B$40:$Q$40</c:f>
              <c:numCache>
                <c:formatCode>General</c:formatCode>
                <c:ptCount val="1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numCache>
            </c:numRef>
          </c:cat>
          <c:val>
            <c:numRef>
              <c:f>BIODIESEL!$B$42:$Q$42</c:f>
              <c:numCache>
                <c:formatCode>General</c:formatCode>
                <c:ptCount val="16"/>
                <c:pt idx="0">
                  <c:v>1.0268000000000001E-2</c:v>
                </c:pt>
                <c:pt idx="1">
                  <c:v>1.6361000000000001E-2</c:v>
                </c:pt>
                <c:pt idx="2">
                  <c:v>1.3509999999999999E-2</c:v>
                </c:pt>
                <c:pt idx="3">
                  <c:v>2.6841E-2</c:v>
                </c:pt>
                <c:pt idx="4">
                  <c:v>9.0828000000000006E-2</c:v>
                </c:pt>
                <c:pt idx="5">
                  <c:v>0.26092599999999999</c:v>
                </c:pt>
                <c:pt idx="6">
                  <c:v>0.35370800000000002</c:v>
                </c:pt>
                <c:pt idx="7">
                  <c:v>0.30355599999999999</c:v>
                </c:pt>
                <c:pt idx="8">
                  <c:v>0.32183200000000001</c:v>
                </c:pt>
                <c:pt idx="9">
                  <c:v>0.260075</c:v>
                </c:pt>
                <c:pt idx="10">
                  <c:v>0.88617100000000004</c:v>
                </c:pt>
                <c:pt idx="11">
                  <c:v>0.89904600000000001</c:v>
                </c:pt>
                <c:pt idx="12">
                  <c:v>1.4288399999999999</c:v>
                </c:pt>
                <c:pt idx="13">
                  <c:v>1.416857</c:v>
                </c:pt>
                <c:pt idx="14">
                  <c:v>1.4941600000000002</c:v>
                </c:pt>
                <c:pt idx="15">
                  <c:v>2.085432</c:v>
                </c:pt>
              </c:numCache>
            </c:numRef>
          </c:val>
          <c:extLst>
            <c:ext xmlns:c16="http://schemas.microsoft.com/office/drawing/2014/chart" uri="{C3380CC4-5D6E-409C-BE32-E72D297353CC}">
              <c16:uniqueId val="{00000001-F3D3-4DDC-B07A-D267D1C58887}"/>
            </c:ext>
          </c:extLst>
        </c:ser>
        <c:ser>
          <c:idx val="0"/>
          <c:order val="2"/>
          <c:tx>
            <c:v>Net exports</c:v>
          </c:tx>
          <c:spPr>
            <a:solidFill>
              <a:srgbClr val="6BAED6"/>
            </a:solidFill>
            <a:ln>
              <a:solidFill>
                <a:srgbClr val="6BAED6"/>
              </a:solidFill>
            </a:ln>
            <a:effectLst/>
          </c:spPr>
          <c:invertIfNegative val="0"/>
          <c:cat>
            <c:numRef>
              <c:f>BIODIESEL!$B$40:$Q$40</c:f>
              <c:numCache>
                <c:formatCode>General</c:formatCode>
                <c:ptCount val="1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numCache>
            </c:numRef>
          </c:cat>
          <c:val>
            <c:numRef>
              <c:f>BIODIESEL!$B$43:$Q$43</c:f>
              <c:numCache>
                <c:formatCode>General</c:formatCode>
                <c:ptCount val="16"/>
                <c:pt idx="0">
                  <c:v>-1.6910000000000007E-3</c:v>
                </c:pt>
                <c:pt idx="1">
                  <c:v>-5.8770000000000003E-3</c:v>
                </c:pt>
                <c:pt idx="2">
                  <c:v>7.0000000000000108E-4</c:v>
                </c:pt>
                <c:pt idx="3">
                  <c:v>1.1409999999999981E-3</c:v>
                </c:pt>
                <c:pt idx="4">
                  <c:v>-4.0999999999996816E-5</c:v>
                </c:pt>
                <c:pt idx="5">
                  <c:v>-1.0486999999999995E-2</c:v>
                </c:pt>
                <c:pt idx="6">
                  <c:v>0.13611699999999996</c:v>
                </c:pt>
                <c:pt idx="7">
                  <c:v>0.37454999999999999</c:v>
                </c:pt>
                <c:pt idx="8">
                  <c:v>0.19397299999999995</c:v>
                </c:pt>
                <c:pt idx="9">
                  <c:v>8.337E-2</c:v>
                </c:pt>
                <c:pt idx="10">
                  <c:v>8.1309999999999952E-2</c:v>
                </c:pt>
                <c:pt idx="11">
                  <c:v>9.1664999999999969E-2</c:v>
                </c:pt>
                <c:pt idx="12">
                  <c:v>-6.9384000000000015E-2</c:v>
                </c:pt>
                <c:pt idx="13">
                  <c:v>-0.13787899999999992</c:v>
                </c:pt>
                <c:pt idx="14">
                  <c:v>-0.2308130000000001</c:v>
                </c:pt>
                <c:pt idx="15">
                  <c:v>-0.51770199999999977</c:v>
                </c:pt>
              </c:numCache>
            </c:numRef>
          </c:val>
          <c:extLst>
            <c:ext xmlns:c16="http://schemas.microsoft.com/office/drawing/2014/chart" uri="{C3380CC4-5D6E-409C-BE32-E72D297353CC}">
              <c16:uniqueId val="{00000002-F3D3-4DDC-B07A-D267D1C58887}"/>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875601432645555"/>
          <c:y val="5.5555448160942426E-2"/>
          <c:w val="0.44753523706110548"/>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ETHANOL!$B$11:$G$11</c:f>
              <c:numCache>
                <c:formatCode>General</c:formatCode>
                <c:ptCount val="6"/>
                <c:pt idx="0">
                  <c:v>2010</c:v>
                </c:pt>
                <c:pt idx="1">
                  <c:v>2011</c:v>
                </c:pt>
                <c:pt idx="2">
                  <c:v>2012</c:v>
                </c:pt>
                <c:pt idx="3">
                  <c:v>2013</c:v>
                </c:pt>
                <c:pt idx="4">
                  <c:v>2014</c:v>
                </c:pt>
                <c:pt idx="5">
                  <c:v>2015</c:v>
                </c:pt>
              </c:numCache>
            </c:numRef>
          </c:cat>
          <c:val>
            <c:numRef>
              <c:f>BIODIESEL!$B$14:$G$14</c:f>
              <c:numCache>
                <c:formatCode>General</c:formatCode>
                <c:ptCount val="6"/>
                <c:pt idx="0">
                  <c:v>23.686</c:v>
                </c:pt>
                <c:pt idx="1">
                  <c:v>37.396000000000001</c:v>
                </c:pt>
                <c:pt idx="2">
                  <c:v>35.826000000000001</c:v>
                </c:pt>
                <c:pt idx="3">
                  <c:v>342.38400000000001</c:v>
                </c:pt>
                <c:pt idx="4">
                  <c:v>192.27600000000001</c:v>
                </c:pt>
                <c:pt idx="5">
                  <c:v>334.19400000000002</c:v>
                </c:pt>
              </c:numCache>
            </c:numRef>
          </c:val>
          <c:extLst>
            <c:ext xmlns:c16="http://schemas.microsoft.com/office/drawing/2014/chart" uri="{C3380CC4-5D6E-409C-BE32-E72D297353CC}">
              <c16:uniqueId val="{00000000-CFD5-4737-A767-99B3832249B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gallons</a:t>
                </a:r>
              </a:p>
            </c:rich>
          </c:tx>
          <c:layout>
            <c:manualLayout>
              <c:xMode val="edge"/>
              <c:yMode val="edge"/>
              <c:x val="1.5873000985438521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ETHANOL!$B$11:$G$11</c:f>
              <c:numCache>
                <c:formatCode>General</c:formatCode>
                <c:ptCount val="6"/>
                <c:pt idx="0">
                  <c:v>2010</c:v>
                </c:pt>
                <c:pt idx="1">
                  <c:v>2011</c:v>
                </c:pt>
                <c:pt idx="2">
                  <c:v>2012</c:v>
                </c:pt>
                <c:pt idx="3">
                  <c:v>2013</c:v>
                </c:pt>
                <c:pt idx="4">
                  <c:v>2014</c:v>
                </c:pt>
                <c:pt idx="5">
                  <c:v>2015</c:v>
                </c:pt>
              </c:numCache>
            </c:numRef>
          </c:cat>
          <c:val>
            <c:numRef>
              <c:f>BIODIESEL!$B$17:$G$17</c:f>
              <c:numCache>
                <c:formatCode>#,##0.000</c:formatCode>
                <c:ptCount val="6"/>
                <c:pt idx="0">
                  <c:v>0.26007000000000002</c:v>
                </c:pt>
                <c:pt idx="1">
                  <c:v>0.87336999999999998</c:v>
                </c:pt>
                <c:pt idx="2">
                  <c:v>0.89905000000000002</c:v>
                </c:pt>
                <c:pt idx="3">
                  <c:v>1.4288400000000001</c:v>
                </c:pt>
                <c:pt idx="4">
                  <c:v>1.4168499999999999</c:v>
                </c:pt>
                <c:pt idx="5">
                  <c:v>1.4802500000000001</c:v>
                </c:pt>
              </c:numCache>
            </c:numRef>
          </c:val>
          <c:extLst>
            <c:ext xmlns:c16="http://schemas.microsoft.com/office/drawing/2014/chart" uri="{C3380CC4-5D6E-409C-BE32-E72D297353CC}">
              <c16:uniqueId val="{00000000-74A6-4B3E-AEA3-FF78D7F3C34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00985438521E-2"/>
              <c:y val="0.354371477782708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dPt>
            <c:idx val="0"/>
            <c:invertIfNegative val="0"/>
            <c:bubble3D val="0"/>
            <c:spPr>
              <a:solidFill>
                <a:srgbClr val="08306B"/>
              </a:solidFill>
              <a:ln>
                <a:noFill/>
              </a:ln>
              <a:effectLst/>
            </c:spPr>
            <c:extLst>
              <c:ext xmlns:c16="http://schemas.microsoft.com/office/drawing/2014/chart" uri="{C3380CC4-5D6E-409C-BE32-E72D297353CC}">
                <c16:uniqueId val="{00000001-19C5-46D8-9783-BA71D35063A8}"/>
              </c:ext>
            </c:extLst>
          </c:dPt>
          <c:cat>
            <c:numRef>
              <c:f>ETHANOL!$B$11:$G$11</c:f>
              <c:numCache>
                <c:formatCode>General</c:formatCode>
                <c:ptCount val="6"/>
                <c:pt idx="0">
                  <c:v>2010</c:v>
                </c:pt>
                <c:pt idx="1">
                  <c:v>2011</c:v>
                </c:pt>
                <c:pt idx="2">
                  <c:v>2012</c:v>
                </c:pt>
                <c:pt idx="3">
                  <c:v>2013</c:v>
                </c:pt>
                <c:pt idx="4">
                  <c:v>2014</c:v>
                </c:pt>
                <c:pt idx="5">
                  <c:v>2015</c:v>
                </c:pt>
              </c:numCache>
            </c:numRef>
          </c:cat>
          <c:val>
            <c:numRef>
              <c:f>BIODIESEL!$B$18:$G$18</c:f>
              <c:numCache>
                <c:formatCode>General</c:formatCode>
                <c:ptCount val="6"/>
                <c:pt idx="0" formatCode="#,##0">
                  <c:v>0.13691900000000001</c:v>
                </c:pt>
                <c:pt idx="1">
                  <c:v>0.15973599999999999</c:v>
                </c:pt>
                <c:pt idx="2">
                  <c:v>0.21168500000000001</c:v>
                </c:pt>
                <c:pt idx="3">
                  <c:v>0.35634300000000002</c:v>
                </c:pt>
                <c:pt idx="4">
                  <c:v>0.21440700000000001</c:v>
                </c:pt>
                <c:pt idx="5">
                  <c:v>0.24812299999999998</c:v>
                </c:pt>
              </c:numCache>
            </c:numRef>
          </c:val>
          <c:extLst>
            <c:ext xmlns:c16="http://schemas.microsoft.com/office/drawing/2014/chart" uri="{C3380CC4-5D6E-409C-BE32-E72D297353CC}">
              <c16:uniqueId val="{00000000-19C5-46D8-9783-BA71D35063A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00985438521E-2"/>
              <c:y val="0.354371477782708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ETHANOL!$B$11:$H$11</c:f>
              <c:numCache>
                <c:formatCode>General</c:formatCode>
                <c:ptCount val="7"/>
                <c:pt idx="0">
                  <c:v>2010</c:v>
                </c:pt>
                <c:pt idx="1">
                  <c:v>2011</c:v>
                </c:pt>
                <c:pt idx="2">
                  <c:v>2012</c:v>
                </c:pt>
                <c:pt idx="3">
                  <c:v>2013</c:v>
                </c:pt>
                <c:pt idx="4">
                  <c:v>2014</c:v>
                </c:pt>
                <c:pt idx="5">
                  <c:v>2015</c:v>
                </c:pt>
                <c:pt idx="6">
                  <c:v>2016</c:v>
                </c:pt>
              </c:numCache>
            </c:numRef>
          </c:cat>
          <c:val>
            <c:numRef>
              <c:f>BIODIESEL!$B$16:$H$16</c:f>
              <c:numCache>
                <c:formatCode>General</c:formatCode>
                <c:ptCount val="7"/>
                <c:pt idx="0">
                  <c:v>2151</c:v>
                </c:pt>
                <c:pt idx="1">
                  <c:v>2442</c:v>
                </c:pt>
                <c:pt idx="2">
                  <c:v>2553</c:v>
                </c:pt>
                <c:pt idx="3">
                  <c:v>2639</c:v>
                </c:pt>
                <c:pt idx="4">
                  <c:v>2840</c:v>
                </c:pt>
                <c:pt idx="5">
                  <c:v>2990</c:v>
                </c:pt>
                <c:pt idx="6">
                  <c:v>3090</c:v>
                </c:pt>
              </c:numCache>
            </c:numRef>
          </c:val>
          <c:extLst>
            <c:ext xmlns:c16="http://schemas.microsoft.com/office/drawing/2014/chart" uri="{C3380CC4-5D6E-409C-BE32-E72D297353CC}">
              <c16:uniqueId val="{00000002-3714-4F37-BF66-05907CADE47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biodiesel stations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ETHANOL!$B$11:$H$11</c:f>
              <c:numCache>
                <c:formatCode>General</c:formatCode>
                <c:ptCount val="7"/>
                <c:pt idx="0">
                  <c:v>2010</c:v>
                </c:pt>
                <c:pt idx="1">
                  <c:v>2011</c:v>
                </c:pt>
                <c:pt idx="2">
                  <c:v>2012</c:v>
                </c:pt>
                <c:pt idx="3">
                  <c:v>2013</c:v>
                </c:pt>
                <c:pt idx="4">
                  <c:v>2014</c:v>
                </c:pt>
                <c:pt idx="5">
                  <c:v>2015</c:v>
                </c:pt>
                <c:pt idx="6">
                  <c:v>2016</c:v>
                </c:pt>
              </c:numCache>
            </c:numRef>
          </c:cat>
          <c:val>
            <c:numRef>
              <c:f>BIODIESEL!$B$16:$H$16</c:f>
              <c:numCache>
                <c:formatCode>General</c:formatCode>
                <c:ptCount val="7"/>
                <c:pt idx="0">
                  <c:v>2151</c:v>
                </c:pt>
                <c:pt idx="1">
                  <c:v>2442</c:v>
                </c:pt>
                <c:pt idx="2">
                  <c:v>2553</c:v>
                </c:pt>
                <c:pt idx="3">
                  <c:v>2639</c:v>
                </c:pt>
                <c:pt idx="4">
                  <c:v>2840</c:v>
                </c:pt>
                <c:pt idx="5">
                  <c:v>2990</c:v>
                </c:pt>
                <c:pt idx="6">
                  <c:v>3090</c:v>
                </c:pt>
              </c:numCache>
            </c:numRef>
          </c:val>
          <c:extLst>
            <c:ext xmlns:c16="http://schemas.microsoft.com/office/drawing/2014/chart" uri="{C3380CC4-5D6E-409C-BE32-E72D297353CC}">
              <c16:uniqueId val="{00000000-9D21-49ED-8CBA-CB7E1E796E9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biodiesel stations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BIODIESEL!$E$29:$G$29</c:f>
              <c:numCache>
                <c:formatCode>General</c:formatCode>
                <c:ptCount val="3"/>
                <c:pt idx="0">
                  <c:v>2013</c:v>
                </c:pt>
                <c:pt idx="1">
                  <c:v>2014</c:v>
                </c:pt>
                <c:pt idx="2">
                  <c:v>2015</c:v>
                </c:pt>
              </c:numCache>
            </c:numRef>
          </c:cat>
          <c:val>
            <c:numRef>
              <c:f>BIODIESEL!$E$30:$G$30</c:f>
              <c:numCache>
                <c:formatCode>General</c:formatCode>
                <c:ptCount val="3"/>
                <c:pt idx="0">
                  <c:v>62000</c:v>
                </c:pt>
                <c:pt idx="1">
                  <c:v>54500</c:v>
                </c:pt>
                <c:pt idx="2">
                  <c:v>47400</c:v>
                </c:pt>
              </c:numCache>
            </c:numRef>
          </c:val>
          <c:extLst>
            <c:ext xmlns:c16="http://schemas.microsoft.com/office/drawing/2014/chart" uri="{C3380CC4-5D6E-409C-BE32-E72D297353CC}">
              <c16:uniqueId val="{00000000-7547-4609-8C2B-2BFA08A8E6F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direct jobs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Gross domestic product influence</c:v>
          </c:tx>
          <c:spPr>
            <a:solidFill>
              <a:srgbClr val="08306B"/>
            </a:solidFill>
            <a:ln>
              <a:noFill/>
            </a:ln>
            <a:effectLst/>
          </c:spPr>
          <c:invertIfNegative val="0"/>
          <c:cat>
            <c:numRef>
              <c:f>BIODIESEL!$E$29:$G$29</c:f>
              <c:numCache>
                <c:formatCode>General</c:formatCode>
                <c:ptCount val="3"/>
                <c:pt idx="0">
                  <c:v>2013</c:v>
                </c:pt>
                <c:pt idx="1">
                  <c:v>2014</c:v>
                </c:pt>
                <c:pt idx="2">
                  <c:v>2015</c:v>
                </c:pt>
              </c:numCache>
            </c:numRef>
          </c:cat>
          <c:val>
            <c:numRef>
              <c:f>BIODIESEL!$E$31:$G$31</c:f>
              <c:numCache>
                <c:formatCode>General</c:formatCode>
                <c:ptCount val="3"/>
                <c:pt idx="0">
                  <c:v>16.8</c:v>
                </c:pt>
                <c:pt idx="1">
                  <c:v>12.3</c:v>
                </c:pt>
                <c:pt idx="2">
                  <c:v>8.4</c:v>
                </c:pt>
              </c:numCache>
            </c:numRef>
          </c:val>
          <c:extLst>
            <c:ext xmlns:c16="http://schemas.microsoft.com/office/drawing/2014/chart" uri="{C3380CC4-5D6E-409C-BE32-E72D297353CC}">
              <c16:uniqueId val="{00000000-259D-4EEC-8DE7-4F89900F5D5C}"/>
            </c:ext>
          </c:extLst>
        </c:ser>
        <c:ser>
          <c:idx val="0"/>
          <c:order val="1"/>
          <c:tx>
            <c:v>Household income from industry</c:v>
          </c:tx>
          <c:spPr>
            <a:solidFill>
              <a:schemeClr val="accent1"/>
            </a:solidFill>
            <a:ln>
              <a:noFill/>
            </a:ln>
            <a:effectLst/>
          </c:spPr>
          <c:invertIfNegative val="0"/>
          <c:cat>
            <c:numRef>
              <c:f>BIODIESEL!$E$29:$G$29</c:f>
              <c:numCache>
                <c:formatCode>General</c:formatCode>
                <c:ptCount val="3"/>
                <c:pt idx="0">
                  <c:v>2013</c:v>
                </c:pt>
                <c:pt idx="1">
                  <c:v>2014</c:v>
                </c:pt>
                <c:pt idx="2">
                  <c:v>2015</c:v>
                </c:pt>
              </c:numCache>
            </c:numRef>
          </c:cat>
          <c:val>
            <c:numRef>
              <c:f>BIODIESEL!$E$32:$G$32</c:f>
              <c:numCache>
                <c:formatCode>General</c:formatCode>
                <c:ptCount val="3"/>
                <c:pt idx="0">
                  <c:v>2.6</c:v>
                </c:pt>
                <c:pt idx="1">
                  <c:v>2.2999999999999998</c:v>
                </c:pt>
                <c:pt idx="2">
                  <c:v>1.9</c:v>
                </c:pt>
              </c:numCache>
            </c:numRef>
          </c:val>
          <c:extLst>
            <c:ext xmlns:c16="http://schemas.microsoft.com/office/drawing/2014/chart" uri="{C3380CC4-5D6E-409C-BE32-E72D297353CC}">
              <c16:uniqueId val="{00000001-259D-4EEC-8DE7-4F89900F5D5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9"/>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467361100689807"/>
          <c:y val="5.6115219568746807E-2"/>
          <c:w val="0.74300657542606463"/>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ETHANOL!$B$11:$H$11</c:f>
              <c:numCache>
                <c:formatCode>General</c:formatCode>
                <c:ptCount val="7"/>
                <c:pt idx="0">
                  <c:v>2010</c:v>
                </c:pt>
                <c:pt idx="1">
                  <c:v>2011</c:v>
                </c:pt>
                <c:pt idx="2">
                  <c:v>2012</c:v>
                </c:pt>
                <c:pt idx="3">
                  <c:v>2013</c:v>
                </c:pt>
                <c:pt idx="4">
                  <c:v>2014</c:v>
                </c:pt>
                <c:pt idx="5">
                  <c:v>2015</c:v>
                </c:pt>
                <c:pt idx="6">
                  <c:v>2016</c:v>
                </c:pt>
              </c:numCache>
            </c:numRef>
          </c:cat>
          <c:val>
            <c:numRef>
              <c:f>BIODIESEL!$B$34:$H$34</c:f>
              <c:numCache>
                <c:formatCode>General</c:formatCode>
                <c:ptCount val="7"/>
                <c:pt idx="0">
                  <c:v>2.8</c:v>
                </c:pt>
                <c:pt idx="1">
                  <c:v>3.53</c:v>
                </c:pt>
                <c:pt idx="2">
                  <c:v>3.69</c:v>
                </c:pt>
                <c:pt idx="3">
                  <c:v>3.67</c:v>
                </c:pt>
                <c:pt idx="4">
                  <c:v>3.6</c:v>
                </c:pt>
                <c:pt idx="5">
                  <c:v>2.64</c:v>
                </c:pt>
                <c:pt idx="6">
                  <c:v>2.17</c:v>
                </c:pt>
              </c:numCache>
            </c:numRef>
          </c:val>
          <c:extLst>
            <c:ext xmlns:c16="http://schemas.microsoft.com/office/drawing/2014/chart" uri="{C3380CC4-5D6E-409C-BE32-E72D297353CC}">
              <c16:uniqueId val="{00000000-71F3-498B-ABC8-FD331B95BAB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gallon</a:t>
                </a: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'WOOD PELLETS'!$B$12:$G$12</c:f>
              <c:numCache>
                <c:formatCode>General</c:formatCode>
                <c:ptCount val="6"/>
                <c:pt idx="0">
                  <c:v>2010</c:v>
                </c:pt>
                <c:pt idx="1">
                  <c:v>2011</c:v>
                </c:pt>
                <c:pt idx="2">
                  <c:v>2012</c:v>
                </c:pt>
                <c:pt idx="3">
                  <c:v>2013</c:v>
                </c:pt>
                <c:pt idx="4">
                  <c:v>2014</c:v>
                </c:pt>
                <c:pt idx="5">
                  <c:v>2015</c:v>
                </c:pt>
              </c:numCache>
            </c:numRef>
          </c:cat>
          <c:val>
            <c:numRef>
              <c:f>'WOOD PELLETS'!$B$13:$G$13</c:f>
              <c:numCache>
                <c:formatCode>General</c:formatCode>
                <c:ptCount val="6"/>
                <c:pt idx="0">
                  <c:v>1981</c:v>
                </c:pt>
                <c:pt idx="1">
                  <c:v>2010</c:v>
                </c:pt>
                <c:pt idx="2">
                  <c:v>2010</c:v>
                </c:pt>
                <c:pt idx="3">
                  <c:v>2170</c:v>
                </c:pt>
                <c:pt idx="4">
                  <c:v>2230</c:v>
                </c:pt>
                <c:pt idx="5">
                  <c:v>2040</c:v>
                </c:pt>
              </c:numCache>
            </c:numRef>
          </c:val>
          <c:extLst>
            <c:ext xmlns:c16="http://schemas.microsoft.com/office/drawing/2014/chart" uri="{C3380CC4-5D6E-409C-BE32-E72D297353CC}">
              <c16:uniqueId val="{00000000-D3A2-465D-ABC5-0F8726AB5CA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'WOOD PELLETS'!$B$12:$G$12</c:f>
              <c:numCache>
                <c:formatCode>General</c:formatCode>
                <c:ptCount val="6"/>
                <c:pt idx="0">
                  <c:v>2010</c:v>
                </c:pt>
                <c:pt idx="1">
                  <c:v>2011</c:v>
                </c:pt>
                <c:pt idx="2">
                  <c:v>2012</c:v>
                </c:pt>
                <c:pt idx="3">
                  <c:v>2013</c:v>
                </c:pt>
                <c:pt idx="4">
                  <c:v>2014</c:v>
                </c:pt>
                <c:pt idx="5">
                  <c:v>2015</c:v>
                </c:pt>
              </c:numCache>
            </c:numRef>
          </c:cat>
          <c:val>
            <c:numRef>
              <c:f>'WOOD PELLETS'!$B$14:$G$14</c:f>
              <c:numCache>
                <c:formatCode>General</c:formatCode>
                <c:ptCount val="6"/>
                <c:pt idx="0">
                  <c:v>16</c:v>
                </c:pt>
                <c:pt idx="1">
                  <c:v>18</c:v>
                </c:pt>
                <c:pt idx="2">
                  <c:v>20</c:v>
                </c:pt>
                <c:pt idx="3">
                  <c:v>23</c:v>
                </c:pt>
                <c:pt idx="4">
                  <c:v>25</c:v>
                </c:pt>
                <c:pt idx="5">
                  <c:v>28</c:v>
                </c:pt>
              </c:numCache>
            </c:numRef>
          </c:val>
          <c:extLst>
            <c:ext xmlns:c16="http://schemas.microsoft.com/office/drawing/2014/chart" uri="{C3380CC4-5D6E-409C-BE32-E72D297353CC}">
              <c16:uniqueId val="{00000000-7B63-4ACF-9756-E5E42B74AD2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a:t>
                </a:r>
                <a:r>
                  <a:rPr lang="en-US" sz="1000" baseline="0">
                    <a:solidFill>
                      <a:sysClr val="windowText" lastClr="000000"/>
                    </a:solidFill>
                  </a:rPr>
                  <a:t> tons</a:t>
                </a:r>
                <a:endParaRPr lang="en-US" sz="1000">
                  <a:solidFill>
                    <a:sysClr val="windowText" lastClr="000000"/>
                  </a:solidFill>
                </a:endParaRP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dPt>
            <c:idx val="0"/>
            <c:invertIfNegative val="0"/>
            <c:bubble3D val="0"/>
            <c:spPr>
              <a:solidFill>
                <a:srgbClr val="08306B"/>
              </a:solidFill>
              <a:ln>
                <a:noFill/>
              </a:ln>
              <a:effectLst/>
            </c:spPr>
            <c:extLst>
              <c:ext xmlns:c16="http://schemas.microsoft.com/office/drawing/2014/chart" uri="{C3380CC4-5D6E-409C-BE32-E72D297353CC}">
                <c16:uniqueId val="{00000001-25C5-42D7-9B8A-EED4BD7C16B9}"/>
              </c:ext>
            </c:extLst>
          </c:dPt>
          <c:cat>
            <c:numRef>
              <c:f>'WOOD PELLETS'!$D$19:$H$19</c:f>
              <c:numCache>
                <c:formatCode>General</c:formatCode>
                <c:ptCount val="5"/>
                <c:pt idx="0">
                  <c:v>2012</c:v>
                </c:pt>
                <c:pt idx="1">
                  <c:v>2013</c:v>
                </c:pt>
                <c:pt idx="2">
                  <c:v>2014</c:v>
                </c:pt>
                <c:pt idx="3">
                  <c:v>2015</c:v>
                </c:pt>
                <c:pt idx="4">
                  <c:v>2016</c:v>
                </c:pt>
              </c:numCache>
            </c:numRef>
          </c:cat>
          <c:val>
            <c:numRef>
              <c:f>'WOOD PELLETS'!$D$20:$H$20</c:f>
              <c:numCache>
                <c:formatCode>#,##0</c:formatCode>
                <c:ptCount val="5"/>
                <c:pt idx="0">
                  <c:v>258.23</c:v>
                </c:pt>
                <c:pt idx="1">
                  <c:v>370.93700000000001</c:v>
                </c:pt>
                <c:pt idx="2">
                  <c:v>522.39499999999998</c:v>
                </c:pt>
                <c:pt idx="3">
                  <c:v>682.928</c:v>
                </c:pt>
                <c:pt idx="4">
                  <c:v>556.83100000000002</c:v>
                </c:pt>
              </c:numCache>
            </c:numRef>
          </c:val>
          <c:extLst>
            <c:ext xmlns:c16="http://schemas.microsoft.com/office/drawing/2014/chart" uri="{C3380CC4-5D6E-409C-BE32-E72D297353CC}">
              <c16:uniqueId val="{00000000-25C5-42D7-9B8A-EED4BD7C16B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dollars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'WOOD PELLETS'!$G$19:$H$19</c:f>
              <c:numCache>
                <c:formatCode>General</c:formatCode>
                <c:ptCount val="2"/>
                <c:pt idx="0">
                  <c:v>2015</c:v>
                </c:pt>
                <c:pt idx="1">
                  <c:v>2016</c:v>
                </c:pt>
              </c:numCache>
            </c:numRef>
          </c:cat>
          <c:val>
            <c:numRef>
              <c:f>'WOOD PELLETS'!$G$21:$H$21</c:f>
              <c:numCache>
                <c:formatCode>General</c:formatCode>
                <c:ptCount val="2"/>
                <c:pt idx="0" formatCode="#,##0">
                  <c:v>18031</c:v>
                </c:pt>
                <c:pt idx="1">
                  <c:v>30458</c:v>
                </c:pt>
              </c:numCache>
            </c:numRef>
          </c:val>
          <c:extLst>
            <c:ext xmlns:c16="http://schemas.microsoft.com/office/drawing/2014/chart" uri="{C3380CC4-5D6E-409C-BE32-E72D297353CC}">
              <c16:uniqueId val="{00000002-B650-45CA-B4F7-8FE2A214279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jobs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8306B"/>
            </a:solidFill>
            <a:ln>
              <a:noFill/>
            </a:ln>
            <a:effectLst/>
          </c:spPr>
          <c:invertIfNegative val="0"/>
          <c:cat>
            <c:numRef>
              <c:f>'WASTE TO ENERGY'!$B$11:$C$11</c:f>
              <c:numCache>
                <c:formatCode>General</c:formatCode>
                <c:ptCount val="2"/>
                <c:pt idx="0">
                  <c:v>2010</c:v>
                </c:pt>
                <c:pt idx="1">
                  <c:v>2011</c:v>
                </c:pt>
              </c:numCache>
            </c:numRef>
          </c:cat>
          <c:val>
            <c:numRef>
              <c:f>'WASTE TO ENERGY'!$B$12:$C$12</c:f>
              <c:numCache>
                <c:formatCode>General</c:formatCode>
                <c:ptCount val="2"/>
                <c:pt idx="0">
                  <c:v>29.26</c:v>
                </c:pt>
                <c:pt idx="1">
                  <c:v>29.26</c:v>
                </c:pt>
              </c:numCache>
            </c:numRef>
          </c:val>
          <c:extLst>
            <c:ext xmlns:c16="http://schemas.microsoft.com/office/drawing/2014/chart" uri="{C3380CC4-5D6E-409C-BE32-E72D297353CC}">
              <c16:uniqueId val="{00000000-F9B8-4A87-B917-490AED5EC98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tons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979538053786477E-2"/>
          <c:y val="3.7482466147725456E-2"/>
          <c:w val="0.89210811629656805"/>
          <c:h val="0.88171987906873917"/>
        </c:manualLayout>
      </c:layout>
      <c:barChart>
        <c:barDir val="col"/>
        <c:grouping val="clustered"/>
        <c:varyColors val="0"/>
        <c:ser>
          <c:idx val="1"/>
          <c:order val="0"/>
          <c:spPr>
            <a:solidFill>
              <a:srgbClr val="08306B"/>
            </a:solidFill>
            <a:ln>
              <a:noFill/>
            </a:ln>
            <a:effectLst/>
          </c:spPr>
          <c:invertIfNegative val="0"/>
          <c:cat>
            <c:numRef>
              <c:f>'WASTE TO ENERGY'!$B$11:$G$11</c:f>
              <c:numCache>
                <c:formatCode>General</c:formatCode>
                <c:ptCount val="6"/>
                <c:pt idx="0">
                  <c:v>2010</c:v>
                </c:pt>
                <c:pt idx="1">
                  <c:v>2011</c:v>
                </c:pt>
                <c:pt idx="2">
                  <c:v>2012</c:v>
                </c:pt>
                <c:pt idx="3">
                  <c:v>2013</c:v>
                </c:pt>
                <c:pt idx="4">
                  <c:v>2014</c:v>
                </c:pt>
                <c:pt idx="5">
                  <c:v>2015</c:v>
                </c:pt>
              </c:numCache>
            </c:numRef>
          </c:cat>
          <c:val>
            <c:numRef>
              <c:f>'WASTE TO ENERGY'!$B$13:$G$13</c:f>
              <c:numCache>
                <c:formatCode>General</c:formatCode>
                <c:ptCount val="6"/>
                <c:pt idx="0">
                  <c:v>468</c:v>
                </c:pt>
                <c:pt idx="1">
                  <c:v>462</c:v>
                </c:pt>
                <c:pt idx="2">
                  <c:v>467</c:v>
                </c:pt>
                <c:pt idx="3">
                  <c:v>469</c:v>
                </c:pt>
                <c:pt idx="4">
                  <c:v>516</c:v>
                </c:pt>
                <c:pt idx="5">
                  <c:v>512</c:v>
                </c:pt>
              </c:numCache>
            </c:numRef>
          </c:val>
          <c:extLst>
            <c:ext xmlns:c16="http://schemas.microsoft.com/office/drawing/2014/chart" uri="{C3380CC4-5D6E-409C-BE32-E72D297353CC}">
              <c16:uniqueId val="{00000000-F4E1-4D22-8178-1C9E6FDAE02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9.9106292198695208E-3"/>
              <c:y val="0.375414668227854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08306B"/>
            </a:solidFill>
            <a:ln>
              <a:noFill/>
            </a:ln>
            <a:effectLst/>
          </c:spPr>
          <c:invertIfNegative val="0"/>
          <c:cat>
            <c:numRef>
              <c:f>'WASTE TO ENERGY'!$B$11:$F$11</c:f>
              <c:numCache>
                <c:formatCode>General</c:formatCode>
                <c:ptCount val="5"/>
                <c:pt idx="0">
                  <c:v>2010</c:v>
                </c:pt>
                <c:pt idx="1">
                  <c:v>2011</c:v>
                </c:pt>
                <c:pt idx="2">
                  <c:v>2012</c:v>
                </c:pt>
                <c:pt idx="3">
                  <c:v>2013</c:v>
                </c:pt>
                <c:pt idx="4">
                  <c:v>2014</c:v>
                </c:pt>
              </c:numCache>
            </c:numRef>
          </c:cat>
          <c:val>
            <c:numRef>
              <c:f>'WASTE TO ENERGY'!$B$14:$F$14</c:f>
              <c:numCache>
                <c:formatCode>General</c:formatCode>
                <c:ptCount val="5"/>
                <c:pt idx="0">
                  <c:v>14218</c:v>
                </c:pt>
                <c:pt idx="1">
                  <c:v>14422</c:v>
                </c:pt>
                <c:pt idx="2">
                  <c:v>14565</c:v>
                </c:pt>
                <c:pt idx="3">
                  <c:v>14214</c:v>
                </c:pt>
                <c:pt idx="4">
                  <c:v>14310</c:v>
                </c:pt>
              </c:numCache>
            </c:numRef>
          </c:val>
          <c:extLst>
            <c:ext xmlns:c16="http://schemas.microsoft.com/office/drawing/2014/chart" uri="{C3380CC4-5D6E-409C-BE32-E72D297353CC}">
              <c16:uniqueId val="{00000000-1255-4E26-8643-45C796C4333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Megawatt</a:t>
                </a:r>
              </a:p>
            </c:rich>
          </c:tx>
          <c:layout>
            <c:manualLayout>
              <c:xMode val="edge"/>
              <c:yMode val="edge"/>
              <c:x val="5.935673319970804E-3"/>
              <c:y val="0.375414668227854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979538053786477E-2"/>
          <c:y val="3.7482466147725456E-2"/>
          <c:w val="0.89210811629656805"/>
          <c:h val="0.88171987906873917"/>
        </c:manualLayout>
      </c:layout>
      <c:barChart>
        <c:barDir val="col"/>
        <c:grouping val="clustered"/>
        <c:varyColors val="0"/>
        <c:ser>
          <c:idx val="1"/>
          <c:order val="0"/>
          <c:spPr>
            <a:solidFill>
              <a:srgbClr val="08306B"/>
            </a:solidFill>
            <a:ln>
              <a:noFill/>
            </a:ln>
            <a:effectLst/>
          </c:spPr>
          <c:invertIfNegative val="0"/>
          <c:cat>
            <c:numRef>
              <c:f>'WASTE TO ENERGY'!$B$11:$G$11</c:f>
              <c:numCache>
                <c:formatCode>General</c:formatCode>
                <c:ptCount val="6"/>
                <c:pt idx="0">
                  <c:v>2010</c:v>
                </c:pt>
                <c:pt idx="1">
                  <c:v>2011</c:v>
                </c:pt>
                <c:pt idx="2">
                  <c:v>2012</c:v>
                </c:pt>
                <c:pt idx="3">
                  <c:v>2013</c:v>
                </c:pt>
                <c:pt idx="4">
                  <c:v>2014</c:v>
                </c:pt>
                <c:pt idx="5">
                  <c:v>2015</c:v>
                </c:pt>
              </c:numCache>
            </c:numRef>
          </c:cat>
          <c:val>
            <c:numRef>
              <c:f>'WASTE TO ENERGY'!$B$15:$G$15</c:f>
              <c:numCache>
                <c:formatCode>General</c:formatCode>
                <c:ptCount val="6"/>
                <c:pt idx="0">
                  <c:v>18.920000000000002</c:v>
                </c:pt>
                <c:pt idx="1">
                  <c:v>19.22</c:v>
                </c:pt>
                <c:pt idx="2">
                  <c:v>19.82</c:v>
                </c:pt>
                <c:pt idx="3">
                  <c:v>20.83</c:v>
                </c:pt>
                <c:pt idx="4">
                  <c:v>21.65</c:v>
                </c:pt>
                <c:pt idx="5">
                  <c:v>21.83</c:v>
                </c:pt>
              </c:numCache>
            </c:numRef>
          </c:val>
          <c:extLst>
            <c:ext xmlns:c16="http://schemas.microsoft.com/office/drawing/2014/chart" uri="{C3380CC4-5D6E-409C-BE32-E72D297353CC}">
              <c16:uniqueId val="{00000000-6301-45AF-BFC7-950FF625F0D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kilowatt</a:t>
                </a:r>
                <a:r>
                  <a:rPr lang="en-US" sz="1000" baseline="0">
                    <a:solidFill>
                      <a:sysClr val="windowText" lastClr="000000"/>
                    </a:solidFill>
                  </a:rPr>
                  <a:t> hour</a:t>
                </a:r>
                <a:endParaRPr lang="en-US" sz="1000">
                  <a:solidFill>
                    <a:sysClr val="windowText" lastClr="000000"/>
                  </a:solidFill>
                </a:endParaRPr>
              </a:p>
            </c:rich>
          </c:tx>
          <c:layout>
            <c:manualLayout>
              <c:xMode val="edge"/>
              <c:yMode val="edge"/>
              <c:x val="5.935673319970804E-3"/>
              <c:y val="0.341339699002649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08306B"/>
            </a:solidFill>
            <a:ln>
              <a:noFill/>
            </a:ln>
            <a:effectLst/>
          </c:spPr>
          <c:invertIfNegative val="0"/>
          <c:cat>
            <c:numRef>
              <c:f>'WASTE TO ENERGY'!$B$11:$G$11</c:f>
              <c:numCache>
                <c:formatCode>General</c:formatCode>
                <c:ptCount val="6"/>
                <c:pt idx="0">
                  <c:v>2010</c:v>
                </c:pt>
                <c:pt idx="1">
                  <c:v>2011</c:v>
                </c:pt>
                <c:pt idx="2">
                  <c:v>2012</c:v>
                </c:pt>
                <c:pt idx="3">
                  <c:v>2013</c:v>
                </c:pt>
                <c:pt idx="4">
                  <c:v>2014</c:v>
                </c:pt>
                <c:pt idx="5">
                  <c:v>2015</c:v>
                </c:pt>
              </c:numCache>
            </c:numRef>
          </c:cat>
          <c:val>
            <c:numRef>
              <c:f>'WASTE TO ENERGY'!$B$20:$G$20</c:f>
              <c:numCache>
                <c:formatCode>General</c:formatCode>
                <c:ptCount val="6"/>
                <c:pt idx="0">
                  <c:v>402</c:v>
                </c:pt>
                <c:pt idx="1">
                  <c:v>388</c:v>
                </c:pt>
                <c:pt idx="2">
                  <c:v>418</c:v>
                </c:pt>
                <c:pt idx="3">
                  <c:v>456</c:v>
                </c:pt>
                <c:pt idx="4">
                  <c:v>444</c:v>
                </c:pt>
                <c:pt idx="5">
                  <c:v>452</c:v>
                </c:pt>
              </c:numCache>
            </c:numRef>
          </c:val>
          <c:extLst>
            <c:ext xmlns:c16="http://schemas.microsoft.com/office/drawing/2014/chart" uri="{C3380CC4-5D6E-409C-BE32-E72D297353CC}">
              <c16:uniqueId val="{00000000-F25B-405B-ACCB-35D133F86F4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a:t>
                </a:r>
                <a:r>
                  <a:rPr lang="en-US" sz="1000" baseline="0">
                    <a:solidFill>
                      <a:sysClr val="windowText" lastClr="000000"/>
                    </a:solidFill>
                  </a:rPr>
                  <a:t> tons</a:t>
                </a:r>
                <a:endParaRPr lang="en-US" sz="1000">
                  <a:solidFill>
                    <a:sysClr val="windowText" lastClr="000000"/>
                  </a:solidFill>
                </a:endParaRPr>
              </a:p>
            </c:rich>
          </c:tx>
          <c:layout>
            <c:manualLayout>
              <c:xMode val="edge"/>
              <c:yMode val="edge"/>
              <c:x val="1.7860541019666956E-2"/>
              <c:y val="0.354969686692731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08306B"/>
            </a:solidFill>
            <a:ln>
              <a:noFill/>
            </a:ln>
            <a:effectLst/>
          </c:spPr>
          <c:invertIfNegative val="0"/>
          <c:cat>
            <c:numRef>
              <c:f>'WASTE TO ENERGY'!$C$23:$F$23</c:f>
              <c:numCache>
                <c:formatCode>General</c:formatCode>
                <c:ptCount val="4"/>
                <c:pt idx="0">
                  <c:v>2011</c:v>
                </c:pt>
                <c:pt idx="1">
                  <c:v>2012</c:v>
                </c:pt>
                <c:pt idx="2">
                  <c:v>2013</c:v>
                </c:pt>
                <c:pt idx="3">
                  <c:v>2014</c:v>
                </c:pt>
              </c:numCache>
            </c:numRef>
          </c:cat>
          <c:val>
            <c:numRef>
              <c:f>'WASTE TO ENERGY'!$C$24:$F$24</c:f>
              <c:numCache>
                <c:formatCode>General</c:formatCode>
                <c:ptCount val="4"/>
                <c:pt idx="0">
                  <c:v>640</c:v>
                </c:pt>
                <c:pt idx="1">
                  <c:v>290</c:v>
                </c:pt>
                <c:pt idx="2">
                  <c:v>550</c:v>
                </c:pt>
                <c:pt idx="3">
                  <c:v>270</c:v>
                </c:pt>
              </c:numCache>
            </c:numRef>
          </c:val>
          <c:extLst>
            <c:ext xmlns:c16="http://schemas.microsoft.com/office/drawing/2014/chart" uri="{C3380CC4-5D6E-409C-BE32-E72D297353CC}">
              <c16:uniqueId val="{00000000-8786-4635-89A2-4278DDBB019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dollars</a:t>
                </a:r>
              </a:p>
            </c:rich>
          </c:tx>
          <c:layout>
            <c:manualLayout>
              <c:xMode val="edge"/>
              <c:yMode val="edge"/>
              <c:x val="1.7860541019666956E-2"/>
              <c:y val="0.354969686692731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08306B"/>
            </a:solidFill>
            <a:ln>
              <a:noFill/>
            </a:ln>
            <a:effectLst/>
          </c:spPr>
          <c:invertIfNegative val="0"/>
          <c:cat>
            <c:numRef>
              <c:f>'WASTE TO ENERGY'!$D$23:$E$23</c:f>
              <c:numCache>
                <c:formatCode>General</c:formatCode>
                <c:ptCount val="2"/>
                <c:pt idx="0">
                  <c:v>2012</c:v>
                </c:pt>
                <c:pt idx="1">
                  <c:v>2013</c:v>
                </c:pt>
              </c:numCache>
            </c:numRef>
          </c:cat>
          <c:val>
            <c:numRef>
              <c:f>'WASTE TO ENERGY'!$D$25:$E$25</c:f>
              <c:numCache>
                <c:formatCode>#,##0</c:formatCode>
                <c:ptCount val="2"/>
                <c:pt idx="0" formatCode="General">
                  <c:v>7000</c:v>
                </c:pt>
                <c:pt idx="1">
                  <c:v>14000</c:v>
                </c:pt>
              </c:numCache>
            </c:numRef>
          </c:val>
          <c:extLst>
            <c:ext xmlns:c16="http://schemas.microsoft.com/office/drawing/2014/chart" uri="{C3380CC4-5D6E-409C-BE32-E72D297353CC}">
              <c16:uniqueId val="{00000000-A3F1-4213-BF78-2D0C763682B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direct jobs</a:t>
                </a:r>
              </a:p>
            </c:rich>
          </c:tx>
          <c:layout>
            <c:manualLayout>
              <c:xMode val="edge"/>
              <c:yMode val="edge"/>
              <c:x val="3.9481953700214456E-3"/>
              <c:y val="0.303857232854924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08306B"/>
            </a:solidFill>
            <a:ln>
              <a:noFill/>
            </a:ln>
            <a:effectLst/>
          </c:spPr>
          <c:invertIfNegative val="0"/>
          <c:cat>
            <c:numRef>
              <c:f>'WASTE TO ENERGY'!$D$28:$E$28</c:f>
              <c:numCache>
                <c:formatCode>General</c:formatCode>
                <c:ptCount val="2"/>
                <c:pt idx="0">
                  <c:v>2011</c:v>
                </c:pt>
                <c:pt idx="1">
                  <c:v>2013</c:v>
                </c:pt>
              </c:numCache>
            </c:numRef>
          </c:cat>
          <c:val>
            <c:numRef>
              <c:f>'WASTE TO ENERGY'!$D$27:$E$27</c:f>
              <c:numCache>
                <c:formatCode>General</c:formatCode>
                <c:ptCount val="2"/>
                <c:pt idx="0">
                  <c:v>2.7</c:v>
                </c:pt>
                <c:pt idx="1">
                  <c:v>5.6</c:v>
                </c:pt>
              </c:numCache>
            </c:numRef>
          </c:val>
          <c:extLst>
            <c:ext xmlns:c16="http://schemas.microsoft.com/office/drawing/2014/chart" uri="{C3380CC4-5D6E-409C-BE32-E72D297353CC}">
              <c16:uniqueId val="{00000000-8AF3-4B76-81EB-0B24323543C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a:t>
                </a:r>
                <a:r>
                  <a:rPr lang="en-US" sz="1000" baseline="0">
                    <a:solidFill>
                      <a:sysClr val="windowText" lastClr="000000"/>
                    </a:solidFill>
                  </a:rPr>
                  <a:t> dollars</a:t>
                </a:r>
                <a:endParaRPr lang="en-US" sz="1000">
                  <a:solidFill>
                    <a:sysClr val="windowText" lastClr="000000"/>
                  </a:solidFill>
                </a:endParaRPr>
              </a:p>
            </c:rich>
          </c:tx>
          <c:layout>
            <c:manualLayout>
              <c:xMode val="edge"/>
              <c:yMode val="edge"/>
              <c:x val="2.3863501112353594E-2"/>
              <c:y val="0.368599674382813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83965364587238E-2"/>
          <c:y val="3.8579213453513429E-2"/>
          <c:w val="0.92311922555537218"/>
          <c:h val="0.87825897008136433"/>
        </c:manualLayout>
      </c:layout>
      <c:barChart>
        <c:barDir val="col"/>
        <c:grouping val="clustered"/>
        <c:varyColors val="0"/>
        <c:ser>
          <c:idx val="1"/>
          <c:order val="0"/>
          <c:tx>
            <c:v>Methane potential for biogas from landfills</c:v>
          </c:tx>
          <c:spPr>
            <a:solidFill>
              <a:srgbClr val="08306B"/>
            </a:solidFill>
            <a:ln>
              <a:noFill/>
            </a:ln>
            <a:effectLst/>
          </c:spPr>
          <c:invertIfNegative val="0"/>
          <c:cat>
            <c:numRef>
              <c:f>BIOGAS!$E$13:$F$13</c:f>
              <c:numCache>
                <c:formatCode>General</c:formatCode>
                <c:ptCount val="2"/>
                <c:pt idx="0">
                  <c:v>2013</c:v>
                </c:pt>
                <c:pt idx="1">
                  <c:v>2014</c:v>
                </c:pt>
              </c:numCache>
            </c:numRef>
          </c:cat>
          <c:val>
            <c:numRef>
              <c:f>BIOGAS!$E$14:$F$14</c:f>
              <c:numCache>
                <c:formatCode>_(* #,##0.0_);_(* \(#,##0.0\);_(* "-"??_);_(@_)</c:formatCode>
                <c:ptCount val="2"/>
                <c:pt idx="0">
                  <c:v>2.454974</c:v>
                </c:pt>
                <c:pt idx="1">
                  <c:v>10.586</c:v>
                </c:pt>
              </c:numCache>
            </c:numRef>
          </c:val>
          <c:extLst>
            <c:ext xmlns:c16="http://schemas.microsoft.com/office/drawing/2014/chart" uri="{C3380CC4-5D6E-409C-BE32-E72D297353CC}">
              <c16:uniqueId val="{00000000-9377-427C-A712-9D078C4EC908}"/>
            </c:ext>
          </c:extLst>
        </c:ser>
        <c:ser>
          <c:idx val="0"/>
          <c:order val="1"/>
          <c:tx>
            <c:v>Methane potential for biogas from wastewater</c:v>
          </c:tx>
          <c:spPr>
            <a:solidFill>
              <a:srgbClr val="2171B5"/>
            </a:solidFill>
            <a:ln>
              <a:noFill/>
            </a:ln>
            <a:effectLst/>
          </c:spPr>
          <c:invertIfNegative val="0"/>
          <c:cat>
            <c:numRef>
              <c:f>BIOGAS!$E$13:$F$13</c:f>
              <c:numCache>
                <c:formatCode>General</c:formatCode>
                <c:ptCount val="2"/>
                <c:pt idx="0">
                  <c:v>2013</c:v>
                </c:pt>
                <c:pt idx="1">
                  <c:v>2014</c:v>
                </c:pt>
              </c:numCache>
            </c:numRef>
          </c:cat>
          <c:val>
            <c:numRef>
              <c:f>BIOGAS!$E$15:$F$15</c:f>
              <c:numCache>
                <c:formatCode>_(* #,##0.0_);_(* \(#,##0.0\);_(* "-"??_);_(@_)</c:formatCode>
                <c:ptCount val="2"/>
                <c:pt idx="0">
                  <c:v>2.3393389999999998</c:v>
                </c:pt>
                <c:pt idx="1">
                  <c:v>2.339</c:v>
                </c:pt>
              </c:numCache>
            </c:numRef>
          </c:val>
          <c:extLst>
            <c:ext xmlns:c16="http://schemas.microsoft.com/office/drawing/2014/chart" uri="{C3380CC4-5D6E-409C-BE32-E72D297353CC}">
              <c16:uniqueId val="{00000001-9377-427C-A712-9D078C4EC908}"/>
            </c:ext>
          </c:extLst>
        </c:ser>
        <c:ser>
          <c:idx val="2"/>
          <c:order val="2"/>
          <c:tx>
            <c:v>Methane potential for biogas from maniure</c:v>
          </c:tx>
          <c:spPr>
            <a:solidFill>
              <a:srgbClr val="6BAED6"/>
            </a:solidFill>
            <a:ln>
              <a:noFill/>
            </a:ln>
            <a:effectLst/>
          </c:spPr>
          <c:invertIfNegative val="0"/>
          <c:cat>
            <c:numRef>
              <c:f>BIOGAS!$E$13:$F$13</c:f>
              <c:numCache>
                <c:formatCode>General</c:formatCode>
                <c:ptCount val="2"/>
                <c:pt idx="0">
                  <c:v>2013</c:v>
                </c:pt>
                <c:pt idx="1">
                  <c:v>2014</c:v>
                </c:pt>
              </c:numCache>
            </c:numRef>
          </c:cat>
          <c:val>
            <c:numRef>
              <c:f>BIOGAS!$E$16:$F$16</c:f>
              <c:numCache>
                <c:formatCode>_(* #,##0.0_);_(* \(#,##0.0\);_(* "-"??_);_(@_)</c:formatCode>
                <c:ptCount val="2"/>
                <c:pt idx="0">
                  <c:v>1.9052530000000001</c:v>
                </c:pt>
                <c:pt idx="1">
                  <c:v>1.905</c:v>
                </c:pt>
              </c:numCache>
            </c:numRef>
          </c:val>
          <c:extLst>
            <c:ext xmlns:c16="http://schemas.microsoft.com/office/drawing/2014/chart" uri="{C3380CC4-5D6E-409C-BE32-E72D297353CC}">
              <c16:uniqueId val="{00000002-9377-427C-A712-9D078C4EC908}"/>
            </c:ext>
          </c:extLst>
        </c:ser>
        <c:ser>
          <c:idx val="3"/>
          <c:order val="3"/>
          <c:tx>
            <c:v>Methane potential for biogas from organic waste</c:v>
          </c:tx>
          <c:spPr>
            <a:solidFill>
              <a:srgbClr val="C6DBEF"/>
            </a:solidFill>
            <a:ln>
              <a:solidFill>
                <a:srgbClr val="C6DBEF"/>
              </a:solidFill>
            </a:ln>
            <a:effectLst/>
          </c:spPr>
          <c:invertIfNegative val="0"/>
          <c:cat>
            <c:numRef>
              <c:f>BIOGAS!$E$13:$F$13</c:f>
              <c:numCache>
                <c:formatCode>General</c:formatCode>
                <c:ptCount val="2"/>
                <c:pt idx="0">
                  <c:v>2013</c:v>
                </c:pt>
                <c:pt idx="1">
                  <c:v>2014</c:v>
                </c:pt>
              </c:numCache>
            </c:numRef>
          </c:cat>
          <c:val>
            <c:numRef>
              <c:f>BIOGAS!$E$17:$F$17</c:f>
              <c:numCache>
                <c:formatCode>_(* #,##0.0_);_(* \(#,##0.0\);_(* "-"??_);_(@_)</c:formatCode>
                <c:ptCount val="2"/>
                <c:pt idx="0">
                  <c:v>1.157883</c:v>
                </c:pt>
                <c:pt idx="1">
                  <c:v>1.1579999999999999</c:v>
                </c:pt>
              </c:numCache>
            </c:numRef>
          </c:val>
          <c:extLst>
            <c:ext xmlns:c16="http://schemas.microsoft.com/office/drawing/2014/chart" uri="{C3380CC4-5D6E-409C-BE32-E72D297353CC}">
              <c16:uniqueId val="{00000003-9377-427C-A712-9D078C4EC90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3"/>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7.0924217526799421E-2"/>
          <c:y val="5.6115219568746807E-2"/>
          <c:w val="0.90125762214185312"/>
          <c:h val="0.11442754881706521"/>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586428460665002E-2"/>
          <c:y val="3.8579213453513429E-2"/>
          <c:w val="0.90326664115531408"/>
          <c:h val="0.87825897008136433"/>
        </c:manualLayout>
      </c:layout>
      <c:barChart>
        <c:barDir val="col"/>
        <c:grouping val="clustered"/>
        <c:varyColors val="0"/>
        <c:ser>
          <c:idx val="1"/>
          <c:order val="0"/>
          <c:spPr>
            <a:solidFill>
              <a:srgbClr val="08306B"/>
            </a:solidFill>
            <a:ln>
              <a:noFill/>
            </a:ln>
            <a:effectLst/>
          </c:spPr>
          <c:invertIfNegative val="0"/>
          <c:cat>
            <c:numRef>
              <c:f>BIOGAS!$B$13:$G$13</c:f>
              <c:numCache>
                <c:formatCode>General</c:formatCode>
                <c:ptCount val="6"/>
                <c:pt idx="0">
                  <c:v>2010</c:v>
                </c:pt>
                <c:pt idx="1">
                  <c:v>2011</c:v>
                </c:pt>
                <c:pt idx="2">
                  <c:v>2012</c:v>
                </c:pt>
                <c:pt idx="3">
                  <c:v>2013</c:v>
                </c:pt>
                <c:pt idx="4">
                  <c:v>2014</c:v>
                </c:pt>
                <c:pt idx="5">
                  <c:v>2015</c:v>
                </c:pt>
              </c:numCache>
            </c:numRef>
          </c:cat>
          <c:val>
            <c:numRef>
              <c:f>BIOGAS!$B$18:$G$18</c:f>
              <c:numCache>
                <c:formatCode>_(* #,##0_);_(* \(#,##0\);_(* "-"??_);_(@_)</c:formatCode>
                <c:ptCount val="6"/>
                <c:pt idx="0">
                  <c:v>453</c:v>
                </c:pt>
                <c:pt idx="1">
                  <c:v>602</c:v>
                </c:pt>
                <c:pt idx="2">
                  <c:v>890</c:v>
                </c:pt>
                <c:pt idx="3">
                  <c:v>1080</c:v>
                </c:pt>
                <c:pt idx="4">
                  <c:v>1020</c:v>
                </c:pt>
                <c:pt idx="5">
                  <c:v>981</c:v>
                </c:pt>
              </c:numCache>
            </c:numRef>
          </c:val>
          <c:extLst>
            <c:ext xmlns:c16="http://schemas.microsoft.com/office/drawing/2014/chart" uri="{C3380CC4-5D6E-409C-BE32-E72D297353CC}">
              <c16:uniqueId val="{00000000-E828-4895-8C18-79ACC6EAC38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kilowatt</a:t>
                </a:r>
                <a:r>
                  <a:rPr lang="en-US" sz="1000" baseline="0">
                    <a:solidFill>
                      <a:sysClr val="windowText" lastClr="000000"/>
                    </a:solidFill>
                  </a:rPr>
                  <a:t> hours</a:t>
                </a:r>
                <a:endParaRPr lang="en-US" sz="1000">
                  <a:solidFill>
                    <a:sysClr val="windowText" lastClr="000000"/>
                  </a:solidFill>
                </a:endParaRP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512720660694012E-2"/>
          <c:y val="3.8579213453513429E-2"/>
          <c:w val="0.89334034895528514"/>
          <c:h val="0.87825897008136433"/>
        </c:manualLayout>
      </c:layout>
      <c:barChart>
        <c:barDir val="col"/>
        <c:grouping val="clustered"/>
        <c:varyColors val="0"/>
        <c:ser>
          <c:idx val="1"/>
          <c:order val="0"/>
          <c:spPr>
            <a:solidFill>
              <a:srgbClr val="08306B"/>
            </a:solidFill>
            <a:ln>
              <a:noFill/>
            </a:ln>
            <a:effectLst/>
          </c:spPr>
          <c:invertIfNegative val="0"/>
          <c:cat>
            <c:numRef>
              <c:f>BIOGAS!$B$13:$H$13</c:f>
              <c:numCache>
                <c:formatCode>General</c:formatCode>
                <c:ptCount val="7"/>
                <c:pt idx="0">
                  <c:v>2010</c:v>
                </c:pt>
                <c:pt idx="1">
                  <c:v>2011</c:v>
                </c:pt>
                <c:pt idx="2">
                  <c:v>2012</c:v>
                </c:pt>
                <c:pt idx="3">
                  <c:v>2013</c:v>
                </c:pt>
                <c:pt idx="4">
                  <c:v>2014</c:v>
                </c:pt>
                <c:pt idx="5">
                  <c:v>2015</c:v>
                </c:pt>
                <c:pt idx="6">
                  <c:v>2016</c:v>
                </c:pt>
              </c:numCache>
            </c:numRef>
          </c:cat>
          <c:val>
            <c:numRef>
              <c:f>BIOGAS!$B$19:$H$19</c:f>
              <c:numCache>
                <c:formatCode>_(* #,##0_);_(* \(#,##0\);_(* "-"??_);_(@_)</c:formatCode>
                <c:ptCount val="7"/>
                <c:pt idx="0">
                  <c:v>205.74247</c:v>
                </c:pt>
                <c:pt idx="1">
                  <c:v>481.49157500000001</c:v>
                </c:pt>
                <c:pt idx="2">
                  <c:v>1349.0436500000001</c:v>
                </c:pt>
                <c:pt idx="3">
                  <c:v>572.13421500000004</c:v>
                </c:pt>
                <c:pt idx="4">
                  <c:v>375.95</c:v>
                </c:pt>
                <c:pt idx="6">
                  <c:v>2190</c:v>
                </c:pt>
              </c:numCache>
            </c:numRef>
          </c:val>
          <c:extLst>
            <c:ext xmlns:c16="http://schemas.microsoft.com/office/drawing/2014/chart" uri="{C3380CC4-5D6E-409C-BE32-E72D297353CC}">
              <c16:uniqueId val="{00000000-3680-4E58-AD78-790242E74A8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cubic feet</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512720660694012E-2"/>
          <c:y val="3.8579213453513429E-2"/>
          <c:w val="0.89334034895528514"/>
          <c:h val="0.87825897008136433"/>
        </c:manualLayout>
      </c:layout>
      <c:barChart>
        <c:barDir val="col"/>
        <c:grouping val="clustered"/>
        <c:varyColors val="0"/>
        <c:ser>
          <c:idx val="1"/>
          <c:order val="0"/>
          <c:spPr>
            <a:solidFill>
              <a:srgbClr val="08306B"/>
            </a:solidFill>
            <a:ln>
              <a:noFill/>
            </a:ln>
            <a:effectLst/>
          </c:spPr>
          <c:invertIfNegative val="0"/>
          <c:cat>
            <c:numRef>
              <c:f>BIOGAS!$B$13:$G$13</c:f>
              <c:numCache>
                <c:formatCode>General</c:formatCode>
                <c:ptCount val="6"/>
                <c:pt idx="0">
                  <c:v>2010</c:v>
                </c:pt>
                <c:pt idx="1">
                  <c:v>2011</c:v>
                </c:pt>
                <c:pt idx="2">
                  <c:v>2012</c:v>
                </c:pt>
                <c:pt idx="3">
                  <c:v>2013</c:v>
                </c:pt>
                <c:pt idx="4">
                  <c:v>2014</c:v>
                </c:pt>
                <c:pt idx="5">
                  <c:v>2015</c:v>
                </c:pt>
              </c:numCache>
            </c:numRef>
          </c:cat>
          <c:val>
            <c:numRef>
              <c:f>BIOGAS!$B$20:$G$20</c:f>
              <c:numCache>
                <c:formatCode>_(* #,##0_);_(* \(#,##0\);_(* "-"??_);_(@_)</c:formatCode>
                <c:ptCount val="6"/>
                <c:pt idx="0">
                  <c:v>214.1353</c:v>
                </c:pt>
                <c:pt idx="1">
                  <c:v>455.30144999999999</c:v>
                </c:pt>
                <c:pt idx="2">
                  <c:v>541.72</c:v>
                </c:pt>
                <c:pt idx="3">
                  <c:v>352.08953000000002</c:v>
                </c:pt>
                <c:pt idx="4">
                  <c:v>43.38344</c:v>
                </c:pt>
                <c:pt idx="5">
                  <c:v>5.1438899999999999</c:v>
                </c:pt>
              </c:numCache>
            </c:numRef>
          </c:val>
          <c:extLst>
            <c:ext xmlns:c16="http://schemas.microsoft.com/office/drawing/2014/chart" uri="{C3380CC4-5D6E-409C-BE32-E72D297353CC}">
              <c16:uniqueId val="{00000000-1F89-4F29-B6B9-C75D3245F65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976191905397902E-3"/>
              <c:y val="0.301763459437008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512720660694012E-2"/>
          <c:y val="3.8579213453513429E-2"/>
          <c:w val="0.89334034895528514"/>
          <c:h val="0.87825897008136433"/>
        </c:manualLayout>
      </c:layout>
      <c:barChart>
        <c:barDir val="col"/>
        <c:grouping val="clustered"/>
        <c:varyColors val="0"/>
        <c:ser>
          <c:idx val="1"/>
          <c:order val="0"/>
          <c:spPr>
            <a:solidFill>
              <a:srgbClr val="08306B"/>
            </a:solidFill>
            <a:ln>
              <a:noFill/>
            </a:ln>
            <a:effectLst/>
          </c:spPr>
          <c:invertIfNegative val="0"/>
          <c:cat>
            <c:numRef>
              <c:f>BIOGAS!$B$13:$C$13</c:f>
              <c:numCache>
                <c:formatCode>General</c:formatCode>
                <c:ptCount val="2"/>
                <c:pt idx="0">
                  <c:v>2010</c:v>
                </c:pt>
                <c:pt idx="1">
                  <c:v>2011</c:v>
                </c:pt>
              </c:numCache>
            </c:numRef>
          </c:cat>
          <c:val>
            <c:numRef>
              <c:f>BIOGAS!$B$21:$C$21</c:f>
              <c:numCache>
                <c:formatCode>_(* #,##0.00_);_(* \(#,##0.00\);_(* "-"??_);_(@_)</c:formatCode>
                <c:ptCount val="2"/>
                <c:pt idx="0">
                  <c:v>0.94</c:v>
                </c:pt>
                <c:pt idx="1">
                  <c:v>1.0900000000000001</c:v>
                </c:pt>
              </c:numCache>
            </c:numRef>
          </c:val>
          <c:extLst>
            <c:ext xmlns:c16="http://schemas.microsoft.com/office/drawing/2014/chart" uri="{C3380CC4-5D6E-409C-BE32-E72D297353CC}">
              <c16:uniqueId val="{00000000-EADB-4A65-816D-824C2289028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Exajoules of biogas</a:t>
                </a:r>
              </a:p>
            </c:rich>
          </c:tx>
          <c:layout>
            <c:manualLayout>
              <c:xMode val="edge"/>
              <c:yMode val="edge"/>
              <c:x val="1.976191905397902E-3"/>
              <c:y val="0.301763459437008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43901286072302"/>
          <c:y val="3.8579213453513429E-2"/>
          <c:w val="0.88341405675525608"/>
          <c:h val="0.87825897008136433"/>
        </c:manualLayout>
      </c:layout>
      <c:barChart>
        <c:barDir val="col"/>
        <c:grouping val="clustered"/>
        <c:varyColors val="0"/>
        <c:ser>
          <c:idx val="1"/>
          <c:order val="0"/>
          <c:tx>
            <c:v>Short term construction jobs</c:v>
          </c:tx>
          <c:spPr>
            <a:solidFill>
              <a:srgbClr val="08306B"/>
            </a:solidFill>
            <a:ln>
              <a:noFill/>
            </a:ln>
            <a:effectLst/>
          </c:spPr>
          <c:invertIfNegative val="0"/>
          <c:cat>
            <c:numRef>
              <c:f>BIOGAS!$B$23</c:f>
              <c:numCache>
                <c:formatCode>General</c:formatCode>
                <c:ptCount val="1"/>
              </c:numCache>
            </c:numRef>
          </c:cat>
          <c:val>
            <c:numRef>
              <c:f>BIOGAS!$B$27</c:f>
              <c:numCache>
                <c:formatCode>General</c:formatCode>
                <c:ptCount val="1"/>
                <c:pt idx="0">
                  <c:v>2.9</c:v>
                </c:pt>
              </c:numCache>
            </c:numRef>
          </c:val>
          <c:extLst>
            <c:ext xmlns:c16="http://schemas.microsoft.com/office/drawing/2014/chart" uri="{C3380CC4-5D6E-409C-BE32-E72D297353CC}">
              <c16:uniqueId val="{00000000-EAEA-4184-9F51-96A94F913E6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3887742545432718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33582194076365"/>
          <c:y val="3.8579213453513429E-2"/>
          <c:w val="0.86951724767521543"/>
          <c:h val="0.87825897008136433"/>
        </c:manualLayout>
      </c:layout>
      <c:barChart>
        <c:barDir val="col"/>
        <c:grouping val="clustered"/>
        <c:varyColors val="0"/>
        <c:ser>
          <c:idx val="1"/>
          <c:order val="0"/>
          <c:tx>
            <c:v>Short term construction jobs</c:v>
          </c:tx>
          <c:spPr>
            <a:solidFill>
              <a:srgbClr val="08306B"/>
            </a:solidFill>
            <a:ln>
              <a:noFill/>
            </a:ln>
            <a:effectLst/>
          </c:spPr>
          <c:invertIfNegative val="0"/>
          <c:cat>
            <c:numRef>
              <c:f>BIOGAS!$B$23</c:f>
              <c:numCache>
                <c:formatCode>General</c:formatCode>
                <c:ptCount val="1"/>
              </c:numCache>
            </c:numRef>
          </c:cat>
          <c:val>
            <c:numRef>
              <c:f>BIOGAS!$B$25</c:f>
              <c:numCache>
                <c:formatCode>#,##0</c:formatCode>
                <c:ptCount val="1"/>
                <c:pt idx="0">
                  <c:v>275000</c:v>
                </c:pt>
              </c:numCache>
            </c:numRef>
          </c:val>
          <c:extLst>
            <c:ext xmlns:c16="http://schemas.microsoft.com/office/drawing/2014/chart" uri="{C3380CC4-5D6E-409C-BE32-E72D297353CC}">
              <c16:uniqueId val="{00000000-65D4-4D34-BBAE-A879DE80F306}"/>
            </c:ext>
          </c:extLst>
        </c:ser>
        <c:ser>
          <c:idx val="0"/>
          <c:order val="1"/>
          <c:tx>
            <c:v>Permanent jobs</c:v>
          </c:tx>
          <c:spPr>
            <a:solidFill>
              <a:schemeClr val="accent1"/>
            </a:solidFill>
            <a:ln>
              <a:noFill/>
            </a:ln>
            <a:effectLst/>
          </c:spPr>
          <c:invertIfNegative val="0"/>
          <c:cat>
            <c:numRef>
              <c:f>BIOGAS!$B$23</c:f>
              <c:numCache>
                <c:formatCode>General</c:formatCode>
                <c:ptCount val="1"/>
              </c:numCache>
            </c:numRef>
          </c:cat>
          <c:val>
            <c:numRef>
              <c:f>BIOGAS!$B$26</c:f>
              <c:numCache>
                <c:formatCode>General</c:formatCode>
                <c:ptCount val="1"/>
                <c:pt idx="0">
                  <c:v>18000</c:v>
                </c:pt>
              </c:numCache>
            </c:numRef>
          </c:val>
          <c:extLst>
            <c:ext xmlns:c16="http://schemas.microsoft.com/office/drawing/2014/chart" uri="{C3380CC4-5D6E-409C-BE32-E72D297353CC}">
              <c16:uniqueId val="{00000001-65D4-4D34-BBAE-A879DE80F30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jobs</a:t>
                </a:r>
                <a:endParaRPr lang="en-US" sz="1000">
                  <a:solidFill>
                    <a:sysClr val="windowText" lastClr="000000"/>
                  </a:solidFill>
                </a:endParaRPr>
              </a:p>
            </c:rich>
          </c:tx>
          <c:layout>
            <c:manualLayout>
              <c:xMode val="edge"/>
              <c:yMode val="edge"/>
              <c:x val="1.976191905397902E-3"/>
              <c:y val="0.301763459437008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316206962098134"/>
          <c:y val="4.9100817122653455E-2"/>
          <c:w val="0.5113269154773874"/>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Corn</c:v>
          </c:tx>
          <c:spPr>
            <a:ln w="28575" cap="rnd">
              <a:solidFill>
                <a:srgbClr val="00441B"/>
              </a:solidFill>
              <a:round/>
            </a:ln>
            <a:effectLst/>
          </c:spPr>
          <c:marker>
            <c:symbol val="none"/>
          </c:marker>
          <c:cat>
            <c:numRef>
              <c:f>STARCH!$B$26:$J$26</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STARCH!$B$21:$J$21</c:f>
              <c:numCache>
                <c:formatCode>#,##0</c:formatCode>
                <c:ptCount val="9"/>
                <c:pt idx="0">
                  <c:v>49.103999999999999</c:v>
                </c:pt>
                <c:pt idx="1">
                  <c:v>46.64</c:v>
                </c:pt>
                <c:pt idx="2">
                  <c:v>64.528999999999996</c:v>
                </c:pt>
                <c:pt idx="3">
                  <c:v>76.650999999999996</c:v>
                </c:pt>
                <c:pt idx="4">
                  <c:v>74.155000000000001</c:v>
                </c:pt>
                <c:pt idx="5">
                  <c:v>61.927</c:v>
                </c:pt>
                <c:pt idx="6">
                  <c:v>52.951000000000001</c:v>
                </c:pt>
                <c:pt idx="7">
                  <c:v>49.338999999999999</c:v>
                </c:pt>
                <c:pt idx="8">
                  <c:v>51.703000000000003</c:v>
                </c:pt>
              </c:numCache>
            </c:numRef>
          </c:val>
          <c:smooth val="0"/>
          <c:extLst>
            <c:ext xmlns:c16="http://schemas.microsoft.com/office/drawing/2014/chart" uri="{C3380CC4-5D6E-409C-BE32-E72D297353CC}">
              <c16:uniqueId val="{00000000-4E85-48A3-9D18-8C381AEBA7CB}"/>
            </c:ext>
          </c:extLst>
        </c:ser>
        <c:ser>
          <c:idx val="1"/>
          <c:order val="1"/>
          <c:tx>
            <c:v>Wheat</c:v>
          </c:tx>
          <c:spPr>
            <a:ln w="28575" cap="rnd">
              <a:solidFill>
                <a:srgbClr val="006D2C"/>
              </a:solidFill>
              <a:round/>
            </a:ln>
            <a:effectLst/>
          </c:spPr>
          <c:marker>
            <c:symbol val="square"/>
            <c:size val="5"/>
            <c:spPr>
              <a:solidFill>
                <a:srgbClr val="006D2C"/>
              </a:solidFill>
              <a:ln w="9525">
                <a:solidFill>
                  <a:srgbClr val="006D2C"/>
                </a:solidFill>
              </a:ln>
              <a:effectLst/>
            </c:spPr>
          </c:marker>
          <c:cat>
            <c:numRef>
              <c:f>STARCH!$B$26:$J$26</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STARCH!$B$22:$J$22</c:f>
              <c:numCache>
                <c:formatCode>#,##0</c:formatCode>
                <c:ptCount val="9"/>
                <c:pt idx="0">
                  <c:v>12.579000000000001</c:v>
                </c:pt>
                <c:pt idx="1">
                  <c:v>14.269</c:v>
                </c:pt>
                <c:pt idx="2">
                  <c:v>17.382999999999999</c:v>
                </c:pt>
                <c:pt idx="3">
                  <c:v>14.603999999999999</c:v>
                </c:pt>
                <c:pt idx="4">
                  <c:v>17.382999999999999</c:v>
                </c:pt>
                <c:pt idx="5">
                  <c:v>14.603999999999999</c:v>
                </c:pt>
                <c:pt idx="6">
                  <c:v>11.914</c:v>
                </c:pt>
                <c:pt idx="7">
                  <c:v>10.018000000000001</c:v>
                </c:pt>
                <c:pt idx="8">
                  <c:v>9.1039999999999992</c:v>
                </c:pt>
              </c:numCache>
            </c:numRef>
          </c:val>
          <c:smooth val="0"/>
          <c:extLst>
            <c:ext xmlns:c16="http://schemas.microsoft.com/office/drawing/2014/chart" uri="{C3380CC4-5D6E-409C-BE32-E72D297353CC}">
              <c16:uniqueId val="{00000001-4E85-48A3-9D18-8C381AEBA7CB}"/>
            </c:ext>
          </c:extLst>
        </c:ser>
        <c:ser>
          <c:idx val="2"/>
          <c:order val="2"/>
          <c:tx>
            <c:v>Barley</c:v>
          </c:tx>
          <c:spPr>
            <a:ln w="28575" cap="rnd">
              <a:solidFill>
                <a:srgbClr val="74C476"/>
              </a:solidFill>
              <a:round/>
            </a:ln>
            <a:effectLst/>
          </c:spPr>
          <c:marker>
            <c:symbol val="circle"/>
            <c:size val="6"/>
            <c:spPr>
              <a:solidFill>
                <a:srgbClr val="74C476"/>
              </a:solidFill>
              <a:ln w="9525">
                <a:solidFill>
                  <a:srgbClr val="74C476"/>
                </a:solidFill>
              </a:ln>
              <a:effectLst/>
            </c:spPr>
          </c:marker>
          <c:cat>
            <c:numRef>
              <c:f>STARCH!$B$26:$J$26</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STARCH!$B$23:$J$23</c:f>
              <c:numCache>
                <c:formatCode>#,##0</c:formatCode>
                <c:ptCount val="9"/>
                <c:pt idx="0">
                  <c:v>1.2529999999999999</c:v>
                </c:pt>
                <c:pt idx="1">
                  <c:v>0.96799999999999997</c:v>
                </c:pt>
                <c:pt idx="2">
                  <c:v>0.69099999999999995</c:v>
                </c:pt>
                <c:pt idx="3">
                  <c:v>0.80800000000000005</c:v>
                </c:pt>
                <c:pt idx="4">
                  <c:v>1.371</c:v>
                </c:pt>
                <c:pt idx="5">
                  <c:v>1.2649999999999999</c:v>
                </c:pt>
                <c:pt idx="6">
                  <c:v>0.91400000000000003</c:v>
                </c:pt>
                <c:pt idx="7">
                  <c:v>1.149</c:v>
                </c:pt>
                <c:pt idx="8">
                  <c:v>0.94199999999999995</c:v>
                </c:pt>
              </c:numCache>
            </c:numRef>
          </c:val>
          <c:smooth val="0"/>
          <c:extLst>
            <c:ext xmlns:c16="http://schemas.microsoft.com/office/drawing/2014/chart" uri="{C3380CC4-5D6E-409C-BE32-E72D297353CC}">
              <c16:uniqueId val="{00000002-4E85-48A3-9D18-8C381AEBA7CB}"/>
            </c:ext>
          </c:extLst>
        </c:ser>
        <c:ser>
          <c:idx val="3"/>
          <c:order val="3"/>
          <c:tx>
            <c:v>Sorghum</c:v>
          </c:tx>
          <c:spPr>
            <a:ln w="28575" cap="rnd">
              <a:solidFill>
                <a:srgbClr val="C7E9C0"/>
              </a:solidFill>
              <a:round/>
            </a:ln>
            <a:effectLst/>
          </c:spPr>
          <c:marker>
            <c:symbol val="x"/>
            <c:size val="8"/>
            <c:spPr>
              <a:noFill/>
              <a:ln w="22225">
                <a:solidFill>
                  <a:srgbClr val="C7E9C0"/>
                </a:solidFill>
              </a:ln>
              <a:effectLst/>
            </c:spPr>
          </c:marker>
          <c:cat>
            <c:numRef>
              <c:f>STARCH!$B$26:$J$26</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STARCH!$B$24:$J$24</c:f>
              <c:numCache>
                <c:formatCode>#,##0</c:formatCode>
                <c:ptCount val="9"/>
                <c:pt idx="0">
                  <c:v>1.641</c:v>
                </c:pt>
                <c:pt idx="1">
                  <c:v>1.202</c:v>
                </c:pt>
                <c:pt idx="2">
                  <c:v>1.6160000000000001</c:v>
                </c:pt>
                <c:pt idx="3">
                  <c:v>1.2589999999999999</c:v>
                </c:pt>
                <c:pt idx="4">
                  <c:v>1.6060000000000001</c:v>
                </c:pt>
                <c:pt idx="5">
                  <c:v>1.716</c:v>
                </c:pt>
                <c:pt idx="6">
                  <c:v>1.7210000000000001</c:v>
                </c:pt>
                <c:pt idx="7">
                  <c:v>2.0640000000000001</c:v>
                </c:pt>
                <c:pt idx="8">
                  <c:v>1.351</c:v>
                </c:pt>
              </c:numCache>
            </c:numRef>
          </c:val>
          <c:smooth val="0"/>
          <c:extLst>
            <c:ext xmlns:c16="http://schemas.microsoft.com/office/drawing/2014/chart" uri="{C3380CC4-5D6E-409C-BE32-E72D297353CC}">
              <c16:uniqueId val="{00000003-4E85-48A3-9D18-8C381AEBA7CB}"/>
            </c:ext>
          </c:extLst>
        </c:ser>
        <c:dLbls>
          <c:showLegendKey val="0"/>
          <c:showVal val="0"/>
          <c:showCatName val="0"/>
          <c:showSerName val="0"/>
          <c:showPercent val="0"/>
          <c:showBubbleSize val="0"/>
        </c:dLbls>
        <c:smooth val="0"/>
        <c:axId val="615096144"/>
        <c:axId val="615094832"/>
      </c:line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Billion dollars</a:t>
                </a:r>
              </a:p>
            </c:rich>
          </c:tx>
          <c:layout>
            <c:manualLayout>
              <c:xMode val="edge"/>
              <c:yMode val="edge"/>
              <c:x val="9.9206349206349201E-3"/>
              <c:y val="0.365257272528433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midCat"/>
      </c:valAx>
      <c:spPr>
        <a:noFill/>
        <a:ln>
          <a:solidFill>
            <a:schemeClr val="tx1"/>
          </a:solidFill>
        </a:ln>
        <a:effectLst/>
      </c:spPr>
    </c:plotArea>
    <c:legend>
      <c:legendPos val="t"/>
      <c:layout>
        <c:manualLayout>
          <c:xMode val="edge"/>
          <c:yMode val="edge"/>
          <c:x val="0.11252374703162103"/>
          <c:y val="5.2083333333333336E-2"/>
          <c:w val="0.51304758780152493"/>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Corn</c:v>
          </c:tx>
          <c:spPr>
            <a:ln w="28575" cap="rnd">
              <a:solidFill>
                <a:srgbClr val="00441B"/>
              </a:solidFill>
              <a:round/>
            </a:ln>
            <a:effectLst/>
          </c:spPr>
          <c:marker>
            <c:symbol val="none"/>
          </c:marker>
          <c:cat>
            <c:numRef>
              <c:f>STARCH!$B$26:$J$26</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STARCH!$B$6:$J$6</c:f>
              <c:numCache>
                <c:formatCode>General</c:formatCode>
                <c:ptCount val="9"/>
                <c:pt idx="0">
                  <c:v>85.98</c:v>
                </c:pt>
                <c:pt idx="1">
                  <c:v>86.38</c:v>
                </c:pt>
                <c:pt idx="2">
                  <c:v>88.19</c:v>
                </c:pt>
                <c:pt idx="3">
                  <c:v>91.93</c:v>
                </c:pt>
                <c:pt idx="4">
                  <c:v>97.29</c:v>
                </c:pt>
                <c:pt idx="5">
                  <c:v>95.36</c:v>
                </c:pt>
                <c:pt idx="6">
                  <c:v>90.59</c:v>
                </c:pt>
                <c:pt idx="7">
                  <c:v>88.02</c:v>
                </c:pt>
                <c:pt idx="8">
                  <c:v>94</c:v>
                </c:pt>
              </c:numCache>
            </c:numRef>
          </c:val>
          <c:smooth val="0"/>
          <c:extLst>
            <c:ext xmlns:c16="http://schemas.microsoft.com/office/drawing/2014/chart" uri="{C3380CC4-5D6E-409C-BE32-E72D297353CC}">
              <c16:uniqueId val="{00000000-2BDF-4D73-8493-EC07F60A3402}"/>
            </c:ext>
          </c:extLst>
        </c:ser>
        <c:ser>
          <c:idx val="1"/>
          <c:order val="1"/>
          <c:tx>
            <c:v>Wheat</c:v>
          </c:tx>
          <c:spPr>
            <a:ln w="28575" cap="rnd">
              <a:solidFill>
                <a:srgbClr val="006D2C"/>
              </a:solidFill>
              <a:round/>
            </a:ln>
            <a:effectLst/>
          </c:spPr>
          <c:marker>
            <c:symbol val="square"/>
            <c:size val="5"/>
            <c:spPr>
              <a:solidFill>
                <a:srgbClr val="006D2C"/>
              </a:solidFill>
              <a:ln w="9525">
                <a:solidFill>
                  <a:srgbClr val="006D2C"/>
                </a:solidFill>
              </a:ln>
              <a:effectLst/>
            </c:spPr>
          </c:marker>
          <c:cat>
            <c:numRef>
              <c:f>STARCH!$B$26:$J$26</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STARCH!$B$9:$J$9</c:f>
              <c:numCache>
                <c:formatCode>General</c:formatCode>
                <c:ptCount val="9"/>
                <c:pt idx="0">
                  <c:v>63.62</c:v>
                </c:pt>
                <c:pt idx="1">
                  <c:v>59.02</c:v>
                </c:pt>
                <c:pt idx="2">
                  <c:v>52.62</c:v>
                </c:pt>
                <c:pt idx="3">
                  <c:v>54.28</c:v>
                </c:pt>
                <c:pt idx="4">
                  <c:v>55.29</c:v>
                </c:pt>
                <c:pt idx="5">
                  <c:v>56.24</c:v>
                </c:pt>
                <c:pt idx="6">
                  <c:v>56.84</c:v>
                </c:pt>
                <c:pt idx="7">
                  <c:v>55</c:v>
                </c:pt>
                <c:pt idx="8">
                  <c:v>50.15</c:v>
                </c:pt>
              </c:numCache>
            </c:numRef>
          </c:val>
          <c:smooth val="0"/>
          <c:extLst>
            <c:ext xmlns:c16="http://schemas.microsoft.com/office/drawing/2014/chart" uri="{C3380CC4-5D6E-409C-BE32-E72D297353CC}">
              <c16:uniqueId val="{00000001-2BDF-4D73-8493-EC07F60A3402}"/>
            </c:ext>
          </c:extLst>
        </c:ser>
        <c:ser>
          <c:idx val="2"/>
          <c:order val="2"/>
          <c:tx>
            <c:v>Barley</c:v>
          </c:tx>
          <c:spPr>
            <a:ln w="28575" cap="rnd">
              <a:solidFill>
                <a:srgbClr val="74C476"/>
              </a:solidFill>
              <a:round/>
            </a:ln>
            <a:effectLst/>
          </c:spPr>
          <c:marker>
            <c:symbol val="circle"/>
            <c:size val="6"/>
            <c:spPr>
              <a:solidFill>
                <a:srgbClr val="74C476"/>
              </a:solidFill>
              <a:ln w="9525">
                <a:solidFill>
                  <a:srgbClr val="74C476"/>
                </a:solidFill>
              </a:ln>
              <a:effectLst/>
            </c:spPr>
          </c:marker>
          <c:cat>
            <c:numRef>
              <c:f>STARCH!$B$26:$J$26</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STARCH!$B$7:$J$7</c:f>
              <c:numCache>
                <c:formatCode>General</c:formatCode>
                <c:ptCount val="9"/>
                <c:pt idx="0">
                  <c:v>4.2300000000000004</c:v>
                </c:pt>
                <c:pt idx="1">
                  <c:v>3.57</c:v>
                </c:pt>
                <c:pt idx="2">
                  <c:v>2.87</c:v>
                </c:pt>
                <c:pt idx="3">
                  <c:v>2.56</c:v>
                </c:pt>
                <c:pt idx="4">
                  <c:v>3.66</c:v>
                </c:pt>
                <c:pt idx="5">
                  <c:v>3.53</c:v>
                </c:pt>
                <c:pt idx="6">
                  <c:v>3.03</c:v>
                </c:pt>
                <c:pt idx="7">
                  <c:v>3.62</c:v>
                </c:pt>
                <c:pt idx="8">
                  <c:v>3.05</c:v>
                </c:pt>
              </c:numCache>
            </c:numRef>
          </c:val>
          <c:smooth val="0"/>
          <c:extLst>
            <c:ext xmlns:c16="http://schemas.microsoft.com/office/drawing/2014/chart" uri="{C3380CC4-5D6E-409C-BE32-E72D297353CC}">
              <c16:uniqueId val="{00000002-2BDF-4D73-8493-EC07F60A3402}"/>
            </c:ext>
          </c:extLst>
        </c:ser>
        <c:ser>
          <c:idx val="3"/>
          <c:order val="3"/>
          <c:tx>
            <c:v>Sorghum</c:v>
          </c:tx>
          <c:spPr>
            <a:ln w="28575" cap="rnd">
              <a:solidFill>
                <a:srgbClr val="C7E9C0"/>
              </a:solidFill>
              <a:round/>
            </a:ln>
            <a:effectLst/>
          </c:spPr>
          <c:marker>
            <c:symbol val="x"/>
            <c:size val="8"/>
            <c:spPr>
              <a:noFill/>
              <a:ln w="22225">
                <a:solidFill>
                  <a:srgbClr val="C7E9C0"/>
                </a:solidFill>
              </a:ln>
              <a:effectLst/>
            </c:spPr>
          </c:marker>
          <c:cat>
            <c:numRef>
              <c:f>STARCH!$B$26:$J$26</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STARCH!$B$8:$J$8</c:f>
              <c:numCache>
                <c:formatCode>General</c:formatCode>
                <c:ptCount val="9"/>
                <c:pt idx="0">
                  <c:v>8.4</c:v>
                </c:pt>
                <c:pt idx="1">
                  <c:v>6.59</c:v>
                </c:pt>
                <c:pt idx="2">
                  <c:v>5.37</c:v>
                </c:pt>
                <c:pt idx="3">
                  <c:v>5.45</c:v>
                </c:pt>
                <c:pt idx="4">
                  <c:v>6.25</c:v>
                </c:pt>
                <c:pt idx="5">
                  <c:v>8.08</c:v>
                </c:pt>
                <c:pt idx="6">
                  <c:v>7.13</c:v>
                </c:pt>
                <c:pt idx="7">
                  <c:v>8.4600000000000009</c:v>
                </c:pt>
                <c:pt idx="8">
                  <c:v>6.69</c:v>
                </c:pt>
              </c:numCache>
            </c:numRef>
          </c:val>
          <c:smooth val="0"/>
          <c:extLst>
            <c:ext xmlns:c16="http://schemas.microsoft.com/office/drawing/2014/chart" uri="{C3380CC4-5D6E-409C-BE32-E72D297353CC}">
              <c16:uniqueId val="{00000003-2BDF-4D73-8493-EC07F60A3402}"/>
            </c:ext>
          </c:extLst>
        </c:ser>
        <c:dLbls>
          <c:showLegendKey val="0"/>
          <c:showVal val="0"/>
          <c:showCatName val="0"/>
          <c:showSerName val="0"/>
          <c:showPercent val="0"/>
          <c:showBubbleSize val="0"/>
        </c:dLbls>
        <c:smooth val="0"/>
        <c:axId val="615096144"/>
        <c:axId val="615094832"/>
      </c:line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Million of acres planted</a:t>
                </a:r>
              </a:p>
            </c:rich>
          </c:tx>
          <c:layout>
            <c:manualLayout>
              <c:xMode val="edge"/>
              <c:yMode val="edge"/>
              <c:x val="9.9206349206349201E-3"/>
              <c:y val="0.29234060586176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midCat"/>
      </c:valAx>
      <c:spPr>
        <a:noFill/>
        <a:ln>
          <a:solidFill>
            <a:schemeClr val="tx1"/>
          </a:solidFill>
        </a:ln>
        <a:effectLst/>
      </c:spPr>
    </c:plotArea>
    <c:legend>
      <c:legendPos val="t"/>
      <c:layout>
        <c:manualLayout>
          <c:xMode val="edge"/>
          <c:yMode val="edge"/>
          <c:x val="0.11252374703162103"/>
          <c:y val="5.2083333333333336E-2"/>
          <c:w val="0.51304758780152493"/>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441B"/>
            </a:solidFill>
            <a:ln>
              <a:noFill/>
            </a:ln>
            <a:effectLst/>
          </c:spPr>
          <c:invertIfNegative val="0"/>
          <c:cat>
            <c:multiLvlStrRef>
              <c:f>[1]Table005!$A$58:$A$66</c:f>
              <c:multiLvlStrCache>
                <c:ptCount val="1"/>
                <c:lvl>
                  <c:pt idx="0">
                    <c:v>2016</c:v>
                  </c:pt>
                </c:lvl>
                <c:lvl>
                  <c:pt idx="0">
                    <c:v>2015</c:v>
                  </c:pt>
                </c:lvl>
                <c:lvl>
                  <c:pt idx="0">
                    <c:v>2014</c:v>
                  </c:pt>
                </c:lvl>
                <c:lvl>
                  <c:pt idx="0">
                    <c:v>2013</c:v>
                  </c:pt>
                </c:lvl>
                <c:lvl>
                  <c:pt idx="0">
                    <c:v>2012</c:v>
                  </c:pt>
                </c:lvl>
                <c:lvl>
                  <c:pt idx="0">
                    <c:v>2011</c:v>
                  </c:pt>
                </c:lvl>
                <c:lvl>
                  <c:pt idx="0">
                    <c:v>2010</c:v>
                  </c:pt>
                </c:lvl>
                <c:lvl>
                  <c:pt idx="0">
                    <c:v>2009</c:v>
                  </c:pt>
                </c:lvl>
                <c:lvl>
                  <c:pt idx="0">
                    <c:v>2008</c:v>
                  </c:pt>
                </c:lvl>
              </c:multiLvlStrCache>
            </c:multiLvlStrRef>
          </c:cat>
          <c:val>
            <c:numRef>
              <c:f>STARCH!$B$35:$J$35</c:f>
              <c:numCache>
                <c:formatCode>#,##0</c:formatCode>
                <c:ptCount val="9"/>
                <c:pt idx="0">
                  <c:v>3.0489999999999999</c:v>
                </c:pt>
                <c:pt idx="1">
                  <c:v>3.7090000000000001</c:v>
                </c:pt>
                <c:pt idx="2">
                  <c:v>4.5910000000000002</c:v>
                </c:pt>
                <c:pt idx="3">
                  <c:v>5.0190000000000001</c:v>
                </c:pt>
                <c:pt idx="4">
                  <c:v>5</c:v>
                </c:pt>
                <c:pt idx="5">
                  <c:v>4.641</c:v>
                </c:pt>
                <c:pt idx="6">
                  <c:v>5.125</c:v>
                </c:pt>
                <c:pt idx="7">
                  <c:v>5.2</c:v>
                </c:pt>
                <c:pt idx="8">
                  <c:v>5.2060000000000004</c:v>
                </c:pt>
              </c:numCache>
            </c:numRef>
          </c:val>
          <c:extLst>
            <c:ext xmlns:c16="http://schemas.microsoft.com/office/drawing/2014/chart" uri="{C3380CC4-5D6E-409C-BE32-E72D297353CC}">
              <c16:uniqueId val="{00000000-A7A7-4096-BCEC-F6AF2CCAFD5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a:t>
                </a:r>
                <a:r>
                  <a:rPr lang="en-US" sz="1000" baseline="0">
                    <a:solidFill>
                      <a:sysClr val="windowText" lastClr="000000"/>
                    </a:solidFill>
                  </a:rPr>
                  <a:t> bushels</a:t>
                </a:r>
                <a:endParaRPr lang="en-US" sz="1000">
                  <a:solidFill>
                    <a:sysClr val="windowText" lastClr="000000"/>
                  </a:solidFill>
                </a:endParaRP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441B"/>
            </a:solidFill>
            <a:ln>
              <a:noFill/>
            </a:ln>
            <a:effectLst/>
          </c:spPr>
          <c:invertIfNegative val="0"/>
          <c:cat>
            <c:multiLvlStrRef>
              <c:f>[1]Table005!$A$58:$A$66</c:f>
              <c:multiLvlStrCache>
                <c:ptCount val="1"/>
                <c:lvl>
                  <c:pt idx="0">
                    <c:v>2016</c:v>
                  </c:pt>
                </c:lvl>
                <c:lvl>
                  <c:pt idx="0">
                    <c:v>2015</c:v>
                  </c:pt>
                </c:lvl>
                <c:lvl>
                  <c:pt idx="0">
                    <c:v>2014</c:v>
                  </c:pt>
                </c:lvl>
                <c:lvl>
                  <c:pt idx="0">
                    <c:v>2013</c:v>
                  </c:pt>
                </c:lvl>
                <c:lvl>
                  <c:pt idx="0">
                    <c:v>2012</c:v>
                  </c:pt>
                </c:lvl>
                <c:lvl>
                  <c:pt idx="0">
                    <c:v>2011</c:v>
                  </c:pt>
                </c:lvl>
                <c:lvl>
                  <c:pt idx="0">
                    <c:v>2010</c:v>
                  </c:pt>
                </c:lvl>
                <c:lvl>
                  <c:pt idx="0">
                    <c:v>2009</c:v>
                  </c:pt>
                </c:lvl>
                <c:lvl>
                  <c:pt idx="0">
                    <c:v>2008</c:v>
                  </c:pt>
                </c:lvl>
              </c:multiLvlStrCache>
            </c:multiLvlStrRef>
          </c:cat>
          <c:val>
            <c:numRef>
              <c:f>STARCH!$B$41:$J$41</c:f>
              <c:numCache>
                <c:formatCode>#,##0.00</c:formatCode>
                <c:ptCount val="9"/>
                <c:pt idx="0">
                  <c:v>25.313408053134079</c:v>
                </c:pt>
                <c:pt idx="1">
                  <c:v>28.384479987755412</c:v>
                </c:pt>
                <c:pt idx="2">
                  <c:v>36.949698189134814</c:v>
                </c:pt>
                <c:pt idx="3">
                  <c:v>40.761796475270039</c:v>
                </c:pt>
                <c:pt idx="4">
                  <c:v>46.490004649000461</c:v>
                </c:pt>
                <c:pt idx="5">
                  <c:v>33.562337286664743</c:v>
                </c:pt>
                <c:pt idx="6">
                  <c:v>36.053464650017588</c:v>
                </c:pt>
                <c:pt idx="7">
                  <c:v>38.232482905668704</c:v>
                </c:pt>
                <c:pt idx="8">
                  <c:v>34.367573277000268</c:v>
                </c:pt>
              </c:numCache>
            </c:numRef>
          </c:val>
          <c:extLst>
            <c:ext xmlns:c16="http://schemas.microsoft.com/office/drawing/2014/chart" uri="{C3380CC4-5D6E-409C-BE32-E72D297353CC}">
              <c16:uniqueId val="{00000000-EF2D-4168-80CB-84A293F16C7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Percent</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Corn</c:v>
          </c:tx>
          <c:spPr>
            <a:ln w="28575" cap="rnd">
              <a:solidFill>
                <a:srgbClr val="00441B"/>
              </a:solidFill>
              <a:round/>
            </a:ln>
            <a:effectLst/>
          </c:spPr>
          <c:marker>
            <c:symbol val="none"/>
          </c:marker>
          <c:cat>
            <c:numRef>
              <c:f>STARCH!$B$47:$J$47</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STARCH!$B$49:$J$49</c:f>
              <c:numCache>
                <c:formatCode>General</c:formatCode>
                <c:ptCount val="9"/>
                <c:pt idx="0">
                  <c:v>4.0599999999999996</c:v>
                </c:pt>
                <c:pt idx="1">
                  <c:v>3.55</c:v>
                </c:pt>
                <c:pt idx="2">
                  <c:v>5.18</c:v>
                </c:pt>
                <c:pt idx="3">
                  <c:v>6.22</c:v>
                </c:pt>
                <c:pt idx="4">
                  <c:v>6.89</c:v>
                </c:pt>
                <c:pt idx="5">
                  <c:v>4.46</c:v>
                </c:pt>
                <c:pt idx="6">
                  <c:v>3.7</c:v>
                </c:pt>
                <c:pt idx="7">
                  <c:v>3.61</c:v>
                </c:pt>
                <c:pt idx="8">
                  <c:v>3.4</c:v>
                </c:pt>
              </c:numCache>
            </c:numRef>
          </c:val>
          <c:smooth val="0"/>
          <c:extLst>
            <c:ext xmlns:c16="http://schemas.microsoft.com/office/drawing/2014/chart" uri="{C3380CC4-5D6E-409C-BE32-E72D297353CC}">
              <c16:uniqueId val="{00000000-5A87-4DED-8000-789A3E2878E6}"/>
            </c:ext>
          </c:extLst>
        </c:ser>
        <c:ser>
          <c:idx val="1"/>
          <c:order val="1"/>
          <c:tx>
            <c:v>Wheat</c:v>
          </c:tx>
          <c:spPr>
            <a:ln w="28575" cap="rnd">
              <a:solidFill>
                <a:srgbClr val="006D2C"/>
              </a:solidFill>
              <a:round/>
            </a:ln>
            <a:effectLst/>
          </c:spPr>
          <c:marker>
            <c:symbol val="square"/>
            <c:size val="5"/>
            <c:spPr>
              <a:solidFill>
                <a:srgbClr val="006D2C"/>
              </a:solidFill>
              <a:ln w="9525">
                <a:solidFill>
                  <a:srgbClr val="006D2C"/>
                </a:solidFill>
              </a:ln>
              <a:effectLst/>
            </c:spPr>
          </c:marker>
          <c:cat>
            <c:numRef>
              <c:f>STARCH!$B$47:$J$47</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STARCH!$B$52:$J$52</c:f>
              <c:numCache>
                <c:formatCode>General</c:formatCode>
                <c:ptCount val="9"/>
                <c:pt idx="0">
                  <c:v>6.78</c:v>
                </c:pt>
                <c:pt idx="1">
                  <c:v>4.87</c:v>
                </c:pt>
                <c:pt idx="2">
                  <c:v>5.7</c:v>
                </c:pt>
                <c:pt idx="3">
                  <c:v>7.24</c:v>
                </c:pt>
                <c:pt idx="4">
                  <c:v>7.77</c:v>
                </c:pt>
                <c:pt idx="5">
                  <c:v>6.87</c:v>
                </c:pt>
                <c:pt idx="6">
                  <c:v>5.99</c:v>
                </c:pt>
                <c:pt idx="7">
                  <c:v>4.8899999999999997</c:v>
                </c:pt>
                <c:pt idx="8">
                  <c:v>3.8</c:v>
                </c:pt>
              </c:numCache>
            </c:numRef>
          </c:val>
          <c:smooth val="0"/>
          <c:extLst>
            <c:ext xmlns:c16="http://schemas.microsoft.com/office/drawing/2014/chart" uri="{C3380CC4-5D6E-409C-BE32-E72D297353CC}">
              <c16:uniqueId val="{00000001-5A87-4DED-8000-789A3E2878E6}"/>
            </c:ext>
          </c:extLst>
        </c:ser>
        <c:ser>
          <c:idx val="2"/>
          <c:order val="2"/>
          <c:tx>
            <c:v>Barley</c:v>
          </c:tx>
          <c:spPr>
            <a:ln w="28575" cap="rnd">
              <a:solidFill>
                <a:srgbClr val="74C476"/>
              </a:solidFill>
              <a:round/>
            </a:ln>
            <a:effectLst/>
          </c:spPr>
          <c:marker>
            <c:symbol val="circle"/>
            <c:size val="6"/>
            <c:spPr>
              <a:solidFill>
                <a:srgbClr val="74C476"/>
              </a:solidFill>
              <a:ln w="9525">
                <a:solidFill>
                  <a:srgbClr val="74C476"/>
                </a:solidFill>
              </a:ln>
              <a:effectLst/>
            </c:spPr>
          </c:marker>
          <c:cat>
            <c:numRef>
              <c:f>STARCH!$B$47:$J$47</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STARCH!$B$50:$J$50</c:f>
              <c:numCache>
                <c:formatCode>General</c:formatCode>
                <c:ptCount val="9"/>
                <c:pt idx="0">
                  <c:v>5.37</c:v>
                </c:pt>
                <c:pt idx="1">
                  <c:v>4.66</c:v>
                </c:pt>
                <c:pt idx="2">
                  <c:v>3.86</c:v>
                </c:pt>
                <c:pt idx="3">
                  <c:v>5.35</c:v>
                </c:pt>
                <c:pt idx="4">
                  <c:v>6.43</c:v>
                </c:pt>
                <c:pt idx="5">
                  <c:v>6.06</c:v>
                </c:pt>
                <c:pt idx="6">
                  <c:v>5.3</c:v>
                </c:pt>
                <c:pt idx="7">
                  <c:v>5.52</c:v>
                </c:pt>
                <c:pt idx="8">
                  <c:v>4.95</c:v>
                </c:pt>
              </c:numCache>
            </c:numRef>
          </c:val>
          <c:smooth val="0"/>
          <c:extLst>
            <c:ext xmlns:c16="http://schemas.microsoft.com/office/drawing/2014/chart" uri="{C3380CC4-5D6E-409C-BE32-E72D297353CC}">
              <c16:uniqueId val="{00000002-5A87-4DED-8000-789A3E2878E6}"/>
            </c:ext>
          </c:extLst>
        </c:ser>
        <c:ser>
          <c:idx val="3"/>
          <c:order val="3"/>
          <c:tx>
            <c:v>Sorghum</c:v>
          </c:tx>
          <c:spPr>
            <a:ln w="28575" cap="rnd">
              <a:solidFill>
                <a:srgbClr val="C7E9C0"/>
              </a:solidFill>
              <a:round/>
            </a:ln>
            <a:effectLst/>
          </c:spPr>
          <c:marker>
            <c:symbol val="x"/>
            <c:size val="8"/>
            <c:spPr>
              <a:noFill/>
              <a:ln w="22225">
                <a:solidFill>
                  <a:srgbClr val="C7E9C0"/>
                </a:solidFill>
              </a:ln>
              <a:effectLst/>
            </c:spPr>
          </c:marker>
          <c:cat>
            <c:numRef>
              <c:f>STARCH!$B$47:$J$47</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STARCH!$B$51:$J$51</c:f>
              <c:numCache>
                <c:formatCode>General</c:formatCode>
                <c:ptCount val="9"/>
                <c:pt idx="0">
                  <c:v>3.2</c:v>
                </c:pt>
                <c:pt idx="1">
                  <c:v>3.22</c:v>
                </c:pt>
                <c:pt idx="2">
                  <c:v>5.0199999999999996</c:v>
                </c:pt>
                <c:pt idx="3">
                  <c:v>5.99</c:v>
                </c:pt>
                <c:pt idx="4">
                  <c:v>6.32</c:v>
                </c:pt>
                <c:pt idx="5">
                  <c:v>4.28</c:v>
                </c:pt>
                <c:pt idx="6">
                  <c:v>4.03</c:v>
                </c:pt>
                <c:pt idx="7">
                  <c:v>3.31</c:v>
                </c:pt>
                <c:pt idx="8">
                  <c:v>2.7</c:v>
                </c:pt>
              </c:numCache>
            </c:numRef>
          </c:val>
          <c:smooth val="0"/>
          <c:extLst>
            <c:ext xmlns:c16="http://schemas.microsoft.com/office/drawing/2014/chart" uri="{C3380CC4-5D6E-409C-BE32-E72D297353CC}">
              <c16:uniqueId val="{00000003-5A87-4DED-8000-789A3E2878E6}"/>
            </c:ext>
          </c:extLst>
        </c:ser>
        <c:dLbls>
          <c:showLegendKey val="0"/>
          <c:showVal val="0"/>
          <c:showCatName val="0"/>
          <c:showSerName val="0"/>
          <c:showPercent val="0"/>
          <c:showBubbleSize val="0"/>
        </c:dLbls>
        <c:smooth val="0"/>
        <c:axId val="615096144"/>
        <c:axId val="615094832"/>
      </c:line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Dollars per bushel</a:t>
                </a:r>
              </a:p>
            </c:rich>
          </c:tx>
          <c:layout>
            <c:manualLayout>
              <c:xMode val="edge"/>
              <c:yMode val="edge"/>
              <c:x val="9.9206349206349201E-3"/>
              <c:y val="0.365257272528433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midCat"/>
      </c:valAx>
      <c:spPr>
        <a:noFill/>
        <a:ln>
          <a:solidFill>
            <a:schemeClr val="tx1"/>
          </a:solidFill>
        </a:ln>
        <a:effectLst/>
      </c:spPr>
    </c:plotArea>
    <c:legend>
      <c:legendPos val="t"/>
      <c:layout>
        <c:manualLayout>
          <c:xMode val="edge"/>
          <c:yMode val="edge"/>
          <c:x val="0.11252374703162103"/>
          <c:y val="5.2083333333333336E-2"/>
          <c:w val="0.51304758780152493"/>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441B"/>
            </a:solidFill>
            <a:ln>
              <a:noFill/>
            </a:ln>
            <a:effectLst/>
          </c:spPr>
          <c:invertIfNegative val="0"/>
          <c:cat>
            <c:multiLvlStrRef>
              <c:f>[1]Table005!$A$58:$A$66</c:f>
              <c:multiLvlStrCache>
                <c:ptCount val="1"/>
                <c:lvl>
                  <c:pt idx="0">
                    <c:v>2016</c:v>
                  </c:pt>
                </c:lvl>
                <c:lvl>
                  <c:pt idx="0">
                    <c:v>2015</c:v>
                  </c:pt>
                </c:lvl>
                <c:lvl>
                  <c:pt idx="0">
                    <c:v>2014</c:v>
                  </c:pt>
                </c:lvl>
                <c:lvl>
                  <c:pt idx="0">
                    <c:v>2013</c:v>
                  </c:pt>
                </c:lvl>
                <c:lvl>
                  <c:pt idx="0">
                    <c:v>2012</c:v>
                  </c:pt>
                </c:lvl>
                <c:lvl>
                  <c:pt idx="0">
                    <c:v>2011</c:v>
                  </c:pt>
                </c:lvl>
                <c:lvl>
                  <c:pt idx="0">
                    <c:v>2010</c:v>
                  </c:pt>
                </c:lvl>
                <c:lvl>
                  <c:pt idx="0">
                    <c:v>2009</c:v>
                  </c:pt>
                </c:lvl>
                <c:lvl>
                  <c:pt idx="0">
                    <c:v>2008</c:v>
                  </c:pt>
                </c:lvl>
              </c:multiLvlStrCache>
            </c:multiLvlStrRef>
          </c:cat>
          <c:val>
            <c:numRef>
              <c:f>STARCH!$B$55:$J$55</c:f>
              <c:numCache>
                <c:formatCode>0</c:formatCode>
                <c:ptCount val="9"/>
                <c:pt idx="0">
                  <c:v>12.378939999999998</c:v>
                </c:pt>
                <c:pt idx="1">
                  <c:v>13.16695</c:v>
                </c:pt>
                <c:pt idx="2">
                  <c:v>23.781379999999999</c:v>
                </c:pt>
                <c:pt idx="3">
                  <c:v>31.21818</c:v>
                </c:pt>
                <c:pt idx="4">
                  <c:v>34.449999999999996</c:v>
                </c:pt>
                <c:pt idx="5">
                  <c:v>20.69886</c:v>
                </c:pt>
                <c:pt idx="6">
                  <c:v>18.962500000000002</c:v>
                </c:pt>
                <c:pt idx="7">
                  <c:v>18.771999999999998</c:v>
                </c:pt>
                <c:pt idx="8">
                  <c:v>17.700400000000002</c:v>
                </c:pt>
              </c:numCache>
            </c:numRef>
          </c:val>
          <c:extLst>
            <c:ext xmlns:c16="http://schemas.microsoft.com/office/drawing/2014/chart" uri="{C3380CC4-5D6E-409C-BE32-E72D297353CC}">
              <c16:uniqueId val="{00000000-94CE-497E-BAD6-9D4413FE070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a:t>
                </a:r>
                <a:r>
                  <a:rPr lang="en-US" sz="1000" baseline="0">
                    <a:solidFill>
                      <a:sysClr val="windowText" lastClr="000000"/>
                    </a:solidFill>
                  </a:rPr>
                  <a:t> dollars</a:t>
                </a:r>
                <a:endParaRPr lang="en-US" sz="1000">
                  <a:solidFill>
                    <a:sysClr val="windowText" lastClr="000000"/>
                  </a:solidFill>
                </a:endParaRP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709973753280842E-2"/>
          <c:y val="4.5138888888888888E-2"/>
          <c:w val="0.86340113735783031"/>
          <c:h val="0.87947315179352581"/>
        </c:manualLayout>
      </c:layout>
      <c:lineChart>
        <c:grouping val="standard"/>
        <c:varyColors val="0"/>
        <c:ser>
          <c:idx val="0"/>
          <c:order val="0"/>
          <c:tx>
            <c:v>Corn</c:v>
          </c:tx>
          <c:spPr>
            <a:ln w="28575" cap="rnd">
              <a:solidFill>
                <a:srgbClr val="00441B"/>
              </a:solidFill>
              <a:round/>
            </a:ln>
            <a:effectLst/>
          </c:spPr>
          <c:marker>
            <c:symbol val="none"/>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LIPIDS!$B$11:$J$11</c:f>
              <c:numCache>
                <c:formatCode>General</c:formatCode>
                <c:ptCount val="9"/>
                <c:pt idx="0">
                  <c:v>85.98</c:v>
                </c:pt>
                <c:pt idx="1">
                  <c:v>86.38</c:v>
                </c:pt>
                <c:pt idx="2">
                  <c:v>88.19</c:v>
                </c:pt>
                <c:pt idx="3">
                  <c:v>91.93</c:v>
                </c:pt>
                <c:pt idx="4">
                  <c:v>97.29</c:v>
                </c:pt>
                <c:pt idx="5">
                  <c:v>95.36</c:v>
                </c:pt>
                <c:pt idx="6">
                  <c:v>90.59</c:v>
                </c:pt>
                <c:pt idx="7">
                  <c:v>88.02</c:v>
                </c:pt>
                <c:pt idx="8">
                  <c:v>94</c:v>
                </c:pt>
              </c:numCache>
            </c:numRef>
          </c:val>
          <c:smooth val="0"/>
          <c:extLst>
            <c:ext xmlns:c16="http://schemas.microsoft.com/office/drawing/2014/chart" uri="{C3380CC4-5D6E-409C-BE32-E72D297353CC}">
              <c16:uniqueId val="{00000000-582E-4315-8ED6-3D12A61A86A3}"/>
            </c:ext>
          </c:extLst>
        </c:ser>
        <c:ser>
          <c:idx val="1"/>
          <c:order val="1"/>
          <c:tx>
            <c:v>Soy</c:v>
          </c:tx>
          <c:spPr>
            <a:ln w="28575" cap="rnd">
              <a:solidFill>
                <a:srgbClr val="006D2C"/>
              </a:solidFill>
              <a:round/>
            </a:ln>
            <a:effectLst/>
          </c:spPr>
          <c:marker>
            <c:symbol val="square"/>
            <c:size val="5"/>
            <c:spPr>
              <a:solidFill>
                <a:srgbClr val="006D2C"/>
              </a:solidFill>
              <a:ln w="9525">
                <a:solidFill>
                  <a:srgbClr val="006D2C"/>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LIPIDS!$B$6:$J$6</c:f>
              <c:numCache>
                <c:formatCode>General</c:formatCode>
                <c:ptCount val="9"/>
                <c:pt idx="0">
                  <c:v>77.45</c:v>
                </c:pt>
                <c:pt idx="1">
                  <c:v>77.400000000000006</c:v>
                </c:pt>
                <c:pt idx="2" formatCode="0.00">
                  <c:v>75.05</c:v>
                </c:pt>
                <c:pt idx="3" formatCode="0.00">
                  <c:v>77.19</c:v>
                </c:pt>
                <c:pt idx="4" formatCode="0.00">
                  <c:v>76.84</c:v>
                </c:pt>
                <c:pt idx="5" formatCode="0.00">
                  <c:v>83.28</c:v>
                </c:pt>
                <c:pt idx="6" formatCode="0.00">
                  <c:v>83.65</c:v>
                </c:pt>
                <c:pt idx="7" formatCode="0.00">
                  <c:v>82.65</c:v>
                </c:pt>
                <c:pt idx="8">
                  <c:v>83.43</c:v>
                </c:pt>
              </c:numCache>
            </c:numRef>
          </c:val>
          <c:smooth val="0"/>
          <c:extLst>
            <c:ext xmlns:c16="http://schemas.microsoft.com/office/drawing/2014/chart" uri="{C3380CC4-5D6E-409C-BE32-E72D297353CC}">
              <c16:uniqueId val="{00000001-582E-4315-8ED6-3D12A61A86A3}"/>
            </c:ext>
          </c:extLst>
        </c:ser>
        <c:ser>
          <c:idx val="2"/>
          <c:order val="2"/>
          <c:tx>
            <c:v>Cotton</c:v>
          </c:tx>
          <c:spPr>
            <a:ln w="28575" cap="rnd">
              <a:solidFill>
                <a:srgbClr val="31A354"/>
              </a:solidFill>
              <a:round/>
            </a:ln>
            <a:effectLst/>
          </c:spPr>
          <c:marker>
            <c:symbol val="circle"/>
            <c:size val="6"/>
            <c:spPr>
              <a:solidFill>
                <a:srgbClr val="31A354"/>
              </a:solidFill>
              <a:ln w="9525">
                <a:solidFill>
                  <a:srgbClr val="31A354"/>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LIPIDS!$B$7:$J$7</c:f>
              <c:numCache>
                <c:formatCode>#,##0.00</c:formatCode>
                <c:ptCount val="9"/>
                <c:pt idx="0">
                  <c:v>9.4700000000000006</c:v>
                </c:pt>
                <c:pt idx="1">
                  <c:v>9.15</c:v>
                </c:pt>
                <c:pt idx="2">
                  <c:v>10.97</c:v>
                </c:pt>
                <c:pt idx="3">
                  <c:v>14.73</c:v>
                </c:pt>
                <c:pt idx="4">
                  <c:v>12.26</c:v>
                </c:pt>
                <c:pt idx="5">
                  <c:v>10.4</c:v>
                </c:pt>
                <c:pt idx="6">
                  <c:v>11.04</c:v>
                </c:pt>
                <c:pt idx="7">
                  <c:v>8.58</c:v>
                </c:pt>
                <c:pt idx="8" formatCode="#,##0">
                  <c:v>10.145</c:v>
                </c:pt>
              </c:numCache>
            </c:numRef>
          </c:val>
          <c:smooth val="0"/>
          <c:extLst>
            <c:ext xmlns:c16="http://schemas.microsoft.com/office/drawing/2014/chart" uri="{C3380CC4-5D6E-409C-BE32-E72D297353CC}">
              <c16:uniqueId val="{00000002-582E-4315-8ED6-3D12A61A86A3}"/>
            </c:ext>
          </c:extLst>
        </c:ser>
        <c:ser>
          <c:idx val="3"/>
          <c:order val="3"/>
          <c:tx>
            <c:v>Peanuts</c:v>
          </c:tx>
          <c:spPr>
            <a:ln w="28575" cap="rnd">
              <a:solidFill>
                <a:srgbClr val="74C476"/>
              </a:solidFill>
              <a:round/>
            </a:ln>
            <a:effectLst/>
          </c:spPr>
          <c:marker>
            <c:symbol val="x"/>
            <c:size val="8"/>
            <c:spPr>
              <a:noFill/>
              <a:ln w="22225">
                <a:solidFill>
                  <a:srgbClr val="74C476"/>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LIPIDS!$B$10:$J$10</c:f>
              <c:numCache>
                <c:formatCode>General</c:formatCode>
                <c:ptCount val="9"/>
                <c:pt idx="0">
                  <c:v>1.53</c:v>
                </c:pt>
                <c:pt idx="1">
                  <c:v>1.1200000000000001</c:v>
                </c:pt>
                <c:pt idx="2">
                  <c:v>1.29</c:v>
                </c:pt>
                <c:pt idx="3">
                  <c:v>1.1399999999999999</c:v>
                </c:pt>
                <c:pt idx="4">
                  <c:v>1.64</c:v>
                </c:pt>
                <c:pt idx="5">
                  <c:v>1.07</c:v>
                </c:pt>
                <c:pt idx="6">
                  <c:v>1.35</c:v>
                </c:pt>
                <c:pt idx="7">
                  <c:v>1.63</c:v>
                </c:pt>
                <c:pt idx="8">
                  <c:v>1.67</c:v>
                </c:pt>
              </c:numCache>
            </c:numRef>
          </c:val>
          <c:smooth val="0"/>
          <c:extLst>
            <c:ext xmlns:c16="http://schemas.microsoft.com/office/drawing/2014/chart" uri="{C3380CC4-5D6E-409C-BE32-E72D297353CC}">
              <c16:uniqueId val="{00000003-582E-4315-8ED6-3D12A61A86A3}"/>
            </c:ext>
          </c:extLst>
        </c:ser>
        <c:ser>
          <c:idx val="4"/>
          <c:order val="4"/>
          <c:tx>
            <c:v>Sunflowers</c:v>
          </c:tx>
          <c:spPr>
            <a:ln w="28575" cap="rnd">
              <a:solidFill>
                <a:srgbClr val="A1D99B"/>
              </a:solidFill>
              <a:round/>
            </a:ln>
            <a:effectLst/>
          </c:spPr>
          <c:marker>
            <c:symbol val="triangle"/>
            <c:size val="6"/>
            <c:spPr>
              <a:solidFill>
                <a:srgbClr val="A1D99B"/>
              </a:solidFill>
              <a:ln w="9525">
                <a:solidFill>
                  <a:srgbClr val="A1D99B"/>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LIPIDS!$B$8:$J$8</c:f>
              <c:numCache>
                <c:formatCode>General</c:formatCode>
                <c:ptCount val="9"/>
                <c:pt idx="0">
                  <c:v>2.52</c:v>
                </c:pt>
                <c:pt idx="1">
                  <c:v>2.0299999999999998</c:v>
                </c:pt>
                <c:pt idx="2">
                  <c:v>1.95</c:v>
                </c:pt>
                <c:pt idx="3">
                  <c:v>1.54</c:v>
                </c:pt>
                <c:pt idx="4">
                  <c:v>1.92</c:v>
                </c:pt>
                <c:pt idx="5">
                  <c:v>1.58</c:v>
                </c:pt>
                <c:pt idx="6">
                  <c:v>1.56</c:v>
                </c:pt>
                <c:pt idx="7">
                  <c:v>1.86</c:v>
                </c:pt>
                <c:pt idx="8">
                  <c:v>1.59</c:v>
                </c:pt>
              </c:numCache>
            </c:numRef>
          </c:val>
          <c:smooth val="0"/>
          <c:extLst>
            <c:ext xmlns:c16="http://schemas.microsoft.com/office/drawing/2014/chart" uri="{C3380CC4-5D6E-409C-BE32-E72D297353CC}">
              <c16:uniqueId val="{00000004-582E-4315-8ED6-3D12A61A86A3}"/>
            </c:ext>
          </c:extLst>
        </c:ser>
        <c:ser>
          <c:idx val="5"/>
          <c:order val="5"/>
          <c:tx>
            <c:v>Canola</c:v>
          </c:tx>
          <c:spPr>
            <a:ln w="28575" cap="rnd">
              <a:solidFill>
                <a:srgbClr val="C7E9C0"/>
              </a:solidFill>
              <a:round/>
            </a:ln>
            <a:effectLst/>
          </c:spPr>
          <c:marker>
            <c:symbol val="diamond"/>
            <c:size val="6"/>
            <c:spPr>
              <a:solidFill>
                <a:srgbClr val="C7E9C0"/>
              </a:solidFill>
              <a:ln w="9525">
                <a:solidFill>
                  <a:srgbClr val="C7E9C0"/>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LIPIDS!$B$9:$J$9</c:f>
              <c:numCache>
                <c:formatCode>General</c:formatCode>
                <c:ptCount val="9"/>
                <c:pt idx="0">
                  <c:v>1.01</c:v>
                </c:pt>
                <c:pt idx="1">
                  <c:v>0.82</c:v>
                </c:pt>
                <c:pt idx="2">
                  <c:v>1.45</c:v>
                </c:pt>
                <c:pt idx="3">
                  <c:v>1.06</c:v>
                </c:pt>
                <c:pt idx="4">
                  <c:v>1.75</c:v>
                </c:pt>
                <c:pt idx="5">
                  <c:v>1.35</c:v>
                </c:pt>
                <c:pt idx="6">
                  <c:v>1.72</c:v>
                </c:pt>
                <c:pt idx="7">
                  <c:v>1.78</c:v>
                </c:pt>
                <c:pt idx="8">
                  <c:v>1.71</c:v>
                </c:pt>
              </c:numCache>
            </c:numRef>
          </c:val>
          <c:smooth val="0"/>
          <c:extLst>
            <c:ext xmlns:c16="http://schemas.microsoft.com/office/drawing/2014/chart" uri="{C3380CC4-5D6E-409C-BE32-E72D297353CC}">
              <c16:uniqueId val="{00000005-582E-4315-8ED6-3D12A61A86A3}"/>
            </c:ext>
          </c:extLst>
        </c:ser>
        <c:dLbls>
          <c:showLegendKey val="0"/>
          <c:showVal val="0"/>
          <c:showCatName val="0"/>
          <c:showSerName val="0"/>
          <c:showPercent val="0"/>
          <c:showBubbleSize val="0"/>
        </c:dLbls>
        <c:smooth val="0"/>
        <c:axId val="615096144"/>
        <c:axId val="615094832"/>
      </c:line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Million of acres planted</a:t>
                </a:r>
              </a:p>
            </c:rich>
          </c:tx>
          <c:layout>
            <c:manualLayout>
              <c:xMode val="edge"/>
              <c:yMode val="edge"/>
              <c:x val="9.9206386561161118E-3"/>
              <c:y val="0.288868383639545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midCat"/>
      </c:valAx>
      <c:spPr>
        <a:noFill/>
        <a:ln>
          <a:solidFill>
            <a:schemeClr val="tx1"/>
          </a:solidFill>
        </a:ln>
        <a:effectLst/>
      </c:spPr>
    </c:plotArea>
    <c:legend>
      <c:legendPos val="t"/>
      <c:layout>
        <c:manualLayout>
          <c:xMode val="edge"/>
          <c:yMode val="edge"/>
          <c:x val="0.10855549306336708"/>
          <c:y val="5.9027777777777776E-2"/>
          <c:w val="0.78337858328221954"/>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709973753280842E-2"/>
          <c:y val="4.5138888888888888E-2"/>
          <c:w val="0.86340113735783031"/>
          <c:h val="0.87947315179352581"/>
        </c:manualLayout>
      </c:layout>
      <c:lineChart>
        <c:grouping val="standard"/>
        <c:varyColors val="0"/>
        <c:ser>
          <c:idx val="0"/>
          <c:order val="0"/>
          <c:tx>
            <c:v>Corn</c:v>
          </c:tx>
          <c:spPr>
            <a:ln w="28575" cap="rnd">
              <a:solidFill>
                <a:srgbClr val="00441B"/>
              </a:solidFill>
              <a:round/>
            </a:ln>
            <a:effectLst/>
          </c:spPr>
          <c:marker>
            <c:symbol val="none"/>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LIPIDS!$B$31:$J$31</c:f>
              <c:numCache>
                <c:formatCode>#,##0</c:formatCode>
                <c:ptCount val="9"/>
                <c:pt idx="0">
                  <c:v>49.103999999999999</c:v>
                </c:pt>
                <c:pt idx="1">
                  <c:v>46.64</c:v>
                </c:pt>
                <c:pt idx="2">
                  <c:v>64.528999999999996</c:v>
                </c:pt>
                <c:pt idx="3">
                  <c:v>76.650999999999996</c:v>
                </c:pt>
                <c:pt idx="4">
                  <c:v>74.155000000000001</c:v>
                </c:pt>
                <c:pt idx="5">
                  <c:v>61.927</c:v>
                </c:pt>
                <c:pt idx="6">
                  <c:v>52.951000000000001</c:v>
                </c:pt>
                <c:pt idx="7">
                  <c:v>49.338999999999999</c:v>
                </c:pt>
                <c:pt idx="8">
                  <c:v>51.703000000000003</c:v>
                </c:pt>
              </c:numCache>
            </c:numRef>
          </c:val>
          <c:smooth val="0"/>
          <c:extLst>
            <c:ext xmlns:c16="http://schemas.microsoft.com/office/drawing/2014/chart" uri="{C3380CC4-5D6E-409C-BE32-E72D297353CC}">
              <c16:uniqueId val="{00000000-EE53-491E-8DF5-1395B0C7BA2A}"/>
            </c:ext>
          </c:extLst>
        </c:ser>
        <c:ser>
          <c:idx val="1"/>
          <c:order val="1"/>
          <c:tx>
            <c:v>Soy</c:v>
          </c:tx>
          <c:spPr>
            <a:ln w="28575" cap="rnd">
              <a:solidFill>
                <a:srgbClr val="006D2C"/>
              </a:solidFill>
              <a:round/>
            </a:ln>
            <a:effectLst/>
          </c:spPr>
          <c:marker>
            <c:symbol val="square"/>
            <c:size val="5"/>
            <c:spPr>
              <a:solidFill>
                <a:srgbClr val="006D2C"/>
              </a:solidFill>
              <a:ln w="9525">
                <a:solidFill>
                  <a:srgbClr val="006D2C"/>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LIPIDS!$B$32:$J$32</c:f>
              <c:numCache>
                <c:formatCode>#,##0</c:formatCode>
                <c:ptCount val="9"/>
                <c:pt idx="0">
                  <c:v>29.457999999999998</c:v>
                </c:pt>
                <c:pt idx="1">
                  <c:v>32.162999999999997</c:v>
                </c:pt>
                <c:pt idx="2">
                  <c:v>37.570999999999998</c:v>
                </c:pt>
                <c:pt idx="3">
                  <c:v>38.542000000000002</c:v>
                </c:pt>
                <c:pt idx="4">
                  <c:v>43.722999999999999</c:v>
                </c:pt>
                <c:pt idx="5">
                  <c:v>43.582000000000001</c:v>
                </c:pt>
                <c:pt idx="6">
                  <c:v>39.473999999999997</c:v>
                </c:pt>
                <c:pt idx="7">
                  <c:v>35.192</c:v>
                </c:pt>
                <c:pt idx="8">
                  <c:v>40.942999999999998</c:v>
                </c:pt>
              </c:numCache>
            </c:numRef>
          </c:val>
          <c:smooth val="0"/>
          <c:extLst>
            <c:ext xmlns:c16="http://schemas.microsoft.com/office/drawing/2014/chart" uri="{C3380CC4-5D6E-409C-BE32-E72D297353CC}">
              <c16:uniqueId val="{00000001-EE53-491E-8DF5-1395B0C7BA2A}"/>
            </c:ext>
          </c:extLst>
        </c:ser>
        <c:ser>
          <c:idx val="2"/>
          <c:order val="2"/>
          <c:tx>
            <c:v>Cotton</c:v>
          </c:tx>
          <c:spPr>
            <a:ln w="28575" cap="rnd">
              <a:solidFill>
                <a:srgbClr val="31A354"/>
              </a:solidFill>
              <a:round/>
            </a:ln>
            <a:effectLst/>
          </c:spPr>
          <c:marker>
            <c:symbol val="circle"/>
            <c:size val="6"/>
            <c:spPr>
              <a:solidFill>
                <a:srgbClr val="31A354"/>
              </a:solidFill>
              <a:ln w="9525">
                <a:solidFill>
                  <a:srgbClr val="31A354"/>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LIPIDS!$B$33:$J$33</c:f>
              <c:numCache>
                <c:formatCode>#,##0</c:formatCode>
                <c:ptCount val="9"/>
                <c:pt idx="0">
                  <c:v>3.0230000000000001</c:v>
                </c:pt>
                <c:pt idx="1">
                  <c:v>3.786</c:v>
                </c:pt>
                <c:pt idx="2">
                  <c:v>7.3460000000000001</c:v>
                </c:pt>
                <c:pt idx="3">
                  <c:v>6.9850000000000003</c:v>
                </c:pt>
                <c:pt idx="4">
                  <c:v>6.2910000000000004</c:v>
                </c:pt>
                <c:pt idx="5">
                  <c:v>5.1909999999999998</c:v>
                </c:pt>
                <c:pt idx="6">
                  <c:v>5.1470000000000002</c:v>
                </c:pt>
                <c:pt idx="7">
                  <c:v>3.988</c:v>
                </c:pt>
                <c:pt idx="8">
                  <c:v>5.6719999999999997</c:v>
                </c:pt>
              </c:numCache>
            </c:numRef>
          </c:val>
          <c:smooth val="0"/>
          <c:extLst>
            <c:ext xmlns:c16="http://schemas.microsoft.com/office/drawing/2014/chart" uri="{C3380CC4-5D6E-409C-BE32-E72D297353CC}">
              <c16:uniqueId val="{00000002-EE53-491E-8DF5-1395B0C7BA2A}"/>
            </c:ext>
          </c:extLst>
        </c:ser>
        <c:ser>
          <c:idx val="3"/>
          <c:order val="3"/>
          <c:tx>
            <c:v>Peanuts</c:v>
          </c:tx>
          <c:spPr>
            <a:ln w="28575" cap="rnd">
              <a:solidFill>
                <a:srgbClr val="74C476"/>
              </a:solidFill>
              <a:round/>
            </a:ln>
            <a:effectLst/>
          </c:spPr>
          <c:marker>
            <c:symbol val="x"/>
            <c:size val="8"/>
            <c:spPr>
              <a:noFill/>
              <a:ln w="22225">
                <a:solidFill>
                  <a:srgbClr val="74C476"/>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LIPIDS!$B$36:$J$36</c:f>
              <c:numCache>
                <c:formatCode>General</c:formatCode>
                <c:ptCount val="9"/>
                <c:pt idx="0" formatCode="#,##0">
                  <c:v>1.1930000000000001</c:v>
                </c:pt>
                <c:pt idx="1">
                  <c:v>0.79300000000000004</c:v>
                </c:pt>
                <c:pt idx="2">
                  <c:v>0.93799999999999994</c:v>
                </c:pt>
                <c:pt idx="3" formatCode="#,##0">
                  <c:v>1.1679999999999999</c:v>
                </c:pt>
                <c:pt idx="4" formatCode="#,##0">
                  <c:v>2.0259999999999998</c:v>
                </c:pt>
                <c:pt idx="5" formatCode="#,##0">
                  <c:v>1.0549999999999999</c:v>
                </c:pt>
                <c:pt idx="6" formatCode="#,##0">
                  <c:v>1.1579999999999999</c:v>
                </c:pt>
                <c:pt idx="7" formatCode="#,##0">
                  <c:v>1.1599999999999999</c:v>
                </c:pt>
                <c:pt idx="8" formatCode="#,##0">
                  <c:v>1.077</c:v>
                </c:pt>
              </c:numCache>
            </c:numRef>
          </c:val>
          <c:smooth val="0"/>
          <c:extLst>
            <c:ext xmlns:c16="http://schemas.microsoft.com/office/drawing/2014/chart" uri="{C3380CC4-5D6E-409C-BE32-E72D297353CC}">
              <c16:uniqueId val="{00000003-EE53-491E-8DF5-1395B0C7BA2A}"/>
            </c:ext>
          </c:extLst>
        </c:ser>
        <c:ser>
          <c:idx val="4"/>
          <c:order val="4"/>
          <c:tx>
            <c:v>Sunflowers</c:v>
          </c:tx>
          <c:spPr>
            <a:ln w="28575" cap="rnd">
              <a:solidFill>
                <a:srgbClr val="A1D99B"/>
              </a:solidFill>
              <a:round/>
            </a:ln>
            <a:effectLst/>
          </c:spPr>
          <c:marker>
            <c:symbol val="triangle"/>
            <c:size val="6"/>
            <c:spPr>
              <a:solidFill>
                <a:srgbClr val="A1D99B"/>
              </a:solidFill>
              <a:ln w="9525">
                <a:solidFill>
                  <a:srgbClr val="A1D99B"/>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LIPIDS!$B$34:$J$34</c:f>
              <c:numCache>
                <c:formatCode>General</c:formatCode>
                <c:ptCount val="9"/>
                <c:pt idx="0">
                  <c:v>0.70399999999999996</c:v>
                </c:pt>
                <c:pt idx="1">
                  <c:v>0.45800000000000002</c:v>
                </c:pt>
                <c:pt idx="2">
                  <c:v>0.63300000000000001</c:v>
                </c:pt>
                <c:pt idx="3">
                  <c:v>0.58899999999999997</c:v>
                </c:pt>
                <c:pt idx="4">
                  <c:v>0.69899999999999995</c:v>
                </c:pt>
                <c:pt idx="5">
                  <c:v>0.443</c:v>
                </c:pt>
                <c:pt idx="6">
                  <c:v>0.497</c:v>
                </c:pt>
                <c:pt idx="7">
                  <c:v>0.57399999999999995</c:v>
                </c:pt>
                <c:pt idx="8">
                  <c:v>0.47</c:v>
                </c:pt>
              </c:numCache>
            </c:numRef>
          </c:val>
          <c:smooth val="0"/>
          <c:extLst>
            <c:ext xmlns:c16="http://schemas.microsoft.com/office/drawing/2014/chart" uri="{C3380CC4-5D6E-409C-BE32-E72D297353CC}">
              <c16:uniqueId val="{00000004-EE53-491E-8DF5-1395B0C7BA2A}"/>
            </c:ext>
          </c:extLst>
        </c:ser>
        <c:ser>
          <c:idx val="5"/>
          <c:order val="5"/>
          <c:tx>
            <c:v>Canola</c:v>
          </c:tx>
          <c:spPr>
            <a:ln w="28575" cap="rnd">
              <a:solidFill>
                <a:srgbClr val="C7E9C0"/>
              </a:solidFill>
              <a:round/>
            </a:ln>
            <a:effectLst/>
          </c:spPr>
          <c:marker>
            <c:symbol val="diamond"/>
            <c:size val="6"/>
            <c:spPr>
              <a:solidFill>
                <a:srgbClr val="C7E9C0"/>
              </a:solidFill>
              <a:ln w="9525">
                <a:solidFill>
                  <a:srgbClr val="C7E9C0"/>
                </a:solidFill>
              </a:ln>
              <a:effectLst/>
            </c:spPr>
          </c:marker>
          <c:cat>
            <c:numRef>
              <c:f>LIPIDS!$B$38:$J$38</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LIPIDS!$B$35:$J$35</c:f>
              <c:numCache>
                <c:formatCode>General</c:formatCode>
                <c:ptCount val="9"/>
                <c:pt idx="0">
                  <c:v>0.27</c:v>
                </c:pt>
                <c:pt idx="1">
                  <c:v>0.23699999999999999</c:v>
                </c:pt>
                <c:pt idx="2">
                  <c:v>0.47099999999999997</c:v>
                </c:pt>
                <c:pt idx="3">
                  <c:v>0.36399999999999999</c:v>
                </c:pt>
                <c:pt idx="4">
                  <c:v>0.63</c:v>
                </c:pt>
                <c:pt idx="5">
                  <c:v>0.45600000000000002</c:v>
                </c:pt>
                <c:pt idx="6">
                  <c:v>0.42299999999999999</c:v>
                </c:pt>
                <c:pt idx="7">
                  <c:v>0.44800000000000001</c:v>
                </c:pt>
                <c:pt idx="8">
                  <c:v>0.49299999999999999</c:v>
                </c:pt>
              </c:numCache>
            </c:numRef>
          </c:val>
          <c:smooth val="0"/>
          <c:extLst>
            <c:ext xmlns:c16="http://schemas.microsoft.com/office/drawing/2014/chart" uri="{C3380CC4-5D6E-409C-BE32-E72D297353CC}">
              <c16:uniqueId val="{00000005-EE53-491E-8DF5-1395B0C7BA2A}"/>
            </c:ext>
          </c:extLst>
        </c:ser>
        <c:dLbls>
          <c:showLegendKey val="0"/>
          <c:showVal val="0"/>
          <c:showCatName val="0"/>
          <c:showSerName val="0"/>
          <c:showPercent val="0"/>
          <c:showBubbleSize val="0"/>
        </c:dLbls>
        <c:smooth val="0"/>
        <c:axId val="615096144"/>
        <c:axId val="615094832"/>
      </c:line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Billion dollars</a:t>
                </a:r>
              </a:p>
            </c:rich>
          </c:tx>
          <c:layout>
            <c:manualLayout>
              <c:xMode val="edge"/>
              <c:yMode val="edge"/>
              <c:x val="9.9206349206349201E-3"/>
              <c:y val="0.365257272528433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midCat"/>
      </c:valAx>
      <c:spPr>
        <a:noFill/>
        <a:ln>
          <a:solidFill>
            <a:schemeClr val="tx1"/>
          </a:solidFill>
        </a:ln>
        <a:effectLst/>
      </c:spPr>
    </c:plotArea>
    <c:legend>
      <c:legendPos val="t"/>
      <c:layout>
        <c:manualLayout>
          <c:xMode val="edge"/>
          <c:yMode val="edge"/>
          <c:x val="0.10855549306336708"/>
          <c:y val="5.9027777777777776E-2"/>
          <c:w val="0.78948644186182237"/>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258343373805934E-2"/>
          <c:y val="3.8194444444444448E-2"/>
          <c:w val="0.87762277596601168"/>
          <c:h val="0.87947315179352581"/>
        </c:manualLayout>
      </c:layout>
      <c:lineChart>
        <c:grouping val="standard"/>
        <c:varyColors val="0"/>
        <c:ser>
          <c:idx val="5"/>
          <c:order val="0"/>
          <c:tx>
            <c:v>Corn oil</c:v>
          </c:tx>
          <c:spPr>
            <a:ln w="28575" cap="rnd">
              <a:solidFill>
                <a:srgbClr val="00441B"/>
              </a:solidFill>
              <a:round/>
            </a:ln>
            <a:effectLst/>
          </c:spPr>
          <c:marker>
            <c:symbol val="none"/>
          </c:marker>
          <c:cat>
            <c:numRef>
              <c:f>LIPIDS!$B$65:$H$65</c:f>
              <c:numCache>
                <c:formatCode>General</c:formatCode>
                <c:ptCount val="7"/>
                <c:pt idx="0">
                  <c:v>2008</c:v>
                </c:pt>
                <c:pt idx="1">
                  <c:v>2009</c:v>
                </c:pt>
                <c:pt idx="2">
                  <c:v>2010</c:v>
                </c:pt>
                <c:pt idx="3">
                  <c:v>2011</c:v>
                </c:pt>
                <c:pt idx="4">
                  <c:v>2012</c:v>
                </c:pt>
                <c:pt idx="5">
                  <c:v>2013</c:v>
                </c:pt>
                <c:pt idx="6">
                  <c:v>2014</c:v>
                </c:pt>
              </c:numCache>
            </c:numRef>
          </c:cat>
          <c:val>
            <c:numRef>
              <c:f>LIPIDS!$B$73:$H$73</c:f>
              <c:numCache>
                <c:formatCode>General</c:formatCode>
                <c:ptCount val="7"/>
                <c:pt idx="0">
                  <c:v>69.400000000000006</c:v>
                </c:pt>
                <c:pt idx="1">
                  <c:v>32.75</c:v>
                </c:pt>
                <c:pt idx="2">
                  <c:v>39.29</c:v>
                </c:pt>
                <c:pt idx="3">
                  <c:v>60.76</c:v>
                </c:pt>
                <c:pt idx="4">
                  <c:v>56.09</c:v>
                </c:pt>
                <c:pt idx="5">
                  <c:v>46.66</c:v>
                </c:pt>
                <c:pt idx="6">
                  <c:v>34.75</c:v>
                </c:pt>
              </c:numCache>
            </c:numRef>
          </c:val>
          <c:smooth val="0"/>
          <c:extLst>
            <c:ext xmlns:c16="http://schemas.microsoft.com/office/drawing/2014/chart" uri="{C3380CC4-5D6E-409C-BE32-E72D297353CC}">
              <c16:uniqueId val="{00000005-611C-4DC3-A4DD-E53B9ED301D4}"/>
            </c:ext>
          </c:extLst>
        </c:ser>
        <c:ser>
          <c:idx val="0"/>
          <c:order val="1"/>
          <c:tx>
            <c:v>Soybean oil</c:v>
          </c:tx>
          <c:spPr>
            <a:ln w="28575" cap="rnd">
              <a:solidFill>
                <a:srgbClr val="006D2C"/>
              </a:solidFill>
              <a:round/>
            </a:ln>
            <a:effectLst/>
          </c:spPr>
          <c:marker>
            <c:symbol val="square"/>
            <c:size val="5"/>
            <c:spPr>
              <a:solidFill>
                <a:srgbClr val="006D2C"/>
              </a:solidFill>
              <a:ln w="9525">
                <a:solidFill>
                  <a:srgbClr val="006D2C"/>
                </a:solidFill>
              </a:ln>
              <a:effectLst/>
            </c:spPr>
          </c:marker>
          <c:cat>
            <c:numRef>
              <c:f>LIPIDS!$B$65:$H$65</c:f>
              <c:numCache>
                <c:formatCode>General</c:formatCode>
                <c:ptCount val="7"/>
                <c:pt idx="0">
                  <c:v>2008</c:v>
                </c:pt>
                <c:pt idx="1">
                  <c:v>2009</c:v>
                </c:pt>
                <c:pt idx="2">
                  <c:v>2010</c:v>
                </c:pt>
                <c:pt idx="3">
                  <c:v>2011</c:v>
                </c:pt>
                <c:pt idx="4">
                  <c:v>2012</c:v>
                </c:pt>
                <c:pt idx="5">
                  <c:v>2013</c:v>
                </c:pt>
                <c:pt idx="6">
                  <c:v>2014</c:v>
                </c:pt>
              </c:numCache>
            </c:numRef>
          </c:cat>
          <c:val>
            <c:numRef>
              <c:f>LIPIDS!$B$68:$H$68</c:f>
              <c:numCache>
                <c:formatCode>General</c:formatCode>
                <c:ptCount val="7"/>
                <c:pt idx="0">
                  <c:v>52.03</c:v>
                </c:pt>
                <c:pt idx="1">
                  <c:v>32.159999999999997</c:v>
                </c:pt>
                <c:pt idx="2">
                  <c:v>35.950000000000003</c:v>
                </c:pt>
                <c:pt idx="3">
                  <c:v>53.2</c:v>
                </c:pt>
                <c:pt idx="4">
                  <c:v>51.9</c:v>
                </c:pt>
                <c:pt idx="5">
                  <c:v>41.13</c:v>
                </c:pt>
                <c:pt idx="6">
                  <c:v>35.5</c:v>
                </c:pt>
              </c:numCache>
            </c:numRef>
          </c:val>
          <c:smooth val="0"/>
          <c:extLst>
            <c:ext xmlns:c16="http://schemas.microsoft.com/office/drawing/2014/chart" uri="{C3380CC4-5D6E-409C-BE32-E72D297353CC}">
              <c16:uniqueId val="{00000000-611C-4DC3-A4DD-E53B9ED301D4}"/>
            </c:ext>
          </c:extLst>
        </c:ser>
        <c:ser>
          <c:idx val="1"/>
          <c:order val="2"/>
          <c:tx>
            <c:v>Cottonseed oil</c:v>
          </c:tx>
          <c:spPr>
            <a:ln w="28575" cap="rnd">
              <a:solidFill>
                <a:srgbClr val="288444"/>
              </a:solidFill>
              <a:round/>
            </a:ln>
            <a:effectLst/>
          </c:spPr>
          <c:marker>
            <c:symbol val="circle"/>
            <c:size val="6"/>
            <c:spPr>
              <a:solidFill>
                <a:srgbClr val="288444"/>
              </a:solidFill>
              <a:ln w="9525">
                <a:solidFill>
                  <a:srgbClr val="288444"/>
                </a:solidFill>
              </a:ln>
              <a:effectLst/>
            </c:spPr>
          </c:marker>
          <c:cat>
            <c:numRef>
              <c:f>LIPIDS!$B$65:$H$65</c:f>
              <c:numCache>
                <c:formatCode>General</c:formatCode>
                <c:ptCount val="7"/>
                <c:pt idx="0">
                  <c:v>2008</c:v>
                </c:pt>
                <c:pt idx="1">
                  <c:v>2009</c:v>
                </c:pt>
                <c:pt idx="2">
                  <c:v>2010</c:v>
                </c:pt>
                <c:pt idx="3">
                  <c:v>2011</c:v>
                </c:pt>
                <c:pt idx="4">
                  <c:v>2012</c:v>
                </c:pt>
                <c:pt idx="5">
                  <c:v>2013</c:v>
                </c:pt>
                <c:pt idx="6">
                  <c:v>2014</c:v>
                </c:pt>
              </c:numCache>
            </c:numRef>
          </c:cat>
          <c:val>
            <c:numRef>
              <c:f>LIPIDS!$B$69:$H$69</c:f>
              <c:numCache>
                <c:formatCode>General</c:formatCode>
                <c:ptCount val="7"/>
                <c:pt idx="0">
                  <c:v>73.56</c:v>
                </c:pt>
                <c:pt idx="1">
                  <c:v>37.1</c:v>
                </c:pt>
                <c:pt idx="2">
                  <c:v>40.270000000000003</c:v>
                </c:pt>
                <c:pt idx="3">
                  <c:v>54.5</c:v>
                </c:pt>
                <c:pt idx="4">
                  <c:v>53.22</c:v>
                </c:pt>
                <c:pt idx="5">
                  <c:v>48.6</c:v>
                </c:pt>
                <c:pt idx="6">
                  <c:v>38.5</c:v>
                </c:pt>
              </c:numCache>
            </c:numRef>
          </c:val>
          <c:smooth val="0"/>
          <c:extLst>
            <c:ext xmlns:c16="http://schemas.microsoft.com/office/drawing/2014/chart" uri="{C3380CC4-5D6E-409C-BE32-E72D297353CC}">
              <c16:uniqueId val="{00000001-611C-4DC3-A4DD-E53B9ED301D4}"/>
            </c:ext>
          </c:extLst>
        </c:ser>
        <c:ser>
          <c:idx val="4"/>
          <c:order val="3"/>
          <c:tx>
            <c:v>Peanut oil</c:v>
          </c:tx>
          <c:spPr>
            <a:ln w="28575" cap="rnd">
              <a:solidFill>
                <a:srgbClr val="4BAF4D"/>
              </a:solidFill>
              <a:round/>
            </a:ln>
            <a:effectLst/>
          </c:spPr>
          <c:marker>
            <c:symbol val="x"/>
            <c:size val="8"/>
            <c:spPr>
              <a:noFill/>
              <a:ln w="22225">
                <a:solidFill>
                  <a:srgbClr val="4BAF4D"/>
                </a:solidFill>
              </a:ln>
              <a:effectLst/>
            </c:spPr>
          </c:marker>
          <c:cat>
            <c:numRef>
              <c:f>LIPIDS!$B$65:$H$65</c:f>
              <c:numCache>
                <c:formatCode>General</c:formatCode>
                <c:ptCount val="7"/>
                <c:pt idx="0">
                  <c:v>2008</c:v>
                </c:pt>
                <c:pt idx="1">
                  <c:v>2009</c:v>
                </c:pt>
                <c:pt idx="2">
                  <c:v>2010</c:v>
                </c:pt>
                <c:pt idx="3">
                  <c:v>2011</c:v>
                </c:pt>
                <c:pt idx="4">
                  <c:v>2012</c:v>
                </c:pt>
                <c:pt idx="5">
                  <c:v>2013</c:v>
                </c:pt>
                <c:pt idx="6">
                  <c:v>2014</c:v>
                </c:pt>
              </c:numCache>
            </c:numRef>
          </c:cat>
          <c:val>
            <c:numRef>
              <c:f>LIPIDS!$B$72:$H$72</c:f>
              <c:numCache>
                <c:formatCode>General</c:formatCode>
                <c:ptCount val="7"/>
                <c:pt idx="0">
                  <c:v>94.53</c:v>
                </c:pt>
                <c:pt idx="1">
                  <c:v>78.489999999999995</c:v>
                </c:pt>
                <c:pt idx="2">
                  <c:v>59.62</c:v>
                </c:pt>
                <c:pt idx="3">
                  <c:v>77.239999999999995</c:v>
                </c:pt>
                <c:pt idx="4">
                  <c:v>100.15</c:v>
                </c:pt>
                <c:pt idx="5">
                  <c:v>91.83</c:v>
                </c:pt>
                <c:pt idx="6">
                  <c:v>73</c:v>
                </c:pt>
              </c:numCache>
            </c:numRef>
          </c:val>
          <c:smooth val="0"/>
          <c:extLst>
            <c:ext xmlns:c16="http://schemas.microsoft.com/office/drawing/2014/chart" uri="{C3380CC4-5D6E-409C-BE32-E72D297353CC}">
              <c16:uniqueId val="{00000004-611C-4DC3-A4DD-E53B9ED301D4}"/>
            </c:ext>
          </c:extLst>
        </c:ser>
        <c:ser>
          <c:idx val="2"/>
          <c:order val="4"/>
          <c:tx>
            <c:v>Sunflower oil</c:v>
          </c:tx>
          <c:spPr>
            <a:ln w="28575" cap="rnd">
              <a:solidFill>
                <a:srgbClr val="74C476"/>
              </a:solidFill>
              <a:round/>
            </a:ln>
            <a:effectLst/>
          </c:spPr>
          <c:marker>
            <c:symbol val="triangle"/>
            <c:size val="6"/>
            <c:spPr>
              <a:solidFill>
                <a:srgbClr val="74C476"/>
              </a:solidFill>
              <a:ln w="9525">
                <a:solidFill>
                  <a:srgbClr val="74C476"/>
                </a:solidFill>
              </a:ln>
              <a:effectLst/>
            </c:spPr>
          </c:marker>
          <c:cat>
            <c:numRef>
              <c:f>LIPIDS!$B$65:$H$65</c:f>
              <c:numCache>
                <c:formatCode>General</c:formatCode>
                <c:ptCount val="7"/>
                <c:pt idx="0">
                  <c:v>2008</c:v>
                </c:pt>
                <c:pt idx="1">
                  <c:v>2009</c:v>
                </c:pt>
                <c:pt idx="2">
                  <c:v>2010</c:v>
                </c:pt>
                <c:pt idx="3">
                  <c:v>2011</c:v>
                </c:pt>
                <c:pt idx="4">
                  <c:v>2012</c:v>
                </c:pt>
                <c:pt idx="5">
                  <c:v>2013</c:v>
                </c:pt>
                <c:pt idx="6">
                  <c:v>2014</c:v>
                </c:pt>
              </c:numCache>
            </c:numRef>
          </c:cat>
          <c:val>
            <c:numRef>
              <c:f>LIPIDS!$B$70:$H$70</c:f>
              <c:numCache>
                <c:formatCode>General</c:formatCode>
                <c:ptCount val="7"/>
                <c:pt idx="0">
                  <c:v>91.15</c:v>
                </c:pt>
                <c:pt idx="1">
                  <c:v>50.24</c:v>
                </c:pt>
                <c:pt idx="2">
                  <c:v>52.8</c:v>
                </c:pt>
                <c:pt idx="3">
                  <c:v>86.12</c:v>
                </c:pt>
                <c:pt idx="4">
                  <c:v>83.2</c:v>
                </c:pt>
                <c:pt idx="5">
                  <c:v>65.87</c:v>
                </c:pt>
                <c:pt idx="6">
                  <c:v>54.5</c:v>
                </c:pt>
              </c:numCache>
            </c:numRef>
          </c:val>
          <c:smooth val="0"/>
          <c:extLst>
            <c:ext xmlns:c16="http://schemas.microsoft.com/office/drawing/2014/chart" uri="{C3380CC4-5D6E-409C-BE32-E72D297353CC}">
              <c16:uniqueId val="{00000002-611C-4DC3-A4DD-E53B9ED301D4}"/>
            </c:ext>
          </c:extLst>
        </c:ser>
        <c:ser>
          <c:idx val="3"/>
          <c:order val="5"/>
          <c:tx>
            <c:v>Canola oil</c:v>
          </c:tx>
          <c:spPr>
            <a:ln w="28575" cap="rnd">
              <a:solidFill>
                <a:srgbClr val="A1D99B"/>
              </a:solidFill>
              <a:round/>
            </a:ln>
            <a:effectLst/>
          </c:spPr>
          <c:marker>
            <c:symbol val="diamond"/>
            <c:size val="6"/>
            <c:spPr>
              <a:solidFill>
                <a:srgbClr val="A1D99B"/>
              </a:solidFill>
              <a:ln w="9525">
                <a:solidFill>
                  <a:srgbClr val="A1D99B"/>
                </a:solidFill>
              </a:ln>
              <a:effectLst/>
            </c:spPr>
          </c:marker>
          <c:cat>
            <c:numRef>
              <c:f>LIPIDS!$B$65:$H$65</c:f>
              <c:numCache>
                <c:formatCode>General</c:formatCode>
                <c:ptCount val="7"/>
                <c:pt idx="0">
                  <c:v>2008</c:v>
                </c:pt>
                <c:pt idx="1">
                  <c:v>2009</c:v>
                </c:pt>
                <c:pt idx="2">
                  <c:v>2010</c:v>
                </c:pt>
                <c:pt idx="3">
                  <c:v>2011</c:v>
                </c:pt>
                <c:pt idx="4">
                  <c:v>2012</c:v>
                </c:pt>
                <c:pt idx="5">
                  <c:v>2013</c:v>
                </c:pt>
                <c:pt idx="6">
                  <c:v>2014</c:v>
                </c:pt>
              </c:numCache>
            </c:numRef>
          </c:cat>
          <c:val>
            <c:numRef>
              <c:f>LIPIDS!$B$71:$H$71</c:f>
              <c:numCache>
                <c:formatCode>General</c:formatCode>
                <c:ptCount val="7"/>
                <c:pt idx="0">
                  <c:v>65.64</c:v>
                </c:pt>
                <c:pt idx="1">
                  <c:v>39.54</c:v>
                </c:pt>
                <c:pt idx="2">
                  <c:v>42.88</c:v>
                </c:pt>
                <c:pt idx="3">
                  <c:v>58.68</c:v>
                </c:pt>
                <c:pt idx="4">
                  <c:v>57.19</c:v>
                </c:pt>
                <c:pt idx="5">
                  <c:v>56.17</c:v>
                </c:pt>
                <c:pt idx="6">
                  <c:v>40.5</c:v>
                </c:pt>
              </c:numCache>
            </c:numRef>
          </c:val>
          <c:smooth val="0"/>
          <c:extLst>
            <c:ext xmlns:c16="http://schemas.microsoft.com/office/drawing/2014/chart" uri="{C3380CC4-5D6E-409C-BE32-E72D297353CC}">
              <c16:uniqueId val="{00000003-611C-4DC3-A4DD-E53B9ED301D4}"/>
            </c:ext>
          </c:extLst>
        </c:ser>
        <c:ser>
          <c:idx val="6"/>
          <c:order val="6"/>
          <c:tx>
            <c:v>Land</c:v>
          </c:tx>
          <c:spPr>
            <a:ln w="28575" cap="rnd">
              <a:solidFill>
                <a:srgbClr val="C7E9C0"/>
              </a:solidFill>
              <a:round/>
            </a:ln>
            <a:effectLst/>
          </c:spPr>
          <c:marker>
            <c:symbol val="star"/>
            <c:size val="8"/>
            <c:spPr>
              <a:noFill/>
              <a:ln w="22225">
                <a:solidFill>
                  <a:srgbClr val="C7E9C0"/>
                </a:solidFill>
              </a:ln>
              <a:effectLst/>
            </c:spPr>
          </c:marker>
          <c:cat>
            <c:numRef>
              <c:f>LIPIDS!$B$65:$H$65</c:f>
              <c:numCache>
                <c:formatCode>General</c:formatCode>
                <c:ptCount val="7"/>
                <c:pt idx="0">
                  <c:v>2008</c:v>
                </c:pt>
                <c:pt idx="1">
                  <c:v>2009</c:v>
                </c:pt>
                <c:pt idx="2">
                  <c:v>2010</c:v>
                </c:pt>
                <c:pt idx="3">
                  <c:v>2011</c:v>
                </c:pt>
                <c:pt idx="4">
                  <c:v>2012</c:v>
                </c:pt>
                <c:pt idx="5">
                  <c:v>2013</c:v>
                </c:pt>
                <c:pt idx="6">
                  <c:v>2014</c:v>
                </c:pt>
              </c:numCache>
            </c:numRef>
          </c:cat>
          <c:val>
            <c:numRef>
              <c:f>LIPIDS!$B$74:$H$74</c:f>
              <c:numCache>
                <c:formatCode>General</c:formatCode>
                <c:ptCount val="7"/>
                <c:pt idx="0">
                  <c:v>40.85</c:v>
                </c:pt>
                <c:pt idx="1">
                  <c:v>26.72</c:v>
                </c:pt>
                <c:pt idx="2">
                  <c:v>31.99</c:v>
                </c:pt>
                <c:pt idx="3">
                  <c:v>51.52</c:v>
                </c:pt>
                <c:pt idx="4">
                  <c:v>48.11</c:v>
                </c:pt>
                <c:pt idx="5">
                  <c:v>39.64</c:v>
                </c:pt>
                <c:pt idx="6">
                  <c:v>43.24</c:v>
                </c:pt>
              </c:numCache>
            </c:numRef>
          </c:val>
          <c:smooth val="0"/>
          <c:extLst>
            <c:ext xmlns:c16="http://schemas.microsoft.com/office/drawing/2014/chart" uri="{C3380CC4-5D6E-409C-BE32-E72D297353CC}">
              <c16:uniqueId val="{00000006-611C-4DC3-A4DD-E53B9ED301D4}"/>
            </c:ext>
          </c:extLst>
        </c:ser>
        <c:ser>
          <c:idx val="7"/>
          <c:order val="7"/>
          <c:tx>
            <c:v>Edible tallow</c:v>
          </c:tx>
          <c:spPr>
            <a:ln w="28575" cap="rnd">
              <a:solidFill>
                <a:srgbClr val="E2F793"/>
              </a:solidFill>
              <a:round/>
            </a:ln>
            <a:effectLst/>
          </c:spPr>
          <c:marker>
            <c:symbol val="plus"/>
            <c:size val="8"/>
            <c:spPr>
              <a:noFill/>
              <a:ln w="22225">
                <a:solidFill>
                  <a:srgbClr val="E2F793"/>
                </a:solidFill>
              </a:ln>
              <a:effectLst/>
            </c:spPr>
          </c:marker>
          <c:cat>
            <c:numRef>
              <c:f>LIPIDS!$B$65:$H$65</c:f>
              <c:numCache>
                <c:formatCode>General</c:formatCode>
                <c:ptCount val="7"/>
                <c:pt idx="0">
                  <c:v>2008</c:v>
                </c:pt>
                <c:pt idx="1">
                  <c:v>2009</c:v>
                </c:pt>
                <c:pt idx="2">
                  <c:v>2010</c:v>
                </c:pt>
                <c:pt idx="3">
                  <c:v>2011</c:v>
                </c:pt>
                <c:pt idx="4">
                  <c:v>2012</c:v>
                </c:pt>
                <c:pt idx="5">
                  <c:v>2013</c:v>
                </c:pt>
                <c:pt idx="6">
                  <c:v>2014</c:v>
                </c:pt>
              </c:numCache>
            </c:numRef>
          </c:cat>
          <c:val>
            <c:numRef>
              <c:f>LIPIDS!$B$75:$H$75</c:f>
              <c:numCache>
                <c:formatCode>General</c:formatCode>
                <c:ptCount val="7"/>
                <c:pt idx="0">
                  <c:v>41.68</c:v>
                </c:pt>
                <c:pt idx="1">
                  <c:v>25.47</c:v>
                </c:pt>
                <c:pt idx="2">
                  <c:v>32.26</c:v>
                </c:pt>
                <c:pt idx="3">
                  <c:v>51.34</c:v>
                </c:pt>
                <c:pt idx="4">
                  <c:v>50.33</c:v>
                </c:pt>
                <c:pt idx="5">
                  <c:v>43.24</c:v>
                </c:pt>
                <c:pt idx="6">
                  <c:v>34</c:v>
                </c:pt>
              </c:numCache>
            </c:numRef>
          </c:val>
          <c:smooth val="0"/>
          <c:extLst>
            <c:ext xmlns:c16="http://schemas.microsoft.com/office/drawing/2014/chart" uri="{C3380CC4-5D6E-409C-BE32-E72D297353CC}">
              <c16:uniqueId val="{00000007-611C-4DC3-A4DD-E53B9ED301D4}"/>
            </c:ext>
          </c:extLst>
        </c:ser>
        <c:dLbls>
          <c:showLegendKey val="0"/>
          <c:showVal val="0"/>
          <c:showCatName val="0"/>
          <c:showSerName val="0"/>
          <c:showPercent val="0"/>
          <c:showBubbleSize val="0"/>
        </c:dLbls>
        <c:smooth val="0"/>
        <c:axId val="391735944"/>
        <c:axId val="391733976"/>
      </c:lineChart>
      <c:catAx>
        <c:axId val="3917359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1733976"/>
        <c:crosses val="autoZero"/>
        <c:auto val="1"/>
        <c:lblAlgn val="ctr"/>
        <c:lblOffset val="100"/>
        <c:noMultiLvlLbl val="0"/>
      </c:catAx>
      <c:valAx>
        <c:axId val="391733976"/>
        <c:scaling>
          <c:orientation val="minMax"/>
          <c:max val="120"/>
          <c:min val="20"/>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t>Cents per pound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1735944"/>
        <c:crosses val="autoZero"/>
        <c:crossBetween val="midCat"/>
      </c:valAx>
      <c:spPr>
        <a:noFill/>
        <a:ln>
          <a:solidFill>
            <a:schemeClr val="tx1"/>
          </a:solidFill>
        </a:ln>
        <a:effectLst/>
      </c:spPr>
    </c:plotArea>
    <c:legend>
      <c:legendPos val="t"/>
      <c:layout>
        <c:manualLayout>
          <c:xMode val="edge"/>
          <c:yMode val="edge"/>
          <c:x val="9.969993136177055E-2"/>
          <c:y val="5.5555555555555552E-2"/>
          <c:w val="0.8563492063492063"/>
          <c:h val="0.11328630796150481"/>
        </c:manualLayout>
      </c:layout>
      <c:overlay val="1"/>
      <c:spPr>
        <a:noFill/>
        <a:ln>
          <a:solidFill>
            <a:schemeClr val="tx1"/>
          </a:solidFill>
        </a:ln>
        <a:effectLst/>
      </c:spPr>
      <c:txPr>
        <a:bodyPr rot="0" spcFirstLastPara="1" vertOverflow="ellipsis" vert="horz" wrap="square" anchor="ctr" anchorCtr="1"/>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441B"/>
            </a:solidFill>
            <a:ln>
              <a:noFill/>
            </a:ln>
            <a:effectLst/>
          </c:spPr>
          <c:invertIfNegative val="0"/>
          <c:cat>
            <c:numRef>
              <c:f>ETHANOL!$B$11:$G$11</c:f>
              <c:numCache>
                <c:formatCode>General</c:formatCode>
                <c:ptCount val="6"/>
                <c:pt idx="0">
                  <c:v>2010</c:v>
                </c:pt>
                <c:pt idx="1">
                  <c:v>2011</c:v>
                </c:pt>
                <c:pt idx="2">
                  <c:v>2012</c:v>
                </c:pt>
                <c:pt idx="3">
                  <c:v>2013</c:v>
                </c:pt>
                <c:pt idx="4">
                  <c:v>2014</c:v>
                </c:pt>
                <c:pt idx="5">
                  <c:v>2015</c:v>
                </c:pt>
              </c:numCache>
            </c:numRef>
          </c:cat>
          <c:val>
            <c:numRef>
              <c:f>ETHANOL!$B$12:$G$12</c:f>
              <c:numCache>
                <c:formatCode>#,##0.000</c:formatCode>
                <c:ptCount val="6"/>
                <c:pt idx="0">
                  <c:v>13.298</c:v>
                </c:pt>
                <c:pt idx="1">
                  <c:v>13.929</c:v>
                </c:pt>
                <c:pt idx="2">
                  <c:v>13.218</c:v>
                </c:pt>
                <c:pt idx="3">
                  <c:v>13.292999999999999</c:v>
                </c:pt>
                <c:pt idx="4">
                  <c:v>14.313000000000001</c:v>
                </c:pt>
                <c:pt idx="5">
                  <c:v>14.7</c:v>
                </c:pt>
              </c:numCache>
            </c:numRef>
          </c:val>
          <c:extLst>
            <c:ext xmlns:c16="http://schemas.microsoft.com/office/drawing/2014/chart" uri="{C3380CC4-5D6E-409C-BE32-E72D297353CC}">
              <c16:uniqueId val="{00000000-D951-4E1E-BE39-7BB31009BAE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68913416470329"/>
          <c:y val="3.8579213453513429E-2"/>
          <c:w val="0.88341405675525608"/>
          <c:h val="0.87825897008136433"/>
        </c:manualLayout>
      </c:layout>
      <c:barChart>
        <c:barDir val="col"/>
        <c:grouping val="clustered"/>
        <c:varyColors val="0"/>
        <c:ser>
          <c:idx val="1"/>
          <c:order val="0"/>
          <c:spPr>
            <a:solidFill>
              <a:srgbClr val="993404"/>
            </a:solidFill>
            <a:ln>
              <a:noFill/>
            </a:ln>
            <a:effectLst/>
          </c:spPr>
          <c:invertIfNegative val="0"/>
          <c:cat>
            <c:numRef>
              <c:f>'BIOPRODUCTS SUMMARY'!$H$21:$J$21</c:f>
              <c:numCache>
                <c:formatCode>General</c:formatCode>
                <c:ptCount val="3"/>
                <c:pt idx="0">
                  <c:v>2014</c:v>
                </c:pt>
                <c:pt idx="1">
                  <c:v>2015</c:v>
                </c:pt>
                <c:pt idx="2">
                  <c:v>2016</c:v>
                </c:pt>
              </c:numCache>
            </c:numRef>
          </c:cat>
          <c:val>
            <c:numRef>
              <c:f>'BIOPRODUCTS SUMMARY'!$H$28:$J$28</c:f>
              <c:numCache>
                <c:formatCode>#,##0</c:formatCode>
                <c:ptCount val="3"/>
                <c:pt idx="0">
                  <c:v>1800</c:v>
                </c:pt>
                <c:pt idx="1">
                  <c:v>2500</c:v>
                </c:pt>
                <c:pt idx="2">
                  <c:v>2900</c:v>
                </c:pt>
              </c:numCache>
            </c:numRef>
          </c:val>
          <c:extLst>
            <c:ext xmlns:c16="http://schemas.microsoft.com/office/drawing/2014/chart" uri="{C3380CC4-5D6E-409C-BE32-E72D297353CC}">
              <c16:uniqueId val="{00000000-6159-49C9-8D69-E3E2B55C801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certified products</a:t>
                </a:r>
              </a:p>
            </c:rich>
          </c:tx>
          <c:layout>
            <c:manualLayout>
              <c:xMode val="edge"/>
              <c:yMode val="edge"/>
              <c:x val="1.976191905397902E-3"/>
              <c:y val="0.270198648429588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07066644656872E-2"/>
          <c:y val="3.8579213453513429E-2"/>
          <c:w val="0.89929612427530248"/>
          <c:h val="0.87825897008136433"/>
        </c:manualLayout>
      </c:layout>
      <c:barChart>
        <c:barDir val="col"/>
        <c:grouping val="clustered"/>
        <c:varyColors val="0"/>
        <c:ser>
          <c:idx val="1"/>
          <c:order val="0"/>
          <c:tx>
            <c:v>Designed categories</c:v>
          </c:tx>
          <c:spPr>
            <a:solidFill>
              <a:srgbClr val="993404"/>
            </a:solidFill>
            <a:ln>
              <a:noFill/>
            </a:ln>
            <a:effectLst/>
          </c:spPr>
          <c:invertIfNegative val="0"/>
          <c:cat>
            <c:numRef>
              <c:f>'BIOPRODUCTS SUMMARY'!$B$21:$J$21</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'BIOPRODUCTS SUMMARY'!$B$23:$J$23</c:f>
              <c:numCache>
                <c:formatCode>#,##0</c:formatCode>
                <c:ptCount val="9"/>
                <c:pt idx="0">
                  <c:v>32</c:v>
                </c:pt>
                <c:pt idx="1">
                  <c:v>42</c:v>
                </c:pt>
                <c:pt idx="2">
                  <c:v>50</c:v>
                </c:pt>
                <c:pt idx="3">
                  <c:v>64</c:v>
                </c:pt>
                <c:pt idx="4">
                  <c:v>89</c:v>
                </c:pt>
                <c:pt idx="5">
                  <c:v>97</c:v>
                </c:pt>
                <c:pt idx="6">
                  <c:v>97</c:v>
                </c:pt>
                <c:pt idx="7" formatCode="General">
                  <c:v>97</c:v>
                </c:pt>
                <c:pt idx="8" formatCode="General">
                  <c:v>97</c:v>
                </c:pt>
              </c:numCache>
            </c:numRef>
          </c:val>
          <c:extLst>
            <c:ext xmlns:c16="http://schemas.microsoft.com/office/drawing/2014/chart" uri="{C3380CC4-5D6E-409C-BE32-E72D297353CC}">
              <c16:uniqueId val="{00000000-A401-40DB-9421-5D62187493B8}"/>
            </c:ext>
          </c:extLst>
        </c:ser>
        <c:ser>
          <c:idx val="0"/>
          <c:order val="1"/>
          <c:tx>
            <c:v>Certification-only categories</c:v>
          </c:tx>
          <c:spPr>
            <a:solidFill>
              <a:srgbClr val="CC4C02"/>
            </a:solidFill>
            <a:ln>
              <a:noFill/>
            </a:ln>
            <a:effectLst/>
          </c:spPr>
          <c:invertIfNegative val="0"/>
          <c:cat>
            <c:numRef>
              <c:f>'BIOPRODUCTS SUMMARY'!$B$21:$J$21</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'BIOPRODUCTS SUMMARY'!$B$24:$J$24</c:f>
              <c:numCache>
                <c:formatCode>#,##0</c:formatCode>
                <c:ptCount val="9"/>
                <c:pt idx="0">
                  <c:v>0</c:v>
                </c:pt>
                <c:pt idx="1">
                  <c:v>0</c:v>
                </c:pt>
                <c:pt idx="2">
                  <c:v>0</c:v>
                </c:pt>
                <c:pt idx="3">
                  <c:v>50</c:v>
                </c:pt>
                <c:pt idx="4">
                  <c:v>75</c:v>
                </c:pt>
                <c:pt idx="5">
                  <c:v>97</c:v>
                </c:pt>
                <c:pt idx="6">
                  <c:v>98</c:v>
                </c:pt>
                <c:pt idx="7" formatCode="General">
                  <c:v>99</c:v>
                </c:pt>
                <c:pt idx="8" formatCode="General">
                  <c:v>100</c:v>
                </c:pt>
              </c:numCache>
            </c:numRef>
          </c:val>
          <c:extLst>
            <c:ext xmlns:c16="http://schemas.microsoft.com/office/drawing/2014/chart" uri="{C3380CC4-5D6E-409C-BE32-E72D297353CC}">
              <c16:uniqueId val="{00000001-A401-40DB-9421-5D62187493B8}"/>
            </c:ext>
          </c:extLst>
        </c:ser>
        <c:ser>
          <c:idx val="2"/>
          <c:order val="2"/>
          <c:tx>
            <c:v>Total categories</c:v>
          </c:tx>
          <c:spPr>
            <a:solidFill>
              <a:srgbClr val="FE9929"/>
            </a:solidFill>
            <a:ln>
              <a:noFill/>
            </a:ln>
            <a:effectLst/>
          </c:spPr>
          <c:invertIfNegative val="0"/>
          <c:cat>
            <c:numRef>
              <c:f>'BIOPRODUCTS SUMMARY'!$B$21:$J$21</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'BIOPRODUCTS SUMMARY'!$B$25:$J$25</c:f>
              <c:numCache>
                <c:formatCode>#,##0</c:formatCode>
                <c:ptCount val="9"/>
                <c:pt idx="0">
                  <c:v>32</c:v>
                </c:pt>
                <c:pt idx="1">
                  <c:v>42</c:v>
                </c:pt>
                <c:pt idx="2">
                  <c:v>50</c:v>
                </c:pt>
                <c:pt idx="3">
                  <c:v>114</c:v>
                </c:pt>
                <c:pt idx="4">
                  <c:v>164</c:v>
                </c:pt>
                <c:pt idx="5">
                  <c:v>194</c:v>
                </c:pt>
                <c:pt idx="6">
                  <c:v>195</c:v>
                </c:pt>
                <c:pt idx="7" formatCode="General">
                  <c:v>196</c:v>
                </c:pt>
                <c:pt idx="8" formatCode="General">
                  <c:v>197</c:v>
                </c:pt>
              </c:numCache>
            </c:numRef>
          </c:val>
          <c:extLst>
            <c:ext xmlns:c16="http://schemas.microsoft.com/office/drawing/2014/chart" uri="{C3380CC4-5D6E-409C-BE32-E72D297353CC}">
              <c16:uniqueId val="{00000002-A401-40DB-9421-5D62187493B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categories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4747318806869055E-2"/>
          <c:y val="5.6115219568746807E-2"/>
          <c:w val="0.66699712622116847"/>
          <c:h val="6.5326731694411763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57120168474972"/>
          <c:y val="3.8579213453513429E-2"/>
          <c:w val="0.86753198923520969"/>
          <c:h val="0.87825897008136433"/>
        </c:manualLayout>
      </c:layout>
      <c:barChart>
        <c:barDir val="col"/>
        <c:grouping val="clustered"/>
        <c:varyColors val="0"/>
        <c:ser>
          <c:idx val="1"/>
          <c:order val="0"/>
          <c:spPr>
            <a:solidFill>
              <a:srgbClr val="993404"/>
            </a:solidFill>
            <a:ln>
              <a:noFill/>
            </a:ln>
            <a:effectLst/>
          </c:spPr>
          <c:invertIfNegative val="0"/>
          <c:cat>
            <c:numRef>
              <c:f>'BIOPRODUCTS SUMMARY'!$B$21:$H$21</c:f>
              <c:numCache>
                <c:formatCode>General</c:formatCode>
                <c:ptCount val="7"/>
                <c:pt idx="0">
                  <c:v>2008</c:v>
                </c:pt>
                <c:pt idx="1">
                  <c:v>2009</c:v>
                </c:pt>
                <c:pt idx="2">
                  <c:v>2010</c:v>
                </c:pt>
                <c:pt idx="3">
                  <c:v>2011</c:v>
                </c:pt>
                <c:pt idx="4">
                  <c:v>2012</c:v>
                </c:pt>
                <c:pt idx="5">
                  <c:v>2013</c:v>
                </c:pt>
                <c:pt idx="6">
                  <c:v>2014</c:v>
                </c:pt>
              </c:numCache>
            </c:numRef>
          </c:cat>
          <c:val>
            <c:numRef>
              <c:f>'BIOPRODUCTS SUMMARY'!$B$22:$H$22</c:f>
              <c:numCache>
                <c:formatCode>#,##0</c:formatCode>
                <c:ptCount val="7"/>
                <c:pt idx="0">
                  <c:v>17197</c:v>
                </c:pt>
                <c:pt idx="1">
                  <c:v>24361</c:v>
                </c:pt>
                <c:pt idx="2">
                  <c:v>30334</c:v>
                </c:pt>
                <c:pt idx="3">
                  <c:v>36053</c:v>
                </c:pt>
                <c:pt idx="4">
                  <c:v>38978</c:v>
                </c:pt>
                <c:pt idx="5">
                  <c:v>39626</c:v>
                </c:pt>
                <c:pt idx="6">
                  <c:v>40424</c:v>
                </c:pt>
              </c:numCache>
            </c:numRef>
          </c:val>
          <c:extLst>
            <c:ext xmlns:c16="http://schemas.microsoft.com/office/drawing/2014/chart" uri="{C3380CC4-5D6E-409C-BE32-E72D297353CC}">
              <c16:uniqueId val="{00000000-6E05-47E2-B13E-5C65154EF965}"/>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biobased products</a:t>
                </a:r>
              </a:p>
            </c:rich>
          </c:tx>
          <c:layout>
            <c:manualLayout>
              <c:xMode val="edge"/>
              <c:yMode val="edge"/>
              <c:x val="1.976191905397902E-3"/>
              <c:y val="0.270198648429588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07066644656872E-2"/>
          <c:y val="3.8579213453513429E-2"/>
          <c:w val="0.89929612427530248"/>
          <c:h val="0.87825897008136433"/>
        </c:manualLayout>
      </c:layout>
      <c:barChart>
        <c:barDir val="col"/>
        <c:grouping val="clustered"/>
        <c:varyColors val="0"/>
        <c:ser>
          <c:idx val="1"/>
          <c:order val="0"/>
          <c:tx>
            <c:v>Direct jobs</c:v>
          </c:tx>
          <c:spPr>
            <a:solidFill>
              <a:srgbClr val="993404"/>
            </a:solidFill>
            <a:ln>
              <a:noFill/>
            </a:ln>
            <a:effectLst/>
          </c:spPr>
          <c:invertIfNegative val="0"/>
          <c:cat>
            <c:numRef>
              <c:f>'BIOPRODUCTS SUMMARY'!$G$9:$H$9</c:f>
              <c:numCache>
                <c:formatCode>General</c:formatCode>
                <c:ptCount val="2"/>
                <c:pt idx="0">
                  <c:v>2013</c:v>
                </c:pt>
                <c:pt idx="1">
                  <c:v>2014</c:v>
                </c:pt>
              </c:numCache>
            </c:numRef>
          </c:cat>
          <c:val>
            <c:numRef>
              <c:f>'BIOPRODUCTS SUMMARY'!$G$10:$H$10</c:f>
              <c:numCache>
                <c:formatCode>General</c:formatCode>
                <c:ptCount val="2"/>
                <c:pt idx="0">
                  <c:v>1.52</c:v>
                </c:pt>
                <c:pt idx="1">
                  <c:v>1.528</c:v>
                </c:pt>
              </c:numCache>
            </c:numRef>
          </c:val>
          <c:extLst>
            <c:ext xmlns:c16="http://schemas.microsoft.com/office/drawing/2014/chart" uri="{C3380CC4-5D6E-409C-BE32-E72D297353CC}">
              <c16:uniqueId val="{00000000-A8BD-494A-8980-5F5847673555}"/>
            </c:ext>
          </c:extLst>
        </c:ser>
        <c:ser>
          <c:idx val="0"/>
          <c:order val="1"/>
          <c:tx>
            <c:v>Indirect jobs</c:v>
          </c:tx>
          <c:spPr>
            <a:solidFill>
              <a:srgbClr val="CC4C02"/>
            </a:solidFill>
            <a:ln>
              <a:noFill/>
            </a:ln>
            <a:effectLst/>
          </c:spPr>
          <c:invertIfNegative val="0"/>
          <c:cat>
            <c:numRef>
              <c:f>'BIOPRODUCTS SUMMARY'!$G$9:$H$9</c:f>
              <c:numCache>
                <c:formatCode>General</c:formatCode>
                <c:ptCount val="2"/>
                <c:pt idx="0">
                  <c:v>2013</c:v>
                </c:pt>
                <c:pt idx="1">
                  <c:v>2014</c:v>
                </c:pt>
              </c:numCache>
            </c:numRef>
          </c:cat>
          <c:val>
            <c:numRef>
              <c:f>'BIOPRODUCTS SUMMARY'!$G$11:$H$11</c:f>
              <c:numCache>
                <c:formatCode>General</c:formatCode>
                <c:ptCount val="2"/>
                <c:pt idx="0">
                  <c:v>2.5</c:v>
                </c:pt>
                <c:pt idx="1">
                  <c:v>2.6949999999999998</c:v>
                </c:pt>
              </c:numCache>
            </c:numRef>
          </c:val>
          <c:extLst>
            <c:ext xmlns:c16="http://schemas.microsoft.com/office/drawing/2014/chart" uri="{C3380CC4-5D6E-409C-BE32-E72D297353CC}">
              <c16:uniqueId val="{00000001-A8BD-494A-8980-5F5847673555}"/>
            </c:ext>
          </c:extLst>
        </c:ser>
        <c:ser>
          <c:idx val="2"/>
          <c:order val="2"/>
          <c:tx>
            <c:v>Total jobs</c:v>
          </c:tx>
          <c:spPr>
            <a:solidFill>
              <a:srgbClr val="FE9929"/>
            </a:solidFill>
            <a:ln>
              <a:noFill/>
            </a:ln>
            <a:effectLst/>
          </c:spPr>
          <c:invertIfNegative val="0"/>
          <c:cat>
            <c:numRef>
              <c:f>'BIOPRODUCTS SUMMARY'!$G$9:$H$9</c:f>
              <c:numCache>
                <c:formatCode>General</c:formatCode>
                <c:ptCount val="2"/>
                <c:pt idx="0">
                  <c:v>2013</c:v>
                </c:pt>
                <c:pt idx="1">
                  <c:v>2014</c:v>
                </c:pt>
              </c:numCache>
            </c:numRef>
          </c:cat>
          <c:val>
            <c:numRef>
              <c:f>'BIOPRODUCTS SUMMARY'!$G$12:$H$12</c:f>
              <c:numCache>
                <c:formatCode>General</c:formatCode>
                <c:ptCount val="2"/>
                <c:pt idx="0">
                  <c:v>4.0199999999999996</c:v>
                </c:pt>
                <c:pt idx="1">
                  <c:v>4.2229999999999999</c:v>
                </c:pt>
              </c:numCache>
            </c:numRef>
          </c:val>
          <c:extLst>
            <c:ext xmlns:c16="http://schemas.microsoft.com/office/drawing/2014/chart" uri="{C3380CC4-5D6E-409C-BE32-E72D297353CC}">
              <c16:uniqueId val="{00000002-A8BD-494A-8980-5F5847673555}"/>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of jobs</a:t>
                </a:r>
              </a:p>
            </c:rich>
          </c:tx>
          <c:layout>
            <c:manualLayout>
              <c:xMode val="edge"/>
              <c:yMode val="edge"/>
              <c:x val="1.976191905397902E-3"/>
              <c:y val="0.343849874113568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4747318806869055E-2"/>
          <c:y val="5.6115219568746807E-2"/>
          <c:w val="0.37119361866030381"/>
          <c:h val="5.8312329248318411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777583524668484E-2"/>
          <c:y val="3.8579213453513429E-2"/>
          <c:w val="0.89532560739529088"/>
          <c:h val="0.87825897008136433"/>
        </c:manualLayout>
      </c:layout>
      <c:barChart>
        <c:barDir val="col"/>
        <c:grouping val="clustered"/>
        <c:varyColors val="0"/>
        <c:ser>
          <c:idx val="1"/>
          <c:order val="0"/>
          <c:spPr>
            <a:solidFill>
              <a:srgbClr val="993404"/>
            </a:solidFill>
            <a:ln>
              <a:noFill/>
            </a:ln>
            <a:effectLst/>
          </c:spPr>
          <c:invertIfNegative val="0"/>
          <c:cat>
            <c:numRef>
              <c:f>'BIOPRODUCTS SUMMARY'!$B$53:$F$53</c:f>
              <c:numCache>
                <c:formatCode>General</c:formatCode>
                <c:ptCount val="5"/>
                <c:pt idx="0">
                  <c:v>2008</c:v>
                </c:pt>
                <c:pt idx="1">
                  <c:v>2009</c:v>
                </c:pt>
                <c:pt idx="2">
                  <c:v>2010</c:v>
                </c:pt>
                <c:pt idx="3">
                  <c:v>2011</c:v>
                </c:pt>
                <c:pt idx="4">
                  <c:v>2012</c:v>
                </c:pt>
              </c:numCache>
            </c:numRef>
          </c:cat>
          <c:val>
            <c:numRef>
              <c:f>'BIOPRODUCTS SUMMARY'!$B$58:$F$58</c:f>
              <c:numCache>
                <c:formatCode>General</c:formatCode>
                <c:ptCount val="5"/>
                <c:pt idx="0">
                  <c:v>14.75</c:v>
                </c:pt>
                <c:pt idx="1">
                  <c:v>21.87</c:v>
                </c:pt>
                <c:pt idx="2">
                  <c:v>43.33</c:v>
                </c:pt>
                <c:pt idx="3">
                  <c:v>34.67</c:v>
                </c:pt>
                <c:pt idx="4">
                  <c:v>35.229999999999997</c:v>
                </c:pt>
              </c:numCache>
            </c:numRef>
          </c:val>
          <c:extLst>
            <c:ext xmlns:c16="http://schemas.microsoft.com/office/drawing/2014/chart" uri="{C3380CC4-5D6E-409C-BE32-E72D297353CC}">
              <c16:uniqueId val="{00000000-8BF7-4008-AD9B-8CEBD1AF8C1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9.9172256654211123E-3"/>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642543431827165E-2"/>
          <c:y val="3.8579213453513429E-2"/>
          <c:w val="0.88936983207527354"/>
          <c:h val="0.87825897008136433"/>
        </c:manualLayout>
      </c:layout>
      <c:barChart>
        <c:barDir val="col"/>
        <c:grouping val="clustered"/>
        <c:varyColors val="0"/>
        <c:ser>
          <c:idx val="1"/>
          <c:order val="0"/>
          <c:tx>
            <c:v>Academic research and development expenditures</c:v>
          </c:tx>
          <c:spPr>
            <a:solidFill>
              <a:srgbClr val="993404"/>
            </a:solidFill>
            <a:ln>
              <a:solidFill>
                <a:srgbClr val="993404"/>
              </a:solidFill>
            </a:ln>
            <a:effectLst/>
          </c:spPr>
          <c:invertIfNegative val="0"/>
          <c:cat>
            <c:numRef>
              <c:f>'BIOPRODUCTS SUMMARY'!$C$4:$I$4</c:f>
              <c:numCache>
                <c:formatCode>General</c:formatCode>
                <c:ptCount val="7"/>
                <c:pt idx="0">
                  <c:v>2009</c:v>
                </c:pt>
                <c:pt idx="1">
                  <c:v>2010</c:v>
                </c:pt>
                <c:pt idx="2">
                  <c:v>2011</c:v>
                </c:pt>
                <c:pt idx="3">
                  <c:v>2012</c:v>
                </c:pt>
                <c:pt idx="4">
                  <c:v>2013</c:v>
                </c:pt>
                <c:pt idx="5">
                  <c:v>2014</c:v>
                </c:pt>
                <c:pt idx="6">
                  <c:v>2015</c:v>
                </c:pt>
              </c:numCache>
            </c:numRef>
          </c:cat>
          <c:val>
            <c:numRef>
              <c:f>'BIOPRODUCTS SUMMARY'!$C$6:$I$6</c:f>
              <c:numCache>
                <c:formatCode>#,##0</c:formatCode>
                <c:ptCount val="7"/>
                <c:pt idx="0">
                  <c:v>33.427</c:v>
                </c:pt>
                <c:pt idx="1">
                  <c:v>35.694000000000003</c:v>
                </c:pt>
                <c:pt idx="2">
                  <c:v>38.137999999999998</c:v>
                </c:pt>
                <c:pt idx="3">
                  <c:v>38.066000000000003</c:v>
                </c:pt>
                <c:pt idx="4">
                  <c:v>38.454000000000001</c:v>
                </c:pt>
                <c:pt idx="5">
                  <c:v>38.874000000000002</c:v>
                </c:pt>
              </c:numCache>
            </c:numRef>
          </c:val>
          <c:extLst>
            <c:ext xmlns:c16="http://schemas.microsoft.com/office/drawing/2014/chart" uri="{C3380CC4-5D6E-409C-BE32-E72D297353CC}">
              <c16:uniqueId val="{00000000-BF53-424C-9CC7-4F383BD3356F}"/>
            </c:ext>
          </c:extLst>
        </c:ser>
        <c:ser>
          <c:idx val="0"/>
          <c:order val="1"/>
          <c:tx>
            <c:v>Venture capital investments</c:v>
          </c:tx>
          <c:spPr>
            <a:solidFill>
              <a:srgbClr val="CC4C02"/>
            </a:solidFill>
            <a:ln>
              <a:solidFill>
                <a:srgbClr val="CC4C02"/>
              </a:solidFill>
            </a:ln>
            <a:effectLst/>
          </c:spPr>
          <c:invertIfNegative val="0"/>
          <c:cat>
            <c:numRef>
              <c:f>'BIOPRODUCTS SUMMARY'!$C$4:$I$4</c:f>
              <c:numCache>
                <c:formatCode>General</c:formatCode>
                <c:ptCount val="7"/>
                <c:pt idx="0">
                  <c:v>2009</c:v>
                </c:pt>
                <c:pt idx="1">
                  <c:v>2010</c:v>
                </c:pt>
                <c:pt idx="2">
                  <c:v>2011</c:v>
                </c:pt>
                <c:pt idx="3">
                  <c:v>2012</c:v>
                </c:pt>
                <c:pt idx="4">
                  <c:v>2013</c:v>
                </c:pt>
                <c:pt idx="5">
                  <c:v>2014</c:v>
                </c:pt>
                <c:pt idx="6">
                  <c:v>2015</c:v>
                </c:pt>
              </c:numCache>
            </c:numRef>
          </c:cat>
          <c:val>
            <c:numRef>
              <c:f>'BIOPRODUCTS SUMMARY'!$C$7:$I$7</c:f>
              <c:numCache>
                <c:formatCode>#,##0</c:formatCode>
                <c:ptCount val="7"/>
                <c:pt idx="0">
                  <c:v>8.4030000000000005</c:v>
                </c:pt>
                <c:pt idx="1">
                  <c:v>9.109</c:v>
                </c:pt>
                <c:pt idx="2">
                  <c:v>11.792</c:v>
                </c:pt>
                <c:pt idx="3">
                  <c:v>10.012</c:v>
                </c:pt>
                <c:pt idx="4">
                  <c:v>9.9290000000000003</c:v>
                </c:pt>
                <c:pt idx="5">
                  <c:v>13.94</c:v>
                </c:pt>
                <c:pt idx="6">
                  <c:v>24.861000000000001</c:v>
                </c:pt>
              </c:numCache>
            </c:numRef>
          </c:val>
          <c:extLst>
            <c:ext xmlns:c16="http://schemas.microsoft.com/office/drawing/2014/chart" uri="{C3380CC4-5D6E-409C-BE32-E72D297353CC}">
              <c16:uniqueId val="{00000001-BF53-424C-9CC7-4F383BD3356F}"/>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8.2835768166834217E-2"/>
          <c:y val="5.6115219568746807E-2"/>
          <c:w val="0.8682357399042574"/>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642543431827165E-2"/>
          <c:y val="3.8579213453513429E-2"/>
          <c:w val="0.88936983207527354"/>
          <c:h val="0.87825897008136433"/>
        </c:manualLayout>
      </c:layout>
      <c:barChart>
        <c:barDir val="col"/>
        <c:grouping val="clustered"/>
        <c:varyColors val="0"/>
        <c:ser>
          <c:idx val="1"/>
          <c:order val="0"/>
          <c:tx>
            <c:v>Exports</c:v>
          </c:tx>
          <c:spPr>
            <a:solidFill>
              <a:srgbClr val="993404"/>
            </a:solidFill>
            <a:ln>
              <a:solidFill>
                <a:srgbClr val="993404"/>
              </a:solidFill>
            </a:ln>
            <a:effectLst/>
          </c:spPr>
          <c:invertIfNegative val="0"/>
          <c:cat>
            <c:numRef>
              <c:f>PLASTICS!$B$35:$J$35</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PLASTICS!$B$41:$J$41</c:f>
              <c:numCache>
                <c:formatCode>General</c:formatCode>
                <c:ptCount val="9"/>
                <c:pt idx="0" formatCode="0.0">
                  <c:v>47</c:v>
                </c:pt>
                <c:pt idx="1">
                  <c:v>19.5</c:v>
                </c:pt>
                <c:pt idx="2">
                  <c:v>28.1</c:v>
                </c:pt>
                <c:pt idx="3">
                  <c:v>16.8</c:v>
                </c:pt>
                <c:pt idx="4">
                  <c:v>20.5</c:v>
                </c:pt>
                <c:pt idx="5">
                  <c:v>23.6</c:v>
                </c:pt>
                <c:pt idx="6">
                  <c:v>13.2</c:v>
                </c:pt>
                <c:pt idx="7" formatCode="0.0">
                  <c:v>10</c:v>
                </c:pt>
                <c:pt idx="8">
                  <c:v>9.4</c:v>
                </c:pt>
              </c:numCache>
            </c:numRef>
          </c:val>
          <c:extLst>
            <c:ext xmlns:c16="http://schemas.microsoft.com/office/drawing/2014/chart" uri="{C3380CC4-5D6E-409C-BE32-E72D297353CC}">
              <c16:uniqueId val="{00000000-F887-4518-B312-36509FEA5441}"/>
            </c:ext>
          </c:extLst>
        </c:ser>
        <c:ser>
          <c:idx val="0"/>
          <c:order val="1"/>
          <c:tx>
            <c:v>Imports</c:v>
          </c:tx>
          <c:spPr>
            <a:solidFill>
              <a:srgbClr val="CC4C02"/>
            </a:solidFill>
            <a:ln>
              <a:solidFill>
                <a:srgbClr val="CC4C02"/>
              </a:solidFill>
            </a:ln>
            <a:effectLst/>
          </c:spPr>
          <c:invertIfNegative val="0"/>
          <c:cat>
            <c:numRef>
              <c:f>PLASTICS!$B$35:$J$35</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PLASTICS!$B$42:$J$42</c:f>
              <c:numCache>
                <c:formatCode>0.0</c:formatCode>
                <c:ptCount val="9"/>
                <c:pt idx="0" formatCode="General">
                  <c:v>3.5</c:v>
                </c:pt>
                <c:pt idx="1">
                  <c:v>3</c:v>
                </c:pt>
                <c:pt idx="2" formatCode="General">
                  <c:v>3.5</c:v>
                </c:pt>
                <c:pt idx="3" formatCode="General">
                  <c:v>4.5999999999999996</c:v>
                </c:pt>
                <c:pt idx="4" formatCode="General">
                  <c:v>7.8</c:v>
                </c:pt>
                <c:pt idx="5" formatCode="General">
                  <c:v>16.2</c:v>
                </c:pt>
                <c:pt idx="6" formatCode="General">
                  <c:v>1.7</c:v>
                </c:pt>
                <c:pt idx="7">
                  <c:v>3</c:v>
                </c:pt>
                <c:pt idx="8" formatCode="General">
                  <c:v>18.5</c:v>
                </c:pt>
              </c:numCache>
            </c:numRef>
          </c:val>
          <c:extLst>
            <c:ext xmlns:c16="http://schemas.microsoft.com/office/drawing/2014/chart" uri="{C3380CC4-5D6E-409C-BE32-E72D297353CC}">
              <c16:uniqueId val="{00000001-F887-4518-B312-36509FEA5441}"/>
            </c:ext>
          </c:extLst>
        </c:ser>
        <c:ser>
          <c:idx val="2"/>
          <c:order val="2"/>
          <c:tx>
            <c:v>Industry value added</c:v>
          </c:tx>
          <c:spPr>
            <a:solidFill>
              <a:srgbClr val="FE9929"/>
            </a:solidFill>
            <a:ln>
              <a:solidFill>
                <a:srgbClr val="FE9929"/>
              </a:solidFill>
            </a:ln>
            <a:effectLst/>
          </c:spPr>
          <c:invertIfNegative val="0"/>
          <c:cat>
            <c:numRef>
              <c:f>PLASTICS!$B$35:$J$35</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PLASTICS!$B$37:$J$37</c:f>
              <c:numCache>
                <c:formatCode>General</c:formatCode>
                <c:ptCount val="9"/>
                <c:pt idx="0">
                  <c:v>43.1</c:v>
                </c:pt>
                <c:pt idx="1">
                  <c:v>38.5</c:v>
                </c:pt>
                <c:pt idx="2">
                  <c:v>43.2</c:v>
                </c:pt>
                <c:pt idx="3">
                  <c:v>44.8</c:v>
                </c:pt>
                <c:pt idx="4">
                  <c:v>43.4</c:v>
                </c:pt>
                <c:pt idx="5">
                  <c:v>52.3</c:v>
                </c:pt>
                <c:pt idx="6" formatCode="0.0">
                  <c:v>52</c:v>
                </c:pt>
                <c:pt idx="7">
                  <c:v>57.6</c:v>
                </c:pt>
                <c:pt idx="8">
                  <c:v>58.9</c:v>
                </c:pt>
              </c:numCache>
            </c:numRef>
          </c:val>
          <c:extLst>
            <c:ext xmlns:c16="http://schemas.microsoft.com/office/drawing/2014/chart" uri="{C3380CC4-5D6E-409C-BE32-E72D297353CC}">
              <c16:uniqueId val="{00000002-F887-4518-B312-36509FEA5441}"/>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dollars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8.2835768166834217E-2"/>
          <c:y val="5.6115219568746807E-2"/>
          <c:w val="0.45321636878410893"/>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730992791792355E-2"/>
          <c:y val="3.8579213453513429E-2"/>
          <c:w val="0.90128138271530833"/>
          <c:h val="0.87825897008136433"/>
        </c:manualLayout>
      </c:layout>
      <c:barChart>
        <c:barDir val="col"/>
        <c:grouping val="clustered"/>
        <c:varyColors val="0"/>
        <c:ser>
          <c:idx val="1"/>
          <c:order val="0"/>
          <c:tx>
            <c:v>Global production of bioplastics</c:v>
          </c:tx>
          <c:spPr>
            <a:solidFill>
              <a:srgbClr val="993404"/>
            </a:solidFill>
            <a:ln>
              <a:solidFill>
                <a:srgbClr val="993404"/>
              </a:solidFill>
            </a:ln>
            <a:effectLst/>
          </c:spPr>
          <c:invertIfNegative val="0"/>
          <c:cat>
            <c:numRef>
              <c:f>PLASTICS!$B$14:$J$14</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PLASTICS!$B$15:$J$15</c:f>
              <c:numCache>
                <c:formatCode>General</c:formatCode>
                <c:ptCount val="9"/>
                <c:pt idx="0">
                  <c:v>6.0000000000000001E-3</c:v>
                </c:pt>
                <c:pt idx="1">
                  <c:v>2.3E-2</c:v>
                </c:pt>
                <c:pt idx="2">
                  <c:v>0.29599999999999999</c:v>
                </c:pt>
                <c:pt idx="3">
                  <c:v>0.67500000000000004</c:v>
                </c:pt>
                <c:pt idx="4">
                  <c:v>0.92100000000000004</c:v>
                </c:pt>
                <c:pt idx="5" formatCode="#,##0">
                  <c:v>0.99</c:v>
                </c:pt>
                <c:pt idx="6" formatCode="#,##0">
                  <c:v>1.034</c:v>
                </c:pt>
                <c:pt idx="7" formatCode="#,##0">
                  <c:v>2.9950000000000001</c:v>
                </c:pt>
                <c:pt idx="8" formatCode="#,##0">
                  <c:v>3.1920000000000002</c:v>
                </c:pt>
              </c:numCache>
            </c:numRef>
          </c:val>
          <c:extLst>
            <c:ext xmlns:c16="http://schemas.microsoft.com/office/drawing/2014/chart" uri="{C3380CC4-5D6E-409C-BE32-E72D297353CC}">
              <c16:uniqueId val="{00000000-CE0A-47C9-BB60-D14010C01428}"/>
            </c:ext>
          </c:extLst>
        </c:ser>
        <c:ser>
          <c:idx val="0"/>
          <c:order val="1"/>
          <c:tx>
            <c:v>United States production of bioplastics</c:v>
          </c:tx>
          <c:spPr>
            <a:solidFill>
              <a:srgbClr val="CC4C02"/>
            </a:solidFill>
            <a:ln>
              <a:solidFill>
                <a:srgbClr val="CC4C02"/>
              </a:solidFill>
            </a:ln>
            <a:effectLst/>
          </c:spPr>
          <c:invertIfNegative val="0"/>
          <c:cat>
            <c:numRef>
              <c:f>PLASTICS!$B$14:$J$14</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PLASTICS!$B$80:$J$80</c:f>
              <c:numCache>
                <c:formatCode>General</c:formatCode>
                <c:ptCount val="9"/>
                <c:pt idx="5" formatCode="#,##0">
                  <c:v>0.402644</c:v>
                </c:pt>
                <c:pt idx="6" formatCode="#,##0">
                  <c:v>0.51469399999999998</c:v>
                </c:pt>
                <c:pt idx="7" formatCode="#,##0">
                  <c:v>0.58352000000000004</c:v>
                </c:pt>
              </c:numCache>
            </c:numRef>
          </c:val>
          <c:extLst>
            <c:ext xmlns:c16="http://schemas.microsoft.com/office/drawing/2014/chart" uri="{C3380CC4-5D6E-409C-BE32-E72D297353CC}">
              <c16:uniqueId val="{00000001-CE0A-47C9-BB60-D14010C01428}"/>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8.2835768166834217E-2"/>
          <c:y val="5.6115219568746807E-2"/>
          <c:w val="0.75734420567152383"/>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8357719185039E-2"/>
          <c:y val="3.8579213453513429E-2"/>
          <c:w val="0.88142879831525034"/>
          <c:h val="0.87825897008136433"/>
        </c:manualLayout>
      </c:layout>
      <c:barChart>
        <c:barDir val="col"/>
        <c:grouping val="clustered"/>
        <c:varyColors val="0"/>
        <c:ser>
          <c:idx val="1"/>
          <c:order val="0"/>
          <c:spPr>
            <a:solidFill>
              <a:srgbClr val="993404"/>
            </a:solidFill>
            <a:ln>
              <a:solidFill>
                <a:srgbClr val="993404"/>
              </a:solidFill>
            </a:ln>
            <a:effectLst/>
          </c:spPr>
          <c:invertIfNegative val="0"/>
          <c:cat>
            <c:numRef>
              <c:f>PLASTICS!$B$35:$J$35</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PLASTICS!$B$36:$J$36</c:f>
              <c:numCache>
                <c:formatCode>General</c:formatCode>
                <c:ptCount val="9"/>
                <c:pt idx="0">
                  <c:v>120.2</c:v>
                </c:pt>
                <c:pt idx="1">
                  <c:v>110.8</c:v>
                </c:pt>
                <c:pt idx="2">
                  <c:v>122.7</c:v>
                </c:pt>
                <c:pt idx="3" formatCode="0.0">
                  <c:v>129</c:v>
                </c:pt>
                <c:pt idx="4">
                  <c:v>137.30000000000001</c:v>
                </c:pt>
                <c:pt idx="5">
                  <c:v>146.9</c:v>
                </c:pt>
                <c:pt idx="6">
                  <c:v>148.69999999999999</c:v>
                </c:pt>
                <c:pt idx="7">
                  <c:v>171.3</c:v>
                </c:pt>
                <c:pt idx="8">
                  <c:v>177.9</c:v>
                </c:pt>
              </c:numCache>
            </c:numRef>
          </c:val>
          <c:extLst>
            <c:ext xmlns:c16="http://schemas.microsoft.com/office/drawing/2014/chart" uri="{C3380CC4-5D6E-409C-BE32-E72D297353CC}">
              <c16:uniqueId val="{00000000-8DFF-46B1-BE2B-0E220199E4A1}"/>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dollars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509869391879386E-2"/>
          <c:y val="3.8579213453513429E-2"/>
          <c:w val="0.87150250611522129"/>
          <c:h val="0.87825897008136433"/>
        </c:manualLayout>
      </c:layout>
      <c:barChart>
        <c:barDir val="col"/>
        <c:grouping val="clustered"/>
        <c:varyColors val="0"/>
        <c:ser>
          <c:idx val="1"/>
          <c:order val="0"/>
          <c:spPr>
            <a:solidFill>
              <a:srgbClr val="993404"/>
            </a:solidFill>
            <a:ln>
              <a:solidFill>
                <a:srgbClr val="993404"/>
              </a:solidFill>
            </a:ln>
            <a:effectLst/>
          </c:spPr>
          <c:invertIfNegative val="0"/>
          <c:cat>
            <c:numRef>
              <c:f>PLASTICS!$B$31:$I$31</c:f>
              <c:numCache>
                <c:formatCode>General</c:formatCode>
                <c:ptCount val="8"/>
                <c:pt idx="0">
                  <c:v>2008</c:v>
                </c:pt>
                <c:pt idx="1">
                  <c:v>2009</c:v>
                </c:pt>
                <c:pt idx="2">
                  <c:v>2010</c:v>
                </c:pt>
                <c:pt idx="3">
                  <c:v>2011</c:v>
                </c:pt>
                <c:pt idx="4">
                  <c:v>2012</c:v>
                </c:pt>
                <c:pt idx="5">
                  <c:v>2013</c:v>
                </c:pt>
                <c:pt idx="6">
                  <c:v>2014</c:v>
                </c:pt>
                <c:pt idx="7">
                  <c:v>2015</c:v>
                </c:pt>
              </c:numCache>
            </c:numRef>
          </c:cat>
          <c:val>
            <c:numRef>
              <c:f>PLASTICS!$B$32:$I$32</c:f>
              <c:numCache>
                <c:formatCode>#,##0</c:formatCode>
                <c:ptCount val="8"/>
                <c:pt idx="0">
                  <c:v>11.993</c:v>
                </c:pt>
                <c:pt idx="1">
                  <c:v>10.817</c:v>
                </c:pt>
                <c:pt idx="2">
                  <c:v>10.808</c:v>
                </c:pt>
                <c:pt idx="3">
                  <c:v>11.78</c:v>
                </c:pt>
                <c:pt idx="4">
                  <c:v>12.496</c:v>
                </c:pt>
                <c:pt idx="5">
                  <c:v>12.366</c:v>
                </c:pt>
                <c:pt idx="6">
                  <c:v>12.835000000000001</c:v>
                </c:pt>
                <c:pt idx="7">
                  <c:v>12.507</c:v>
                </c:pt>
              </c:numCache>
            </c:numRef>
          </c:val>
          <c:extLst>
            <c:ext xmlns:c16="http://schemas.microsoft.com/office/drawing/2014/chart" uri="{C3380CC4-5D6E-409C-BE32-E72D297353CC}">
              <c16:uniqueId val="{00000000-0AB3-41DE-8203-CAE862FC081F}"/>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509869391879386E-2"/>
          <c:y val="3.8579213453513429E-2"/>
          <c:w val="0.87150250611522129"/>
          <c:h val="0.87825897008136433"/>
        </c:manualLayout>
      </c:layout>
      <c:barChart>
        <c:barDir val="col"/>
        <c:grouping val="clustered"/>
        <c:varyColors val="0"/>
        <c:ser>
          <c:idx val="1"/>
          <c:order val="0"/>
          <c:spPr>
            <a:solidFill>
              <a:srgbClr val="993404"/>
            </a:solidFill>
            <a:ln>
              <a:noFill/>
            </a:ln>
            <a:effectLst/>
          </c:spPr>
          <c:invertIfNegative val="0"/>
          <c:cat>
            <c:numRef>
              <c:f>BIOCHEMICALS!$B$5:$I$5</c:f>
              <c:numCache>
                <c:formatCode>General</c:formatCode>
                <c:ptCount val="8"/>
                <c:pt idx="0">
                  <c:v>2008</c:v>
                </c:pt>
                <c:pt idx="1">
                  <c:v>2009</c:v>
                </c:pt>
                <c:pt idx="2">
                  <c:v>2010</c:v>
                </c:pt>
                <c:pt idx="3">
                  <c:v>2011</c:v>
                </c:pt>
                <c:pt idx="4">
                  <c:v>2012</c:v>
                </c:pt>
                <c:pt idx="5">
                  <c:v>2013</c:v>
                </c:pt>
                <c:pt idx="6">
                  <c:v>2014</c:v>
                </c:pt>
                <c:pt idx="7">
                  <c:v>2015</c:v>
                </c:pt>
              </c:numCache>
            </c:numRef>
          </c:cat>
          <c:val>
            <c:numRef>
              <c:f>BIOCHEMICALS!$B$6:$I$6</c:f>
              <c:numCache>
                <c:formatCode>#,##0</c:formatCode>
                <c:ptCount val="8"/>
                <c:pt idx="0">
                  <c:v>275.839</c:v>
                </c:pt>
                <c:pt idx="1">
                  <c:v>305.209</c:v>
                </c:pt>
                <c:pt idx="2">
                  <c:v>326.23</c:v>
                </c:pt>
                <c:pt idx="3">
                  <c:v>339.101</c:v>
                </c:pt>
                <c:pt idx="4">
                  <c:v>370.14299999999997</c:v>
                </c:pt>
                <c:pt idx="5" formatCode="_(* #,##0_);_(* \(#,##0\);_(* &quot;-&quot;??_);_(@_)">
                  <c:v>355.1</c:v>
                </c:pt>
                <c:pt idx="6" formatCode="_(* #,##0_);_(* \(#,##0\);_(* &quot;-&quot;??_);_(@_)">
                  <c:v>364.589</c:v>
                </c:pt>
                <c:pt idx="7" formatCode="_(* #,##0_);_(* \(#,##0\);_(* &quot;-&quot;??_);_(@_)">
                  <c:v>377.315</c:v>
                </c:pt>
              </c:numCache>
            </c:numRef>
          </c:val>
          <c:extLst>
            <c:ext xmlns:c16="http://schemas.microsoft.com/office/drawing/2014/chart" uri="{C3380CC4-5D6E-409C-BE32-E72D297353CC}">
              <c16:uniqueId val="{00000000-D222-465E-A449-8B3B3438BE42}"/>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509869391879386E-2"/>
          <c:y val="3.8579213453513429E-2"/>
          <c:w val="0.87150250611522129"/>
          <c:h val="0.87825897008136433"/>
        </c:manualLayout>
      </c:layout>
      <c:barChart>
        <c:barDir val="col"/>
        <c:grouping val="clustered"/>
        <c:varyColors val="0"/>
        <c:ser>
          <c:idx val="1"/>
          <c:order val="0"/>
          <c:spPr>
            <a:solidFill>
              <a:srgbClr val="993404"/>
            </a:solidFill>
            <a:ln>
              <a:noFill/>
            </a:ln>
            <a:effectLst/>
          </c:spPr>
          <c:invertIfNegative val="0"/>
          <c:cat>
            <c:numRef>
              <c:f>BIOCHEMICALS!$B$5:$I$5</c:f>
              <c:numCache>
                <c:formatCode>General</c:formatCode>
                <c:ptCount val="8"/>
                <c:pt idx="0">
                  <c:v>2008</c:v>
                </c:pt>
                <c:pt idx="1">
                  <c:v>2009</c:v>
                </c:pt>
                <c:pt idx="2">
                  <c:v>2010</c:v>
                </c:pt>
                <c:pt idx="3">
                  <c:v>2011</c:v>
                </c:pt>
                <c:pt idx="4">
                  <c:v>2012</c:v>
                </c:pt>
                <c:pt idx="5">
                  <c:v>2013</c:v>
                </c:pt>
                <c:pt idx="6">
                  <c:v>2014</c:v>
                </c:pt>
                <c:pt idx="7">
                  <c:v>2015</c:v>
                </c:pt>
              </c:numCache>
            </c:numRef>
          </c:cat>
          <c:val>
            <c:numRef>
              <c:f>BIOCHEMICALS!$B$13:$I$13</c:f>
              <c:numCache>
                <c:formatCode>General</c:formatCode>
                <c:ptCount val="8"/>
                <c:pt idx="0">
                  <c:v>743.7</c:v>
                </c:pt>
                <c:pt idx="1">
                  <c:v>624.5</c:v>
                </c:pt>
                <c:pt idx="2">
                  <c:v>693.2</c:v>
                </c:pt>
                <c:pt idx="3">
                  <c:v>781</c:v>
                </c:pt>
                <c:pt idx="4">
                  <c:v>794.6</c:v>
                </c:pt>
                <c:pt idx="5">
                  <c:v>782.1</c:v>
                </c:pt>
                <c:pt idx="6">
                  <c:v>793.9</c:v>
                </c:pt>
                <c:pt idx="7">
                  <c:v>818.2</c:v>
                </c:pt>
              </c:numCache>
            </c:numRef>
          </c:val>
          <c:extLst>
            <c:ext xmlns:c16="http://schemas.microsoft.com/office/drawing/2014/chart" uri="{C3380CC4-5D6E-409C-BE32-E72D297353CC}">
              <c16:uniqueId val="{00000000-851F-4CA8-BB4B-EAF8DDFD5B93}"/>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40667847192001"/>
          <c:y val="3.8579213453513429E-2"/>
          <c:w val="0.87547302299523289"/>
          <c:h val="0.87825897008136433"/>
        </c:manualLayout>
      </c:layout>
      <c:barChart>
        <c:barDir val="col"/>
        <c:grouping val="clustered"/>
        <c:varyColors val="0"/>
        <c:ser>
          <c:idx val="1"/>
          <c:order val="0"/>
          <c:tx>
            <c:v>Global  chemicals market value</c:v>
          </c:tx>
          <c:spPr>
            <a:solidFill>
              <a:srgbClr val="993404"/>
            </a:solidFill>
            <a:ln>
              <a:noFill/>
            </a:ln>
            <a:effectLst/>
          </c:spPr>
          <c:invertIfNegative val="0"/>
          <c:cat>
            <c:numRef>
              <c:f>BIOCHEMICALS!$D$5:$G$5</c:f>
              <c:numCache>
                <c:formatCode>General</c:formatCode>
                <c:ptCount val="4"/>
                <c:pt idx="0">
                  <c:v>2010</c:v>
                </c:pt>
                <c:pt idx="1">
                  <c:v>2011</c:v>
                </c:pt>
                <c:pt idx="2">
                  <c:v>2012</c:v>
                </c:pt>
                <c:pt idx="3">
                  <c:v>2013</c:v>
                </c:pt>
              </c:numCache>
            </c:numRef>
          </c:cat>
          <c:val>
            <c:numRef>
              <c:f>BIOCHEMICALS!$D$17:$G$17</c:f>
              <c:numCache>
                <c:formatCode>#,##0.00</c:formatCode>
                <c:ptCount val="4"/>
                <c:pt idx="0" formatCode="#,##0.0">
                  <c:v>2846.6</c:v>
                </c:pt>
                <c:pt idx="1">
                  <c:v>3197.1</c:v>
                </c:pt>
                <c:pt idx="2">
                  <c:v>3484.9</c:v>
                </c:pt>
                <c:pt idx="3">
                  <c:v>3839.7</c:v>
                </c:pt>
              </c:numCache>
            </c:numRef>
          </c:val>
          <c:extLst>
            <c:ext xmlns:c16="http://schemas.microsoft.com/office/drawing/2014/chart" uri="{C3380CC4-5D6E-409C-BE32-E72D297353CC}">
              <c16:uniqueId val="{00000000-3FC4-4E3C-BC88-6E528CB0E6B0}"/>
            </c:ext>
          </c:extLst>
        </c:ser>
        <c:ser>
          <c:idx val="0"/>
          <c:order val="1"/>
          <c:tx>
            <c:v>Bioderived chemicals market value</c:v>
          </c:tx>
          <c:spPr>
            <a:solidFill>
              <a:srgbClr val="CC4C02"/>
            </a:solidFill>
            <a:ln>
              <a:noFill/>
            </a:ln>
            <a:effectLst/>
          </c:spPr>
          <c:invertIfNegative val="0"/>
          <c:cat>
            <c:numRef>
              <c:f>BIOCHEMICALS!$D$5:$G$5</c:f>
              <c:numCache>
                <c:formatCode>General</c:formatCode>
                <c:ptCount val="4"/>
                <c:pt idx="0">
                  <c:v>2010</c:v>
                </c:pt>
                <c:pt idx="1">
                  <c:v>2011</c:v>
                </c:pt>
                <c:pt idx="2">
                  <c:v>2012</c:v>
                </c:pt>
                <c:pt idx="3">
                  <c:v>2013</c:v>
                </c:pt>
              </c:numCache>
            </c:numRef>
          </c:cat>
          <c:val>
            <c:numRef>
              <c:f>BIOCHEMICALS!$D$18:$G$18</c:f>
              <c:numCache>
                <c:formatCode>#,##0.00</c:formatCode>
                <c:ptCount val="4"/>
                <c:pt idx="0" formatCode="#,##0.0">
                  <c:v>94.57</c:v>
                </c:pt>
                <c:pt idx="1">
                  <c:v>115.1</c:v>
                </c:pt>
                <c:pt idx="2">
                  <c:v>135.91</c:v>
                </c:pt>
                <c:pt idx="3">
                  <c:v>157.43</c:v>
                </c:pt>
              </c:numCache>
            </c:numRef>
          </c:val>
          <c:extLst>
            <c:ext xmlns:c16="http://schemas.microsoft.com/office/drawing/2014/chart" uri="{C3380CC4-5D6E-409C-BE32-E72D297353CC}">
              <c16:uniqueId val="{00000001-3FC4-4E3C-BC88-6E528CB0E6B0}"/>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859027267133875"/>
          <c:y val="5.2608018345700128E-2"/>
          <c:w val="0.6834091170570904"/>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1"/>
          <c:order val="0"/>
          <c:tx>
            <c:v>Wood products, value added</c:v>
          </c:tx>
          <c:spPr>
            <a:solidFill>
              <a:srgbClr val="993404"/>
            </a:solidFill>
            <a:ln>
              <a:noFill/>
            </a:ln>
            <a:effectLst/>
          </c:spPr>
          <c:invertIfNegative val="0"/>
          <c:cat>
            <c:numRef>
              <c:f>'FOREST PRODUCTS'!$B$13:$I$13</c:f>
              <c:numCache>
                <c:formatCode>General</c:formatCode>
                <c:ptCount val="8"/>
                <c:pt idx="0">
                  <c:v>2008</c:v>
                </c:pt>
                <c:pt idx="1">
                  <c:v>2009</c:v>
                </c:pt>
                <c:pt idx="2">
                  <c:v>2010</c:v>
                </c:pt>
                <c:pt idx="3">
                  <c:v>2011</c:v>
                </c:pt>
                <c:pt idx="4">
                  <c:v>2012</c:v>
                </c:pt>
                <c:pt idx="5">
                  <c:v>2013</c:v>
                </c:pt>
                <c:pt idx="6">
                  <c:v>2014</c:v>
                </c:pt>
                <c:pt idx="7">
                  <c:v>2015</c:v>
                </c:pt>
              </c:numCache>
            </c:numRef>
          </c:cat>
          <c:val>
            <c:numRef>
              <c:f>'FOREST PRODUCTS'!$B$5:$I$5</c:f>
              <c:numCache>
                <c:formatCode>_(* #,##0_);_(* \(#,##0\);_(* "-"??_);_(@_)</c:formatCode>
                <c:ptCount val="8"/>
                <c:pt idx="0">
                  <c:v>25.37</c:v>
                </c:pt>
                <c:pt idx="1">
                  <c:v>20.704000000000001</c:v>
                </c:pt>
                <c:pt idx="2">
                  <c:v>22.123999999999999</c:v>
                </c:pt>
                <c:pt idx="3">
                  <c:v>22.065999999999999</c:v>
                </c:pt>
                <c:pt idx="4">
                  <c:v>23.783999999999999</c:v>
                </c:pt>
                <c:pt idx="5">
                  <c:v>26.465</c:v>
                </c:pt>
                <c:pt idx="6">
                  <c:v>29.097999999999999</c:v>
                </c:pt>
                <c:pt idx="7">
                  <c:v>30.178000000000001</c:v>
                </c:pt>
              </c:numCache>
            </c:numRef>
          </c:val>
          <c:extLst>
            <c:ext xmlns:c16="http://schemas.microsoft.com/office/drawing/2014/chart" uri="{C3380CC4-5D6E-409C-BE32-E72D297353CC}">
              <c16:uniqueId val="{00000000-071B-4F10-8262-51B7D5728AE6}"/>
            </c:ext>
          </c:extLst>
        </c:ser>
        <c:ser>
          <c:idx val="0"/>
          <c:order val="1"/>
          <c:tx>
            <c:v>Paper products, value added</c:v>
          </c:tx>
          <c:spPr>
            <a:solidFill>
              <a:srgbClr val="CC4C02"/>
            </a:solidFill>
            <a:ln>
              <a:noFill/>
            </a:ln>
            <a:effectLst/>
          </c:spPr>
          <c:invertIfNegative val="0"/>
          <c:cat>
            <c:numRef>
              <c:f>'FOREST PRODUCTS'!$B$13:$I$13</c:f>
              <c:numCache>
                <c:formatCode>General</c:formatCode>
                <c:ptCount val="8"/>
                <c:pt idx="0">
                  <c:v>2008</c:v>
                </c:pt>
                <c:pt idx="1">
                  <c:v>2009</c:v>
                </c:pt>
                <c:pt idx="2">
                  <c:v>2010</c:v>
                </c:pt>
                <c:pt idx="3">
                  <c:v>2011</c:v>
                </c:pt>
                <c:pt idx="4">
                  <c:v>2012</c:v>
                </c:pt>
                <c:pt idx="5">
                  <c:v>2013</c:v>
                </c:pt>
                <c:pt idx="6">
                  <c:v>2014</c:v>
                </c:pt>
                <c:pt idx="7">
                  <c:v>2015</c:v>
                </c:pt>
              </c:numCache>
            </c:numRef>
          </c:cat>
          <c:val>
            <c:numRef>
              <c:f>'FOREST PRODUCTS'!$B$14:$I$14</c:f>
              <c:numCache>
                <c:formatCode>_(* #,##0_);_(* \(#,##0\);_(* "-"??_);_(@_)</c:formatCode>
                <c:ptCount val="8"/>
                <c:pt idx="0">
                  <c:v>51.091999999999999</c:v>
                </c:pt>
                <c:pt idx="1">
                  <c:v>58.515000000000001</c:v>
                </c:pt>
                <c:pt idx="2">
                  <c:v>55.161000000000001</c:v>
                </c:pt>
                <c:pt idx="3">
                  <c:v>53.305</c:v>
                </c:pt>
                <c:pt idx="4">
                  <c:v>53.427999999999997</c:v>
                </c:pt>
                <c:pt idx="5">
                  <c:v>55.744</c:v>
                </c:pt>
                <c:pt idx="6">
                  <c:v>56.609000000000002</c:v>
                </c:pt>
                <c:pt idx="7">
                  <c:v>59.57</c:v>
                </c:pt>
              </c:numCache>
            </c:numRef>
          </c:val>
          <c:extLst>
            <c:ext xmlns:c16="http://schemas.microsoft.com/office/drawing/2014/chart" uri="{C3380CC4-5D6E-409C-BE32-E72D297353CC}">
              <c16:uniqueId val="{00000002-071B-4F10-8262-51B7D5728AE6}"/>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5.2608018345700128E-2"/>
          <c:w val="0.59286554391704305"/>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1"/>
          <c:order val="0"/>
          <c:tx>
            <c:v>Textile mills, and textile product mills, value added</c:v>
          </c:tx>
          <c:spPr>
            <a:solidFill>
              <a:srgbClr val="993404"/>
            </a:solidFill>
            <a:ln>
              <a:noFill/>
            </a:ln>
            <a:effectLst/>
          </c:spPr>
          <c:invertIfNegative val="0"/>
          <c:cat>
            <c:numRef>
              <c:f>'APPAREL AND TEXTILES'!$B$15:$I$15</c:f>
              <c:numCache>
                <c:formatCode>General</c:formatCode>
                <c:ptCount val="8"/>
                <c:pt idx="0">
                  <c:v>2008</c:v>
                </c:pt>
                <c:pt idx="1">
                  <c:v>2009</c:v>
                </c:pt>
                <c:pt idx="2">
                  <c:v>2010</c:v>
                </c:pt>
                <c:pt idx="3">
                  <c:v>2011</c:v>
                </c:pt>
                <c:pt idx="4">
                  <c:v>2012</c:v>
                </c:pt>
                <c:pt idx="5">
                  <c:v>2013</c:v>
                </c:pt>
                <c:pt idx="6">
                  <c:v>2014</c:v>
                </c:pt>
                <c:pt idx="7">
                  <c:v>2015</c:v>
                </c:pt>
              </c:numCache>
            </c:numRef>
          </c:cat>
          <c:val>
            <c:numRef>
              <c:f>'APPAREL AND TEXTILES'!$B$5:$I$5</c:f>
              <c:numCache>
                <c:formatCode>#,##0</c:formatCode>
                <c:ptCount val="8"/>
                <c:pt idx="0">
                  <c:v>17.850000000000001</c:v>
                </c:pt>
                <c:pt idx="1">
                  <c:v>15.167</c:v>
                </c:pt>
                <c:pt idx="2">
                  <c:v>15.648999999999999</c:v>
                </c:pt>
                <c:pt idx="3">
                  <c:v>15.662000000000001</c:v>
                </c:pt>
                <c:pt idx="4">
                  <c:v>16.234000000000002</c:v>
                </c:pt>
                <c:pt idx="5" formatCode="_(* #,##0_);_(* \(#,##0\);_(* &quot;-&quot;??_);_(@_)">
                  <c:v>16.646000000000001</c:v>
                </c:pt>
                <c:pt idx="6" formatCode="_(* #,##0_);_(* \(#,##0\);_(* &quot;-&quot;??_);_(@_)">
                  <c:v>17.96</c:v>
                </c:pt>
                <c:pt idx="7" formatCode="_(* #,##0_);_(* \(#,##0\);_(* &quot;-&quot;??_);_(@_)">
                  <c:v>18.146999999999998</c:v>
                </c:pt>
              </c:numCache>
            </c:numRef>
          </c:val>
          <c:extLst>
            <c:ext xmlns:c16="http://schemas.microsoft.com/office/drawing/2014/chart" uri="{C3380CC4-5D6E-409C-BE32-E72D297353CC}">
              <c16:uniqueId val="{00000000-94B2-4830-99EF-998A9121B9B9}"/>
            </c:ext>
          </c:extLst>
        </c:ser>
        <c:ser>
          <c:idx val="0"/>
          <c:order val="1"/>
          <c:tx>
            <c:v>Apparel, and leather, and allied products, value added</c:v>
          </c:tx>
          <c:spPr>
            <a:solidFill>
              <a:srgbClr val="CC4C02"/>
            </a:solidFill>
            <a:ln>
              <a:noFill/>
            </a:ln>
            <a:effectLst/>
          </c:spPr>
          <c:invertIfNegative val="0"/>
          <c:cat>
            <c:numRef>
              <c:f>'APPAREL AND TEXTILES'!$B$15:$I$15</c:f>
              <c:numCache>
                <c:formatCode>General</c:formatCode>
                <c:ptCount val="8"/>
                <c:pt idx="0">
                  <c:v>2008</c:v>
                </c:pt>
                <c:pt idx="1">
                  <c:v>2009</c:v>
                </c:pt>
                <c:pt idx="2">
                  <c:v>2010</c:v>
                </c:pt>
                <c:pt idx="3">
                  <c:v>2011</c:v>
                </c:pt>
                <c:pt idx="4">
                  <c:v>2012</c:v>
                </c:pt>
                <c:pt idx="5">
                  <c:v>2013</c:v>
                </c:pt>
                <c:pt idx="6">
                  <c:v>2014</c:v>
                </c:pt>
                <c:pt idx="7">
                  <c:v>2015</c:v>
                </c:pt>
              </c:numCache>
            </c:numRef>
          </c:cat>
          <c:val>
            <c:numRef>
              <c:f>'APPAREL AND TEXTILES'!$B$16:$I$16</c:f>
              <c:numCache>
                <c:formatCode>#,##0</c:formatCode>
                <c:ptCount val="8"/>
                <c:pt idx="0">
                  <c:v>11.587</c:v>
                </c:pt>
                <c:pt idx="1">
                  <c:v>9.9250000000000007</c:v>
                </c:pt>
                <c:pt idx="2">
                  <c:v>10.715999999999999</c:v>
                </c:pt>
                <c:pt idx="3">
                  <c:v>10.433999999999999</c:v>
                </c:pt>
                <c:pt idx="4">
                  <c:v>10.587</c:v>
                </c:pt>
                <c:pt idx="5">
                  <c:v>10.417999999999999</c:v>
                </c:pt>
                <c:pt idx="6">
                  <c:v>10.112</c:v>
                </c:pt>
                <c:pt idx="7" formatCode="_(* #,##0_);_(* \(#,##0\);_(* &quot;-&quot;??_);_(@_)">
                  <c:v>10.032</c:v>
                </c:pt>
              </c:numCache>
            </c:numRef>
          </c:val>
          <c:extLst>
            <c:ext xmlns:c16="http://schemas.microsoft.com/office/drawing/2014/chart" uri="{C3380CC4-5D6E-409C-BE32-E72D297353CC}">
              <c16:uniqueId val="{00000001-94B2-4830-99EF-998A9121B9B9}"/>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21"/>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072294671128652"/>
          <c:y val="5.2608018345700128E-2"/>
          <c:w val="0.51146994787680522"/>
          <c:h val="9.140898633323768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_xlchart.v5.4</cx:nf>
      </cx:strDim>
      <cx:numDim type="colorVal">
        <cx:f>_xlchart.v5.2</cx:f>
        <cx:nf>_xlchart.v5.5</cx:nf>
      </cx:numDim>
    </cx:data>
  </cx:chartData>
  <cx:chart>
    <cx:plotArea>
      <cx:plotAreaRegion>
        <cx:series layoutId="regionMap" uniqueId="{BEE53EC7-E22A-49F8-8873-9209C838A383}">
          <cx:spPr>
            <a:solidFill>
              <a:schemeClr val="bg1"/>
            </a:solidFill>
            <a:ln>
              <a:solidFill>
                <a:schemeClr val="tx1"/>
              </a:solidFill>
            </a:ln>
          </cx:spPr>
          <cx:dataId val="0"/>
          <cx:layoutPr>
            <cx:geography projectionType="mercator" cultureLanguage="en-US" cultureRegion="US" attribution="Powered by Bing">
              <cx:geoCache provider="{E9337A44-BEBE-4D9F-B70C-5C5E7DAFC167}">
                <cx:binary>1H1pU+Q4tvZfqajPr2lLlix5YvpGtO1cWJKlWGr54sgGypb3ffv19zE0VWAYaopLvBEZ05OVpFHa
R4/O9pwj8e/r/l/X8e22/NAncVr967r/82NQ1/m//vijug5uk221l6jrMquy7/XedZb8kX3/rq5v
/7gpt51K/T+oTtgf18G2rG/7j//zb3ybf5sdZdfbWmXpWXNbDp9uqyauq1euvXjpw/YmUamrqrpU
1zX58+O58/HDbVqrergY8ts/Pz65/vHDH/NveXbHDzEeqm5uMNYw9izdkFSYpqCGaXz8EGep/89F
Tep70jKEqZuSEE4NnTzc+XibYPR51tTBB2dbZrFKtw/XXnqqu2fa3tyUt1UFge7+fT7+iST3gl5n
TVpPc+djGv/8eJmq+vbmw3m9rW+rjx9UlTn3v+BkkziX53fy//F09v/n37MPMCOzTx4BNJ++X116
ho+7eG0mfhMfa0/XJaHc0DkRXOozhATfY6ZgpqQmEURKXTzc+x4h9zbedtvy9uHT/x6bnyNnqEzi
7SAqh1ga76Y1co9JJii3OCV4p9OnemPJPUPqRFBBLWZROl2/v/c9KofbtNpi+f7n53lZXx7GzRCZ
RNtBRJy/XpuB39QTsUc5J7pOuU4Z0y35FBFCrD1oCGwYsQyDW3NL5mxj9T0rU/UGK/Z47AyZScQd
RGbjviMycg9awimlQkiD6s8smLkndEKJMDkx4ITmurLZlkO8TW9ee6KXteXnyBkqk3g7iMpfR6/N
wW/qC92Dy+e6SSy8PLdg0tzDh4ZuEWbopsl08+He9xbsr3j79zZ5g7L8GDjDZBJuFzH59DAvL3nW
38SEIdqyLHgUeI5nsZhF95ghpTCoRXTCuTXz9H+V0Ru9ys+Rc0wg3A5i8vnqHTGReyajjMCjIPoV
3LKe+hVEyCbMFjEtNrkVqMzDve/15PNtVX+4UqWv3uRaZsNn+EyC7iA+fx0+zNH/XWdMY48IRnUu
JHy/RSeteJzBEG7AvTAKfGDLEBQ8DsNgi6robTbsbtwMjkmuHYTj89eHWfm/w8HoHiwYhy83pakb
fAqznsChiz2EaXeenkjBH+78j7IMGTJd/+HDlx7nZU//+WHgDJFJtB1E5K9vr03BbzsVCtMlEfdC
AYT1TEEI2YN/NwGaYQl2Z+Ce6Eipxuwtuf1fDwNnmEzC7SAmF8fviAlHcGXAXj0kI7P0EcGXgetM
6kBlCsJmrv7iNk3Bo9y+Iat/NHSGyyTgDuLiXLwfLozsQQtgtLg0Efg+SyIFgmZDAhhiSCInd/9w
73v75WTA5bpW1039cOG/t2FPBs+wmYTcRWxOXpuG37RjSCMtyRkVkpuM8XkaSXS+x5mQxGAIjulM
Y5wszsrtTfba87zsWn6OnGMC4XYQE9d5bQ5+HxNkkFJaJkgwY0a5CLE3UWAmh5WTdIrRHu58ry0P
jPaH7PsHzHKT/P0W8uXlb5lhNQm9g1gt3zHhp6AsLcolNSghpoko7WlkJpFeCpA0xEAQQIiYo7WE
AqmbNwTLPwbOMJmE20FMVn89rOKXTPtv6g9FcikNECwSbLLJ56SlNPYYTB0HsW9ZUw46I2FWtxkS
yzdg8mPgDJNJuB3E5HjzjpiwPQYloEQCFNi1uZ4Q3dwjOrgxFMVMac1s2vFt92Fz26vrN3iax2Nn
uEwC7iAu6/33wwX8PfSDI+wSCM/IM/sFp7+Hq5yjFjbPK9cogSn12rO87Psfxs3QmMTaQTT23ddm
4PcsF2MocKFwrDNuIiZ7Iatke7BnjIBfBmX5cON7x79/sw3eoB//DJuBMUm1i2C8o2tn+h4hBur0
hhATAzavRkprDyojTCF0HXQ/ndzM4xR/P0b1PlPVw6cvObaXFeTnyDkqu+nc998zybf2LCx+HeSw
ZUjk8mQWcJl7VE6EjEGm8ooxr9zvpzdq+xbi5cfAOSa7meDvv2PABXpSR7MEgin9zlXMyTALARc8
C8jiKWEBYza3XFn3hmhr/27UHI3dDLUuvrxmJX7PiRgEvStUIFvXDcqEPg+1LGvPQHAMzdARIT+n
Wy5u+7c0UfwzbIbHJNgO+pHDr++IB7h5dKwYBqH/eJKZxeKwWMJEIo+s5K7a9XDve79+CKfSXEfD
w6f/vR/5OXKGyiTeDqJyBb7u3sO+NAe/pyUItXT0raC4xZAGPie+QEqaJkUqQnVpSbS+zGzW1W2Z
ZGn92gO97Nx/DJxhMgm3g5gcvaMfMfQ9C90TRBdo8dL5c8tF9pCqWDroFtg3w5on7kdZo6q3efdH
Q2e4TALuIC6bxWtL8zd1he8Z6FNF3eSubeUZoWJae/A18O6odJn682r9ZqvSNxRV/hk2w2MSbAfx
+Izs9h1tl4lmFrBb6E81TaQfM49ioaCC9lWdwOXoCAFmfZKfVXWdpZVKX3ukl63Xo6EzXCYBdxCX
03e0X8gYwW2B5oUBQ8+wNc8YQd1LAzQKhZrAht317D3OGE9RgKyGuN2+qanl6egZOpOYO4jO5j3R
ocjXUVZBnwT2FDynIAXKlCaySgq3b6ExfF4e3myransdNNVtXb8hqZ8Nn+EzCbqL+LyvVZOYevQd
AYIXevIlh1VDi4uw4GpewkddB8rfvsGobX6MnKOymzZt8458C5uaJiyDY9p1OjUaIw5+3HpksT3Q
MbjKUf7SiTkvcG3U1FSR1dvf9zWPhs5x2U3OZXP+2iT8XkxmoGkC1ZSpeRLVeYqCyWNUwE2iVwxk
iyFQUeHsmS1TVTX9l+fqtUd6OQbYPB48RwYi7qAdOwbd/W7RmUB50aTIZNAZ+UJmid0UIGgs0PtQ
FzDMD3e+z/aPsxJ7v9xt9CaVeTp6hs0k5A5is0FHyHthY2AHkSkQo5l3vRN3uyIe683UDT7FbtSQ
2FzxPMOcln7WlG9UmvuRM1Qm8XYQlU/v6fnBWKIFH8kKIme04c/zGURmjDOkoPeFyGf88acAuxQ/
7Fdv28/ydPQMnUnMHURnAzLpvXSGoeHIMJgk2BthIWeZt1MQHc4GBJrUET4z/Vmr6wY02ZsqLj8G
zjCZhNtBTI7fk5FBrgJOGSoj7ljMZ1GZtYetxWTaggxcoFSIDx5nmse3f5dva9L/OXKGyiTeLqLy
nrtaUFlBFyV6XHQLieSzRld0iCEs4wxWbqJtZqzM8W27fUsn2MO4OR67uYvleP2wUt+B4zf2TLSu
oLcVvcdIHJ/GyFO+L7D1SKIRTAjxbBf+1Di03iZ5Fai3bPSeDZ+jAzF3UVsO3hEd9FeADRPoCDOx
gfjZbm+BXheBGFpnk9OBX5k1H08TfHBbVrfDa8/0cgrzeOwcGYi4i8h8fW0Wfi+3nLYbIXFEk8XU
RTn9O9Mcjt15+lTOfzlKnmb3a1ZGrz3Rf8blfuQcFYi3i6g4r83B76FioBMP7UgM3fiwWtAMa4YK
+pHQyY/NLYyjZGk88/l3meXbTxW5zy1/jp8jBFF3EKGT9/Q3SOzJdKIIKBdKUQqbb0ACZ4OSDP43
sf/PGeaTQL2hge9+1AyNSaxdROMd97BO+oL6GDbi69jdzcizriT0ZegS24yxLYlR/ixGPoliNFS+
ZTP+z5FzVHZzK+vJp/ezYgwnI2G/PaE4V0T+s7P7MQNDqI6trBKY4N0zNvmkvPWzNzD8D+PmeECw
HdSS8/dkK9GYj15KZsGlEFBjcy2Z2EoUkafTLNDAN+85Pr87qeqtbOXT0TNsJiF3EJvLd2ReDOST
YPBx5pElyUub86ZNxgJkJUgz7Nx7dvrOZb0NXtPcl2Ow+1EzNCaxdhCNq3esHxvwF+BbHtKVu46w
x5ZL4EwLNCZb2O51R5PNu5PeflzFz5EzVCbxdhCVz++ICthJhpjKwmE7bGovnnPH9/4EdWUoCsPW
ogd9uK+2fN4iu0/9+i0+5fHYGS6TgDuAy+uP+Jg/fvKbv3sWooXub47WMZyCQKl8dngFTnWzsBEP
oZrOoD/PapWzswn/82P9B3P29GjDJ5L8fzr48D8fivjjDEl3W28Xd4dPPjoX8fWrd+LiMMzZ0Nd4
//u527/58+PEDSM7+XGo5fQlTxjiH/tLn4253Vb1nx+nQyx1Y6I60ZOBUjMI5g6H8kwXxJ5pYH+y
ZSHRwfk+07axdMo9cSwmwbGL2OGEPo+7srSJFLaaQog/P1IGRtuAAZU6WJ8pbP9x2udpFg+I+n7M
xj8/f0ib5DRTaV1Noz9+yO9/bZIOBW/TQMVo2rNu4C0OQsP16+0n6Dp+m/w/v+v1UeZZs+ZRXLtF
UqoTLczCwyovTuq+Ja4ZB8FKJVp0pDydOA0tcCRmEblhfsryMTikTXOs1VFly7zsHMHL9IjX1Cli
P7CtJq32a9JuKl7IdamnxcoKWomA5sd8vyAD5uKxCNOBexJbWdBygXzfhOY8FaEo/NFqx75e6dhD
7FSNWkZaQm3Na2I7pbR1xoLajSVuRKbFv7g30V+6OahR5E4wqwj+nt68NMKWkITXq7IIlrLNVkVs
jHY5BIuYks5uPP8kN3PNjorU8QzVgBx4TfYX7w/YLFRrscYQoT69/0j6KB8Yq1eJrE4N1kUu6Ujn
VKlpJ8LXnDLaL1Tn6iqpFpKnyv7F/Wfr527ycWQFuEcDy5LLmfx9WzdRzDH5nNeBE5btJ79MA9sY
OLF1FkjbMGrfFRJH27YydrphYHbCVlJfpIlR2UZear+YkpefyMCGZigX9pvNZqTuA88z8rpeaRkz
bRL2wSIlrMCOsVcnHso5W3Voip/CHHhLVMHF7DaVL42qLbxm1Y8kcweZhYuyN8Or3OucyKz9A91P
veMRB8hK2pJ102ndqSjL3olFQY9ygwWruDfNw1AxuXr92aY5f6TTwATHgsI+oEyMXmScVvF0TfCi
pUZA6mZVFTfC8w3b1IJrZlj2MHgXCiyyY3ph/ouV8HzapzMWscUfBVAUbsxJUR4ZEi+Iwk4aWbMK
dc6d1LNiJ9etDMWw16b9pVlHtw68IPbroLltuv7oLrqsaEiiCKL5vXRHCTHKzKzs2CDFL9bRS7P4
+FYzgFHB9Qufx81KDsqym7h1/Sa8ycMot3GGQWUPRuCqYMDW6dcEnIotz8CTCJ65gUNgsIBnBnkI
IlN2HRQaFc3GDrQ6XVuJflgrkSzHnDK7tU6CcGg2ed5d1IKFi6Fo1zANlp1rInLbmBuLLtRWWmfS
dRQLD89Nl60JuyubtrOHPjoqeK/bbWO1C09T30vfGFeaRzfe0LdOWvrfK2KO6yE6LWU2OH7EQ5sM
VB1JO/brM9Jo31jB1foXkk8TOlu2d03YBD2/OLdjvmxl5Zs0q6G4Ma2jJenVmVGnhh34kEoL2rNa
L+2ia7WFaK2LKmaxHbLhtEtb4fY9bxdmeh5XdWHrmkXsRhA7l1nnGkNYub4y7LTFYqFtq9tVORZO
zLNjKcZ13gd2UeguGalxxCkLN311rZJUc3zZ6Wvvy2BWoU3D5kij4efXRcYpsC/JDN81GSuO/89U
NbRiMxp5XK+yQiSLphkPuyK87bMhs6vucgyzyBkbqTkd5/06HTAdGv8+WNWxXqtlPobakZ/dpBH+
1fWvVJmZW+bka+CNZKGMTDnoRlyaDc8cozaXvhGLC6vx1pb+d6jJ4DLp69buBPykVjTUobBmdZsM
DvN03dbr5DCxqtpuNFxjYXLWt/LMyvLLujkiUWizdChsdDxuaK2T/ZQ7rD8MR99yjEBQW3XFQde0
Z37eXcr2MOqt0smSRrkZO9d1fil5fF6GnK8tU8sdM20WdSs9nFJ0EEdp4JRME8tR5Iab0Q5+lKkr
5ZSS5Las++Uo/UsjVKeNaE9KM7dj1Ya2HLrrIae5o+XpsCB+kWDu7FhEB1SeCncwE23d5s0FWjNq
p9PqE79Th1HFkmWfXxZKjPbAYsPO2viA6UVth2Md2QMvqR232ieSCcvOrOug5NeZKE85uzCzittJ
wb9RYl6wkX0RSeDbmtXvJ+gBtT3sPbBriS8p2+bS9GXrhrxUqyzJDRv2StlpWZ/EwfCLVfXccKGW
i6gVphjhHbYIYc09spF95fOGd9CjhtXLPOlXso00h6j+wutL6fqB7nhxmv7C/r94V5yAhENd+ZTZ
z+5qlVgd1hjB7epXldGdNVn8vSnN437ULksWfY4s88svtOd57IWSNDwBwUZnHJVBZy6n8q021eIG
sRdrazuNEti28LzU6mpRbrlox4WlH+q1Fts5H09fv/lzxQX1ig54VPfQZmWYM8X1G96GXZtBXJF9
yUu6DAeq7bMx0pZ5TQ/0ei20G60TyS+meWp7nFlJ3Hg6cB1NxtgEOUc30T0tqTvMM2vEsQUNWxhJ
0jqxP/T7EfZLJMgZHN7WtR0H43EF42kbabw126uQN+RXT/Pc6+Np0EEjURfAYUt8hnqktJGYuVWt
+h5RkD6ZDT+PFpZfKTuRAzSzq8hxJfTW9ll2EnmeG8cyXCRBd5GZNF3xWHdfR4a+BA3i4emYDpz9
hGNrnq7/osjYqFpRrXAWkXTiWFvk6EVZtqq9yv3he1t1pl0VmWcTk/rwe/HnxMg+DcLTj6qYfI16
4tvritUHgdQGO2oIs4WZhzZwdWvdvyAh3dRKF8cIRdpV39le7SWbYgy+B8zrFzzCV78u0l1Y89Q1
ogSA1ou7ciVytVks4jNN07zAqFaCjdYqdWu/OSbCSxZp28Apkyhz2lAVTmuwxA7jPlqPFSvsmE+K
nyBbq3RzS0eELmabVk5UuV2e165pVdZiTAxXdHG81Hmqu5HvGfsNkxc6zcTCN4PR7dkAE2YdWb2o
1zyDwD7b9w241T6O1z7mKFNB8ovoi5EX1jkyY2KA1512nU7XH1kxj5RWMsiuWrVR5dRBsA5EbItA
G9ZjQY7aunB8HrD9oNNip0nT3s6C76HSXB4g4G8bpq0Rng/IAnvTRQLY2Zib0R7bgTpdmH1J+qKx
wymZrQNzWcd/a7K7LINYHsQpqRZNN8U/puEmeWnYlLeRzWluOGYbHUi/8xe5V412oIbtWCXcjiNW
OrFXGS7Vq/MuM29eXwB3Ud+zBfBoNmZ61tVxx/xsqFZ+QyJniIfSoSMp7UwknZtHMlnALuRO50W2
SdrQsWhFHTT1XLZhjb7a1yJU/pKlRwAOJw0rhHPTZ6ZPDi3rBt5UKysR7apjcjhkNPrceNbCLMhw
pHgrnFw1nl36PgxCTE6SPotOhJXvWyxej3jwIy/TMaW5VSNVHQ6FlRh2OWqjnUwxTpgWTs+ivznF
l6gi29akafctn+W2V5jSxWRc4GsvStmE7ii82AnaLLWJjNJFItX3OK0HxxP0pI65t+SJ+SXJeWlL
qx5sY/T6VRTEiN/1/YDCRGErWuKiAmote6tJbKV/Npi3JSK7NJsQvj23FqIuPjd15RhFoI5UYTis
9G8kCWP0yLw6t88X/bRLkeHgGo5NIhPz9HjRY2upiLwQ5lSyaOt7deZqox7Y2YiY/vU7vWAkUXYH
/4NEGd+qTyA/Uq8qjsy0zEi1yv30e5gXTiLyNUznqeyCxA7ywE4TFjgsZRev3/iFkBdcGMV+cQvd
/+jKnNmywvObXHgc5jnli6YNK7uRPduP6uoaBZzeHqXnCtrUtplGps19XS2SAZm8h7jeieLMzYW8
YbxRqzHvTWcIynCRqaVnkuAXZveFhQ6qFXus0NU7nTowm6PaVwX1Qr1apYFv2V1xmFXhttXj017j
TqLU90pkvyKz7oKWmaZPXREoZFFQc2j4egqM1WpVrxS0i7TNMXojXNh+VwjljqY48qVXO9Ss8qVm
GWuwDJ+oJ/dplbZuZ0WebWTstDfK2g2Cul2WHgLNUQ0XinSHtfarEOh5vgYgpzZOnNmAPbTz8Es1
dcuDFjapk1nt6rkwYQdFYJt6pBwehN9fXzgvrlikSBK7RTiaeWfrxrTCyE+avloZ6aar6YYx3JWm
5jGMs2HHWL+ONfaxq/1qwT7PyO+aH1A2mQDBSZNPEQkr4meE5dUqGevP3cDOiEB26AUicoK+PEG6
4hAf+WfUB5pj+rVnh7xyg1ZDHu75iSOTynQMvV3qMjoYRzP/haskz0kRPODUuqFDmSWfW41uaPgY
VBE0SmNbWJUWiUwdLqO82iBvvA0UouOWyaVJka+J4TxnvuuxMV+Iko5gyOLvxoApfB0u9hJeU60C
BxAIFJ3mC7n2W48aqV6uhsYPl3oyBPtayvfjagzdfkDwWtWW5YTK15d+q/suAsf9nIJEbEKZnA7J
KqVcnRt9f9uEQXfeEP8s8Krq2E8PLc0YDwsZHI+wNEeFVTSu6fF0pRBoHqfwC1ZINrUkqa2swNqM
OdxE2iKEU/pgLgLTaj9XxSbNkSGoHgzPflXX27jnX8YmzvY1IxRXtPBvxkItopYEqy4N+k1M4NaM
csyPstytCsQAr0/YC/OFzgFU3mATEUuT2foONKkGnprFqvW5Y4wqXDRsbBdd2gRO1vALFTRnplZ+
D7tfktgvxFqoiTPsWhA4WxCF26crXIUEdH8pipXZx2Id6g1bK83zVtQzIkdmJtnvyvKgbZPuIPbA
bxpGwQ+Cwfj9nAq5FDrz0PuNIv3cM+RpPta5ZMUqUsNJyZLWLiJdX6guzRwRkG0vU3I8ZOlRyGj1
i+X6ApE+HSgHNhdJjACXP9NyOnp+mDW4eS0Gbjd+sKIy+zvMff8o8Qu6UJqVOv447oetv8yDIviF
Fr9gZSx0WVkMf8yBoAI4gx+RUlpbAS9WcTMmTm7tG54TyqqyVZhQt9R/KTFSoRdyScSUOD5EWPjb
OLDjT3GXEcsafyS4Z5tYf2dUhE6X1+ZpD9JmqeryPE7b2CV9YV1o+NtgWIbejSGC4FD0XrHye886
DbVtGurBokkG3+6UCpyoM/zThtZHFSmY7WeN5tQiUG4sDO1SepWTDyW3ESdHR1rUi6sKFFOle/k5
DeLP1dAOjqjKcFv31tIYqvisipMOVYSMwwPqSHvTXl2mdd4tVJ7464T2xueIsb9bM+CLjvYpNL2R
G59MX8SIt42EtgpbB/Vv/RPYHO2CeQgjRcevlBWF+6C/vI2nYt/OMqadcr0tz0bqxXbTGWcobBSX
9Xcjk42t+tb8LI2rZiThbQtev+yoXTbqQiCDOMs6rm260mudPEmRc8vAsz6Fwhps3x8Og0adjuNA
rqqUqAChp/XFq8J0ZYgMFBH+oNRJasVXiGSa/TL0x+Oe6oc8b8hBXVvfkARFm5z04ZEcY92Gh0yv
+iG80Eu/cZNutJYWqYevAeK2ZKj7Lct4DNtBI7ceNWVHetw5w9Bk56ES1zTIx2s9ImepjL/WidKW
KWVqM4hGbZq+vsmHqnOCpotHWyZZs0hyNSLfi9sD/H08ZGB1PJauisrBDknSmwvV9o6IjepgzHJE
9U38udbCZkWmn+4+EsEondFjiYuDttQxPLs6rrOsPhhAk9x9RGTOD2pJV3GquqNwesl01t6/u/vM
i3q3aktvpXq5DCODH4F6NI/u3v186RK/XeQdODnJ82Q5KAG3RzO18bpBbXzWg+v0h2Lhe1F2GPS6
ltmWVmeHhSi/9WaG7GX06gPld83B3bsxSeJFHFPdjlp/PNGycjxpIptmXnFy9wkqf8OJikO2lmO0
zkrzqE49fvrzpUgbRyFWORZJFbi8ivpVCvp9XQ1pjxg3Z5d9ZATrWiSrrm5Gu+485tkRUqoDqy2u
BiCwDITwFzHh3jmT2ZIMKfmsBVl2WAXIZTSEyXqea5/qnGif+qw4a2NRb7Iw1U5JCe7YUvXK6zXD
5T73LvwgKg6CqvKdux8ThPibYYzdpur3y1ZLNLsXUXeKMKHshliz61A1p1XkCj08pFXgnRWxxe1K
6+P9Ni88hxRmtgx1MzxjWRuegWBqF/2gRnccTNDvZhscGrpqD70xD50a3VlX8RDGqzzLxaJOqXdl
hpXmpKxOEFvJVWX249XACCgMvx03qeaNVzRKDjT0rJ4lelleJd/i6UNWBfF+36RQhlysCqQvl75n
DedmndqlIMVlMZSFW0V+Co7cCBdm1qBEh5T4xKyUcXL3DqFrh1zDFrJSS9LViJHCwSiPRDGKpSii
b0Ys+YGQtXmQBLGJ9c1sVnvZcdsnvoPyWrniJHATyHI5cZQ2jaSwA+63yzA1yLmepJGttadNllcL
a4TYVutZl22Qmq7eS7EyIty4VU3s9qTLN9pAx8M+r5YVPSRlF/monntndds23/yefWmb7pCMaXpi
dtQ4ziqsk4zK3tXKpN5UXWYzMw9uAjMZbMp8Dg5CL5aZz5NFW1WY0LROzsekORtkb35NQpkuqjbv
97Veq77w/gqHQCdXhmILI9dAHKdhu/KSQn5tgoOCDuY31H/7ZV+O9brS/OgLN1Fonz43DUS5cV6P
TtvDrBoyqy5Npg0OLemwbgJl5+UYXqWD+gZDEn9LDQ+/Hp2HNCtPJYnMqyBcGr5Krvqma84MqTbB
cJWzglzI0spOZNJf+k3pXXI1RsdhrV3f/RQzpTZpFad24mXU7VINaIB7PYOTsYVveufW9DLULAIv
NLLDGCVQNw9puTbSpnZHkEvrnJLh0vJM5iqVG6i3ZcNlzHi0iIX+d9/1iVNkYXXe9AHZWEx9Kqu2
Oq+nF9KDP+gzSR3fj2onazlo59TqDrqUokY1/Rg2dXiu0tw1O/2blZTtqpC9WHem9aU30gj5mgld
pBHWCBNr4kfq7+oWQHfrVusaOB/JTj1TIB/nbhlX/BhlucRO+0iuZFGjTNGVxQIGzzzimswXvFaB
2yt/OPFlMZzcvWsDBDJZFDt81MLl0Buo5/VVdNoneXBixldW4fvLpOUWqDGfHuqtQQ5zCsZGFGJ0
Tc2kByaB77UKa1xbQyIODfBrUR4ci0Fkhz6J8kOWJ/qiqkJr1Q2h00Q8XaJEW51RpUeu0TNxWFCZ
HyYmwyoVY3By5+wyhqtB2CHR9/Tx+O6Fo25AIktf6VXpHzGrWEif0H3medtR1YdmUCeLsLjNtPba
9Ah8Dng2CHBotdV+EwflEhm15WaiXyhW+4dE932XpyS00yw5oMO4LpFG2JyphdZaK8PIb1QUfYoi
z0Btd1j6o7rVhnJV5r3NtY4t0orhKRD3tX21yIRcj3RE8dULj6qg+lwXoe3R8iZsjxj8OBIYp6/Z
11aZn3RtiF3QX2cI5920R0uKiCh8fst9t0AMqSXsSDb1ZzrUp2M3VZXzk1j4k9dFZclj6CQRNhfR
Z0m9NRv5NaXBilVq1dMDr7Vg1rTvaauOBypvxrrv7dTIHM33ELQK2TllTJxer3MHpVBlUz9rF6IZ
S0cbigMkQ+EBycarZjBPC7MdXRLn+1E57htDfNamNmuQMsV5t9+HLLXDniyNdFxVSlsMLV1Fvuny
GCVHMdwi4zzLDdRXB1EyJ8kZGMhkMDBtCFk5xMpTxMp6dNjWbXdk5pdRVLSOGfJPIdNHp6mYbpPW
Q1TAwdd6ie5WSl5LEhe2Uklgj3F9llreJ3MYC1frB7KqQkQmmp5MJKNwOrBxRSZP4rCRi3Hsaie1
kv26Sg8Sw2xRm9ROVN9v1WgueTYSVy8HCGSQb2muH4MqaR0pV6lOXTEi97Sq8SbolIbiH92vW6wv
+KTWKbQxtsuylMtBKzY00kMXHSGZU+TGqV5qhl3xOHRaEjox/UIbeTxUaPxpOZZqlMT5gkZhtSiC
4rgTWvq/XL3XkqQ8F6x9RUQAwp5iy7eZHntCjEUSyCBACK5+Z/f7//Ht2CdEdU1PTU0BS2tlPqlq
fBeYBlaVLTrPDlWvwkfsYY6QRrNmtmF+3ROUhCj96y1WVyoj/zxJ/DKLFSmGI38M9njx5xwTMjah
K7okqaPQU+Ugl/40dAsrIPz7ZU+nvrDMW+s9hWmRHPeU2vXiKGXlQfp22tQtDNjn5TiWIpbxBUrg
PwkpuZeimFfxN+P8H5nVUGyHnIoVnUWRWtMMAuc4svOXxJIfU6ABGBhTxK/RE/NgRve5Ra3bXOX8
3BQs9PABax8AQ+yVmi/XPGvUMOvK39bxbru+OcLkJyiOvlimeGhMEvfFtFosu0FSBXzLimlfboRH
Y8V99y0OPK9Nt+3JaEsqBuezCKbtuiqsS9qmZxEy03ZyLEjvH+d5Wn9LLIBc7+xl2c2T5SMtVkbT
Sk7aXYdtd9ePRzPzK9Pn69nOWHqcidrt6PVVO6KuLMWYC50xDrS+jlnkAQWh11xOqpj81NQ5y2Wl
fGjGGZeVFb25ZmtvQBnMvS1VDAn+48mVk+mql/5G3Ja18G6ma+AZKIranyo/H6YrNkVVuhCbDtvV
X+/p+z84Rbu+YldtVM/AxbhLs0I5A2FcRVn58d6pcLIhKf8Na4Bdee/YNcHsXkg2r5U1NkS56v1q
9If5Gk88At73jn0Yd9SWZQ81DKewN149d+KX7bWs036YCmFXdV3fP4SBw1zIZRTDRfHWK43T/aT2
uKUw24ULt7PIemg5WDMLD0PgJTOJLEgye1WWr6ddAxvZts4vSRrO148DfMEmncP8ZLy4drNgZ7PE
ERA1fCV6OVL4/5PJ5JXF3lfjdVszv//08RRG8BuTKa8PI65MTfJ6CCqvmTt+ZDGaJbICLIMQpes1
SaZCdceiCv7+KU/YqaQK9CGveHvyfHS45xdBzjzDwk/98br0ZrwO74+CjbZHTJfTINdvme1Ug5+6
y8dBHenSRDL4IsdeoJzEafHxPB9zlMqPh1vMa8h06WmSe3/dh4FePx7l9Dh5LMEUtEXNHAXbiWnb
pmaKFM7G9JXq2TX//ejRfLziklrLiMQHSApMeRmQCI/x68dh92J2derrqHrx39PZEmWFTLiptkOP
slkiMmPW6AAArqt3MdPwK8BgWsPMyC5ktSPquH2QIXcXms73ibWZNBk8NH+D44l1LUhx+YwL8U4B
znihBRtOASa4OtyitDxGr2KZn91HKFb30emh4Lmvm8nTIW7yAcDGnJqmp3+PLOiuEPlMPQ7GlEae
eTL5TdzFGK5Jdtm9/Ci3IcuKCN6DN2FWHQf/97Z6WxksKKy7n//Zw6VxGXX10DFcTYssTR7Qo5y9
SV4yAdUb8wgeHixS8xU3sbwkH8/mvZcNhd0Pefl4dn3/rXgKeE06SBXeHtSH79PTx/OEygA3xfvf
9pM1IwBO3n/94/Dx8h+P/I1EJc+H7L8//e/f+e/48VeVF8hSrJ4p/3vy4y/pj7f7v5fTJk2qcOPj
//Xe3Meb//id/95JvI9f4/BI/3tL//tP0I4mtXPRVxVahp77/Q0PXnyaY4dlutfLRYZuuXw8Gt8f
/e/Hj0cfz/0/vweUY2zWVX7+eP7jsPUmfGdn//+XSvs5biZHnz6eOth41Nj099e8SIzKWacKgQ1P
q48f/3c4OAZpdUw42x8PUdPXS5S7uMpGclEBenE6zXGZb1NXGTXdrO9FdzCUSaWPeG6GhYvWiaCr
tEuzwn/3Ah3foxJw3D/Hg6V0fRCXTCS/sRDpwkdxbgdDz0TIo0r7lTwvezA3YyfdPckwiWuY3EJA
nDFzHrSRXsZiA2AVDtvf0Xd+e1AB+zQ7oN9X3gq3l/m/MowuTxRSB+bsTyL9jo6NVgaFvJjEkZaz
IBycK2pPMox/Z7c8TBy+AFgB9unYWHW0+6qg2BdecniNf6Q/8vQZG/s2yk2/OtePl26f1ho7mGH6
75bPI8dIt5qt4DZhrVDsTM2RtMgyf5IL4CJ5TCeMVs/HThqW272Y+64rNognJFhuoxmXMlv9vcxB
+5Gks8UQuYJsMIGZyitjpSltKkwpxukX+7TZ6YVFXVhoQtA/9c9EueeQq39LFNdCeH2B9fOvtUHX
0gWDR0aWys7RhR8TpgoOF8GBsMBgB7EIGgsUMYMOacFQ6tk6UCq7CaK/u/Vp9eVrN0xba/osqyBG
5s+pVb+s5LQesumP7tc3b5n2evU3XTLprj2nPwVvPGFSnNl3LHGNqtBQU4tpbVMl82tvwCYw9EaB
3LzTGv5NZBecqP1MgW+99gHaGc26mwc+5Rrs590q0EjEv+X5oush56xkq2KVPwlZrYwFWJ4fXP9R
Ue/qGSNwE8R9XwyxGsuDBUlhfZu2eW/mQgx+8Y7il8E8YbE3A2StYHh4nulPc3f8xReOD4800uoS
mewqrGPgyOz2QgCeMaG/eqOer2m0OngdK7qdaFL3kelTbCP/vA/sBOnpi4e3cMUeKeA6OwsbsMtc
fURj1KiUd6c51D8x3doKHo5q+zS0Tywp/BUtn/Rgy+t16UvpUlNZ2JsA0ic4iiLFQKgwu0MCE7WB
OoA/YG8YaPaWwSYqOHzZa2dfwDHl6EzQGwA1uCYm+WzDbC6Gvdi9EYiLX/FVeOcDQH3JnIzOIpH6
JpnGSiQ0+uABkm0HvvuAkggqin5PeYIV/iCsItyY2wJ9aM5AZkUiM6WOe9DpW/bNBXq8ZL8GbBD2
NHUt7wwvjzh8rD0Uhtl57DT46uEHoD9sHKD0U+pKvlvRJPGct2Bf84oO0Y9t9G05RwktKUO/v8LA
xVhRHgH7ShzgUibXuOIKgxNVaFJNL8dynMbG88YZ6gfTVaq2DTKW3Ful1+c4HE1N8SI5dK7zus5F
5M8brpoxq3epMEFm4WMMYQsPfoTWHpt3l51CYR79n+8MmPYMmhF8OpjroOiPxz8JK9lT7Lun9L91
c9FlDQ6vQCeftCIBriUO3fRxLnAb4e/nbglrL6DY2LNrnIynGi23qijL0zvdKAX/zKZiksA5YwNP
GrrfDZxTVmkA21g6o66JjNtPRqmj5Qsbqi7c/jCm9hdUQIAwdl0LM7n1wgY+Nftmh9IcIjl7mOYC
EN9Xgdm9TyZ1DSwaMOKHXyJPdI1AruWsgjVGC+Tlp91212nlW9XnnH5aHPnTxXelHzOHj+PZmLwr
wfz5UEF+p4qU4ojRmxmBW/v9LtrItJ0nFzylvcEQl1sBjzJtE7IDy0SjfJ/eD1vJaQRpTi7pZUnz
qPUmc5tzPdz/O4SojQvJ/3UTRYMFE6L28w3WXxFAS23Tid6UBKYSM16msANTWIAQByeJsXVYrzPA
+SsGSleFGfwL0XdGgaBjENdRqd67ybCNTX/ODZSVkAnwCJ7MiqXfapmmp2SXXmPYdF661RRO/owC
HpSaaAabnIbVl9nKpBkBYUHa6sqVZrTp8TVrwFxRrb2dQxjKt1Pkrz93edBz2lm8lii9Lp9rrCth
jWfrTDNd6zXsy2zOWemny3hlZFCFpKxJWD//3oT9HfquZAOaHekzzLFOBugT978qJOc9Ie0+7Am0
0KxwxtM3UM6tRQf7HIR9wTHLFCvQzSJcCegac3xjYR81nMmvx8LvtIOp0W+Ct/ByPFxuCHqIVZ16
qF4NyCuzv80dquxIl7iG3fwdYmNcorkFuxPKwnNHCDcnN1c5tLkJW7mEqFEr7swcr0lQHp8mfHw7
fUKbujV69fsCaSheiiFIm5l/huSN8FHerJI85UeWg6xNR0jqbCxTvT22Xs3oGPKs3sT7jJWN+yUf
vTL1VvdM5+uy56UKl+xpQAfYj555MUT/ZkOOiy6yw90N87dh4qzdIb40arVNDNWsRp/cV0wBjDO7
zpppCO40whSielZuahuuKcz0ekTRrvo+OprN2IulLqx3KPVlDPr5ac6xuBD7Ghw9+Dk+USyx6B6s
ZkG9f0ekQ7xaGEgVH2RUplLKUkHyalQEgC1bmpsDI362/fBnC3pdvn+3T4F7AgbPSH6NYx620WZQ
Y6F1nQJzdPWSbn0BQ+0MXWY/x6sZrrNJS7vo7uyJ4wAV5X55cU6u08Lzm8vzvhnBVILGCmG2uVwV
Kbi/B6QA/zaMUxmsHX+eIsyw3R4+BblyWeGtij+/+MwdxQB79dTH3FJUW/8o4sSFJyS3zDPpXq0h
4pMe+2rkffgMRkF+Ahs/NJlclipYv5u1028x5+vdUfYdt9v0tmQr2vqYyiLv/oWWi29stdPV154r
/fcfQcaJaknC4UKscmc6QmOY0r7Z3Bb889h4zfRSm9xVdorTb2Kf+3cIECpJill1V+4pQyYP8YYF
MwGkpLjj/BSG01alwXY8EXzMRcwjcR4lWsgdL9Tm3tjsE/0RO3seeWZfdEL7BzzTx+K0eGPjeoIE
FQBHG/8t8WJLspq+iYT/b1ieOCD+27T9giAx3weOmNYyAq2kMr9wsUZlvJKw5syd/WBecXf5iG94
q71ymFkbCJhWAOqBt4W2c5/8ETVyg0mC4UX2HTsRnaC0o02JceFe/PA3y9Y63i0BhdcHdcQ6DLjd
8iMk6pGEQj3iAHJhJxZ3jufjvHHZOIaw0rAfjadp8mx53EY7Sc4wbU922V6xp87y2LnxsYIEttFq
D4teYHXt4vQMdo+22Cgpv40TethNfjMhdeiQGLy9ID8JHf5KF5+cc07ujkBGII7Uybaa1t9Xexnh
NxVkphjis+gmXP8X0ToIomm61QM/knqUWzv6KjkvSCs3/bisQPyTtUz7CAtut4/QE1x0IqpJbUcL
+Cj8yaLqBiyIXxiL48LvRFoIzaMmlFBEPFhgAE32OmERKf1tXk+HGbszUJ7zQcewGrMRWBUqxWaS
hkCqqmLl67MZ4r1Iuv0LnYL4SpBYKEQIlJk6kTcyM2PpsKnwp2AU9ZxAUlagW1qdCF7AqGJFD97x
KYc8XoTTvFcpjLfAn8+oSA7oR2IhfFj6mkW08IFVz3H+N4g6e7YEyvBM4mLZGZq+jesqxJRd6oih
W8iwjPoi8uowWu/B4O2NWCe/eJ8/rwfGWeCuHUyCmP0IIbGe8S0VP/qts3cT1wHl9Ll3CIuMa4Y+
KfEFmosUiorGdIeJ1px8wNrETfK27ReA0xj8+DwAyI1NSxhrAWGCOE/cuRsM0p9zujebzIdqG545
n9KHmZIS8In77M9lx433NXBwZVLzwvepazzifu/oFW9SYfCEuHbLeHfUA3CcFiemO5noa6firvZY
5/1Itj9dKpOvAf+td9HVeez2W5TZ7GzkAR+u77CoD/RO8a1zZRDJz0K6+d4tQ/Bqtzc9hAhAAEu4
U54ND7GgkkDKbwcAJy+CrpCHRpbc7fjA7ivhS5+Bms5EP6OznZeXDh3Mv3006cNjOxTsGPBqQkCN
Zh6uXw15wcadKVJxIE30fpijfmlMeqQF2sb8kfsvsL1uYvdPvVHDyRzHm6YLv8Gi2F9NdJTe4WHW
WDnspzj6Ns1H9vJxgGx34kP4VysC884fU0CoKSvRuyMM1O9vR8fdHeuBfY2sf6Eh/bFBJoZqbeHQ
UFBpqZfP92PtBOYCz1SggfCxEvmiyBCUXrpukIZXeOzHSPB9yWCfM71lZ3QMGqpcZ57Do1rj5v0L
/upIkr1OE182KxX8RuhcL0N2XCWE4pqFPimcD83T9yzsnBh28xTTNti77WUAN7LBpJy4y27IjrpL
3gPeZnr7y6Ztgmd0RPWkpbvEGFgVY3Nl6YRYreiDaqVh3wQZZMXgOoy9/iRjhk+pJAgt3fYR+Q8i
aWNi3RUhi9G/dzQvF6/rbyyTzwMl7ERhMEAB3cuE6G8w31FFIskax7moErbsT0TtSwl/hDfh2K21
XLkp6Q4zKIh/gUX1zjHVWesCdgFvYK4fB89seakdPhitmHgRu6qxX1/wZnHHX7idV6QIfHvZWfZd
dv1fD+HN55EQoJJSnwFTqWLvyIaWUer6GISo9o2slTIhnOMp6c9i6V1pxNS36bFOp1hvDPI/lLt9
d9Be6bvHz+A9x83Cu7ldNnSHE8u+HfNxH1cF7J1s5upSpmGKyG8Ixi64JHJWUy/4tUc++t993C4L
ZuKWB9lU8US8hMdqHsIy99R16rrvQVjtgsSNRBVq5Tb4lU14AXqIft1nL0CRHOeaeAD4uoyjFeJb
WmgoEk9x/zMP/02pJV9ztYHrS8bvykM+1EWOf4eurssOl9gWJWcM1gmqNwJ/GyUTkAFiGiq2NxFw
c1doKWLB2jVZkiJDHT0jAgN1oB0Wy07I2L9JSnXV5SEpt3RD77FkScOGZT3zYQK6kvvTY736Iv2b
rSHgzamLqzDe36JEROd1WYvMnwErhICQhZQ4o8uCuSMDJ7ACeANqs8QF85Iedu3xJ4lA4SqY45ge
tcIat0+t8pYS/gTAd4RBll7ppuOjQWAhBbKOqWhYBkA5gPCgax0hzn43FcSsshpY8HPq6jkI0el7
sP0WnbejDl3R5eqko10BNKBrqcGZtmN3nKzUunIa0Pugqy3r4X7qNolU9G/zz8iPFAOU/rhj5NkL
AnvpJu+k/LEeRghXoYP+k3Tr3QjvuxPudx9CCxFrv5by2F2hjyg4K29/Omya37U3mFuglqwCTSVg
aMJEnYKgkSRkNdb791tXloMTpiHuG1ch2pT0Mi0C9T6aKpNME5b6tC+inOsTQTvF9q1Wm3SnhSAh
n3QhkEtIMuglwNfprVwU3FyheFYMnH6bVg9KLTR+DKngefSOUc5lj9Ec+0X7Qzt0e3rt4yYIZrDj
3iyrVEL8CuN8OXk5CwvsaULaznQCbsi4XFS8/IEe7rcZmeYCQemt3mCyjYP6CZssafeeQNbyEK1B
F1T3ISUFS/yriAdZOLJ2rxPEpd3Br12RXrh6dqEY85bXaaDYZWDogUOsXvRpkT/TMBovwGBtsYg9
qCaq49P6Ptd7ENbswshpR7y39BhSCzGkcGRuOWT0CZ2jSL9SL88gL2rZTj511aSPAbCDSxtUwytO
lkOuwWA28SfyZGVwQfxuLOCqbuhlAYkbbDBSIAgVlZTO5BaByjmLTTzn6aJuUnIoP7MxjzRFz5ks
7oYifBSuG/KnkUEHYdDWGJ/iws3LGzoog4uVAJah8xlbKfMqQpYf5mdf94vJ28MXwClckU0qrTwx
mceaHm8BnLJ3RSq9BOEoqmhVO2ZqfHCb3jH+J14HyTN4m4ZjuaDCXaI9GRC62X6uWxiUnCuvnAnk
PVpHXU7rcEL71qvgFx2XES6H/DNjaG+dll3pqb9ymOkNiF3WpDH/s8XvUlfYjyeOyH2cbaoKkSJs
oqz7FYbyqeMfui2E7D2ETzZThH9XXNW55yfnQNK4dDn8F6HGuewX7V3nmKORRbSwPHoZoc6Kv/B5
MWQJtC/dwbFuW4hFmcchLGh3J8sPaBglRyPyNd3O+2LSyxAsQRnEHGcnm+CKUjHVCPBf8oP8NCn3
G+bT4eJ0sgDkD+qQ2fU8Sb5iQEcpQR/5Irt/QWrUix/FO2iIzNRSc94mPe7MNHcFNMccAzUA1Ryx
kZ68L6wiPw/j9n0ZDbv2y/6iZVr2ZtK3EcmCkicKDuGBeTibgWFtMcFnjH6AjRCD9iH63QWQaKJh
wVne4pNKN1sksRuLwebkEmferxFBYh+Z1gaSI9YDu2dXR/Dfi1yWID8yLZXoIlP1sByf8p2eSAqk
CwptX0VTR9oUZstAk0svMlVse6DOmZeMLYfs19jou7972XVyS44A68bOafRQEFmIh4rjeS99EGNP
iTDHFRDOuJFH85Wk3XZBsE+1+vCTUsF+clECQ59MGhSJRt2Plvz6cRi3+I+Gtgbtj00NxAt2hl/0
3GU6ulFDfqGn9H+PJnqJO58+6D5lTUDZPbUbx/pqgxqSkG1kh/kHiTOc4LkbMWsmJ+gt7CvP1ePY
VleMEMG4frfHlv5tAc6Khmnkl1CK8zTM46X3e3OWLn4hMnVtOKFoHcMEe6/EkkF7W4zgPH4vaNdW
k33tRoPmfCND64ZoKEXuOfQB5DNP5Ums889QzcObhiTUwi4D4WHJ9BCreUNTtZ+dL4ASyPGLRI+0
04WcbW6WAkHwuksHjGmazqhIW1TaAYLpniFgP3V7QZeQXoyPVXR1HWbDKUbAfB4wChxIYQQ9v0zY
0OAGZK55B9lr6frsZabKlp7TfrPv+Y8U4FrpJz2C4w7ZA0S31nJUy2kKFbm6vY+LHLPYwiG/DdgW
AULDFjSGYKY5lH/PjwDrYKpb0cOL2QePF5DG0nuSD+2scow6yJfjHHevj7Ebk4bna1hHE+7yWYdQ
aKjs7sJ3J99F+WVEL322I1LmiZ7BO4Xjg9rRO7m+wfvAXO7x112lErzNTh85IoOUIz8R9sHYCviU
sKDcfD50hFHZu3M1kzL2I16R4NDnRS5bg024girzuwJxEAtJM/k24l55FsFu0CrQswRB9SS09xC7
sec1GeZH3vfY+kDT8b7hvqTEBZdYKMAmrsNGCGDh6PCgS7SW8xiz29BpnB67hK2RI6qV9Hn5Ufgz
i2ky9fRYqCUMz1g7HmxHq+hP+ln1/ImEEH2PyFajx+0VJzPFJbSgkGvtn/Sw3qHKT6WZTPKpS2BO
UBN+UhI9SrcBPrIDnCHLgl+Sa/nM0rm2aoq+ZxBaSkSB8JaQ76jlJMgX354W+3fRS/Q2EX95zvjy
JmfwU5iHw3Ig/fglHulflST2r1LQ9+I9Lw4DHjb2MAqzY79ZLyHnOXTDHRuatUfu9HcsgxIMYsjr
IVH0shIDdXzd0wcdwJR0vRKls2vVB9N49mCldyx8m1n+SsWBi8jHdL4roksEpHcgi4I8FoP1o+NL
/GT1YUuKjQgUpLyn6f2w+2JEWta458htIfQBP/p8gBov6PYFObn8fcbFthrb+Lxr4k6z0/+EHqYy
4+mUYOgHUBTt7nnLg/5hfF/AbniVHSZfSDfpNYbOWWUIM0C+p7wMfUlrr1/TCqN1fJ5mwxACQLbt
0Oj7DVhajqYWHJzCHgoLhrpw85Dj7YcfQRw8IZ3stYht0iY0gNxQ7n+kwRGjI1fLmamtrxZmhvoI
hwQJKjqfImSdPg3i+KdxfbPMyrcoX8lpwhxdDLiXD9/6T5tD+eHpAGb12JB/ZIO6C/MOtkTZCmv1
6K7CaLgsB7sh0Dg8wuDWG5jbaiECAEn+soy9etoSZS6DxVWHxNB8zZLOv9tIzo9wHs/+pD6R2IP8
jGTOOTMGDc0Sl2GKjivIe/LZ7fkrxP7lYjNaRYgIFLvqu09ghL9EW7YV/jAN1ynpxpdwxg2vSM6q
lDAoZFDz7jlXEP9CBHQdDcUNHi1mLG1PIg/2ZuVL+KLcRyg4rqZ1TG4u6efH6vv3ADWjmlcV1uP7
KuKNkG6TnoG8A9u0wcCKx0NBF1yX195T/ktOL3PSImw1/h4gT5WJ8+fn2T6rZRxvI8IFGDyH4BvA
RAS4A7MgC3ZsXzEv2u3e6Sj7Tvii4P5gUQwg/6A7TOEu9X0JzXL9KR0Hupjo6CKC+QcmAv8aGqwJ
OSO1jzh4uu3quoAnx1lBcRpGS583R95Uhl4vCigUkvdDBoMKW26sLxzr9zNiEC8BYUWCPUIuEZ9B
EfGAXe2ep+UyIW80x1uBkXXDVYtDv2De9o5tO43r2lo7BOcpj/lrBzAu8ac6RV0sBbHHNYGAcdqT
foMkIy6bh1igzkn/xTDIrr2YuxvOukSCcYIAHQ3yx9ihEcFmHexFyDVsZ7ijX+BtA9N7gbKXRMNT
KADcieWis1R/Eev79IzdBYw9eYgN3aPe/9zB0PynyIQlMI2fkxVKn519vGqXkQdcoZdhQzOULd1e
79glqlKreKjDMvRPGNHVoP27D62/6If10wJAGZ+rZF/pBHlnypAX23bTRMFOMNEGZYwm1Aqr73oY
TSVAZcKHylGEedw9G5H8zPpEtTSxn0KvfzIUwO06SNd2yYyhrcM/Y6LxJd6z7AqfXsEJ3jh0krE7
yREb/9hoty8b0iUbcgffEgPhcxjYS4C0IYySMClwTyLl0Z2R/muSOUz+rMgpJF09KGhTHwceB+kj
6iP/jt2Yqr7y4Ad9G6PJXJMRF3wwSP/bYuwKSI1mV7IB71tnmrajZ8VdMw52O47XzxQXN8Te4Qtg
Kt5CPsRIdfTpWc99UORbrn/tsIh2Fvg3yrH1gc7y+BKSY8Ugl4DvnGHVE0F+Z0CFPs+QcNANxFOJ
7zswYCo297rvibp6S/fXQQ56ZR0/Gi0BKuQfepUEYyo1JfBuIF8lZha3bP+Xpp5zFSEgO7GpTFBi
h7u1nZb31AHj5HN8bLRkoSWXubPk8xT4/9+PicZ6h93i9saMdj35Clj4KJ0479uOsIDof+wrYZ9H
/ZrrXP0fys50uW0kyNavMi+ACexLxMREXO4USVEircX6g/DW2PcdT38/FG1RZnu6Z/5UILMSEG0S
QFXmOSefW9X1Tp3WgbkIw0en86Ujwgfr3Hc/kdUZ9pXm+MDzHOsxSl3/WRG1iKbP71o3nTvwPj/5
8bivHcMinRINn6KMTBsks10ZA8Jgm6PtOgtKlOeUxevoUsKCXJDfwc1s12VJzsEBzYawQOOsooYt
tAEIO53g5aNR9usq6Wz4JXF6bwzwIFONSu4A1HzZIiy4oroLotKosns1S/4i1WCvC1UGwaB22pYV
ObcEi41Zn1DgdweJxwwr3blc9+OqcdjLsrYeDiYL/nmedS3rO0nZOIpeH9uRLW8eeerzQO2hbuzm
xAf7ayhLZzECD1k2kd9tUmBos7KO3D2w73pJVZMCq1uaxwhEsR3N67Zxd63Hgjepmr/4OkkQelXF
D6nRVmkSTa9iRXtgp6s/sK1soPwYu0Qy+mXdZ9FSfxmMJPpUeFL5ifWbN5Ol2F8bOeujLmWP3Y31
eG/0JMrqwXppNLl5AmLLFtdKhkdKO8r96GaLJrLCAxQOgwrk8FaatXIQg9QqFHvgQJK/wEeZbFMW
Tru2g3HHdxXfgdZTTq5xFzRN9JhXrrZzk55nmsK2xrS0T6Nyrh1JfVG+xVVzb/eO9+xLqndEUeSl
N518ERtWBr/N745NWXXHxB73MGBd5w7Jm1CfjeQNVunAEnWE+EqZOJVXVVFWQtFgJ0cjb2WtqudG
HqgPjR5/CR2wl32Yay/gpHxAdue6ZUcSmoq3yrS2PPhVerT0VjqyYQAE5LfkeMaw3CmedFflfPOI
pryYo9Js9NZCQtFqP7OzULYQx7QdKTtv0/dKsnJ6ODNlPKZLBxwoiZNIN3u2qr61VD23WGRw52Cb
lc8+WfE5xe4vsa76T2PzYNZ+soT43y3HqvnR5vVpyBV70etZd0Cp4q7NNAPxOO/Jcwp51yS1PjMG
aVzwnrDXnaq3F8LlTw3Rhwun/qKF+S2jPBV4fn1j/vf9l7b+UfzXdM57jJALvVrrH9kkgVv9Y9Di
/P8+/cdfWfkfh/Pq023kb1fnE/z8hJOS6G/G8lbW9H8QLj39qJq4/h8mf1M1/ZY1aV0Opx8e5Lxf
gr6T7qc60VvfhSn+pmn6RyXZ9/N+6pqa5n86FmLaICwcVUF685ewqWLRHNDR6R5IB2dkHibx0p+6
prQSgt+L7hUkRdGLs7qImipI2yKAhowT+Hkel6r1fxE11ZSJrHv5wqdPiToSV59aS2mqZaKifysJ
GpMuTpUuMn4UWnYwUpk1ZEExL/dRz1FaU33q9EJdJNCA1mJWtiXlMquWqXaZjePo5+yfzhWXEsF/
OldxvgRe5pP0yIudGOw4LvLZ1Xb6oYBGy3Djg/6Z/wqUqr2Z1v0GLEG5vw5x7nw0Az2RdpSS4Olo
L14eJ3vkY705qxHtpRhSedl1vNVVs9BfVKv+Dl2gO3pk+xTfh9hSIhQwdsObgQZIWivOSzulFp2w
pmIkW6O+EIv8gSrdThyBpnN3rAbNknUVy39hR66iwQ8PQYjJ3lK3yBjUSKN6bI1GZdfHilWsBIxI
2L7ZwKZ05a95FLBKhGqyD0c/28fT4JPjnMdyrs9vJoQpBjMos32UR1I1E4f5xvG6aC/m4r6Xlp7f
h0t4t+2q10b7PqSauvJy1773p6OxhzRTOqS1cmXN3r16pjAgPdRxRjYZbuWsz1toftPgShGDhY6Q
kafdrK472Dpg1ljX5IUHjaiu7xWwafdeTs5XyYJqqU7chrIvjbMPi/rg5dVTkSTuQvZlo4VvFFZQ
MeYWeLVTI8f1iX9Hu0kDki3CJ4bpXpk5QehthWmOqnf6p5PEhWKj3WgAvLas+rNiZgTNsOvs6OMg
fDn1jQ8Twtfq+dPP75yl8hC2G1Dq8bHUAv/supKxBkunoMln+ue+GpRZ21X9IlS7el1EtbZDd7y5
y0kNbmxk7XjthuYytcfspPY2qREp8l8QokxnXe+0uxwkCWinPp6HXRU+iyNUwn4eVZ0UXHzXIzD1
6gYCh7lUSGLOkd8w0BF20UUQNgqQxtpLHG/TKgPEh9EvZlLV+WerJ1cwlm2x8XrZPuVQiGewXMPv
ft8t68JP3tgKKAtfl4IDmsXu3tMifeHWgwvkB1JDkrssccEzGGxeIAPksZqRBfRBIJKEvYf5lN0X
EMlnaBvmKzFR2oOvcN8wQ1kOJnKRf7Oa/lC48ZsKncKf504h3U1mmraAZDJrlEDlZ2/cnpPQwy+z
TPXyEUiGoo3JbjRqrZjpka7swjSO2MrTFXepdaB3hPMyj1DJVzNP/I2VGMEy8yVz3rRSaK8N6ZtU
J/0hslztPulJ9YZWPD63cRfP5CLw7JRyGmBoxcihqxvR8OCMRn8ZUn3BGcFHD8qrs6wox7WrE9rH
PYU8dVjDYQseM+iYM3Uok29Bx4ohbPoXo6LMgPJzND0txMBTz4XeznNEmIl4mFxtvsCjOyJVbJVK
uK9bJTn4pU5WxDLGVw+VNrHdIeVwhh0XvCS20y1ldvr7DG7IIUDt4BLapiNKEUn2L/KKt7IJtCSW
HRWldiRVp9bFqnwjFWEpSdD4pm//iMwg3k4qAvFMdYL8TsrN7K6OVGxxeGvfhn6w/3Z4e241jNFc
At2y1LVRfmoK71QYQ39Ehyh8yjpAPFUCrGGAXzt9zWKgoqTzDEuifRrXF3+iZlS0xCy6NCTLJKgh
Iu562vsZVz9kBHSExRn//jeKtDwUaZeeB7sEo9tm3WOgAvp1TT9cGGadf/Gi9s7ryQewGA1AorjJ
yivt/EuLzq0XfamSrFoBcLU3ZhxVz5KUbJNw4qPV594jQS+ZtXECqnHw0C14HQzD34y0XF0qVt28
pm0BVrOs/GNiVN6m9CyKLiWkcgdV7rfWrYZ5Isv9vk3t4ZxExYM1+SsbGqKcjC5y2QYgx0aeC3/j
hNZqqEMVPnTkvyn1EeqY9eoC89y0TalDXcTttfq2DvOAtatd72rg06RLveBNo1T2YSH2c9H6UbAd
ZcWbtc2kA8gTT6fnHCscforMf1DuGkPNrkzZDL4jhKyhtMSrK2RD8KbLo4m+tsqaIXe1UzPavMqz
4U2OHRN+aF3tx2rQTmznXwZuWDjvWbgYYjfal5oMIiUvfx4Jn4QGDzs1BDZ+94vYvjF7BJCnc6/T
kHseSg0E/J8uJ3wyENPcbx4tQ8+WABm7vVwnxh5mG4KQ2ei91mZ4hB5mfocjBD9Vl19EqOrrP0Pb
kcTve2hmxdb3TNIewjxRXtjEZkslh5Nf+rUHdErSpZEktd10W27JVRfqIXB+juRYhzHmNf7Po99n
b+OkHnhIlHHG73GZXSl3akn91E4deS8N48fByZVtqJnl9sZ/jSWDL++FaRrZvu4TdwNYdwCF8IfL
CZ+RpUe1i3vInpwqLiz8t6cljnySIrVbsFGmNhkPn3h5kpmyFTJJAzzRoLa7r7CFDmPkAWoPoxp0
vNQg2Rnks9pwypMSkJ+QjPQJ/fTwqPqy+vRujVNONgiKJ7VNQhCgWNOcsFTeVNfI/9V54/QX3q9y
/Xuor13++vvc9e9Nc1fr/ZMZaWxtI7jXiJME/sHOPX3eGyrgCUv3DsInjq5DJCa8mCK40v+M+1Ow
37vu5p/vZOt3xR+dvZNGt2j2J6aiU3u2bm5kIK6SSpVR+h6E8rkeS/vRtsLwUE3kZHFHsyT4BsDZ
fmTpExyKdz+49G/Vu78dg46ODOowLSG+AfJxPsQLv+ZZ32L3S1A6Jwf9lmbGza3s3fef2eVo8slj
VYA+BVTs+BVZSPEbE9NiEL82cSQCeTvCe0JWs5kJ5+XisP7SOWqo8kLKWBQXMfi5tHXgcU6L4iTT
5LUvwwMRpowMzWOthBcLfqtx1lwvB+KRwL813sY6ntsumZ+4qKtjp8IOgr2QfANPNg9ds39LWCYv
rxGmAePgrmptcwvtJZrViski62qTH/nnb1HIzmUTuScVW83pW5w2u6pqTHhyWKy/P47zhkIhzyD7
u+Sh0iLNDAWxKLExzBS0nFTpkzDg2nZGLn3K0eg+IxvakslDAsg7mGbJqvDdzF2ZD4w0wmXWCYBI
Ot6wkHnfGCMkWE0nFVPl5PuM6UibfOJI+K6zWe5K62ucOOqC7qSklGo6Cxa5pav9igR8dYwAo18G
MZE1Ts+m8JdPhIy8ZNF/YiI3UEqDLMJ5KNX+vIyIFoFORBnvn/+Pzb/fKdbUVcBGMhLRZfb0v/8f
A3oKJLn3te8GBJl5NXG1BGFLDCYUbgQzJmdd66wOc2+p1UEFc/uXq0j5YtAI15ZjYOggNyP9nsI7
KTS/OuhDo1MdYBD+AMb50hkUEmK/T4jZ3gFHVoJ8qhu0g8igBVZ8L0MKWgRq8loAnt4aEL+PVd9U
QAk5mvw0ooA5LWKjkFKG3qCLoLfq06hmMOGsYFd2ufakRYP9MM0Vsv1hrposXUcwmd/lMlOlYlt1
ebgTRyG6G5ej+P3oOns98jor3EWwbNb//N0o2vSf//sNYNOuQEe0X0ZAzbmVW/Yt343DQS6/R3WK
6vDSyp1V6Q/SIbaLB2D67VZYF5eluHRHSZth4SF2TC8MYU/RYj5E+e2us0qQ5LZ00BIfuNvgZB8u
IyZEbGCq+qLOunrm5tDEwmyUPhtqekJ5CpAZCZKhBnVGb4OHXk2Lt87NvXlcp/JZ9sd+mWaSeyhy
OaTSnBZb2/Q1yv6RulS6sDxDIYV+XPne23RFP7Lgn5R73fWik6355VqXcg21piL5RjeNddF3w2vQ
gkQeJau7U2LTfRARcWl293EYhrNa/Gann2evN/LeEr/ZrkB91qAQvmreZ66BmYo0kOa16TzttOrR
6bNZDAf3rBeOf1Y7cMqBY0NvnXzvEXWP2LPSg1Kb9o+IdKQr1XWDRTWZwhfENJIoHNZ+lthxeu92
yk7tUQQKn+SEiOsqYfUoJq7XSsTGNaUVhVJJ9Z1e+MuitlNIej374enImqgFOdoSO/Lhyxu/iBCT
05ki9HqSMZ1ZTme+X1ZECL8IU4P+clnhujn998tWYCf/+ddu/+3HbqimbtN3E31eHvm3Upu1Gcjh
QK3nWzSkCwVxZNDxY8EOXWabbip2gnICZmG4lIfLcCQfzp5wJqZvAkPbt6z5JVwE0Ynp54Wu4eKS
whSXtHPjGMMRWgVhPdyDjM8pxrlxc5/vhGfstOE+Em4rD92V18nAj3ip049hOkPMk7VtZpYVR2v4
kMP9ZfrnVRSySCieJMYyQ+MafWUgl/CR90qYFclCHIqhkmIq/95SGHKnl/sPwdewYZrxkVbeSTF6
fSDEZsJ1OXSbgBeQpQGgq+LsUKXpsMpZs88scm8H4RODQWYBJOwUY3fWPpeHcoseEMySa4w48hF4
vlxBmE5uOP8i0Kzov2smsmozHFln+8X+nycULSdv3kVIeRlOXktfoypa1uQuaMkBnG+hZA3U7enN
cn2X2K3T39tvwoEWFKHinQKMulhE4/gzXvjEmWMw9vftN54k01Wv1/r9+pc/GoTWXxZfKcjb6jGZ
htY6+bJePFzWDNPCgS341QM/JHrIw71ON4+e7+UxQh377Eitt6gADq8pPkEyH81wZxYowInZHuWR
83SC7vIcEC4yrpwAECWuqnQt1jaSEzUL7pmMMinZcw+G9kKNlWwjT6bv/poVmffrrMi8i1m0vP92
rhLJ6VMGZBWcVf8XXLPkwZf99DJIXvt9zIEfCJeYbOy43YZq+RfwiPQhlmEr9CDB+ZckwJdWoeYt
2mnlCBwfAXV1MI7FIDc7qzJQz6pc762y6JaFyP7rOMK58uAcuH3jL3i5+Oe20PyzEvU0Nqilo3D1
QU95X879BaRJ3nGAVpdO3aTg34J2biiZcyxo43e0piMIzt6MbEq8vU70kaMfUBiai7CrX1ykqVPk
h6bzxQS5wnGmyRKLjQDl3h2qIWQ3IlZzYZ49yJL5jSpn/wrFPV1Z1G3XZp4Pr26THVGz6E4R8vn/
/CC0fler1S2yYrKuyzoYAso2f+t/0XSuDRxw7L/2JZl+GWUyKZ2Zem9A3dMeMwOa2tyq9b+01nd2
Yyi3Z9K21SZCr34uTDG0+ScTSYOTMNSA341uWe5KmL6SGgcvNB6F1bhpe24D9y84iM1ObaX8ntyq
fslzDYO0hK8tQSgi9XXJVcW2469A9SFg+x6niSwWunpLYCsLKb4Ti7DEYaUc5bC3xLor+910Bgd+
oZWvKHsZBy3OziK5L4Y8Sh68tszvhQUQvV/GaNCApZuqAWFpXuMzcCOwLmsdmE2vLcRRYvb2J6QK
99BVhzfhp9WCfufUrg3xMb/1a53McigMQA4gb+b+20ruRth/+k5NC41r2XRsnZ4LfxP2L9SqHioT
YY8B6njquiXM4+Y+7AeI//2kgQxTuT+IoyyitR9ojHv2c5VxJ4InM+nccJg52ikG4XZwoMNscgdk
VC11ycGaOHxWmvRn3izOrISG9sVKkGNqAJNQVQZg3kbqd2sYUDGQjXuVnCBc3DQlw2UP1JVYkRQj
CsYzECzpw6Sz6ljjukmQsPBbNQp+qDS5XKQD7SjG6dVzHUw/qPb2NFx9kCjg1/XwY8GGLx2Wd/Up
a81t6pYXXVkt9NGNzHVji+yZ9lKb9t5VnfyEYFx3CmvUbao0es6to2WN0Z6PEu3FkRjssRyqibSA
bHysbISvRK1uqaKxB6d92jZTePoECNBdXzfaYm9+NcXGWuy732OFS0SYUr50gTJuKxqb7K7DCE1i
l8TJJklqdaNpXl4Ag/0VcrEtn5+o6Y5bI+z042iiZpAmxQGMoX4Urpq3Dt1z+oOweMb89LeZHKyG
UO7mV58IoYbzpjSTHjw53vJrqMnpsqt7c6ulJtuvfPA+J1o6YYCDYZcNSfqilOHFn0Ex2g5+GC7J
zPmftWxqH2MqzlFPUvMR0MmTOfnpG0a10undNRoXSG+pgz/SfgXFgGHX9p15RgoveKqzlUg86dWk
coZm6pShohWh/27EUxgAi2uYF6yKEJLBPz8laf99szmi4xedGWkhYKusHBD3/n210GtdmjvpqH1F
rKoCvS7bezFI9sT1GOBMXn26XwNtRJHrZ0wax/KeO894P0vE3pgi3pBRt4uRg0S5tD77EtyYcML3
iWEw5Dl6aYibvLvMANjzUKjphL7WL2G+ZkYrU67sufBpXaQsDLTVVzTd7mG3VclWKEEXpiQvYc9R
0e0L5xNsoXIT1SAzhRnCAd6h/lvPhNnYQFNbWT8IK/LH7NPE1ZlOFENithsY19aD5wTfQjRTkYok
6dzoPSSqac8yTBuQG588+aLf464+yaByfam13ZyH6NSwMzo1gifkfW6iJEKNoZWWiurzShk892AC
egWaE8mf5dGDgt2Y338PjSzePvoUahRtu0BisFvbpW9ReWn9e3saCpl0LspSgGJj/940ikSeiVlh
d3Z/z2ZP30pILCGPN8U48NvvSwklUc0f0uWH8wpJBY9ngwMofD8+amP9NsLbfA5Nlml6QnJMmGXe
6Wsr8tOlMCs1Dpaa3bnrS3Ds+nM1bsudMD2peLUMvzmaXqk8+3TXsTXjRzPJVUwNF8+A84JDbiqv
4i0mXNTmduxvg6OVOTShiPQT+FPqnGJDpoCsnuUKuaTrTu26LROzakHe6Ga/JrlytoVGidTx6PL0
qZsBEkFAR5+JoxAiS0E1Etm4afAS9HKEOWZRxtMOOOO7SxyJMBEhTDHItYWYjUuPE6ruAZrCjY2i
vaWB7w6CVzPLhhkg8/EQdZ777AxH32qDV9k13N3opulcmCqchAVE12QrzKxOd5Ct3FNYhp/dyvwS
KYOF3IsLjdXPkqfaj4H2tcOb8AeTn64Nf/Rb5NTvAhoZzEQ5tIfIgMY8pqiJimqomLiWTa++Bh1e
2C2os8jaAWpKtuLlJ1P0xrwOzrvpyij9GIUerMWsR+6DzkjTdFmo4WEMtm5eaIfQCVHH7vV0qY2a
fejZhs+8ris+kzgY54FvAtgjM/mUNy43e1B81iNJX4dqXK+qUc4/F6p+CHiznyGuO5fTxyns5vSk
QTFk8rNU0pfIsNBRhxaHV/iDltGqIUws7U74WAkoxwqkp7CG1AL2RtOfFVqLNBVqnoLeRR+MXTmb
A4qNaEJJ5bIVTSQmn2Eq4VFFpLlBxfVDWGq8Rh07H5rdSM6jPpxGkntIOjkpIreqFqwMrfHPslO4
02QxYR/c1vyXZkowrm/eELT4pO2DAzh+6vbyt3a1ViKlRZu2+VvuAnFDn8JEiTdAj1MLFMbLMd0t
jF1r5fJc9U1EIsTUJUBMXYbSyNdhN0m9VD5tJJI0viSi88m0+W0uxZbLzcwcqmoVL8WGzITBcZkN
2yR7dLhVBX5B4BnEUVM1TyUC8dur/wqFQDLhMiniBSbiGubI3VM4VqcM0ZcxjYKnKOyXVpuMryrS
CFufvtKkuMrh1enGntVQ799HTncJk0arPSS9pM7FgofVhbxyDSW41MeE77oSuqloXINvllM35vXK
vKfgVE8lketF1b7d11oIbQ1dN1GXTALw8lLUveglGkx6GNd7R4qcveSh+ypJyJFUWnkfVCT4G5Eg
Tj169MDtjmZKXhdHcLL9uVPlO97aw6tWGcmmGkrqBZMpwlSgTPtcaVMkLGmvSYYkQYSDYqz4fXtD
8tTmvXx3+TFrUGk2WsIeV4SIoZ6CfTN7arpMvrv6r7HimpebRjKyy/XCbAjm1egjXTjG0YlMtLLo
0Z1Y5hO+XwxqEryNiT7shOV2iv3gRq/CEOf4lqtutdqpAMtwzp+u06eR/C9LLGNqoP5b/lkFTOiQ
lQFkRMvcv+1aIrR6EhcZr7caescdeTn/EOuORxvXIZlHbD4QwzTSaiGcf5oWE3VufK4qPd+JjWbt
HBvTa0/CiMqyWtBnyV8LU+ob5SC7/emyyY0i+Qf4ZG/flraxGRQYEm7fIz4AA81bQDrMFl05mJsi
bF4Ctj7weXwAPOPoHA29U5CFGLUXO9XDO+Ezp3RBOEjU4mixIaxx0Glj6o5gm7o2r2CmIf8OK8PR
H21/hAPAzjhRyTzIkekvxW4ZeQv/kUL23My87iwiYBtQwEnpbyPMwjLtu25K9AhT0WJ9VkQB8ir6
mO5zvV/UrJbuTdSJ7seiJs+o+HK39BoYy77dIGIvpioJdXN6tmwGxxtRQ/f8TTbQjcoDLHxCXrRd
jCR3Tl40tAgDcxROvsy11YMklu1WpDi8IwNK6bH/YPgqZZNpEGBn4WfT9yCsMZARlAod6EOR9TBK
7Wfx6Kgyb1y1uZTAmum8HSRUcwtzB+IRoh8CslarabT1ndKlWMkjXQyIlz1GkVUdhHWNEJA3cdb7
NURE4PX0W+COn12fi+JhpyqVf6jd7zduYVqt6h9IVQnj+sgUz0cx5zbfrw9LcVToh7ay6Zs6vaxy
hBT2tE3waQdRAYYJje6AIAxgGTvuyffRVaWXjfC58fUWagyN8oqkfnBi3f3LrFFXHExQEEq+zEAQ
fq9qxK9B4X/2IhNpQAoed7nKhlqVaOE7qKF1QGPIOgQwBrapEj3STE8bF/7kExOpfTZ91oCtLE0b
8N4L52lLA81raq5P41XmtAd+BY+25+vf3g9iL7x4wl8H01StWEcaO0eoFsf2QfIrWmB0JanFxpBK
tiI4HQUE56Ko3XyVdpCDAjoGQ/uf1C6aWoaDrqOqLsmRsxKLA54+k6LMMZYgOwBi21+ffxb/GyvW
ewmChdN6oa1ONQ0+l0h2edsuiOJPxL8qrt58bQITsQA0+U/0z6vuLDnXlkVJDYk2HjMRkTVKsKjL
MjqgsWvdmy4aFlFhqVvJznjpwoDZ5excd+U0CPM6lIW87rTY315d8D+7tQaEfXxWSmSfSHgvSb75
9yrVyIeeSvYDxHKa2fejtW4tHeY8tK4WKQAT3flpWp8Cg94P2Xl4FDKLEK5C7My0VnPWIWIJdwqS
Fvs4qpVVo5T8eHRdh8HvWi+FZXzrRyP9kdMDzHKA8c1Gb0CPt+y/RhJYCrWp3MVAUnxmt1l5hjIz
c1TVfIwruzhnYRMs5SZCxGua1ILaOrqSsxKTwoUQJ51ESEhuhSnRjmZH+xE2+F2ETP3YxaieavFh
hKC8yJE3qlZFhcx7kFAOQa4l2cm6SQ1FHAqnGGAuIgQ9DRF9DrNZnlJ8ucYIk8etSSvFXrqLXF+1
Zr1eBnd+EL72We8c3SJxjmiGkahVA2kuR/mwFBNdlPUbt/QkhBigC6E8zGPF7odXVaVy1lsvObyg
ndfn1TwlxVMkejg+jylMs8ZQw5MYPOmpcQv3QSLpfKoNFE2h/r5d57VSR5wOJiyaOpxDO6QvdtaH
LBQg8vXreEAytPPQ+KR75cKhMfo+6Gg5S8cZ2m9N+Mo/ROSerKy6XH/V2J6dPPKfGpuMJ2GFhvfB
muZYaVByniIzBc2od2uaG0wz+pGQxN3FWRM+NGDmLvdbEZP078mEXpbrAnicTqIpOoA9N0/uh1qR
ng27mpfl2H5ypao9yUq6jeNMetZTo98XWqzMuikqzDtrjQIeMoHTbBz6dM2rctDF6EPMxKXVLI4f
EGT8sDlo6bq8Lt3w5ycIPS1BUh1KbhXZ2h5hwVOTWGPMNxPEy9ak1Kt0dnUSA/XSe0RTjGXtVkdD
ZODKigqZHyCv6UyLv4szHoxs3aqUUmkKxivMlNibqVH6kGttChRW6o6hvxWeq/sa6itG8iAm4kTp
p1AZ8tq6zeFGbIJMVpfkyKsZ6FIkgwGXKZn7w0rsgApBXT8ZsQNkX2nGfZ8rym7SBpuE51RpcQHz
xMGdY47tk+xZ9GTz7A9+vdfCQzZmXyHJaydePnM51n5mWjLE1Z2gy08i7xK61ivtF9xLXkYlCTpv
myK7E5OtVzsLCnHxWpiBZtZrekepC3E1cyiHO0uVkCKjm9eqVbKQlKZDrdgtjb2sU1kp6W4369za
/8q999gqkfcEG8ze5GqirWTU2w/DVOFiN72uSin4TgMpFLSiuDm7oyetG38YNqCQ2lM80nhLhIRI
3YJRk9/iTuIbaX3Aa2rS/ksOXP/DYlK037PppGjSPfoGaYI0eOopTh6/BQFS0G3RPCiaVJ2iGn3B
vEIdH9RSfRK+3KoUHvq0DxSmmBgRaLs5q4c2N2ROLZ0NJE3TEV1oB5lpeGrvB2ArkkdN9tQl2Sgg
AZZWIw88DW5i0MXHkL+MklTtUthyNBewUNOXp0GECFOHvvZz5nryh3PEdfqh/PzP+U10H28X33TK
k2H/gIMGF/23/6+qlCu/S7Tus9qmyQqNLiT9pvWEMg3iCI4hr/VArk9wf8Ot8NGZyzp0hcEEdQC6
WkvQtoWziQL7kNBvdB+1FlugzGMzairHm6NWjdWLr38/+r/HdWq5qg1vXIs6pQEgeObrJNbEtliY
no6SlShqChMxbRphTUXN6+w1+HpunU0c+t+Dr6ZXlfwhGlnN6QiC0l2WZUd7iDbJhOQQA/l6tHEd
TVuTgPXP8ejQ98mi67AqF1/LaJBmYJTrR3ga6iaP2ET6cKjZFyD0HPat+Z1OsBXf9nczaqRZEvfh
HUy7ao7YBVJ2fZy+egOPfMnvlbUw0Yn+JKF38ZiqFONA591rjobSZpxVG58eY8uLGaLzbXbucOjC
dnjW0h9hMqav8E/Tnabb0y+bS8M0CBaZLVfoWTI76NIcdcvyKQjknu0En0BcTE4CbyU+wcXUnU8o
baWPDaJBp6o17hOPfn6GEQbbBmDdouwt6J9x7j4E4YSRjYrgKzfH58DOtLMmh9rWDBR/hUxP+WZb
XyVaDn69OdFtlJd//v3TzfTm90+KylQtsCCGKqu6LcBRH8HYGk9NyTGTZ7NnLfKsKzYdHvzQpKEQ
bdUmiisSFu7Ob4tHH0nYtbCEn8qaVSILz6ywYdOQeQcGtulgYiPQCws0RcA4mVtqoyB2MiK91Br9
qShMlDwQvaRtxXASrjTr21UrpfVCmGJCV52zWTYABqeTLMg5NC4an4Qlht5VoKHS33iF2oKzRBzS
W1ljZa3p8jguBZWURSYaKXIdo2kU6S99ACrBToYnkHTetghpF+m3qCBNcKhxrtKbdiFu4sstL27l
AEUDXS93XiOrM4PX0jp0xuqoTwq/Ysgj5C/02EDx533Cn47EGdZ0hohLc/Ororkm/Jkcflw7NVFB
+Lage8evo1LMCJtCr23TgMb61ucOgO8pUOrl+1o2H27yAMK8+hB1HEGxIY5ECoEuIt7hmjKoVa+g
yubqM99O/TsYINKzF7pvOs/+o7Ca+hjrmf2UqG7yKFv+kbKT9Kw2fr+TZR2BfKORniEpITlAqrXq
QKeeIOCkJ57V4WPFF+JHsnGWQobCp6ubk4fFTvgSlJ0yhMTWbpi3O9GQRcqGdufEqp1fGrQIW8xc
Y+wpWphs++59ksxqq/SbyybOJ3lx57v5k4BRCOCEONL9pqC/mQPSHJ1jG7nS6kOckcEAq6RwZHmg
6EcFWdW5WbKCQrJGP4oBQUrjmOo50hqlcTeURmDN6jZyDyXieDdhYUFX9gs7TkYdfIfcCrLP05D2
aIKjQCQMsoGkncksP2eNOm7TsUv0mZixgqn4pCukbaezHH5MOxuRap444amvrFmcdfGDsJDHTahf
BNPTKDyJIYkpcY3wq1he/PLpuc9aPreRm279Q1oO34WMQGTmtrCExkAojR8sam4Xq0pUlWZX7oc5
Gsmo9CJDU9WjHdP/Z+29liNVtrbdKyICb07LO0kl15L6hGijxnuTwNX/D1maXb00v7lM7H1CkJZS
qYDMMV5zwBpbPcizVgzT5UzWwcNEqFekAPS7tDo4llseEALzSbc53WxtJM81E55iFuN9h6+Tvsfu
DVmnrEtPOubg20oZ/dtOZNNaIe/5gC5XtDLzsH1GNN5Z+IK8xdBH7zH7yR/Yo/FzHlA+jhFLMfuI
TQeicEhLBChajWl3yirF/W6HzS/fbt3X3Cu8hVlq2TPGgqyNsW3/D9G8vzF3XQNEFZtHHqo8TGn+
BK9CwSLMBfKxzyiWqgv5rhVlVy3RT0wPMnw9KDBVS1VND/LVK1uzCBkt2ariIHZpvY6Vrbo17Du9
KO//r/FyOjkg1EEYW3Wtj/hDoaGI6wYmg/9KH7A7IPdshhGOuwSx3NgTJ1OPZumsTjyXqKUi6WCL
Z5NNewfYVVH0OxOR3pcJBYHD4BRzRpYikUIVnztj5CFJ0Q4coPRVW91MrVa8WBbqT2OVbjur9VDa
C9HGdJtqa/W6/dxN1oPcCI7tFC5cAM+PsbCwgglUJFbb2HlWeuMBucoWOe4QTeShOqhNkb9ZCtD8
iGXuDeKv+jGcHQK8wu6/IFfxRUa5f3fNmvyjK3LK2qWr6w0vhSiVFYxJ58Z0oSXjIgd3CvfkIw7G
rOm6MXBvdFKwqOAJ97ueTQ82N+V3JGHfnRD/SaPMwD5k/vQCaw1KJBJQz4MDCSPz9O4xRSMbKR6C
FCpGaGsXGf+7PEcEHWBweOvXpbodOrM92dgR7XRl8A74b2YHhI6GvSOEekQ3vEB8BjKgFxXohQ6l
c1vGlrK23XE668CCZ4mn7iGPC8zFIrd9amqdvbyeiy88uDAEzAbtNXKwp2hKoXx1pumVv6T+wQLg
xkHN890S2QY9w/AQkLTZVYI/Bzmj9G4sxuo+L6vvQ2xob1pgYmuHFBXCcBAhUQdBoYF61NacbQ22
bTMEjvoWBhaytG74JLo71BCS/eSN8a6EKg1TCkktklrJD7PqFmGVdO9j5QaLzu7K58hPg41uKcax
rfLgxkX9Zp2iq/eSCPuL8KbuXUlinH0sc2MXsb4b2dMsEfvtHrLCNzZGp/aotI4JD8Sg3HR1WD42
WczjMjSy71Y1bbSybo9JMWvqJ6WLwpKCneN8kEU8LhAuqa1wJes0RDXwvpyb1SzmVHa6nHrzcKPF
giuJ/phGdnajViwdtUj3OgIvq0Go9a2vRvqhs3N9E4BafALwmPPCMfN3I3wTUzj9yHkxL4c6V+/1
asp3CupsO1NBU14JsRMJKqf63gRYlM5jctf91elq8VxmZrLp+OkdLQNmNmZNDhBetDULv1Z5LcYZ
QhjDYyRXH/PBmFcpsr7upsfgd9W1nqzkoywJX4cUkUbNZY5/rJOTyCsMffqaGcAE7AiLT2gmwRPC
9s1tm7lnXYnDJ1llW7g5kUy+U+cq10P6zwKDvJWNseWipBiTDJBFTx+Jx9lbE7veBreUfg297tZA
PPDObpX2Ec30Y5AmhLG0Pt1VmmWs+zmqBXU6XmA/iOeCYXSPehf80a0bQVpm3ouRYP5WEqbLPAGK
V0d78jRYYNfkQRazZOT/Z1n5ivAR2lJaEZzj6AA1l3ilrFKE9dVQvfajbrK50YEBVGvZyiqjPP6H
Bbr+CafoQhhxQXmSWuXmxOv8EwCnMvJswg5Zfyb/STJmw7O2PIjJ3aJ4pd9Xs1jQ5KGZ6bYfpbnt
WprbZM92fq3jjvCp7drz95zNPOfv0u9xUYJHrZgFyv3eJ53id4L0indSmx7MpGuPt7JGHkbAUlsl
TpEi+NeGxk7ZBchAsevimenV+SFMLJgMc8qNGxxF/9rfyZI8mE1kbXlQ1OiOhiIBgYiLAfJA4xZ1
HXTeHRcOYOfdOWPkHzAVuI/y2LuTVfJMiUjX4BGP59vvBqJbNQo9wXgb40liomR8DuZV65hV2N0m
SgXsJLceQy1Wj6wfEjSJ9O81cd6nSHPfJ5Qkn2utF5sRu6aD5ifWrWkaIYjhoNkjNeStiUbB3mqt
B6fMyscECdwks4sXOxeIq3bEBmVxcCudp5aFuvqQly/jpKNNph1s/HpulTTPVsSkdPD3hc1tLqzi
NqjXk9YAGW0UVLxztV33GSTY7ThN3yy9EIsx6ds1kWn3uSv1B4Nk648MW3lWwlBCgAbZO3T6eLn+
vQfxy2KFmK2+hcijbaayJamhZ9kNe+ASD3U1+8K77CdEEf9d19+6tmvOKcxic+c7dcDWqbSI66TW
WaSFdoiJlKwhXVivaqlswsHKfmhK+tGDT68eZtIZ+uukr5rSbJb4lrEEnyG/hNRR1azZK+slIBcw
p5HiiuMFIueHHUro43Aa1ACP0IYsSqs08EGb2EK5Q+i/As28JcycfK/h9i56oLAvblnlCB+mydOI
7uPK5485p5HXbnKg4zdWmI27oQXKMkZ9ePQHq9gVbuHeEG5MN3GNJAD/MUQZDBLKY5DZzYY1+HRj
VCPcCL0w9gF+ua/JwDugHDxi5n59M8A/WMh602+mlREOdJsfXEOF2fzvbsj+4YQwP8EUrHJWRWt9
dEsSKN6J94tXe/Ji8hUiolC/BcgdrFPbDU9tjEJxqiX+MoCg911DeSRQ7R+RqhbLqUUC2Q48/dC0
dcSH1auXpMhuMzuxf2Rp+p5je/rkVFX5n5a+1idmAY8qTzNMHaFyV8Uixvz0qEK7T3NQax+fQet4
WAF8cY2OBy9yGQer92AMpEn1lkVxubCVtrvrRWXcD7qGtAb1yZSs+1GsQngYS6Mckr3ciMhi1Fh/
FmWrXbTHKirvMc9JTz7aupuwHsqHtE7QSSTa8WZk030kcbmeuy8tp/rV2OU3fILdFwWK5zITWrYn
+fOrbRv1qKgIb5ddOX7FV+WhQTHosZ7rQ8D4q8A0xq/9qYp9lCBVQu9yR18kk4pMV4GZ+vxmldt/
ElzDTaSX1t5OHbPd4rWRL1CWjbcOcm0oupsFuUr8Kj+C6Y7QVqCl+5MT5wELJHUQJ1lGCFScgsHq
yEoMyHX+a4PsYpc2Q2RHPCqHdeYOz61pnyWSUGIPYbmnp7kKpdTmPiydFIkJV6wgX6o3rtMieKjO
myFVLZEAiYafbQRzVQ+sX45bPcS+q7wiKIAnWFxr5wmyOs9/jVjc7+GRD2ZMDuebuwzHBtf8VUf9
w2SMwV1n+mKHQVV+10ArwKLXzl/rOmo3rmNnW6Vu8tfQsd863xTnqJqiRw/arKwevdzdIZ6AxM88
KB/Z/Zl67Z/MUG1fomKHq0b26hWljeswsA9ZHJTxEf7NXTwLAuW1f+vEVvUUCNylhGb0K1kf5MEd
oLrqyWjHVY4uL94y5cZsW5bgrORPgMf/PFzrVKcVa7OosU2eu1wbZBGkqFjDWcKhV2CJMuhZeu9V
ubdmuaHyooz6bRRn1SmoxmKfsCw8ZCAXjgY36M6Iuw6NkEzbqEEPZSKesvWYxcMDjkj+snTz5jlp
kSYcNK17VUN8S7J4NL7p/pwDLov3umw2Y+LjGDNZW9cCi4o1kD+ruUcIyxUkYXyn/dEF0aPRT3n8
qwdMsZcZM/zUD6WPBpw6588KNzr4PN/uZRsZnUubMZPif7fJnNzfx3lYV656DOQv7AEM521ApV6I
TiugTLixeGaWIeSsmSPdBo6yMUVaAnXlF9k9emqwZxkf/IKpuA99jOWIhWg8KIbkNvXw21SRttlk
se48ujVZ7AhplvcYS1oXCYVawyZm0nPlwUXOeduyGDgMAXJJQcV6s9LT8a2ogmPkpe1NoyZodhPJ
WxD4DH4BOc1Q+vullO1bQXL5xekwJKjcDuskpxx3k6HjcOF35iZBnw9B2DTapGGjHY1ai27UtkrX
gL6SF0OkX9AB6N5BuWy6xAy/jQm6HaU9hmeIETxpqjzEMaU37p0wCdkW69Z3R3xlyQzdIM0NcRNJ
moI9lOI45yfFzFeQDSCCPs4Q7xzQN8AQQx0t+9yL9q1G//u1d8dx4+QmscYZiNVqiE53iveEKUZ1
gteEw1prRq+4XAFX4+exk0Vvqm+6BlnU2m/b2UfvUZ97eYWR7rIWkwPZi+AdkU8l/JFborsln8BX
UUJGuoKkpmh0yDRHxPJ/g61wQ1opSE7dySond6Jdjb4huQLjmCYDhIvA8bZmiagfVjDKqtG67imx
Bywg6158bYPyPubXgYGnsk6SpAgXCDYfR6MPvrdo/C2UIDKf1en2sjBQkh88qL/4WAe/lK02YVOA
FLEseh4CoVhS5MdLK3+WyAP79t+v0+2/vftswyBArIPg1zz1bwxvrLagSNuV8iS82aXOx490rKb+
ThVZcmiwL95Alyye/IJlialnzs8SXCBq9sa3a98RXiPumbcsC+gelflTWSFwiV+Ofe2eqShSyalT
CK6HS995amtmk2Bapy8vRO186oDUp9hDE/F9r1scFroi+do2vbmMcC47mxgd7Qr2HTtMCeJzAGt0
aStF8DWDkR2wKJeDeuEkREHBaUzgJvT5SVBiYvLkoIOuz9n5EMGrpwSdSklTkG2/S2MyfW6bx4Fy
cf6DrAyQuX/NZLgQf0wDDQMVOJ2KtMonUSPCN74JnNB5MkjtrpJuTMqX1PIXQMySLUAxVJtVATdT
ntYd6ch2PlxachMDAVkp0oZM5DS6yyCzQJJiPy9xLhIOI88+YWI+FYWwRtQjWtvcQZZCG6jDP2Mg
n/boaFhB527fHTWlck5tYvd4a2nmM1IlwWLeBb1n5QkxBuunHJQpEYOcuNuoBnt+OahJsGlUQ9d4
dtKSpX56pyOC+rMTYu3qDXdJhamrPQKGgd33zWnt6dXT8HyAy2I9qGMCLTaJ7Js2NpUd/EN1n6j4
TFnABTbmJJSDF5pfQp+AWgrI5kSIzjuCD51tbCfxlMOJ410pxncfeHNr8gMBjwfeo4+fReJZ68ir
PwYRCI8ug9i2Vr8H4Y4AUqBGqqtO9egyKJ6vNG+bLlfydUU8qb5NigQA0LY3sRDNAXZGX5AU/aZZ
rnbCOiA+TGXssdglytj4rGWbYQh2MgZZGWqxsCocOmQr8lKLeb/5XKbWSqjgNxVFs1/L/lcz49zb
rh02NfGUnWvFzlyN5H5xDszkNXMyH3k0uLpNo78gY+jfyip5kEUvw8fDqOLTp3qz0fVllwncLcaH
pDNG3BoQQCQDApl4PrseZF0S9OUuyU88odyefZv6mCcz4BjfhZM2Z2sdGzyt7ub2Se9t/Vm2jp1q
nWrvMahRy9azxHhJJm9Dks5+VAcnvK9D8YhdtvFSmI2HzQcS6MqkG2ulQw+oKOt8J4i/r+Rdq7lj
vvNGt7sUZWtml3tfG7dW2f6y5q3ZAFB/QxjHpoqiEms3FfjPB7/4aYyOgoPp6NzIBW6obSJHrW4u
a17dtduJ6LzerwhOs5xJUHcTaox6WhOCrmapxi4zWCFXEJ7KOMwerSn+s35i14dnbPY497e6zHsz
9VM6gvDPWji2SYfBivxEWBPvWfq7K2H06s5GY3idZ+G0yNrWvWmTsHhWMAqQ+8wx78p9Rnx4KRK9
e0ROG3s714g3MlGIuzBS3YnpnRK+spc8PpeqNn4BffZ0AcGA9TJWk6GoG9bGziHzsVFw+5btZdxW
r1abnIM51tnHJW7uufUmkgF3BdZluAJH/t7DlnYbBZ75kOapvnDBqvxs9Y2ZNOgcq9ZbXjwQDC4g
Ef51oiifa/5sykEvxIs/+2Bb4rypkPtkUgHsy5wjwlVS5gjyhpSRHqGsK1t7aJJVMX53nQUaxdkP
n3/nEipBe5tGTnLqrCJCe61x3rqsXjdpq/3ICsS6PS2Z7lMWSQABbXeTRsJ7ztr+Sfaos4gNa5Q+
t2VabTs3j/Za2lUP3Rx8kz0chCdKqx/RHw9gz8x6I/V8ECpkGjXMsJ9A7519PWYCdwKPumWKOfRz
NkS3hp5WZ/nyKSgxoDzLn/Hcdi21RvBH6fc43+eH+O/f/p7q/P39P8NtyPxoJOr+roWE/H+jBOqA
i513qBVNdPsI+8el52EZ0BexfZTECHkWdD4bIBOO0ypufAUsWe9vuhzZH8gp8PCJTRwrzGfInqtP
iZN4a5tH1XbEbnRj++iKSzCxBBnHs8ZNW6BPVEFYixA1Oto8Wb84pvcldxP9TpbUAAv1PH5KIqI2
GqZdB57bGNrkjvUG4/qnA1DuvvQa5RZZZqzDYJjdjp5SEYMY7sO2byD/dT8tlGrfaiJrYBf68SU2
OvzH6/SMP6+4LWJY6JHrFre15/i7WBPNvmZ3mrGHXI9d1T8Oujqd0qj7qk16/zhWub6M2z7Y2B5Z
hZJ33U/PbjATA22UaLGyq/z2+1ijA5eZWcn3gauV0Lz6m8bdnuul84Jnvb+FDpxv7ars7kO7vEmB
8r6lmbGSeSW1RZdoFEV4duLqXihhvB+GyD76OVwUeeD1CUKxqJBbm3lCM6+q/yV03rdkaKLKew0L
H6FNQ62PrjO2d6TEeJV20bg2rKHa1PhS39U8nZYCcfKNK0AULGBto9qELveD66t3BjC4b8iC14ti
9jrznRLbGsTbC9V9Ca28/+66UbGoRN2s46nDCKlWsTNVLfHi2XaEwn7Y/wigw9dBJcJFZzz1uen9
snqcg+x815KdX40OjIUx0Zdtq2GxihQ+TpAYBBVDM+xsVzn4U5GvtREWe9r0CxV09cuUd8OmBxe3
KfyOHXje3ukl+L0G0OH3LhFnl2TrOyknYjaOh9t66OIs1baHFFiMZPvR4S9aYD5OPbSF9DQEYXwv
D1WlakclAcI3VyX4ymMb7+KkbBXajXBG+AeifB3c8lzZefkE8PZJq730DhEl9blQtC9FoDm3elw2
N6NVnyECAOnP4pgt3HusdvlJjYIHD173PnCyyISIXZgnhQC0t55CO3sTNlHjslPrjSwq+ES7JdtD
W+/FbYdd2CJQ8vzNVOJoVatdeNQ9HEdRggf/jIqYZNCEHmcVmk1JGeJaO4qPetmYEMQkXDN3kWXU
xr4qTpGven98JjOS31Vp/MzqpLkdMUnGJ1xoByGa/ovq8qQGGp5tCZL85L0r7jO3N26GwdlZqRlG
SwS1COiZQNDnRnU2newHTMhwjvlOjpEeAoWEvRehS3YpRyjiLkZYkwt/yPt1SWT5C8uYbg30ntfa
XLQN21uqntbtc/SZN5FXjkvRNgryL7aRHy+njtmxTWLF5S7FXJsEvKBcHTMfcVuK0DvkzXiuxti6
c7N2y+5zbXrGz0JorPDi9rswrf48tVm51Au33tTR21QD9I3Z6Yxd3PwS5qNwHfHcJKF3qvwJ7nCV
QqtIOkgkMY90JPz8nSqwKse6tzxnSlee8/nMMbUz9rQV+vlUyca+aHD7EkaADRk9ADdlt4pWf09I
CReNYz3VidrvRWPXS1l0omAi8pZ8i5XcfkJbWDxg+L1M51JZwNiMgr5bD+qgYBzDATTZx1maGP1s
7fLtWnXtdu3rwSgmtcHVf4907OYIivdX5ZfuYaiaeO92vgcldMh2kakFNyKKmm1YG8ktqcRxY5RG
dTe5tbP2MqQ9hAjOHm/mXZEV2RE94vYQcvvvuqhwTwZKqRt9VKe7oWqLtQ/446GbEqSnTaE+lel9
XWNSkboT9iw9ltC9Wdf7OPDaOwwKIuJeaf2m+/mNWnGnY6u477S8+RrXnbEEqZedDdKuO4BU6q4v
u2RZ4Wu71oii7jWb2YSlzK8MgVOQY2jfbDYWulrb726ZPWqsIZYNUcGzMJQ14iLlLxNSWciz8C3o
+YQiTIqzlUfdrh7bW5dbaZvortgOFlgZ1cGiHENq/UW1mu+6ncW/cvsGlObse42hs03u+c0JsUCq
eq15QO6l21QpnoDuUB+9mJygHyjNGYYRbpANmYCqGHAtqtN3NWSb5eWsSWzXzDfQC4vjNBnWjQ6O
ZBV6Qns1xXhDDMQlUelpPLI3jWpX36LQmtbCVasDYUrnIW/EO9wKHpRk7dkRN/Y9DhDx0YgClPyy
frzNvHn7YlnfY60MoGW0404L2w6bFpZISBbdd6B0f3jA5BZano0PY2YKEOa1uqnzvnshPEGChB7R
vHDGkxAvU9EU4ACaneoE6d6ZPEz+prg48b9MtqPa2neeWXmrSMxyVUPs7UY9Gk95CRx/iDz/yTLN
5uzUwyGBmSoMsTAq0r3B0KY3EQJ8WzLImIxbgLvwpC5WtoiqvYR+dQibgxRxW0StaG06d9Ghafqk
qn3+oPoFIdPWOlp1n2Jh0ot9h9sDbpda/gYR452sy3DGVMY8F0b4M5qfuVbiLcpeKXE3IQ47etgV
9lE/boc+yR8CXXjEK7vmh+3ViHl22rtCyqJSI+e5Us1prWnJmzvW5QpPTO+czQcI9liCxvxQfVvR
lQWBIG011U65Dv3aO8uOnmebW4yqvMW1DmU3+C0WD5Z5FtkttQb77F7mvkyW2to2ANWASfkLFiPh
2i3K/EYJCADCD2T93BvpyYu9r05ieDeRwf46bB4nw4iW+qQjWOvBcq/9g+O52k0JQWU5oa8N9ARR
fC9t9H3ep+NdOR+iXT5m+YbNcbQr2SmsTLvTX5A7/WbUw/CL/NwEUpmFCrvtWsEruMFTDVsSwsbY
1AbTQUl5UJuKdT/wHNnhOxiv0srWnu04cHZ+ouSINObcr1r6CmYmXU1uw4JLLcfT5IMewRrX2cS2
MaAHlBQbVx2dU1F1+PyQknu0CifbybrrQWvcv7o0rk5czQH+xWoERcKmeXEbgeW0Y0ZfekTdV31m
GefEC9migoUAz72NjQmKAIQE8D0IQQo86xdT1N6I2mALSITqMSPPtICUPexlnZYZGEtPLaRixT3H
RuS8k4vCBWHZ+oH7EBiskvFu/qYqyngAeTodTAWmycJHOzka59BEpQgWgsmr0kTpm1BDAOvAgWbg
sksAPDyASu8RQDNs3BnxprTB0FthREIyyKKTWg75PppwSndLVVlVzqST2vP8h9HBWcoObuBGB/id
xAoBlqTb+lpd3BNPg5I8m5crWgtt3GbVBKW2fraLMb4ZiGsQCmnr56Qs3FsvMZ/4/dhP0wibB+r3
XwxxZ1aLuVLBKnZxq6onASxJtbIhrhr/ti1/yIIdhuoa55tk5Tj1dMZQHCaV1g4wE4zpfKlD7WOr
Y168kEXZwG4BjRQFDRgGlSJOlqqVswCeBdQGz6lOXZd+nKVGmayRjcS9ORJNSx6WPpdTnkT8rlK1
3yCZjy6iheSkokLtxmcID8P5wM/A23cwrQy0RW6s2uYFkMX3baUk3P48FlnBOvfahNmvzzezt2oM
iGRd6xYHPWmmHfa62LSbMLvwPCMLP6AGp+ZoqlTjLVkn46zi0rQ0/DC4D/nU29EZ053C1rLSgwk2
2jiHEO5AsK56rA95TYPc9EodLk5svvWQ+m7C/udoFCRau7HEnpjAbRklDoZMDWux+UxLkM+5VMqy
PLTOLVnecdN3UbsmbEqKooStJ5T0zU/C5CtmArMiitJ+4XmvLfG7Dh7BokRrM679O1vlRxEl39hc
kYDvasD7ncWrZS7Kg/B0ULWWR3QAXhtN+uDYh1ysFJHqZ6N5iMwGYqNqI73i8wUjiYBysurV6d63
dbzQJg37x3IiHmAmVrqKJsW4l4cqhBLIaqvbaIH6UVe3XUfCRq/2Q1qbl35C025J6NmnpLC8TRnP
OHFHMw9tRKTFQ8P6SQvt5kE0+NohgvtkOv3aS1Tlfl6o+12jvRggVk8ECPxL0SqzbBmPIt5kehnX
aO3igFEi/79FgiklF1v8cP24wDlAiAP3WsSO2RzuLZQ0lqOXTlvL891jUitfsO9KHgQMSbOrm6cA
F5+nAjRSabTabRlgtOQZwlr2aFTzhKWIC4u/1XpCM37r31oFoCqoW/5tHts/tWmKX4IsrveY2pIR
8oLkxYYtszZFg1n33AojAu3O0CxBr9CKzQQqt4nyqLqm+sD7AxgL1YPTw1sMC3ths9E8OsoEYLC3
jJ1lNOkKFREbxlTSINgEegweuP2cEUrAv8JVV8T1aR1VbVsWvN6VxLEIsYTodwITXcuxutcH21Ir
u/VlbAfojLc9cb65Myu8ZlNMs7PkPFXSE/szx6m6FIFp8cIaB3UjO+ciJb85mMgZzp3VAF/nuiMw
dhk7DP7KIaG9lZ0NrDtXdej6l9bUbjr0LbJqdxkbCRJvPSkh+SckU4ifbtsmW8x4dpbj9Xc90veb
DGtIHP2OoE+iJ6VZ9poqnhTN6Z+yevgCi8q7KUyMtqse8qZiDOKua5Ggi3oP7pAS2Ze6Fu/xCT21
S1WPWMGtSbLZV0t0bmN2zEcFpKOL0+KdnCOvoxTNkzzaujl2f04uWOJFzgr4dHoMAojfsN5+5ASn
vpUlRmKgPKy7zLfiHcbdh7adsnNnJc+dmgQv8JH1A74WKF57Q/BSJ227IdaOMePcCnigwYcw9Q6y
tTDrx6wp+nMQucaX7ltTZcFODzEwLoVVoxhi16sG3uq2iUly4mmBDJJX4g6yji3nr1OMt8aDiW2z
vvyjwx+nZqaVm2QkfBBYDz4kzC82f96jZwLjnX28DH5t935aHGRJsYR5FwfjgyzFU44Eai5+yFLN
Hw19O6pIt1bhl6lGO8gdyNHJWeN2MjY+yJRVbCvG3eirHwdT2TuKCO6u1Sz4y0PqB8+y07U+NTtt
HY5kij81YPSqLioftsC1s+xCPIK9Djpm4vfl/J4No1Vr2jN8+E0k2vHNnWx/NbWAmkctV29UnXAX
2Gm8Stkjh2ONmd7sgiIP+Cp9nKWG5XJ757zDHfxPZKv2+ywtMm899BBKPjXIzrJVdLjQXVsh+2C/
YouGqASx18usTeMusJgFuNdBKibAgmHzAbmwj0PMUuGQzgd5dm249rs2fOr3X3S5Tj8BiE8Wcv7r
OFm89rle6b/o8mmq69h//JT/eLXrJ7h2+TR9E8zAvE/Nn650neb6YT5Nc+3yv30f/zjNv7+SHCY/
pdaP1aYLo4frnyDrr8V/vMQ/drk2fPoi/veprn/Gp6muX9j/dLVPn+B/Gvvvv5d/nOrff1LkHWpW
h0axRCCEpV0034by8G/KfzSRimJUnrofoy7lzkyKyyyX8mXAH8P+zyvISjnVn6P++RNdr3rto5J3
xrf60+f5/+f6bGbYegszZnV+veJl7s/fw5+1/1//7ssV//adtHAgrEpgL/n7r71+qk911+LnD/qP
Q2TDHx/9OoVsSeeLfqqTDf9F3X/R5X+fCkx9txpx+FmY8Yjx84CTZQ0ifimLYT9LBsxO1bIIRsta
qpXrrxS3KfRt2mDq19QeK8p5sOw4jAGYOMArJ0jq9UEv8GxayeagX5tm6t2A+YVBJ6v6yUuPlccq
sNRLfYtJsbPC+Zfbiqg3aQagl7Nd28XMTfq6SUs3OHtIespTa5gSZXk1etOdj4HXqqsVnO8bMSrH
TfrNjxplbyL5vMyzLNmSkyIepWbFA6jMnVnl7S1iS/mDQvTlZHntWbbJXhV37saz62EFLTx/kN30
BCuxkGDLQXbRfZUlUs7SlFllh7QswHCZMWDB+SKy4b+8uu72Z8fSfYKo/8eVvRHlJd3/HuQGEbjc
FTcTSKxxYaP9cSPLmE2GyyH1PpqvDebvLrap0KXAGbwuxMcwOVYeZD/v9yxWlYSbwoS8q5UwWow6
JgsgT+WBKCEipdfyH50S170BfTlu/xgD8vSv7n/UIq6YusvBUAUyfWj44/Jm3/ZahJ/zfJbiXdH3
eXfzqZ4FUbRifcpv6NOAoQ1PfRKg1vDXHLKHPJRsb1GBsvvttU6ehanT76BBvn+ql5OUjXusy8k+
yEZZ5aRik6mj2Ffg7cFMkifEyMniK3KWuV17l3rZKOvl2fUAvM4+yiKe3EjfyVOXZIpfxx9j5bDG
jPxVZNQtnmfZsAEC0C+jeNK9Bfp6zZlxBEkwNVL41QKhJmxnD5vYK9qzCNT2XGulc3B690lWXeuR
33qystZlr0FXeciAI29sM+iX4zxS1l2uIWe6VsrruE4wXq4jG9Ryes2KutlKWq48Qwfq/oOv+4m6
iwifVy4ubZdzydmV7F1kYUE7tCsPXc6QHO5BbQ0jRde8ypqDUik2576i1v9y3mpGrS5ld7+t++HY
apiGB02frZrY+OBOJ0rnuUQ3YEdfD0bZINZJNF9W/dHlM/NatgexCx37j66G4gs5XBKxkS9YROj8
Y5xGzNo0IEo3qWsfwxkUgUOk+jUrUAeanTSuPUJb0xANFtlS338C/SQZ4PONrMRWujjBf7UIgKyK
39ggNI2wKw7IHM0RQO6Uh4gsKsKVyOLJA4LsGb5ybX8RzSulnvTcryUbdukH1EKsUT1pkI4rm/tZ
oWATtXW8CpF6D5cgBXPgIFm8Er5X35f4wt/LOm2u6yB1YzlEjHYjy7L50zyDGt81nR/se7sRp161
+hNO6gpmC3M5RoX+6Oq3RVcM+erSQPAJPMDgdN9DzG1I3Os9+stBubrO0OXxx1yf6sJ5Pl+//VRt
qxGe9fpw3/12Cf3jvfLhIlr705IYgvbHG+by2iEFeLz0keU/Rl5eMsKP1GUA6GkJww99XIWMaZZG
LwJe2DafTeXkIf19NkpTuWtZNvciuYz4VC+L7KD7Lcj/10Z07rQg8AlryoPEnJmRcnM95H7zUTSD
dtEBEznJxv9H25ktt40s3fqJEIF5uOUoSqRkSbbl9g2i3e7GPM94+vMhoRZlde/9/yfinBsEKjOr
QFEkgcpcuZbY17k93TjbYK7n/XUaWXV/15eVtl3Zbk0aDmmDGiADNI0oAgSsVXvFaX4zpi4Lbtvc
Gc55nLMxjZrqFM9pdUqM1FWfBovcgTq6+VZi6iUwkY6EyQMZ3VF1Iw95LyY31IstD6MD9CCNpmZb
T7fhKx6d+YbbnPZAM6v+IGcZOqD6HHWXq11Huu2c6RbcRYR6KqDajTaibu7wsmnxw3g9kNbjLwH1
vYsUSKxXd2R6UFW+XU2im+WSY6FQkuFq1xcQ1nlzRu99vdo7e55WoGPQxRtm/TSnUXUkT60+e10G
UaXi2z915DzCLht+uG0+bGua+j/5b7GR4cwfYgfnW81l0go+5UCjBNA1kKOlXkM6KQ9uDPiahtVd
2REZSZAOr7aCxqpirFDYWWask2WdIVySelXobprFU8Njpu1kRXsMbyTk45RlbVprI1jfmSHewqp2
qe44I7L2Jlh4t4FomH+d/dMO6RPRkur30I7h9bCa9KGqE7R/ETM8WPS5fJZYoWv5NVbtZ4syDdAH
Ra+VjaNxS5KegQbVA5phEoYLjFg14FUTr3QbiNdxATqIV+YWHXVI1TNMr976rLM1qZNv6kVPinw9
GfgK/NR1KN5qUaISb1agKlObAJoaDZZfr9uYfkqjDsXUBzm7Oq62cPGC4NCOdky3gsTJYYCNeXXQ
u/FzpsI3DwNF1OsEucSHleQSE2wnMEKzsARfr50uLwr0VXOpgDUZjlnu7Qk4XmSP8W/0QSEHo/4W
8AZQLIygGh467bfK0gBZldPzVAz05ylJSiU80H5zctWh+Kn6lyCdVQQQ+cAu02XVvM3r00i+93+3
qj/qcGMoCvo+PDyerMG1jprf05kNPmsDf1h/jvQoeAnL+RRUZPtbN54/F1WxHRdiNPrninu9QzYq
WKJoWuTZ2UZjRrxeolf8KSwpXlmSrrzhLN7IVN8tmU85hWLWcNviJyWFlAqDV4Cgd7onFcLxU+eG
9gGxK/urMkf3ch++RqQAP09l5FiHsLEgXTZhpxo29WxVR3lOnuPIuDOdfPvhWZmmSp7AZ1U17qz4
1ftqE0/U1O8808jtZ7M+qlPwuTGK5jlZ5BuNNIVFx2xuW3VQhvu3IUXR4CKHOXdONEeXF1tBz46F
iptGc6MnOXgAPMoELJ6M4LbQL5XZ3hm9iQBMNmXjMeuGnh9ZJsx8/5+cLG23i/7WsYCKDpGYVr0t
2865SMik+8O97c7H6wTdnpMbfkHpqpcJtDJb2xb69DVmve6cPJRFEa6LGNA7PoQThU95FQ4wfGTb
fWsjsXIANZ3uwDYNB3NZflbccjuiivCspDs1Rkel6JrheQpqfRsNCN+KbQRxewYV9dNb+F7FVBUm
VEGZenEW0wA6/ZDUNk+Ry7Bk0/dkWN/EJ+FmTB+pl9Gy06q+eTtl/m9whwx3XhAMd5M/gkKXUznw
864o6Fq8BXyMqt48EiNDv2iDaiNjqM6ivW7N/brmNSYr4snfXmfLulY9vb6OdQkZl5nzWR3q4Pgh
xG5U7qiB9yW0apRUOs+8dXslAjs4q5zK4ToWv0SK24Eq6zVSxvY1cnVJKAWJaasF8IxIkKwhZ9dL
ok2gGNt/vZpEskcNYR0EmajqzfjgQDC4i0ct2cuw90JsvTE+9O7sbAY4KA4fHP6Q/gypt5w+2ovx
Niwz7a7O69RGToVFRvdZn8rhPtCDFnBS5hw8dpaPkNrXG7+eh5MM5ZB07pNq9vFZRlUca4+dNe5y
BIQeimXkmUHwSGPmdUoFC8el66wbf2rmaOt1LSwDXva7Rvt3tIXjZeYrokP2J9OXC49mOByaKAOn
VNVb4D3DY+2o4TONAOAq/Wc5GLHdgiCy/Nt0sbkNQNV5VhB3WYZU67uHPNBvK9N7naD3QBgshATF
RCtatnfmHtrYJR7sbX7uC+evazytgcC7bNTtloCqr6Zt0IfTjQzntuwAo9nRVoaKmxpPefk1S9LX
q8GKVJG+tJ2TkbYJqJvCIGnjLrplcInG/GVxsINiHcWyxRYVFiDi69g8GTTKwdVPgL8ESJQM5WBE
dgyOpgh2HxzXIdot5iG0bDCCXw3NRSdnMgKkUlyKTSM89hbAx107NPOBKjzU9W4UPqqRu4mnMvuH
V+aaSPJIbGq4wbPMp7n/43yJCCGnXSOuV3i7vjivawAKhssXELoH1f/BCuHwSmok9DY2zTsXV2n3
dGYEEAlYwx91Gwe38YKx3kh0Z0fOdgqN8ZMcWlhTL6XfQGvfTp9ymyaPLPazo7wmKKaRZLDq8zpy
KaM1ijVuEnk73rzy6rJ/8aakxN7N7Za5w/LW5Wpi3VCrDuhwSmm9Scr6Frgg3FIAYJ/GcJtGS8F/
sRRq7N3aY/6XuNag2u/2aeVG++ucYCjSzdQHr+uIAzLj/4/rXK89/s+vp+tndWtYMJRVqWWci0Y/
9rFunVrf4Hkr7XvjPFUsw6NXapxT24hvR1qAkYU0zmIaxLvGSHhFU85eaz16SZYpEilry1AZUY/Y
VQGET21STXsxinu9ooSPNCHtab6qN5EbJa+/0uUEzmdTmsZ0gybGHvW7yNyS1DBvoyqzgG7zm98G
3PKQmGDsye+7+MnlTO6+rNr25vW5xh+jE1k+5Z4vSPDgdql7GIvWgOv4b5u6ONC/ozOn1ld7DvMO
YslLCLLk33rdKk8yX0wyQePjs+OTAi3KMl8cQ5+5Z1uflEOcjfRzDOUZrER1njWrPP/bUBwSMsFq
bdczrbX/c6yslEbB744NI1ptP5eKoWzlzAS0sp7li61MFcT/3rz/PQ49WAVUMMlMN91/4MaSoQ6M
V8kjALPLc5yY5FCHffBOhjsFWpD6BrRtWXDRnKB8odd4Y5oZGOfRNAAwx8/GYvazLrmd2EtvZWhV
tN7DkaQAYJ6LF10jCU8WCMLRJZgn+nWNmWeaT7ETPgc0K71wSPjamjzHoHBhZ+i9HYvSeWp8GzXJ
67Cqm1MfQGhyVBpv9QaQlT3GtmmdoQgfP83QpFiT0d1BgjZ98k0OTaTAgl1F+s7pS368xthOzrP7
OkFmycE10nWqjGT+aCXx3gFKsyvdKiXX2U3HQouMx5JGq31XkiczLQtJvcXmK2a7LQu7WUPEMbHA
Bma2/LbUpz+7wNJuSQ0bj5Ca3qpxqF60rnWjbfEy0Sv22C6uqWuVi2aPN63heBFC2tl0myj6X2uk
SbMW6HSz2Mo1ry8mDeD6joHFlGDY78Setl67rZD4OK5LXV+MuOUFxk66vpDrcsWL5iXOKY/1AMIE
NnbGsrN0I6W/AepP35bCln5zNWrTDO5W9osSDuabSEjr15jrElfH1XZdBrWfeDPzPUXrfvxKCu2F
hkrlc1tM1rHozPKmzer0M0x+P3SAj3/8GjBGCF7UAWkZoQKaVPpkDIi8hAxQDW1jZ1fZ+6G5DCVY
vBJ8HYr3w9zCBp7egrHeDp1lXLIEPNDou9/At2r+baBBl04TDyxfdalMpGli80Ju17hIdDO2u6Q2
hrui/SstLPM2hOLpjk5S/lWVgk4lnaFFDYkYVnTMxztSQuKdlhA5k0Pd0CS1ej6O7ag1bu3+DyTN
bPqilzhZTsYkkTpaoavbeAqgaw+SPqMNmoMxa6FyM1Yk7GfuI9veqnL3rzQ1szvQwCWpzyjL7hoQ
UdvE8bWtTGrc1NtHXRfxbJU7inmpSgSOgmGiA3BRSF+GsEZND17od4iQe69eS+3rxxlpgAsNeC/s
OotvXRbPG62I/JeuA46k9cX04leRtfHaJn/xHWQHiyLwUFFolI1i0bPbGXQ0UTbwbjXUadc+bTOO
/XWoCdUDNDTvhlev9NX9b+emaRBtnYEtebt0fxod8BijjjSeFTznYi9sJ5TPQLFP1AzvhqDai20E
cjnvVvcyJesLbV8vK5g0dO09Ta/3bq2UN9CnuPuEtt3f9CT+2tBi8Kj2lf4wZFW6EXue9eYuU4GR
ewuol/ZnHs20b/5ctbe8AQ1KJVnyG91tzaYJPP8eLOD8VCrto9gDPasOqW9aJMa4SNS0h84ETtTC
s/kSfTfCePw5zAFyBfysPfZlO9+gflLdqGYWPLEdBENv5/bP6Lvewn8ikdCbTY92DC3M65M1fJN0
PqHpuIPCIqUH6k1+Xoy0GqT7aXLSC2g85yGvFGWrBBZ3s7ezICdVKrbo7ezqXc/isbh0OeRYUWA/
hjy9nvgsGvdyoIndvLdiH9VGlAM3HxwynGL/sSwz9ySx1wh43smEWWBO+zR4gtwvf9bqNN77KrD/
oqFxLFbKcmv1TvpHO8bb2ZzG7wHqYvu5Tt5HNEuJ5L9GCE9UGkfbLApREw0UGj5yqDaPsNtkfIsU
NXzwlw1HE3rOzlLhBFtFlEPZnDjLNkT8fkB/gxJZdx6cod3OWxzi9VKXL01aXyalrGkKWfY076Yt
a1MDHu+a+tIuUrt6T8LXqLzyaQKYeBpcRT+Mc6l8JYO1Rhg0/WyyCeIhO6YlKqc+rC1866iA/07p
WbuDWbd9gkdxuof7/MbIedlbtZiKgzXpw05i5WCo6e9Q2Gl3Mqq6aKansr+Bz735xOZy2881ZUkf
MTcRym0b8nCFQXZkbtrpi6PnO2mBhh6V7TByKjvpcnZ1R9u4tq1eaFDcpqHWK8+RP017WPcLm04Z
aHHlENqqeqtYywGsecavCKdga02dloLuR8ZvI5WCxSPhS0/7fzrNA0Qga9ph6XutpvExWn6vIfuy
qOGkFtt6GhfyP2e/zQ9XSc8Z3C3qfhVagZNzI/aPqp8SksfGeJdOobmZYeHYSaA4rkvJWZA0x/ht
qQ9hifugeFrWREcoV/R412bWrm3t/JNVpmw0zSQ+1nqb7ho9YqeppjTOdyo6o2b9Yygz76D36owU
AfrUol0tttbr5+2ojM2jOP6jTV3m0uFHa+o1RqakdTNsu2nUdlJ4vBJEr2XLd3XMEPWigz8MX6Rq
ubpX7uh/nq/lTdNAkm7lnO6Kzj70RffFjXaQX24sfUwvw9T34T5RaPV08n8Mk6XLOB/I0KV9e5TR
W2jL4+ZDvRze7LKijMQuEW/xYjcXgaS3eLmkhHrf7QoCpnJhrZZDUfr2vunreXO1ydnCn3nRCw8a
W4mxXHgJ6dd/nde6A01BEjkkFVJaQ+Lsiyp5H3NdsYV47Ug16ifKB/ZtVVn36/shQ1ivaIvmDbj+
RVTZ1jAxublDFeBt6joUzwcbGd/f/aCuNpo+qPum5ZdN2AXKxvgJoL5/CIAWg2HVNsJB0ARVdjZN
eEIlSiY5QQ/7wkJl/s9JbZNcXkslWqSh9G3mtLuVyYSGFPLMm6S0x4uMA+RxDv1EKVFsyhLzPpCu
6z2/Vs46W9zkhDUqi+TfwF4bEA/Ff5pU3k5KPhmf5DC3vbNzhibYX2017XWUENVgk+WqybYYqfZh
EQ6TA9lqMBI1Oe989GFwXITDQjsxEKP+LgHvzF2vHaCzzbZiu65BTg7cU+M46xrisHPNu+gBj5rL
pbq364ECSg/zbA4fHTxz/EHptT9dF688vgal2fHh8/QbGJSghFlEWyE1rB8NvaDP2jEfmhyBV8Qh
68clQEwSIIfYeW+S0GUiYGVrnfjrWtflf11rKtpvXhRrt64ebhzbap7kEGsFivea373q2rQFpEj6
7JmnTk3bp77PvE99Fi45KrRkhgB9VV8leh2TuKIWn2uv0Q7tOJ8KtjIfo6/Xkxnqsr7YJnP0Po2s
L6Ou1F6iLHwZk8h5HAce96rECE8ylNYdb3bu6EJrLtLDk8Ve8BhrdzKQoBBmenoZzc/R0vcjdqL9
Y9KDmqotmsG2HdJ5O63hmyMzJIYO5NdLXZdaLuWQxEV2mxejtUX46Nf0+S1rqHRenQcuk3lLZUv1
80OghoAswOl/CrP+vp7T6U5McihhdToiiq1D5kgYmUe45GPiVAvwQKI41W01mrGDkjCy2zeylUjk
FiencoDD0d+1mqZtZJsiNtmWyNnVdp3xwSYLmFT9NqpbdPuQBlAgQ/CFvSMNo1nUOdVqihLDQidG
u+srYVgx1XvL0qHI7BEXPCj0Tx7qpUA6J2V2oM0gOVRLNfXqnQL9j1EDQUNJL9rSp+TsP8DkZSje
kpLj6r3C5AVOT5U2XOd+cKxLLd5k5pOMtiHZLbqI0DT6OpcwdfkajP5ur1lf/U7/jiBT/iDOrtU3
kOTpn6us9p4mPTyKOcwQ4jMG+nBHPbK/joXanHK1THbitYJG2QdeTB1tuYCP9vF6gXXJ0flwAYqJ
7y4QuY17gMoU1CttLu3ZCpMtQ9IuMswsAH2Tpm/TpL+FwNM9d/4U7Rorin5UNHLMOvynCMGZh0Ev
bEgtiuTLqNSPEgCA0oHsIjAerjORBwx/VBqbYM83v6VzZh0Qd+FjZcFan44Z/DALZqVfwC7Xg9hy
hFegt82PV7sX1cOhAihJngtxsA9TZagImHKZS58uelFvC09PccSHyeqCutx0iz6FHOyiI1Elp3UM
BKtdDle32KY5CHfzQCJIHB+XWNcpawrFZKF3hl7Do/h2GLq+ue1LoEtvpgA00tkYIdrb/X1Ky2E/
N+9iijYaj0nr/eiDsbiHK1m/1MpBBlBDI/Ns8zi+2qvsKHaxyFm7zBmSRr/wbHM1BwhKwmlHkfWX
Rd+td7X/smiAIFafN5HrbHU6p5Y9hWxALN+1j+OYfF+3KFI4WQ4f9h80Cn9D9As87eIEX6Yfongk
W/xrrLOsVoXR93UHJN51P9NXww5Ak3sXG1lFSievn5uUBj5VmWlGySoHHuHK+TzZdKZDWPMXEnbu
F43fT3J4mn+e47q+0w2AkOgXGc+858MmVFr1p9I+iM7XMseq9Nc5vqb45yaIkOZOimmvDdN2ygp2
xWS0v7f8Pm96SFwe6qaHzkMN2H2F2fy9ceB+gC9y2qYNXI7OMBU7KirxA9Dj8WS7k3LUnaZ4dDWv
YudDH5bhQbe8kIdN0fBp7Bv924dJWlsrsK2axWNbw3vgTrpzMgdvylCd4AGS/qDaOSRWbnxN6vE+
ndz0j8RI6KTk6e0Jfs2aHlMiQkU1vtZDfy/5s3+LeFvjP0bQxOZuc7qAd26XfIGXIvskQIdur1Ld
+mpNTU0DWPhZABVFqNq3IxxbK8whKw2gnqhhHIwR9qoOvt1jaeT9tihM1LYXJEScR+uiMr/dyaIT
aElZVDAUNHY666KdNnX7GNESoMU8pqjO8ClQq/yMtgE7EMTJ1qGI1AtvrIaJ3AkMK8vjjtgXUx2r
+VmWeFtHTAh6bp1Y0Xiboe+3AT3SeAXJR3CebT15aBYhvS4M8z+6EMRU63nfp1n1dykbrTXCatV+
EwLS8UDaHewmpoHqLZ8KHUDzUJSphgMZuUnyp1ejBQ82MpcKWxeZTdGm2uhwPiw35MDeFeNMem3K
soeshEtUdM27Kh4BVP3TUdsKe4nFEZBRW2ckvceneHEEcWmedQMe4stIqiorGrV5fs3vDIaTHUYK
1KJ3t/P7Sf29TV5QCs3+INOnbiNvmu818E1nGtihCHsNyPtoX6cKeD4ldo9T2x0stXXu7Mm3nB3p
kuSQQ6QIygiNeXFHiu7cRfw90A+hV5nSendKdZrY5S8DZr03QP+/dCNMH1c73Dh7M03Cl3+Jtxe7
HnkFyMYGLrICeo80qfmWLjlJGatuUG8oG1sI2pG78Ept3Jh21iIZWxkvDZWXuiUJSXLgPqy7ciMs
m/CsQGmlwHcoQ9M2//ukSjMB5+XThSRVAf3tclDgqQReiH5GO/9tWxwxMmUowgzAnlR7P8FuXGpu
dY6baXoMl0M+WvumLGB3X0ZyAPBvRg0PnYvFyzr1oaNWLCMoHeHjANmHJHJwdzXFY53dDb36m5jk
YHdecXJVvV1nNlEdnvLa+hOJnu4O7k9kjLox6REHLbotROgWNaahJN++GMUjkXK2hsvYDLI/81RV
wcsk45ktk7av5n7YCNZSG+i+4bkcj4wlRs7kAEsavAXJ+WqGvhcAZ9l1rxPqBontalYfEt1Bykhp
PYffZEXnnetqfz9VgbuLE2P63PQheVTLe9RVsFzhWMIeamvKnTjnQVVpqERoXbwu9E83iFb7W/G6
3Gou9uT8Tmfx9NmCC/oZOYCirutuW9TKQzXALSaRhUV3djXl6knW0Wu+Oo01THvx6k033Gr0u8KG
ySsCxxF/ivXyVpaVCJCQEPYp1ZOMohwiSrac1VlWI2fVQWJfTdBo2eiNmujhWVrPNmwO9S8+zawU
PCJoolAivRn4IJ8MaHQvdGXz01wH5ecKcoyNOqDMVvCm+SR8AuSCmp0axONNF+QALpacKttpbRtF
YQUrHsNML0JjA5ohuXBTgq+lNGm2UUxnF7extk397JfA0EEEwK+yg5pXqAAvJThlKcH5S2kuJQfk
9WN7LyZx2g0ENqpnDgeJEIfdQeQk88V2XUSzOjC6WXcvdrVRBiRp0MyiX187112V35Sh/+jPign1
l1BaBZkOkZUGR+rsx39k3MshV1k8YeNxihZMcrDRDt6IEe5mwuV0DYW6Mt93HWUp5Kl3nvcSFu30
cE0BTIpJW4AfKTeSOBBH1JgjQthNveMH1vgkjlRvqHkX2gsEGemtUxQ5P3yefjSzzrsvW3QNMitC
UMGf561aO/FLO7jFxpkz//fKre6HgYT8Zpy/l2z4eFeLlg6SvvozMbOv1pDk3zuFfy39y9MX9gPZ
LszT5rHrCxICpqVd3HCcb6bA6W4r1RtQ5dX/ceViNN9f2VqurITlfTkV5FmK9DtF+/dX7rvka1xm
6jbOzf5hjvIDJGawcc+mcjSLSfndGPice12iQ4Zdu3so/r0zPf/9LXV07WgMsfopgdBs6zRV+c1q
upcFtM38v6A2otI5J78rmqK+BL2T7HS+9J+C1FeO9G/Ht1ESN5exjee95c3FZyf0IYwOTe0HQhqv
L0PjZSh+EPzoDJKAH17GNHv/eBmR6Ra/vIyaB5uLwXPythv5PlcD8hUUIbLPUMEWj0bLz8oyMj2V
A1i+3JnyezHxtNXsvMbojjKU6eEMVkmGrTGu0+nrdprtMpXGAHrMIUV2ZjPa9UZoPfuFlj2y1QKY
0FrP6AlYz32wJGEQQboTWx0EC+p34bqC5PgZhFH2aPuv05EEo54YWWQTzE49d635emiWswT4u630
oEuXkR31M7mV1CBxungg50G1R1NPKiyVO9F1MDWyC5RA5jNssHAoqX+IGXVRpGKWKNGpkah8nqZz
WamPPLf426gs4cOcBrM+9wuDihz0tu95PoYMOoL+8XR1II1AtPoWPY31vmj9G+Q6u61B/uwkxbs0
gfsKhgkXMlRw1uKF89o7SeEv02fkeF3oZW3f36/AgXkIw43vD+6xiLTa2Ineu7YY0VRwjyLsLmLx
ciZeHRa3Tbt4qxbsTDe0qK5DEvYwh8ZnXVhql9Fkq5+FwlZ8y+jqWyLVt8hf5yEwvEaWRm3QSAYs
zB+saZ+0cCjJI+D6NCjGMSrRCVkeFqVULoc12mwNunwpzV8P3qRM+6nk6XcI7ZvYVAxACtH0HWDX
rky95GWK6pJWP+zCTZtEHkwWVbra3WlhGHP96ftiv8Zruvknj28Dv2HkXsaFsV0ObaLTLTJ0Eek2
bFdvsMRlTjsDdpDdYp5m4X2gceNq24FOi8kZv3meH+xGI9NvpbrjFJ/meWpePkQNTrzUFm9TdvCP
Cv+0zrApXLiRY+7cPKTAuQizDkYzPlYT/1Ipa/Q6ezYpr42G4jympmo8w7KzV7jfoJlidWclZb8m
SjV6qvE4p4c0ES06Nsi+5EDTw+ZOvG1q3U7QVjwFQWjKGmLukRY9hxlryJIGeTDwSEm2ycIiQcGq
C5/Lqaqg3wGoVBlR+FxA3A9Zi7udR9hnt5XRo2no+86hMu1Xb8K2WqaK6d/mLxHidGiw21to0tA7
UDttufwpzUpg7hRmdeZPaVbOctUK67N456UyLl6q4wSH8JtfvfJtkmHo6O/n/luwfNf4VUvOw10e
OeM2tz3lsxJM/zibRv3VNrydfYhTYrTcx6Yej02eGHfh6EK6s3xowUE8TeU4PVt9a9yV3ZSiasiH
s4bu22D38s4uH2b/7/ghhgt07ovBVvel7ZAggsTkbm5C/W7SW3uHJLyxEdvV8W9Dcgl6tZF5V7eR
z/auDVHI/uDQlvVT7ri71jWQ+FK08EEOWZF+pn/VAfH4t0nO4HXztnDKp/tC9DLFWMYNtCm2CwXa
r9FRCNg9tX9czcYURNcrZE7xegXHAru1sMZ5Wz0I073MuAbbSvYcDNlJUWDZpHsp3lTZGB9aVD7R
knP1Uzur1b26VHqVMPPu1A6IwVLp5U7bPDXknJBZqNBtXSLEkTXmSaOHbJ1Ee3G3axA3m7TZv0eO
tN0oqVf+1paUIy09C+8yvy9f0CNb7fWEShGCROa+Surqt5JnVU0riicj92EryiaQxou9X6bTARVc
p1dIrj4HdvcVkYtih/Ze8jyopFvkTGzDYpsWm5z9v4lTCtILuQp1+TiG2tYzZuj2l1806zj3U/vN
1MPpblLBLIs1STNtOw78opShgX7FvpshwfYQ4VEgyDvUTawdRehidox7SyvUpyQbk09Ro/8Us0S5
kasec9Ocvi1RquccjQw8TKGYzzxr5neaxY8A9XjrWWxFGO5GmhwfDQt9khih5p0D6vooETLBnEh3
LgKwz2JbJvQ27K1rHsDVgwgQX7KHtTt8AS5dn/y+1vfhkvpysFut9d5esC36vsT/m32YU9RnK38T
jmF3n+SDe0j0vtgXeZh9gcbQuEGX0tuGfpt9GcKapmUncDaKxzCefZISJfSYEqwZ8Pn02XAvzqSM
56cEErKAR6cBna1dFhT6Z70bosfBaYebPrFdlTSc3d6W3CzTzaAF/sk0jprVNP1PcSgFdFd3mT62
t2s4sn3ozSBCBXqqgoVlLsd7Myq6l3Znj+bwoipNi+DUmG5kGJTdwjCpIAO7eFElLRFXoJVFhtmI
gllgDc9Upr1Ht7MvYubdhaEoAOReJjVLuqigZQjB3IjX0abvvjm1hyRlf3e93ZIdSadNRIYELYB3
t2G5215vvv64X5p63wWILxQFFpwzMi/rvVom6uSgI8iQzibs7uwhteHQL1W2rBvbp2j2D20XBg9i
6lQXveOw/ik+MV0nXW2/TmrHubrTuuGnxP/fToo60GKwPfDSusYlT+qMD14cAPUom8Gofkx1cKfE
PG0+535bfM4T/y9teeqqnDrauDxMXqATNNah/etQvNdgMlbN5TocEjrOtDSodp5y8s2ls3g03PkT
o0D6jPt/HRlOnm+G1K6egIToWysL9UdX16YDstL1GSK4/nZoEMvxHLd5IL9s7BQAE1/mCiGNqajq
H24VnhoNvO2mAM4NPwFCoZnxA+Wd8JutO/o2ody2LtkrC+2jk78uOcwAlrrBel2SlvJzwGc3apvh
m1LoPdSMnE304G3QORi+5Q3XlLNhsf1rXGHM0MR6EJZuxzYLD6IN5pNWudgOFBcVxMl7GdZdjVA4
ipyiFCaaYWWmO5c3u0iL2SQwuBknMc+CFzdHNnjDielz/9kg1bGevHf9lxgVwM9tP0fGIeiMbhfO
jn+KPG/65iBn3Q1F+bXRiviSwhC9GdH1+CZhUZQoJziC0dk0nU2p995NnOj+MaRZcUdjsrmPhpL/
dZnO3c4oUnQ/ZDy1ZgetiGnuR0SF0AW1572hOkewTD99awpOwlsP6Kp9kLM3+9Uk9tnS1nihuBeT
tQBGRuzcVYOT2MUkzv/R/mF9PuPvXs+v68vr9ATR8bb2oFsHj662g6bYJh/Ivw89RLaT3j10eQLv
ezW4lC7y+EdtOH6yB9tO/qfuIBlZJqwxxhwj9BI7qMLE/Er/c6mr5W25dXoMpa89ZiiEL2oIZmEt
n6Km3Hqamx7EJtoJHcyn90OqboxehxebW6lhBtqJ0qi64sYGNzU3VuN2FweW+S9RZbzegOPyNWyF
kS1hXlt0F1hDoA38O2xux3+s9muYTC/8gH+xzaffmNkYo8D00JYWmvRG5TxGTWQ+gvYc6B/mg16o
57SF2UIiG9Nob2zbcOFK1NmULPH1HEF1GNZw3UrMpFj2pm5A0+nUWNaY5QqwL1vvrqDu1vB08Ocz
tBGfJFqWHT1+t4y1OKQ24+3ogFoxfSW7SdHB/KqWlCR8xw8uMoTq71hnbfSsoEj3nE3Gblp6XJPU
0Ol6aoqNDOdZM24gY1ZXbzqGAGHGPL8RrywZIrhxkeGy5JTCySdL5tDrpF3QXqzAhxZF8UhWhFtd
8ibLoakzYOLIwZ0ll9IF5YwmXhQcZKgl4XCnq2gW9VWYfw6oGz2b6ZpKkYC6gvL5Or1pKnXrOd1e
aw1UCoPYexwrWtX0RS20HHpoJ5wWoHHXw/7wz4jBbe/qkVv9hwiQU6TFl5LHv6zhsH/fjZGBPjzP
LJm+B4lDSsU2TI7zQrvfx8pBiPRX2+qHVB+S/aqGBdbKFe1oVSZVCR1WU+pg1dmRISWTdSgIG8HU
hIO1mq6YmrdJgtaRqDeTjCT0baJOO8I5DGiljvXioUuTO+QHnWegwc6zo+tfaeOqL5DEOkiWV+6e
/Pa4F2frKN5lImXVLk4x5Xl6XzipDists5PIive01NcHme6qjcZOtP6xzl4mIaVxBN4ffRKT6vY8
VEH8fJRXMPZudxeiB7wRr6yhU4PLVb1/FNNQKnQQDU5yIy8Bde3q1tJtFQDI368I0h9Uv5QnsbRq
hurT/MOPo/4kCbgGgtzjXHXlmsAbIqO950b7KE75kFGNRfQ9Dh/lAxYmLW0fv05vsrLchbYOfXOe
uKeI+wDYXffUev+Hte/akVxXlv0iAfLmtVTetu/peRHGyluKIqWvP8FUr1av2bPPwQXuCyEmk1S1
KYnMjIxoyyfHzKqnEvskS+byFrcW/scd0w4dM2F7GgRCetpbIEoIacLHdDyvSpC4jt7Gd+vsalmP
BJow8RJaA9I7gX0HfPd5i6RyJ2T6HTS431wOfR8QjQSHMoEao1cUxldMpHGaODaav3YygGaqtaZn
5sFREHxDa8c90uKGgl6we+SFnVXUdMXWB2uBgAzSF56nFthOC2QwCqUkpaRclB3IWvOT/d/+yBle
zKBL+AGlyxIQ1hxIBRX5+yMG2HhpE1opEhrLwKdgYUeRQE+AVbNK8QwfhhpcGiK6h4pXdO8ayLJg
exzsBsjY3oMjADF/F6Vfwg/O5GFGmXEn+bdpdJwsLILEVfThvyJPuFnoKHbgTi1JvrQGLem0HTT7
1B3awUTwlkO9OxpQ9KZOdnguuZDxi/sDdTtTXydghX1OcfLAtuU/3ehVMThQ0A7K/q9urVqNgMwf
buocM69Gdrqpxm223JRW4wMYlYdcADgBYbJdP+X5Cbpgxak0NHs3AoVwS0QNGHtt+I88Qui6NZ36
zUyTtzQRza82g95d7slkZUlAoLuk/sWD9m3UkuqtbKsM0ji59zia+DI3WlLcIFDxfpfWkJ/v4tpp
tkEerAP98dfW0t9ZY6A0LU7AbBFHzCcztCFnWpm/2WiSouDwYwMSG4G/KRB7e4RITH10kLKBMI9j
P5ItZl96YQ8PwsDrIHAgO9xN4MJa/CF9BUgj07FL7Yzufm5eh36CaGlt3zmjdI+W2qy6wG5sjXzM
kMae2A3Jdgm067+Ns3g8GS3lmW3so2S+/7PO9bMOlpPlwnON2RL8c/EvnzoLxpe0b7/SHpl2y7RR
HgeIzbNIP5BdBP4tsXxgH4rpjceQHVjCuxQGVnbbhNi57cZbqjwYxUsTQ6kCUhHGOkWeEZJz2XS1
IqaH5OAEL3nf2mFSoVi9Y3ERskmPt1Pq2FcNiNu5MQIzOQfM3gxlhPAWDZCLgNxSWOFLtiXbgPq/
te6kMYTpOLsNAnQhvZPLbV0x/P7aWkMAko1HbBrHL2DP9SBR6WhHrrqmuW0D6b02IK85OT7U+xKl
HW2UkxdyBgr/ydMqMGE1v5rR0r6qCz9v3i8M8OPmDIIgjoHsYmUUxkvr9/064cy+CQPaAnmXlkck
DMDoEE3BpjGhipAZURUWDch3YiVPV6kr7gPtDSAP+rqBpF8mdWPz333IkZosA9tJoryXxegqKb9V
VR/guGWd6cg51Ml0Z2rTmWTI8swc79QYnTBprDPx36IOpx9j/9s88KGA5V7aXzvIMqxAfJQ8Jlbk
b0cfGBsBGsOLmQXphrfMeKk1/q2sJdTMU/DgYVf3A3TP1kqqSZr5zySAb+UFBT0ZmDU1/WWScp4E
WdV5UlcjoAW4iRYN+SltHS0sJpGFiDnlpziSIGmnkT7KxvdLGppyHQEUp5yOlkQCrVJllbWGQvDU
gPA6tMDScxCBQUMrWfeg2VkT1g1Lvo6luHkOar1Wg/g2ML//hZKp34nv+C9eYYGH2Zf2Lff0HLpP
LDniN9tc8tEyN8z2vUczY69pFO8mlT+iRtRjAGxNgrpx6hcW0sW5I48GZaA++XwMJ34yHqnX61Cc
78dg2hEkqJbQKR86RPRmhJCCD4GS5e825oKBgkSpyZn85MdcQh3ReuT3X9dzOuzR/bw/g38D5Sm6
p62XCMtg609gSQfmRgVpKhugwNpxQVWm0NGqoUkRtJ02i23KgquhfW1x7D6mftDglKxrEr/DeD13
pSjd2yjKDJW7aYBwAYiTUtXQAJjsopXlVMnukzd2y+tuLIbL4ux4itg7bx4/uUHIPd1Ip+zABf4K
gpjgwurGsVY94gGHwIpeG9OMriPDuWUN+P3WtcBANrug5mpaZWmk4ekylmvgiSBqsDyfpFk0ILPe
0IOpJ7s9cvtaFX25FsqZRqICGbiVzgAQzNjs/MfDj1YvTcsA2SLK0hXboavoEWOzQl0mXepEfLgM
kVEYmQ1UH7AZagpp4H3ySwajTtbk6KQGyoOsxrMOpi1m27yCNTb7DjJtdrIqmxJyE4Zh36X51O6d
tC8OleWMtwlCkNCIy9o3CblHT4u1X75o925tel97r5QhTSrdrN2LwgDzSMDHm4Ul50ml7l7oiWBX
/R4xIneeFAHXdhdk48aEQt+qVJUKrqpUoKaRbYigVXCxbGEAV6OO9uDaSEB/hdIDEDK+++HUBOYS
1rTAmyPks/qYrNep2EEfDfLGSOfcgBmWtzIX7cV0oVDPzNKF+A4oUPS0G491oN9Tz1UmugJvSbHn
ripPUFNpERqotDjf6g3gd17UVe+rBEXRr02OSGpq+FG6qWwcNGVugpBwuRVyS/g0QNDsaTU5Zvso
y9iVgVRh4/si3dA3qlZfKz2tHqHkZp6p10VBf6laDt4/jFETtLrYuEBcbLI6eLehcvU+qjV//i6i
qra6NJN1I3/6KoI8nm3iRLSbZSERsTsLssUXWgfBYdBvjF6GIBMoVRrFf2Xk6W8mMu/OGSDezSKw
1pOduY4XGp1hnrq4ks9mluz60TfeCmFAybrqxh255UihFwYO9t00mMf/tuxkas3KFaDhomXLSFRH
i2CBncatPaoGo03pTP2WWMiomyG2/qmbqC5RluldG22W0UggKKFXv2O8Fp4HaAodWY6fkrp2gmh5
7fooRFCjmaM4IpMGuETV1TNgD5mi6acuUgbpJW/6fO7Go9AvcaP9mldCxuOaxdU36sXMca5Dr794
0zQ99xXrbxp0xGgsMazkriuCK41JIBfvutECZwDuCEaN9h4brH0EgpXnVJs0YIrGLY2Vg2k8uCAM
pHnc4d3j2KchjTVTnD655e8G/3k7kQHrzqNqeBRllYOWqxhOriJ3AmzY2mem3UBLB3xRswuqaVrL
ce6pl1WFCQxgamypOxjAcFd5cKUeTaqwQV8hQDCcqEtLej6/9/LsaVS0J8XQ5Q+aitpWTWLvsMEY
IHeTNAeJ2v0ruSApk1yhQXFYJvQl03coBACCQi1CDS9TNi8Sl+1wsABdXoFhIkAqu3FXWRsAzdzY
trYyNSeByBYL1jaforumqKM7VEsW+xTyRiudfFoTZXZVw680Sg05j8cqiN272Snv8HDp8D8wr5sH
YErSnTzeL5OWe1XqNkYGCtsgr5w1Cq6AIQli3Tw5+OV87AVKkQKtTf1Pb3+ZjsWGewiCN72+y3gx
7F1UCz3GifMzyabyR6UHyBx49XMJurS/OeSd9xyMdTM74MU77JsRhy61QoHD0oMHHplV6kLTvjLi
5uIVmvVqsu0Ulelr08r2KtMYOG1l5pVIdjmA41sko6zXZdJ7F7v1DJGsaapP85tRmgG+I2lSo7wP
8kifGh4B8JYMI1R+MdCpdytdQebdu+LAk1oyWJMlME3sc/K63kVFBTU8xw4g61qwjcPM7JmV2Aqm
fdz/rBGr0kzb/s2Qxmq8MXtzegQ1CuCzcdLmOB5i+300mg7Fdmp6BLGbefrk690zUh7DJiuw2+8U
FsJV+AjW2XhdevxKPU8Hm8LU5yw0RgP4DjXKffE+Gscol2+dGogpNfVjfuDLaqsHYDBNQWGNWAAK
4QdVo1JYoFXBF+QReXsfXFE4CwyeqX/l4onGI3C7rU0rmE40sVATeypumeRTW6Tj0VNlFW3vV1dH
XVE3diN8T6PhbEzQ2gYLB/gZ21qcyY08Ji2udz0HWewB4CMe+k7ZIuM5anNtQFRk9So1dHFnDH5z
BfZFA5oVqVNXNDX+PxslTvrPDCvOg3sQAoLDvLB/eMxnJ3o58S4NrpBB2/UJ3vRhZ8bDFkx63XrZ
6qkJrij6E5kEaPq2um8BJI3wKMtc+TUqmgOId7RfhmOcIVw6vTEwC4Qe6v1v4M3S9g7Xhz3KS4Ha
VJM8B3WLmd4eJpnUtymyq1U+VsmlUFWpeQp4tIAk0Nz7sDvMqdi6FOWxssCluJDMABYKXR+Ne2BX
1asjDRT499rUhY0cvxlByZXr46UFQ9or/90Ig7/GpozBkQtWtKANrFcG/q9tZgi5JSewtr7PMd3W
fjV+2HGxF22V3vPWSh7N0gIwvtBBX9Vl6WPB6u6MJ84bDU5J0lxAUX2ppFucrTEv1lDGhcCi6gYc
b8AVXVITaRkeYWpklDlGPAh3KqEed0PGwfkOSFxxb49eey2AH131Q6B/STqprevWrA7UzZGxgDqm
eM4NdQQDznaVgBnmS5S1EtgK3T94iZ+dUHXqhtgOrXjO2MtUxslF18YABLqAAUBItl9rtR8fa9VV
bky56XGbXBCvhCZa3CEZBhTWGlQ2yZG6H26GWg1gMXCjEahg6r6jsgMMW039LXARU1cR80zvBJBW
3L/KoKrPqIhz1x8eSEmgBCATInSVR9SDUp48oElUf4vb9zXIQ4PiHLiIwJGMB5L+0COZtpla1IDI
ujUeUEpvPBQs2HaIUt7Io0wzC4iDQK4QnQLPrpe50wpPm/FAzraFmmw2dsBcYSrN6NSaCEd2G7sW
Uxk2rraVg/NmQlPrkIOOadUrZhhnipoTdSFSYz07nL13Yzmm2xSlymvZMnffVBAMo7O6i596z2qR
rukgT6PUpdP64mz3IjohqJOtKKvV2z2ogrNq2KadrwGkXPIjsy3/pAO1NWfH8giUXBIZVppAdkqd
daNMdyMwQPNKy4Q/10SkCKqE6zzBtscsAHRLyiG/C3K80eTk3bdRBRMwBCdp+l8X05C5kESwSxHG
fcGz0EtKts60Pt/O/SaeFGd5ah3mvhHh5dvW1ZWWqEs3vxslx/lQTQbebl6/QIktSOrksUhPZSzy
M3Y7783kZwD7/NlP6mY4ld2J7DSjjwILNKo6Uc1YV0+BzachgmCwh1pKK9LMFdkcNYA/fx1WAEVt
FhoQukIYHWlUIO2StHycnNF5kgwwmTG9caY5T2SxtOkA+gh+x5RpsPR2lTXcO5FHhYzEumNQQuu0
zsWOCqWSrAWHFE1NICV7RDFWsKIuSmKN6/9xJ89q+V0KiEuHLHzACweV0lNbnnrVpNJCn49JCczQ
VJ7oioZrm0uQE1sSvI0fc2Jyp3HybKYGfD5/XtK41g3tBlJa6c4u4nxNuuGHUlWHNfg/WZudLi4c
APyLUxT5utBN6yTd+heLcn42BH9v4szmZ7K5Pvj1HLs40eCkPDjYGhBH+3ChEYkKOlA6g1et1O6X
NNU0eMlJH9s39lFZbiPNQCZKU1Gj9aCoVF7UI1eaOCX9PHHOaP2z1rL8v9ci+8cdl7XMf+5IK5tV
ZZ1Qi43HJx5GbY7KW0Lw+h9dHHfM56zHY2UZxXbic5dGkRBPCrO72I4mLtJk0QGvtmNvZkDskG2+
9AFQOWSGcSQbNZXboJ5ZNSgzAEnpa9LjBAHeLuaNzxrg936mvTZ9W3+vLP/Vxz/Cd1BBzxfAk84X
/xrSI+m9QCrjqIYrNfP/WOL/uw8kwFDlBf7ujcMd59xK114R0UOZFMm2g07tzA5heVB2aRrdufb4
kV9M/ymdTOv1b5Mi3+xmdoj/nCSzxnqNLTs9iwrFl7zU5B01feoV0MoMF8uEQNydm6oNeZ4o0Vdd
sVlWjbEzUpxRXWGMn6YWPNSito7mJQcDXB26VEEJdQcV07tro8TY5RGIYMlmI0O56nqvAjVo1WwG
1NQfIo8VL6M27arWBKhV2XUrDxa7iOt3uwfGtkMLfN2LU+MM+WFf/P9tr1vUr1H2ak58qewVKC+h
yTzOybIWtLVnHnRPS/6sGMx2Nzi+DJf8mUAKE1HY1N8uSTFux29FbMsTmWZ7EtYRKsoo5zZpUX5O
rOZpuTXHA2fXtskYLst00fB5aRoYjWJemhbSQeV8x10znAxUCDJ3QmCwACTlWjSuG2odK1EHIKPr
PIIn1HhAXctzqWzk15kRFBSBINnRCvNcWuBjFQF2HxQ0qUU/GmxP55UW07Jmm+Y7vG+8Ew0CB/aQ
OQU/DyjjX8vSw45bbWTmnQdefM1oIzWrTD54pvd1MYKqS3Vpu+JUMXJtIspPZHN9EBwAFH6jwdlN
resiFb5dbJX5e1lWG/3Py9KkQEMwKxMsxzkK2yBadgCjNQ1S038sGzEcFcYGuyrZa86h6bGzo/2M
HwMHQV3az1DX9QeBQiSkJpYujaKWDd+X/OzHOPUMqCDeRXL6FvQ4EsWePpxBKI49HvU9ZaQratKo
gkRs3u1oagSWdbw21BTqLytENQj+raF7+MM+r/zpJmMRpCvPr8QWIY7hIL340bQH/asHIdYgctIf
Jc+GsJOZf4Xgb38GjQfKCcc6+Ga0F3JwoEoc1h445VvZNJcKOiJrGnB3FjSmvkPZuV27rUih6BuX
12QC9gCprfSHaz4NjTF9s1CUvoaObaW2zdEOKWLEHhiEO/HOHb+Wus1WaW7Fd1Xl2lcawBEAtRVq
QEOJ3TzQaOBfjkzUUcj26BkJqBUdBYGSTDyQTfQOUHbjMD60iAxurVgTt6hIzJvR6fdMbWozpJKo
J3ot2WpgzIciMEQeY88zj4iqHKioZSl0oS7UnZ0jyM/nQfInOzUjUktHJ3X3f9rVsmCH1o610e8/
+Ss73SCftOSEgpx58I/pqN5F/lgX88db6m3IDZDI6jQ1xW5Z1gSm/pL5Imw1Ji+ui4SOBCb/NkR4
XaPQLH1geQDYbw3FBtkFVWjYRvPqsQ5lfKIrvvo+UABCVD+CHORJlct/c7ta53npQT/0AcmgDKeU
goVNYEW/kToDjLvIv8v0J2r02meb83GT4NF4bvWqPhnIrm4n38amEuQDq7j0+x+WGYfaVJS/wcH9
wp3Rfg00ieA+Iu9XV9P1Q22jdN/Dmew+q/whFL1ufB3t4SBco/ite9ORj0H7FaBNCHSB/dDjbJWI
YXrUzSrbRXabH1uP5TfbT+K1EQziK5D0u7HJi1/6mHzhRTa+DEKOOH0a1TkwuH3GN7veeINXv3oc
4UDlavXTIfX85NR2qRM2ccZBge2wU+ob02PPjEfwdDhfodEMNafI7s/QD2seQNP2nez4YRCVGVpx
qUBbd9+xBEDq1F9rAYrrQIAZX7WySi+tkeCwb1nD987ZuFla/QC4BjJZysFk7rhDDWWyycy8ukPx
S3VXRyjwQsChQbzeKe8MaK/5q6bEJ56KG5lQw6UhMy0CK1lJrd7HWp9thQJ94E+t3Zt+ka4QNhZH
S7335oEI1QJTVN9RL3Gj+lKayWWZVNR4649JChLPj4UqJIzX+DJlW40gIthQvy9MPl5isFXpdz+I
7G1SfJxNzsdTX64qR1G+zcRvc0s+1HzqNzKeTgxYV274R0jYrBwXLB51YV1nzMIEaQwEB7ItYRzi
ymQXFGi80CCZ3MS4mNbw7s+AcEeaLHZOWuc7IdFR2HX3pU5t48FE0Oz8F/vQVp/tmdl/cQr27t8C
ABQSewX+b74EUWY+yBjVVHMkq4oG9s7viiTI2XPBDUqYBCpVK8G/0Hc9uCci+w6/mPp5gCTTvkcJ
97YfLePLhAdvzL3kO15hoE9huXYeuTPdoFLtgygDBclqJnK69bNUM1mNwFDsNvNMcnAiFIHRTAuI
ihvPIDru/TOT7ql7gCjSTCfx9S8M4CNywE4PtRfxpow7+wEI8WyLP0ZwFnkKvmGIV+8tZjXICyQW
1MK5Dj1qC/Sqlpn/gHTRdmy8KUZNYrIBR5fxI7NRWQjEbPbiTLpYB6Ywb7WItd0wDf3RbfvxjDw7
xMe9un1o8ZhHed5QvWEb8RTlAPeukoeJd2AMa7xGqYrYb0zTq/Bvn23i1n98trjRP322VNMgsqtq
v6h0K5GsDJmV9Me5OEt1gZrvj1T2xUztAXUk7NCIPBcrRFZBIUfhOr/z2o2VgjFgNrpI2258mWgr
pLErnFp7byshZhYmMsJvnYysTvGOjp3zpFS8pGoqrntbFkPs3GvkzpJeddQACbkIl8sLXVHDsxoM
ZZHrrpeBto2+p0yPVmXnya2VxdbB95rkwR9VSdsIql8gT84o8WxeyWO0LRP5TesZ1T8ihB57fJR4
lFhLWv9TjH++JKcJTpQC8LLU2QqZ4NgPNroRwV3H81GDEhWbVsGKmcX6ldEDGTgAFvTkOoBI2/n0
hdwiHTSnTtMgAjfgrJGmfX/tldsQo5ZPTf+bm8Q3f1cBiggZK48/d2W5Qyk38nr45m1NJ5l2peqK
ogkz6Ia85lWrH3PThey4NulvuiN/jVng3yHRLG9g00bFuvK3jMANGfeQuVLLlrzakf+Yee/L1ogb
76cSle2g1gbD7tYHZixEdjE90NGWuo2eZYf54KtGUbGRfuoilpkeslZHJrpFdalPwNU4dYaVYQzO
JqgC/ewQ2hUvicHdojzj7v2OUKc5xT3iNMVk9mcUmYBeogRR9RkCnZG5jRsUldeeFFsap0bz0m+Z
25g7WZkcNSxo0ioeLjVra5TyFw4YZHxXrsiY1uzdx3I5DxvGkP1V3jTAvViC/xJKC3mD5C201vmF
iwhgQuhLhX0NiUaRA82P1D0usfPqt2B861c+QpNyRcZOjdCVD6TMoW6922JvDBPUH/Mot9ZGA6Ch
xM7AwWv8xOiLhq9QculzG985ukz8x8YqMiicIW5ODXJUhUBI959+D36hCrz+ZPk0k/pTnhrQLA9p
rWUOhIQQileNWXrWxpaFW1xBD9ZvdXCBXxsjsi46fzYU3IsaMtPVlAgrdLOx2qTYqXg4g0T+eYrL
kFxyso1B1UG/J7E3ywpdqj/jdJKAps/n1UqDKtkxUA1dxbnTV2BScGHEeS7YkLWfOhvwXeXleDaU
ztm4Jx8y2U79z2xacumTD3XrunTscBlxDa9eGy4EJTuBhJGo0vcmQzSyQ708+oX0WxAOxb9mW0Ej
5O50Xr0dSu03RSA/BSnzNIXKTwLy9B5o9jPOjp+jmX8EN2my78TPWqq9AAVtXUwN/IDCSkYoxY/Z
pR2LCtxLXLtHEZoZtn1iIsZTxCswRlY/ZZxvAFKsgP1IIVzjRMkvnrXf69jtv3Qj8vaam+gP2PD4
4J5kOv6OdX7AS2sAC06Han4v37h4ueL74FT4XWRiPM+XmsW1o9FhT1XlLSqJ1Ag1rgAyawQtnsRp
sE9NFO2BDuMNwMt7iHV2j/7UBGcUC3Yh2TUO8sW6S9pbHlnTXeBI7F/UhARcAcgY1c7JRn3xk19D
Tlfo1XNcT91KgpHvTM0otPKsq2axUZcLzkKnMLf1BEC4qNiFuXH9HAAF+8D8KNTNLgGuZd25VfHs
yL5+RuQV8MaGP5BjXBdXoKT8G/W6rPspq3acF4FeHWhViwTfQ7VmrQ60eBCJA3WLyZnWwALZO+r2
foP0IALcW+qOacRwGuv8taVuCq7Q9IDshhXSKDLx2rGtQW9Bo747pJe+xw6VRnVpdjeEDO5pEFvX
dNU4o74vNc2awLacdyjI6I49NgcIJZV5dMH/VnShK000X8CXLfamUTvTymyjAQH4EUzwRomDYQll
ZnVFTQxVgGOUolm6f/NbptEMcqFpS/f/fanlln8s9ccnWO7xhx8NeEzww2A8RglEljWohNQrulwa
EH8469pq5ApCCcVpGfBSUNK3dfnPFOovw75acenS1Z83KHpkJA0PLIf/+zJJ+/HB6C70SWbjclcy
ul1r1yvXNu4nnuLspj7EMoW6swtd0pSmyV6hvNkeNCut73pIQzpIBZ0rxdhJTTM6QIFoUROOpvVu
E3SV5VsNokaXUX0DgI3mbNvxHLUSH3NpRp0BLSc987LYJx2121OBJxHddRkYQa8jXJFfKz/Bzpwn
g7vJmzQI5zt+LIwoFQq3weEt6N4Fr3BKbo1sPS9FkxP+Vngiuc1LFdxoNkmqtbNLoAVXCyREOzBM
8KPLdX6cr7xieL/6i41cpG97Bb7YmEdN9XG12Fy1zLIqDSy2FiyhYWbjGw96t+ChGTxwUyVgUqdu
5OTBAzchoS1y85Yojxbyavukd4aQBlvbDx5qxFvKVuiXeZLgUApEEQ8iX4CIVpxVN9+yrqBJaX82
k3PVXL35aXPvmni4qGDxo4ydvbQAN1OgRwevk88ESCcYeqyw6IgEzPbFRB5kL9vphirzlT7iQFA4
2R0I9Oz7LM28Kx5IG+pRo01gcy6s/ucwxjkyfT0QeU3QstB3I7AYeGV86gpbnedb963/uMoz491G
V0Nhu29JMhYrvS69t3k03ulG8Jhznt87jpPfg/faPbN+OpEJ4hD5fQ8g/i3CswyqeTIOyW0Y7hOQ
Md2RFzV9x/a5VYsL9WSa5fddVb/WXgUmDbUymSQDZ4WrmfFhsQ211YV+puc7cqGBgpcouqhRxEM2
WjNpISca93a+Xu4ae9za5RIM1Mt6sVWYB8+QwGsZPj5wVk/+yXb7e5pGPxJwES2USptPqxstaHiz
+SMsP0KOE6UA+9d1MVVRdycDLzkvn4x7UboyQJOImlT8wsiXuV200jTX+/RTtWYEGKkJuipyoSaY
wAHCDGbMPxUt6g0BRPfKkofLbfW+8vdaC9z68pMO3aAddV98WX5xCJCC958Xh+XTycoJbnX8RmvN
f8NANirqOt7m7tTYRzBsCFVMIw6eCZEErS7lt4z1T2ZR5k8ZJBuPnq4Doavs0LOztLq/TtiHA/zp
s20PKqODXzb2MwfRHTnprmmEvat3l9RytLXm1OWKQ4DvcZDGi+jH6iJUz22CaQusCJiT28B47FzZ
3fkgver93Hgk02CA2isu4/RENjnEzb5Maz2cJzhm/CiNbcS5ASZOQPSwrx6yAy0OTtz8iKiIsaIu
TQjwz6K5hrwn0zAhlFjIodvR4qg2Kc+ZVf2iQfq4WmqckMKNb/Pde0sAbZa6G1rM93Jx1e3mSv7U
BFn2rc4940w9ie3hLvLMAXQi+IEmTcb3QKqsaZBMNSQyV3YXySN186mx9l6KYB250EcQqIzTp0cy
aB40XoJ20vf0AUDroR9jLnGUxJlKpK96ag33k+3xu2YSPyMRBF8g7T5uoAg47mOJbsK1NUi3gNHM
guDcdCUU+FBB/QU8hTYoccv+1AwpoGvm/WweoMDH2xZ8IYjRhO8nblCo7Wec3oLNz5H6OA1Vs/oE
1LMyBjFxw3rQ8LGbOHql/HWsV9854/VTgyTbnjNI/CBKGzwpB0ptYw/43WZfNQQ5v2cOAJC5sH/n
VnHri9F841k/Qg/UrO5dKx12fmvKY9S6OeIUuQ7WQFs+5SOUcSsIdP5Q06FRav9OMd0rEQzGv2i0
jawC/xqFjpIEVUee+hqYLYwcxWdFIl+gUQEuZ9gXN6Gqz4vAQxoRAbXZzUXtPbmhOuJ9tVG5Laul
2Y+IiA4geTyC5hvlHdqqHH+WXgJ0aWC+Qna4BSjRKPdM9vlLO9hnrzGS76jnKcIG8Ogr90z9Uhsj
UmvWmH7/mCkKiFHQzNqNAdu2LH2tZRkSRHFVvNBVFbv5fCX+YvubX6wbOp6bTfEpz6a51ngCM9j+
U1ZvzrE546PmTO6B0mvzqIcs2cbRWpSZfOToyJlWKVq2J7vMilU1IbF7bYam2bmgH3g1y2bms3IL
39jklt8dgEKCOG9Rz3xW2EvDnvUg0DYD7UX5+4iToUoNMAVnrMGjbDbC3CjsfJi4AXiw2yT/L30R
ZnwVpTw6BTlkRwCVyetrOTlIuBhiTQPIE9bXFBqC1jqb5BoYqui0uEWjk2zHuPBCaaOaUwCoceLl
MDwlwqw2YCmT27k7gYjNdjt8JNMbnrgwJhC4FmcapEZ4IAxDUdc99Wg1mRvvq9mGeF8ttrR4O/Cq
R8TLN/MVcWZBfugsfKO7Uo/pBdtnQdmF1KUGQV4Qc8bsarcBAJvKg4FALLSVlAjZ/rLG7KEm/HuN
v93FaqH92gzgnkxGu3nUcuNE3AwR1En3OWqtNlJ9KaDRl6pYtLi1EO1+tMV00iH+usHD0TslLE7C
3p/sM8tr60UHXfpMW8er+ggWymYdAzX3hdyiorXPhh7vfLMeUFTvfqdvDGMQrmgRs7jvdb0/9fHg
r/U4T7/z8lK3VvB1yEG7OvVTetTLonpUE2m8y2to6JiAC1lp7h7yAuu4zHR/xgj4JEkvviNbKsLB
DpK73DcMiLlOYBm16gkiyvm7rwNFFg45xmptIHk6gKEX3B+2vpZ0ZeGoKiruI1yAq3lUXVnJN6eX
UHH3USakGpBi8njHAOjdOb2NpCzHk6jHNgL8/t60C/CcuW89pNYVX9r8x0j6cc1cBF3pb1kkQ3YP
ZTmlwXXnBLrztQDXLsQUxVdzknrI80xASy8W+94dtL2OTOdNoCQ8RF5uemulPBOHdlCBvTOtxVe9
LSAHifoLTWTlU4XSe5Ru4yruGsiG4pH8pGX83baM0lWl62wjqg7MQDYelCjRKI/0kSO3KM5u232b
P7H6Uf6HsC9rbhvX1v0ru/bzYR2QBEjw1j33QfNsSbbjOC8sJ+kQnMB5/PX345J7y0n6dHd1sYSR
Ci2SwFrf4OQQ+6IeqWo2cCyInr00P2SZ4T1FEHza4Yky3YXd8GWqTxjeFpZSfOe4kEr5uX5EImOW
mVWxweOvP2LB3x9H4XTwh+bZOrbycFawHiYE1OKqcJzVhVDrrBvga2bAB0F6U1BrKt7r3DgZNsC2
lZd2OlQQ1kf2AnVUpIZ7XVa51arwrXZOKDfCu2EPfHG5428J33avN9xoXDNgh2cJybTena08u7wg
t1YtdYOnR2CY1oOOhbEMp0+BM7x/orq/agWwFPI5wEquI/x6dhKpg1U1uvlzWervNqKM38OiWiEQ
130xUz9eAD81nBopEdkzs2qlE9eZW3o0Zr5MzYMkRQQKFFNZICKHdU6woyo6uFMUmT4hTQEv13yE
ES3Aq6vIbcBWngh3BOKiOggAwP/Gdo4I5GQnb3r86sZ6tcaabSIu8EjOjT7ecmbgLVHE8EBvq4DD
TMeMvvu4K6TliLfcU9HCFCI9eTGTezVm1bJvdAOuN/jicPP8zqv0x5C19ZNUYb32/SzdBqmAU9o0
GfUYbTiuh5V4Q2g/WvjuqBcuk8MGEoKEUaeDp3Wx9F1hLanYgbx3dd47cFusnTQFXHyoH0ftg9of
h+kWOQ0QDOHwcIEzyHtd4R4NP9pq5Sz/yrPCt/GqnRrHKRXvasUWgCx2xiOia7gKXRjkC+L+x0hd
bZDrtfAKg8sThBTLi0Iw5lZHRWoAur3e2HPDhQBCy1vrGTTwdsetfNKmlggflrCGuBcdCCjiutrH
yA6AkJaON48nhXFYtX5yqjJ4dEWdHNoh9uek6O38Wd9kdnLI7MmeCRH4JbR8E5gS5jPctuZX6G00
wPxbydltnAFaL/hDJCJsH5ksITg0PWoH9d63VVA0tq1GXZUJ8erGRyILe8PxC2dw5umb4QV2Me/1
BMSARuatnvqPOvKXgTGCY1DX8YZ3oVohyYG8nhzxXESuHOo2IIXESbIx47T+TD1UHfJ1BHO+GRZb
6fwmPV8brF//ZZmE55EvA0tGSG9jOZCGU04F9zO6pE35sUitiPh3W7r+Rdj91vrL2HvndpqqkEaz
HoNx1w1IusIKvdj3iACsdGnajxqQMNgc6/F75j/kfef/YY/FD1tI+dwkJnaWQe8fgAIvb2OaNDeW
egBTie43NvByHRkqQ+xpWgM104Knmw6JN9pzxt7unOk7rzqHmMQ2LWDuw8G87py0gkHx0Lwzse/9
4MmAtXmbPnNWMfxOuxLaNKm9SgTAxWFc5EeQ4PUSsKfiU+ma34jaaDjf8NiKv9/HsHBUC8MXr42D
Pyax1oAwLlb3olf1xQr2yGqVuEFwEAOoV6J/IfR7lrWwplP+cJJcdgerwUYmLHzzrYpvHez+kfXm
DNmCAggR3BIZVpgIC/P8QDY06VQUU5Fa7RbcTmrFXtF6pta/Ghs7CpmLVENA1dAnLBOwroQBrVX0
cl80DEvNqb4rHQgGDPVr0cjM/tHErrzCj3YBhdsgvahgIjA04QFK3YJ/0+AQLyCrwR+MHK5/g+HG
z0GSlUs4SY1HUL6SnZPHznrMM/tsR7mYt8JRr62lr2mS8R8g9gPf6DXfVfHncFc1gG+0sQUhf7wr
oI/gIRTjpQdRtz7QA/0nuv2p3uLaWbt5eXMf8gYrPYPbvdcaxkh3Q6I0V/VaNApiuCMMie4NZs5h
+GGcoWADJaocqH0EV2aFCLs9Feshey8S9RBvh4+tw89Fao0Y6GH/69hsBEan0OkC0rYHUbl6600L
LKAR4cgmi1QdqUyHqYufjXobxW54MLH4JD2DqOn+8EWmzk7X8ysb4xOJIdi6s9eAjUYr6jWk4x9g
6QVnrG1vvajaGmz06hP0mlau/5kL+hW3XrrKnVUjK3uJCCUAwn3JXkIb2nC4r/2LVhX0uPHwP4Ij
gxyU3yoEXTr7OAIqDnPEyr7WWVXPM1P3nyPPfms9N/7DKmoMn/JQIimwVWLxd8eD0WofCAZDtgD3
dFBBG6UbkCZpzfDom8ZbYvj8tqBsYzM9ZJF6o2UabRAkWK4zabfxjhZrHsdvEGT4fElqXqTr1fR+
cjRKvCom5S+qr/sG1I6pnndyfu9K9bDpTPBi8IoZBHvHNUgz6YsLe3FtSvU19UGDdqHFdooS1Z0k
CNSAGtTqawRrAMGgvWG5ob/+eWRshuNZp/aLxsrmCAkmfcSqVx+xA4k2ojc+STsM93YUrgIrLR6T
JGrPTuwC0NLBGbRHzGVe+oxtqNVoRX0IAvnl1soG53sF8sceiyPsWhxuwPISETLqSwcI161Ep40H
KoWF5yz+/a///n//91v/f4I/sjNgpEGm/6Wb9JyFuq7+598O+/e/8lv19vv//Jt70pZCcGhYCA/q
I44j0f7t7YokOHqb/6Vq6I3Bjch65FVWPdbWAgYE6fdI+wG4aUGB0K3HN7Y3qSqASX+t4wE03KZx
vyN1jvS5/tYai9s+NuhUvAdjZR3TCqsTot0AaiaSkzOqdC1JVw52qXymhiJc31wG47D+qQwe8UkB
CHNfZkSxiBbIxqQwCIEyER2C2P9YR52LNFkw/MZ3sCcGenY6CJ32R3s69FFdrjI89KDI9GdrUjaf
IaafbkTLsGIXqVMCjyTbWxcaS51pArgpsNnfX3pu/X7pHYc7+GUJgRy0w3++9JDHy4yucp3HuguH
DZLAAVBT5rhMuVG8ljGSJtNyohvBgy4kL8/UwwHnCVRtBpjYX/cqtW/sUiU/zNOxSWbD7huYFRs7
ISr1moSltYjsuDu6sMTcFzl0Mgbkpj6NEH3G5XW+T12hPw2M99SV+XAaCZLhQLeZWQ4PjYrsHecW
nrmgNLj/8Lv07F8vDmeI+uLqcEBDHOGIny9OJ+NCAjqvH2+LdCcX4OVn/BMyFNkFjrLtBVT9Z3oc
hpU2VvTIo+LUC3AtfRlyeBVbyntDDLhZOiLVUE3Dg0npCmYNQtSfraY8utMaES/Fq45Y9iKMHJZB
eYeuQ8b3lXtWRlaeAbRfIWEvHrNJTb+Ati3kDmJ/T3WQDIvXdQ79R2qlAWXYr8Sky4+oGVxry5CD
t2encwSnou3oaqj2+xqUx96HZobdxeW88sEiVPUjvOvF4y99uXmuHGsr4dzxy9KeHOasRni7qZHs
58Y2ADupQ9ADy192MHn4R9l56VM9HRApzEsRQQAMhTR02lkL6uEu9XL9ZDVmuTLMMVtSK43uuuQ2
OoN478Mt3shziy0tXscfxOXb2p2eyma9oobCYuoffhHc++kXIRiTJv4XcMx2QUN27el2+vCkwpPF
GiAlEzwKvKJgH8f6U2dCXpl4hmHxyfQq640WYdxo+0Mg/P5kKA9LNKOEFWQUH8lV9uYSS+axN3tY
+lh6eZ7P6sntLQQIEN47RQRzmbjY0yBqoOL/WnebLGCxv64qCZTNYMtk43ajuWdcmnv6xPvYLmY6
HIC2QqKIbbiMtvfm3/rcKnjZrP/h2fPzY3+6mBCAcjhzpGdBiM5zfr6YsSqZmaTMv7p9NSAVm3oz
E/yFsxUaHkDfqblsE0+/Zkwsaa1LPcpSgaXX8Q4KtxCeRRoxl+Aet/mmQp5hes6W09P1wwEko2Pb
wMsNHagaHh8IOpkK4bRg1PMyNiHvarH0YnpxOKNgCzWw1HhvQHYmRJQAsu4Gb/Q8ynNo2fhecnGA
c/n7q+K5v/3EbO4y4ZoWJHcZt3+5KlhR8UDXiXNlsMs92pNhBqRNYkDYJpdb0kQNnCha9PkldMZk
8UF6OYOhAcklUx3080CMlZCSJ2ll3x2Ag+udelGVkQEt7rSaExQwE5DngBVysBcTYjAK1m6Tuy/3
XpUDdJrLYN3YTaGh3I8gihEawYaKzVTXSTCU1GD/Vkf98inUdOs89aO6oZJYanPjtZzkvWduMPJH
PIbhK2IFEZS6nGJLLWEBjy2/hA0XtX7o7fGqgkEu9w6qsaafwPAFP6d8FVnVuNECQJWpnmW9g2cE
gopQTcGOH4L9EmB8IWdt5fWP1kQgyUFERuoWO6WpNLV1AxyUkhphOViEqUBD3rkz/S3MvfNTU4eQ
mR9rfy9T93Oim/pKVRleXYsEOYwVFanBTEChYubb3/9GLPHbrePBb8MzYS7gCY5d+NT+4Tk0eAyv
u8EurkqZU9RZv0RVGX7VHUCHfu+wMzI/IeB5AABDX099zaGIgfy+/5ojrbSCbypUMlwnfPp5pFe2
DBuY4eClRgiOK7RYnC4qEZOCXC0VZTguVd6Mj61yoSoS6FU4OeLlmZEdIRMLqOlUxA6j3kh3UrmZ
imkJ8dFCin5DRRCN3qekIqyQlyGgZktp41dOjKDQt6plODr1B+o12OJYGZXljTiEQNW4TTiobjfq
tUghJAEnMPNGvYbbXPbg2+ID9ToP+mrZdGlzOwWdZwAxB7hvK3ZfLcttLo7lBQ9xC/5rDxLPq91Y
cApnLD0AoeA+mUGx9VVuvkJVpF7hmeqvqVsUQf88R66rqyXwTi12EFTv8PrtPq0djIgAT8Np2rzJ
AoTi80PV8BG4UVg3DkWrnqC5zoHPQbSudKvtUCEjAFqBO4f6Rfgdyyc9S8fCf47b0Vr4Rp88aGBD
N03WWluaSdTIAN5n6lgaXL28BzkZPlmt388tmMYhOA1uspwOVC/KelhWwm7mpjO+11ED9esxymbM
vs0hwzVMrKoHGSCConmTfoEA/I6cIeuo3ot+9F4BYnTmkTso8Cdgn+rWpbnpQwTsTcu28Q1k+kWG
1a7y9TPIDPEDw+PwMmBjBM8LGFyLrH1CniuAnV2QPWXpWMEmIG/XVHSKpNlWLYDjVIQJs32uKraK
Gju7IMJuLjKWuFeryJIHVrhrc+jdK1X1oV8vfMsfV/ZUZ/GignPHrbvfJfpk5XpLwVqYBkHdMHG2
FDBSlCGb6ureBTa6ZSCEY7EkId32amjzEpYCQb2s2tp+WfxorfjNjkYJzmvlz7FN5+fCtKs1TyoD
eKARcg1gca7ysMmufzVPEm/7NC/WCFi0y6KFJZ4O82s+sVEAg4RL8kRE0UYG08Yq0bilUEcHAeMA
6uuMeErJsEBOvh8+yyxbjEM2PEcxCBqycEzkWrBjx+qWg6CR4UU6iRuKJF+AWNTvurIukYHr2i4+
VlFWzCuTeRfok6q1LfMQjjPZcIgtROcBSXQfHQuJAidT8is4VcskDfiPoPH2bY2MDA0HHMC78ECF
awCaxtXfPwntX9+WWDVwZjO8GBzTNPFM+flBiDBUUVu90cIw3kSItfORXiLKAOSmzp5qzA2kwhAR
oboW3lGqbp/G2ilgeAOVfMfNzUvUaqwHuiL9luFXCXAZf7n3AIY/QKLaDzfuJLFCOisNRFax/2m9
JYmqNJOBLX2ChSOMcedBVaW3dYQN9PG84UN8alRtnamBIQNy/vvLYP66Lp0ug2BYN0z/OQ7tsD+8
D9y+B85bsub0jml3vYlJiluewfkYIl4IA9jWCL3M+02fBPaC93bx68OARuQJQP5096scenbIlEXz
v//K3PxlneOa0pQSfzmJhwf/becJpqkJo8EwOt0W9KPvllBCD8IviAknU1AeajvxuvB8tv6zmt7x
pQko1e/VAXQbb9XMbsIvsNq4966i2l2IsNDQaFpSmDN1vfDZEtByyZLloCoIByPlsdCxqa5GULx/
ghECX3QNaB46MPlimD7d+2lY5P3Ddpz2D/dIiMA7Hdtgjo2F7Xicofzzz7kbxj4sRxFvBh9ULzG3
YcrSjrDadrHQRADJvXZjB0PdiXDSNfEZoLfy072Hb/AR+SGrn3WBD9dGC1SGsO9h5aQgMJ3gnQMW
aKYeBUuLXTe1UpEOARLBg9MHB8UZvKr+M153IgZP2DS/sm7/978Ba4ou/PzPxc0rXaiEcMt1wcn6
+Z8LqkU6IJMVbG4cLjuf3yIyiO17RyvQSFxCQ6WcDvEYVNABR307aHDaIFA9ix2oOAZNC2E+5iJs
HVj2eoCWs8J+AdTdD+V7O3HCZPkPv2b8kewpGvDhHyOYhX+J59kWIjxcyl+jWAyuvpkbqmqdNDHf
NbALnwMpBARbJ4LPYepBAg/Ac+mWYEryPpxRPRBA7gpajEhAh1p99liWwOxIOCcTOYfnFHlR6qYz
ofeBQtiFipmALHUVdQyijiFWy32d75Ax+wqwVfQjzU9YNOKNpAMbGSlfvk5Sw3NEBpsr95N6lbKi
ONRJ6+6QRO7WdcnHM7jZwQKPcutlmqet/fDHOL7PYxlQenSQTMzzkxkovECgINmeALQ/yiDOdhbu
bnMKDzVQoAqa42g8l9DdOFEvqqbi0BTjBuznN6qnKmqkw9AW/sLEsn9+OwNVVtOUldm3s0brYE11
H04m3XrdDFG1/1CXtjo91KxYiK6A3yQNoVMJkL/WVlKmH+uojyHKbPJAaxGw+P1bw4oae0LJvDVW
WsU2YFBBTMAcg4ujCX6mTPQCbD9LHKLcQrg+Nn3I5DVGu6dyJrNgXgdmiNXtsEz8yoGr2hgPcwgo
443i1Omj2yj3OHL/weEKpamqSXxzVtVMwCtEpMjfBHxv8PTHvUcn2A+IYLt4tPMY60WMRCLO3dYu
bJZpDm+aCMLpEC1oxJF68KSIN4iNIwA9NVKdHfMlQlfqfDtT6g2rdBjGxW2OECveaIwe3HIdVjGU
4qZxViX10vRMd3mbIfOLiw1/y/ukrjmGCxA98zXNysfcP4VJsJOCiWwOOiAcKXJ/2CTsdp468PkB
1i0v1J3m6ZHWn9UQ0txR0VeST6wd4Dqnr0CHIoCeRuJYBxoVyMDYlDn+JvStqM62QEdArvtE/UMe
QpzDN9WCrs3Q+1/srAoPEtpweMa0K0txfoXQI7/aI6Sw4CfhLWtHKD3vjXgGx5b0Ql2AMbBBYYMb
aWhZ2dKKeL32WqgJV8lb0iXJqh95uOWGlX9KRh8LEDd5AwKyWjh1Zu3hOtpfjbb9ahZ+/AZcFJYS
ujZPMvDiB6xOnRk1aKf/0RaucQn9LD6MVZ0s6ASIjO/lBGfM2uEEqT7I2Pf4U9BJEv8pyz0b6qt9
sk7yzltX3Mg/w3p7PrDSX1lJBWqphzSOUe+7qEDuoUEwcI6nS7Q1Y5eBY41Lhsgjm+V9yIq5j4eY
bwb6Qq2mE7YLBzv/NRWV4QHPBOPV21QlfsMFYjQn6TXsEYYY4cq3EMijYqFL9gBK4+bWt+7Bz4ZV
QLbyK/sbzebmrrGGya6YYxduPlpGz6+pvae2W40GEyIF4u32VaVR6x32LLBamb65nWB/BRER0IYq
vDQRj33/zlNMNEKybk3fo8kYP9hcv3/nzpEPgBPr23eefg4raBtkSzprIoBgH10XmfTpBNOBvjfi
zd3te/3dd6ZBfWX89p2DuIRgP/JuD7XuV50Ri3VTetscuTlw0JocwA6jxdKCPg5JUwK2ipxIHrpi
41GLNDKwFXUCW7dbzxqkjkjIAK5tEy5kmqMDonrlh/IlthWMpKmOQV5UHejjrTZvLTYD1M7XRrxQ
IV4AdvwYVQX4HCVU3rAESR7Bu0weixSOlJ13oQ4ADdhLBirVkoo5i60rBlNHGgIHMLnoVKdXVFdJ
JIubcA4r1GGbtcn8fRjmrVQNXE5TQHfbapNHFoj6YTCd9b1HWgwN/plNtqG5mrH2jrgiup0Xeb6n
fjS0DHrYsbG+2lKd7ll3GHj0OhZjs5V2kSwQ2Y3WvO7FjsU6PQZ9iZV6v/B1vpVxBnsrptNZovLh
DzWuEu1WP4Zk/IYdtPVJZkguRKWvgQmH8N1YcWwsrTq49D50ZHRrpV8sUyJXjEEAzGKnU1tvkbAh
xF+P6ZXO3A+Z2EVR72whDbjOpQN5IWt093Wk/rA7q0Ca1IC4pSPFMcRbY8XzwASbDpbZQ1x4c+YD
82BUy4JDmCMByuJNBuwECe0p/YmojexxkSMABVRoZd+NJvhWwNn1s9OzeM67wX+soE+5gA0DA+1j
fD83WPz57pfzhk0gL+BDgDanVPcJKGEQnE0gCn46Hyy6wefLqnzlDTkUzKF+viqhAbLwE1jo6NbE
gntozTcQ82Z+a1WvXgWqvYJq3IYhlvHJ486uSKdZS8+cyxFGR3bfmg86jJHLoZGIRfqqGB59z8x3
LsyklzQg1evRiuQXUEsSGOR01RYwffk0es6Z2kcnQkzXLLqTyhGeB7sRfufTmVIvgNAXd59w29Xb
nql4VVil/8UvV7eBtmyXVjNmO5MhwgWTv8+3LwLU7MzQuHAxNgRHC/mbeTZNCODSLgsb/WmUathY
oIKv0rppXuN8mFEHwwY/D9596R7iS8XVkzCfolNVAuTtCquGcwAMxMGBAuaCGgxRrTw8NV8aafO1
hFTpWsW98ZJx/OWnc0LirliMSiZI4QLxA4/k4na5Mhirz4B3Ca6OAYcafzIRphFlBMQPAkmv9egE
637Myw1cSIZPYwaflelCxyl0FSCAmR6d0fAAwYus2YhX0jOSVc/FAAePEHiCTRbEsA27Jb6R/RbQ
TkA8y0HqchKCoQYzcB+NHuac09u0NCJxzaeDTLC2K+zIWNLrM/RaNMhvyumr2ws1T8NxnUH3Z06D
qFcL9O6A5eSRSk7feHDd6PAazjJrjWWuuQODauYCFfOccMO4xEG+N/02eOndDBcHZM9bLLIsTcCc
WNovqdVJg2RhIHW3peAjkKQ/klyyE5WmGS2gKJ71NCPk6SCsjvilKHDeP8niiYLfJEghB2BP5aER
LVanbdFbm85tHqypAVw3kMg+NBt9vsFD39mOeQQPO+Cy5MEX1p8fB+XAZWfsvwfml44HEPtu2hRB
MM+O58pV9VziHbkubMbjOewY11Yr7VMFvsl1LJk62il7eO+sDST8+iZd3MoW4oVgaBY1nG6mySoN
H1IWXZLQS65IjSPgr7w/GidBm9XIdGnVFX5mdKKKZ9+avDaXQKKzJfDONpS4nOglCQxnmRpeBmMb
FIsOkuy+ivMDFXvb2gCDhlVU5otHPebLbNDxS6BKZDImUy8spOMXuCXIdcn899Yo6eMFFJuGLbW2
zH3jmSofaKgRLEebgbGQFPkZwZdnOk+qebGjL5VO84My/tdfilpTRB/pSxlQ+MRiIS7W/jCyA6E8
b3jPqaiRAJ/52MncxAKoy01G4AMyNDB8BNinTi6JCdwnunWiOcOpk0jTcVHUwRJb+jlgSdEjcCDj
sw20e1yDHUwl1mVYokGNnUrStLf2yOJbKcmHgx1k3Zna/Np7gF6XfKCSFbDHAtKStxJQlS9N75on
atNB+tVUIryphjM4zCM3wrvj7RSsTGa4N/wDaYNDYLWcaW8AIGT6cn6TQbPATOSeWjXe8zMz5cjT
UCv833FPJUDaNgF7dlwvmafsWDtlvEVqLHsaHTdaxwYzF1QMElYfZel/dpkT4lcMn9JggNoYNbIa
p8rsytvpysie+rjNVjpCiJ5aO99OD9WAJ9ptbA2dFJk8UddUQ6ocgXos3KeTqqZrl3B8SJB9x0Qe
FBh2QP8nZVedEhvWAkmcmgvk16uTKODzC1AOPkYKGIsBjg2rW2WhPDQVlXmO0pZvEXoYYAk3zcEA
BEnt9HPZqW0/AqMOcUT9aHpdeipCdWKGaWQAi47YsJk27ISmVhFW9d4fgDjz0yJ7pDoYXX0RqQUg
1lQVeh1M46eN0EATDCZYC1ZW4emL8b0J6JSvYO5IRRph5SsVt+xKNabCWm8QSbyiNjXE3RlhkFt3
6tH1MLxuckSSqCgR9oRwf3sd3f4LpHLqA1XXBmCN+IG2OyoGVcHBNAJdgIp06Errya6T5Ehn8kbQ
K0K8vUBZwhelAxMLeG8s8ENJzh3v2dJmTbvEk6ZY6TpzFzSwzUzj2v1x+9dWhTcuBpDNAcvDLGNk
Ww9xEq0tNehH6i40ErMWG633ry8Djj2QePFi+E3NwRcFHz+Yw9kJyt6ubZ9jd0JmG3J3r6JPce+u
gOTrj1S6VcFwA2nDvl+DUPs+HDr/NqDjQzuH0sFW5b27TDh4DgNQsOc2kunt4FdyMlzwd16TQWYm
rSB31/f6vZ/tNd2qcWHs56k8XHRxYB6Rz66PQAKmi7hP1Dd/S2Hmezvj7d+203i8mlNs/pJshSyX
uyiQIto3Nbj55I5+L5KIzr0I6hDkZ6bOoCmiM5bfz/dWGlsBlrkoPdZvJTJYD5Vt/qCUsCMVJNrK
0llTShirtuMAI4JrjVUo9fIj93nooFccpJ23unkoWeZz24T1xeNecUns5BMhYfIokCs3z71Vg1cn
UrKzwQGtEiTjbH3X2UqMMj0obFviOFQ5UEB/diGNrbhXxQJSOP1y6LJ4mLmePkP3MNoSQOpWRzAp
p6+rxc3cDZ7fAIjkPRTQHSZx0SCkrEYOyK4GcQa6f/YztcJiDAbH8HVI4i5Y9QHidLnRQU3TtDJ2
VLG3NJEdO9vTYYD6xTlI86+DVcY7KlG9bKz3oVRHB+YY/WLApu1B2NA6DiFOvR/cqn0ScVMt60JV
q24qcsN0t04UhHNqzXjkPRQl31EjVeVtu/BsZl6oBL8cyPMOabaHB/vH2Zi5CoPSucApu74a8bGx
dHcxJ/vzLkUK3fNrNqM2qnMCAzZWYYeA0NSf6rz4WJeNdWij9HQf6Aw9m1Hxl4G2FkiLYxD4YB3C
FOP7mWhAlGp/k1lSJieNdQJEF0yEsAJ3Yxja2mu/c377hBX+ynR9oL9qRI8QSUOUYmIhAB7QFa04
UKnpDbGHMcYblegAyP8wj+B0vrbTDkLdrQyuLeKp02Caxg9rY7q7w0VbxVDdnmaslRCHrjPU1VEA
SSUaHpDjJ4v+SRFkrRdcORISqLh8dIjKcp/YtnGk0tCBR9t35icqlW7XHspMjusEmbNDGCg4Sk6H
+D+fROg16zouXqlHYhbvPag4JMlc8DyCLSGvIUELEtAIy9qZB7XsU1ck3gObGtKpIeMAs0IQFjT9
rPMeQDZ+HwG2648xt0DXEcm2nSAKtjnyC4f65WhV13SCKbh4tG+qHGEU6kB13SQGZAALextUZQa/
uN5Ku0dH9HMntkKApTU/0aHzetiwwUN31cJQCRt6NCg5AZ2HqYWDv9jbCKlRP2oFuPCphSvbhpS1
tOfAEsWRexLW8kxo7M+ogcpTq+EH34D5BP9ewUtIe531eP8UGINa5FOdEaCVx97H1nu/PhMHmN18
VV1XvCI4i3QI/vwn5F2ta4FsJNWX8KBH2KzKN6wPi1eFbVLa586ntsGCBxKc2HJP9ffhGi41+xLQ
7HNtQbFmhI/TCzYSEECfPpVTHX2iOmqlfl1bql9bpde9j81Kv5x7nbLWxmiDJFcriCRBiX8HAMqS
qu719Clz6uDYSF6tPRGPTzzxjwZMOr5PHwCZ7OgDTOFvNW4JJ9+bFbmPv0QTNWpnlOY58bGHCOkv
Rx8rb4RZjxw6BEjwN3WmAzXYo6V23p8jJP6lpxsVyIVxCzAe9riwsr5ed7Iwn/CnNNZdEugFFZMK
SGOBsM2MilUfY5uGlUJQhlYztw1r1XVRBOwQhnpAOM4K3Hl7o7bNJ5q4jAoEVqeicjCxpxFr9xHh
hU7wIM8QGFvmyupP3kQOintYhDIRLFqwnpDK9mtuv0AxDJKGcZrPTS/hL4ajEa01dAGeW2G/lHn1
Ogg7OQeIfz79xSDDHNhCZ5Zz1LDVNowoxlppEQRAXeKOWYT0oRsXeGM5G8d2xCo1LL0egPFGfBwv
XyraFcfOanr5UrGGn+p8TFVxGYaE76zEM+aQgRo+M4gmzdtGpAeEXNoXYNI0h2cC9VI5N0A38/rP
noRoLwSf0oPdGtSLBv9VL9sAF0SbjkI0JG5fuHGkGfK6eT8tFX85LXpVSZetCqMzF8gfpqf7IbKh
B5ez470mNfEenwGTNS9LkR+oAe4i+gTye3NgEPb9rFPcy3jPPMMlzNmkQyFWMTKfn9uyWiQTZily
YWIQ5LU8RFCCfehbWJ7fwEwY6ZdR/JwU9ftI009vI6lD8p+RhZXat5GEdoLF5GXI6k0Ir4q3Sq97
CFb9KOFEOSvy1nkWUOlYZm0XHsvCiPel0VsrTzjZIyItyG25Lf/WjM2MRsXZ8NqoMXypEYxfAFWm
ToojtWoKxO9Ago2vUeWreZAmxdewk1B5QOYs9vFGNfLq8xh6BTRbKvUAuch2K8vsFYv+dFH0HLEo
GC9B72mQX7DgBKa2CX9MRicxWG+vOjXduZ+J8GzWvrWRMnY2mW0iSQT8PWx6u/6VOxlsbPBuNQ3/
tcELoTGFd/ILM3tqQSGY5/AI2Zhelj0xpKpA9/TGec5V/tQNHXuo4ZaI+y57oh6il5tgHJIzVTml
V80jKdWW+o9BK9ZFaiYLakUQvz5BHu1Cp6IqqfoFrHaaC5VqZXvgG8HHhOYOw9JYOfBUhjQsvowT
2BlAsPkX6ttnaXlKQwHGd2jYMNMJ0/9P2XntRm5EafiJCDCHW3bullpZluaGmPGMWcyhmJ9+P5Zs
t2EYi90bghXIjqxwzh9eCV1dh7ysvlkJGGkbSZ9z6/tgaxdIHdKovs3RjJpnb/OnwMvjo9Z/qO6a
ATZp8lnYqyK6DF7VjZ+V1TdHnPXkXlXjY7rt7LSAS1GYp8oUzU7ddNCcc8XD+OqWHZQ8yz6BIcue
s8rGt8cG3C29AX+qaoiYChvmaqLJz3UHykjMAySvcsw2btz2R1S8NBKka/n/ePHXrdZX+88bGDEu
oGlXob6yKjZ0MPvRs3hLDcTIeqN2QlVfGtOyrePR+urWltM/unV+/s9uLoulk846+X5OlCU4ScSf
SdYFofQM/BK6xf5Nx3m3RA/6XdcD8eC6jQiXdRBlfTAcArgZO1V0G4c8PIGCO1WMrLchdrt3YbX2
dSrijDQmNxtcBzJxj8RhOoQuOf/fYbNvdbMkOAGw6ZIaQfDNtnCTwzpRf0asZdhPWaddoqDpL5C7
/b2V1NpTOiP4JuB4f3OG/mqq65cMGagxaX/WJRYVk9eNKLTiPVxHQXn16rk/IWM9H9NIdg/FrKEq
jBXJOwmiX0U6iD9i/eiYFu+jMcw3P/cn3Gh49rSVZJamjXGAGdCfO7Hg1jqUzi5B+/NVXwcKdu/T
D82VaFkTE8Mvcjhmlh4dZ62Nt500rbcy6fxj3RCEUMUZSNkx07L0q4jJqXU0A5l9FceYp7TA+myr
V6n9lusT2XKrLJlfKXZOOlF0q6/OHunqY4OR4ler28bd0SMi9HWtqDzWebnAanC9tnbJnsjZwP5x
fVfQewps47Thq7VwIJL2vo4K5doaBHVyjA1t/mrNg0g7xIOhf7UueRodSLFDxljv3HokQrAEt75a
HQOnZ8dEcFzdSiS6ddA7dFRVkbnNOCy9RLZgvbacxuVgOhGmKevrGoM5HbBvg6o1y5P06+4YzeUb
3kPTFMKylPfqwM/751lqPXhyme7+3UN1E1BeQxJ5+UEVZY3JcCkcTJNW+8jCNv37YOnAGdXRA5Ov
5SGO4ib7Jkb8VFWqfuoQV+kPLwFZqkqq0dXQn+yLcZ+u19+6pjmxqDwlF3arU2edqb+aJZamt3tL
nFkvvnDOMomY8VS3KIVz26CVs1U3NgoGnzCBPV7Asr7cXiyqsB9ptOoxY0P+j9eHwiEROSrTnep7
ezHPzE6OL+u7W30fa8UZ7ep39cq3eyel6W8IjBlf9/BeIs+AKrraraiDluC0IgJcsueVVfZXdZ4L
pwtV2cQq4+9Th1Qa+i1IDlhasdUBWNx9naquXZ1roejw41Mt/8vtujw5mFFMamF9yXm9jxv37IpU
2Z41H4mRwNwZqc/aDB3cYDSCUxPzL1dF18k89k2iutedIH5v8XBT9cbkW6em1VnGAr76MCRUMFcC
dwblbL8VRANUfVYE02kRE+RAdXNseciRgCskBsKC1iAVoA51lwZ37XpQxa5zmr0eQRRXdWPTkKQm
x1+HuqnbRKZS7z71Ou8+y+W2D6zlwiRsExtbG9zIG3YEvphXspJ1tuqoWowE28a1t1ivvdWrsyAy
/rxMFb+ubWPnbFdorv5ocnmYZ1O7A9KQ+3Zxrw6znSBYtR7UmapLSBhtwUG3m381IDUOAXG9VnVO
teEw63V1/le96qEuJU0e7VuWy1+v+F8vpq412uAHAcQ1MkfoNx+jea+v9ojzegDX9eehVgaKObSS
kxvru1YVb31GK9Y3eqCNB1N6aegYToKhdBufvLrID6OI8/ckyp4UpWSRUcrfovtnjwAw+v/eI9Ka
bjsvHfKwAQqiQd8RvOri8s7UvZ1t4bV7q/LyFHGEW/l2RWtm/dGqmnvoMcWdqv/q7M26tx0KHO2c
vu8e0ZqH2WLj2DEROwlI97XeEVuqKmxmp3v8qqxLeQDQtwq5UletB9nmyY49tr5Vt/lqMDz8YzLU
tBd9tXFavZ0mbdY3eR71m1td6gvP+ypXyrvp1mQYyKmG6kpV+Y92VZYSLYx/3e4/O07rO1At6qDu
6Br+n3W3Ik8dE7vq45cNjjD7DALaNiDjMoV1PNf3E26MZHaqRr80cFN0S1BULX0kzX4bdy3cSn7l
vap0W3c1BZmtdJu1aJ9ao3xuEp2xxEy8kx9khEvGNnsy/Q/VpmpAnKZHj8jj5lbnOvh4JCVsOiNz
2mcBVuC5elbd1SG3Apbtuu99vYaqs4WeIhoi5NGs/PFoFDoYmKLI7wnG5feS2MdRoALRRJUx8t/1
OaoW1QcsZwcee0DHee2tGuBOGvtqsJAMK3LzXDnZIF+jAsNfp8EKL/Djl8JJpk+jALPeOkVHHrrB
lC6PAUiUcj7PDaR6Fo7xI0KaGDRqMDAzts7hWNjzT4j2G0goYxzm/QjWyArALNkICuRJ/6pFJPEG
q0W6w0N6W8+z9KSt6y64S9XOmubptZaAyRMXZX3Dz05fd8LolOBKhOBjz+OXF+U1WgpEVLv6Yjkm
eVxvzmuyQ3+V1Zk6yERWR1taiD3F8b3794HQGtz3iWGtSHzzoPvyUzXe6v/Vd5kasWLb/vMet0tF
5g9nPPl26t63enV2q1tqP7lLkM1e38G/XulWp95MtiC97ONC+HdXv7STQ+OWCG3FjrxHGBajei+2
9pNfyF2bLuD3i6fAg8ipVZ3/WpfmY4390oNOIvVV9sYSLl6XX4axCF6XqJdb4i4e3wGtthzdvcXy
f2euxWD10l00IDjqTunQGvjGiO+q0UEq6DnicWHNfddmTo0NW8yjjvc6x2iVsyUDBZZBldUpMunj
GUTryvuYgrciwuc7n8arKkHlfClKfXz4KgmbwJY/PX6VXO9YLJX+pEpBRoTERTegtLzfwJ9DGx67
5UEdTICwuzKydCAK1JWN/WdDC6ISyxXf33W607sw/NcWRFXCmBHqeLtDg07AQxqLQ5knmNH/fWfI
8cGutEBfBphwQncq7B3aY+5jB+jm0a689DjbHsyyoQZash4soiL3BdbzZsRuhFUpdb0VH6x2mVie
UlJ908Q2w9ZNoKtj7/PYY5qUatOdnszjtiCy9QMVnsZwf7Qo7W31rDDvLK32rvNAWk01NLDN8e3U
P4fRgcO5dL8gZPmHWXbVucCsARHA22kKPPtMWlcumzQ2q3NnuHh3TVp0wtKBmDOEStdp61cxAANn
hm9PBPfq14IFzqHFCnurWgvIhfftWLwTjM67TT8uod8n8rlek6qozCyh4+HiOMQBpgAwpLAV6Uv9
LI1o+Tpk5fjP4g9tcQuEfrX4QlQIXsp6Fi2V+EdRNfyrLl/71X6JBa26xFi6HWOLc2yBA01CkPGY
C7HzhN7Cik3SJ8NpYcI0svkhB/c1mHTrNesn+5h5drTP6yH6TYNGMAGl+dEsSI6Ww9xdU72w7iey
nZumncqHKRG6PMQxTLQSlBd6GGN0MmSGV6Q0o0dzPbBraq7jSmRLCffvwMCySJcjrjE0qm5M0b8I
X6dndQ91EG4CCDzeQ0sFlybsBW9zpAxta/5m1TVKmyTScYXq00MygAiPBkdcU3QcrlUj0HyVkUsk
guKtQazFwu6APlmYMN0aNNdp7jWAm15TopxbSu/DiiO0lkXrXVyIxb+N/Q93rY7wgDr1a3CQLEET
gmCOjwZcVxSwRg13VFe7gzxs78a4IPGzNqg61eoYbHMRa6cPcNhmgwZhqBWL9xB0IMR9z05+6HP+
LJtGe62Bdh3lYpv7vCm1j9LRNqrDjMP2tm8y+05dGZVAdZT1CjYjz4Whk9/90wqic3Jmu8x6SF3H
fCAiOe7jQsNB5O86ddamotms4Yz9HMwDHEJ2RsM8+fwxuVYdnDY3r0H1qgpWxQARFoD+TlPl/fTa
uc92rLvznQ2Db3u7qlmvj616COUceQfVoN5KBPYBC58YkfnVFduDiq/1UrzPeL4/DLURhyT0CTi3
y3zwGuntVDc/IkXg2gHz7tr6/77KGZLmrcd8SbPM4RFxouERNgJSHxY+yWSS7m71fVKSKF4Wn+0g
3VRDluv6HSHWk7pI1fN5EX3oxjXE5VkPZLuJsI+++5vu6B9KVCcNDugOeL+0WCLfb/j1uyc1dzsE
4OusWHQniWPUEWSW9eDU8s+r+UY/QA//YcX9L24X33/p/CkFQG+VphEOLk5JhKHnTRpQNXTD9FDm
mb41cwMwsPTvZwNVNaVIlQ7mIdYT/16VVP1apXoFi4gOX4lfs6wA/NmueKlnM3rSimdAwlBe1sOC
JdM2baZkr4rARVcb5WY+NOmCsKXf30mjmx+cpUDIkqz7BkrVclKNiTfNe1yYy51qxe92uhQlPjyq
tS1Q9JrBcalGVQXTAqitPT+okhMRY4jkXcT2pjS3q990vtppDABKtzmA9I0q3vyqv4xuVHla+8hG
6zbK01r3/AlutDG/+D6ynaaGkSlL3uVFg9XDZmJ6m9eSqtJN8x2Z2Pxe9Zf8ZQ/YxDPrrD18YERP
g7AJ4HOzADIFIhsgxUxsdMzkij0WS8CJ0afOn2bdZfVoJ/fkpfQtb2h8QtbOZGEbMm4+Te1QA640
s81czPjtaQMuAf1H3DnBY3Z2GWyePLjd+TyTbc0L72ATXd/7XuDu7Sr/qNNaA6TvahtBevJIOvaE
EHDyFEQM7gYcxW8+gW67Q6HZMG0LjQt7uqozzQFu1NQIOJouP2uqjQX27fUqehxsiD8xSxOKJXLG
lDzqEW7HMrK3fmUSxc1WJPnRm57mYF0RBUj7xrw+EhhzdbbMdtm8mQksb+Qzzjz/UwiM7fcKib3n
WrfiU+wXn8EQfxdpHByixAiOWaQR22I7zCyZ8C9a3pxkzg/uimbw5XRK25rPin6On2BTbDvhjJzU
Yw0TcS+QPcgi0OeN8dpbxrfAMP1QBxG2tfuIaKfmha1FgkifAf6Mcb8ZRp4eogQlnlMdtl1ohuiP
QaAjf06eMDQXAQGIRMQO0LMH8bSe5JZMx24ce+ZlPU8vE7DFUFTdfU84PiZi/zNzSiRmG6vbxZXR
7OtOK8LRBmBq5sMGXUmATsmn4fbL967pD/gXnuTiPFh1q18CCbaVyWnYBUlbhkYy/xH139sS9WX2
vr+Qwua7kJ+oDB7SoPxtKACTmHUPFbd6NkGrhWOLubyp/RaX2cZpG6aVpsN+TNjf8/ID3a+9xTdT
BpjmTZ78pbNM2Dr2O2yA5gzkmN0JZi+hnQ6EDDRt3JhLmQOwcr6ZibkA+GZNGSSV2NDhEzLpri6Z
YOcCs6mmzq6JC7J6icnbORkeBVPVH0CLftfGsnztoz8aJHQPkNDeNKKjrBOWaz0RQCqSVXBqypk8
Fm+rG+YVPCafZGlQZSK8AERy/JWncXs1ZgsztPy1HwbjzfLOAwjKjRaJVwNeyLZC2WA7MQYQ8bRP
2Itf7WU6V0LHiSsrrmOH55MBRWa3ZPwYJHqHQwKe9JzEp6Dpdp6JeWJUtVjk2ONTbyQti8+uOSQu
ooPD0D8C/dja7TyCQrbPRuVroZ4kBUi7/sVbKhKWc7Vs+6hszyIdT20PNhepJVKzwNe1Xj+OIxyz
yi4BvoLrQraebH/iYaFSkybqetziBlwZksi9+h4wZ1xzRN+4h65P0M5M9I0LAlIgvXBcFngMNhZA
oRGVxpltub8Ze42le9SeiGGHdtPNoDj0cxoI+OFNk5i7Zm7kuc8QTn9Qpw28tzz8R9ti6lSUlTsc
pN6fqppAF+hIrlJ3MVTz1w1iPILSyAyLaRkPkD1K2M52G2L1PqGjscizCBJz7/T6g27WzRkg+cIT
lvjYpbA/3soZkElvzr+Yq1xoMkvwJMWqJs/KIGT2i8+uibhCGW+i2sODKvd/PuPn9Jn6bOBmr0nC
0vxhut6LiPrQJKd3iuGq7rx0+L2W/DwiWB5r20XAt0a7mQx8Va4i2UPw0OZZgn4wxquueC2Tpdnl
PUDktv9VeGiWANT1kE2t692iJf7D0EanYvG1lwiB32hOLobVv5VOV+1RLvnsylzbeZHkx0PYEfWf
4V53xUAKn0S1IasXmQzf4tbuUDJM3EPmklCpx34fDW254f1ml6KYDkHCF1LUaLaYhTPcNxVflpGL
12Ikr282bF0iccjSYr8QUD66Qt4VRYW0T1a9jbW+Eas3DD6V2EThmUZGM9t3VXTX1qhKZDyMujE8
1pHxkZgeoRrZXnT2G5t+GYYdzEXnrJmaIGaf2adcIHLRds0fwqiqEE9qS2//QKUnDSc7xZpc5him
xk9daRlHFHrbuHe2KCBXnnzRc/He2HoSBtbE1tcvronnxvvWGtEXjsGmtkFxMg0WCZmffXRtsIR9
5s8bT97VXR767uyGIigxfC9qf1+R7rn2QBbbWHbX0umJ5iJHgpgaPKxO6GhSyv6NmH4aisH5sKoY
RhYhpwehB8cxR/PEl+dKm38FHvpXTvDpjAX2n9Z4Ksk8hYkgXczkPG1mBzhfZQb+hjD0dGTnlZNd
Q80mL5pLOnaMwf5k7zHPMMN+dfq0cuMdQvcEdrW9s2c/2Kb1gHdGBjlVjOlFHQbhpBeyo5e8aF2o
w24BjHd48TMIFkSWwsLVwr5r/0gt590Z599bsyMHlth3gLEvNSxEbyaOaLt+s0UH4TeJ2ejOK/NX
ZMWd68R0H3Zt3h7rWBaPxQwOT0v6J9Evod0X+a5gUbc1IWYhipXi8GWMYGkLd9MbOCs3prAQBPKz
Y1v48R22NBFqP1ZyWYLCOUWs1M4iyYxzOlowNJNyuVRpNh5LRJDvgIZbB0OI+X5IipjFLLRW4DHN
fhgxRiTXZOzqNPMeiy5OdnF73/TQemzhkkzFABLtDJbEZYPPYYL472ZFQW66TCdvbgOJd4RwXl0r
wC5wEc2blMdBc/EbKFP/rSNpv2k9p0dtP0FjuAcGZM1YMiGRr/+2NOycjGaoPrSGnGiQddOpdmxn
C+VVhh3D5cfkwPRJ4LV8QCvuACeDfQCniutfL6wPJjCcFaFqfUxu3+PhK3S8NR38M4iLfMQIooQM
6+MH8XQ2bFkzfBhBNIQFKKmPwEEKyVn89iOuGCLQMWw+oJBNiGoj8RZr1hnDQfOK/mRAQMKLtqqY
isW8lhosoin5WLqs3sBLssF0x92+sScmWds+Jy574ii2h2uHiOtV8lkvk9/uAZyxV2YC2tZBAdUy
95x71tpElIJHbWm11y7jKxvtzeDyLpEYypDynkY0khGF6WNrjYKi5gM0CthvjIOeO9nGxgUyvtd1
TWKcIr/7Q06KGW0QOP7VCzmdeT+gJ7IFKeRucMOywsGw8ofGGb1wFpm1ywgBh5YzHMwqC/AkT8f9
Ul+HrJmPvUyj68Jn0VL3DsziW55E4pFAah+iScWU1Wr6A1LoKPqVy6Nrz0zYVTtvCCSArkO5m8QU
O1l9SPsNZIZub60mqH2ZbmDEZw/u2FenYMFpFWlHPFjq5VvVV/iMVMuhwZVvN9fBO+Dgbd+OKcQX
nv9oAfE7N77go7hgQzAc7hbQ2p67i7IkDqOcQKts0cERnO7TFMqQiND4Msb80dWyq7kO3XFO4Mot
+nbbox2qocPGxC0gPhAQQIs1cjZ9UHihXlQkIpkeujRyn8c6IKjuFHvZW3U4VgQ1qiD2txkGcKEk
s7yTSe1uZ78dzgh1uPepMFL+dAu4BUm4zLAZUEuW0A9eld6VVgNI17qbkabbDc6cXuB2NAcW/g7v
7AHdtOZooJghNBldOh5VxKHq321v6TFiE85xQIomSVJCyLNn7Louqg5VLPKNnb5J12ge43kyQyJq
3xi9yTCPYj6XTjjMQx0mMtYe3Fr218mdtLAkXX8vxSg2aDbzwfXgnGC9UVaEebKufSTaDbihB/hT
tShQlg4G2p5hoEyP5mWIKK2vG9kVeuOev8R07STZRmwUg3Mc+TimFv49Qu6HIdbycPD1B5uAzs5y
5zk0Ou3cBdWbEK53V3bar3bih5ocw7q366bcyTn7KS3wOy2i4jjnPFZ9m97lwziFWjp74YTLQMe8
jyoE04ruFmeMvKPdHOEeJAaY0n0UYbqGdIfwtF/2ZI8XOwK+NdXJJuknZyMF/5O+NouzJgYooBaB
0XmqTv484AziV80dmmNXvWVLZQEVsbBENLHcACzLikwU7qWdAhxdJhZPRjvIAyTbXTJpUNYasRwL
J5dAK+vXTlZPmg7gDYFtefCk/DREbm6s1rB5wnIevsB+WPoJltwSn/wY16I1JtoPSbZDDpoVfGzM
W53dRx0k4gxHSSd7tXyT0gIrx7Jgy0MBhwKf9c0yTbgP9cFnHpV22HkDsQ5kmqYcbWjpPpAqna4T
IEM0i+Q+9+N3D7Ga3RSYuJmKfLdMsctmeOALGgaxd+NI3wkvf8cQaNo2hMx2SK7quzwBTVhpMUIr
Zn1XTuhhyYgpqnBtK/SQhNtr6eBtuiLtNiJKDsTg8nOG9K6rm+6FNf4dZpcdMubpo2UY2qHmQQqj
+TEHwDEWqXiS7Gdjh0Sz5ZM3EfBKukayY9Vbk5U+O7vaiqdDUbvGNgVgEwofOdn0IRaTw/JGDpsC
hOTW8bKnJBAX1/HbXYdELnnrQt8P0PGOi6cHMH4ROWEMh0ozZMW+R/h96d0KOa8ULwb01PfRrO+k
57chdOV8HwUOI0kk4h0qT58Guju7ppfji1EQFipg3zSmidVXEOBZaiH81UTptMX88YWfyifG4n8n
/JnvhYbTxWxtvRyMTExQDrS+1+Jo0iJoZ0YFMJ9JvCfEZ+C5bjSwgYDau3YzsKTYNw4K5g1KEKDD
q+65yaFwWSQCA3L+7QSCPp/sOdRZSds91mCMPz+QWRgvIs2ftKhZNoNuRPdCWp+uTR5+Gepz2mfi
VM4M17YGnKsim1F7F49dJtTTC967WwMXuk3TGCgiVRHUuQicUibPnVkC8ppyNB3jJowQWD3oGnuW
oXHar4OzgIKwqwJrJNd5ioJs2cPRxAwjg5DaLxo79alIAQIEzQnLy/48jWI4q7PbIXbt/lykQKfg
1DBTe4Tbwbcf5jL3D/y49dnK9frsEu/ad0t1nRH7PSOJtJzTgk1bAC9po+7mdyQD+nw6NCQYkaG5
EL3wQ0L9V2EE7TlryvfWLwiglPbYHpekYIscwGr28xlZ4n4+j1aPlrkn8cJ1jaIIHQd1FrO0T4O2
GuLVh2leyjOzSMkmaIp2Tl+9uwmogG6IK+5PqEXis1vY1UZLqoS9lB+d1YHlK+vQJLs6hN33kaa3
56Vv0csanUPLcHhu9QzsYsKyNGza6jXNut9lV/Zf35U6U19Tsjhon8/R4qP80otDtLpRqn2GOvPX
4mrNx++9bety4k1zcKdoPLvxG6SmmoFuZyD1z+6CrGzgpe9WGZfGRupNduq6hYT7sjXG7MnQghQ3
ez4YyTcHGUqUIFjBSxlFGwap9Q00D0Mlr5nGcIGE7ibJ5qgIEz2KDkveHEfZIKxQ4oqYJqexg5eo
sVgDBjtZZ/UOEPMgL+wtb6TtavwqLH/ZqFNpJDXb38gKkw4QJVIh0L9fqzJgazXaxGswpDoDdDDP
Ao75pvbgsTU//CX/QdzF55uN0JAbTMdnd0wZDyxsUBNxUr9VbU7VuV0PqqgONmIe/M3Xn/K/miOM
6P/Re/QCuZ9HQXCxPBj1uMFs+ZPNSb+RNqpwO1ezERgps+PQFAFJHTrENf7flZ8ilj6HbdCCzxRe
A+SOwwDibz//FHhKkAGcDK27i/I+OeVagZz7Q49N4L5Phqcyqu8yxoEzKtk4pNXFd+TkYgLlEppW
j8fsYj5ItOEJh2v+zstaLQQYTTohTpfnqClKxu6l2Btj/OSRFYuKF3zX31rdtw7DGibQHac4TzEy
kW1rXmYDa5sDRATvpW95hoPBBy9ZVK+BokFiP1DGECmH8aRVbsaj489XMSPI5niaZNVEnDFAvKEZ
8nOkC3S5O41lFWSsC1/NCS0YzQkXss6hNgHS8i0zzILYfkHxqKzr7BxUy09+bPxpAK2e7LHEW9NM
u21Ciswcu+A6isU6EFSuYY1tUrYQW6eV1YNeQGoc2EZtRF6nYZ/H1YOTknFGyArR/vIA0X7ZkoUJ
6IXgszWhbIvHjekv2Qeo//YSlam9wRK53Eptae4yhDMso9Lea4bZvTe1/inHl+gJ70xy0s7S/T5l
4uAtHd7znf3ieaI68AiUx4g4+ntVRigmpNr3PrLrDfK0A4hRkV81nX2PDIZdnSfie1wnb0SSNjhw
259DLJ4QRPV+FYJ4GvOCWWruQx6xfCnjtAlbHds2W7o/iMz7xAIYozy9648ES55JDcJx6RuIVkRL
tlUss5OJ4vzWK+zliIrpclhIHWxBaVrbRevkjuXjtqrH9KA3a7wjICJVEmntRO9eAfpjVyiG5xI+
iZVWyWek1S5McJIJ5ktW69VKXkl2uuUuz3LUPztpfJRj16BODmGSbD95GLxaUj8N0AEayy2ay9mT
SLMCcms2M0jturnIL01Rjxdnjd7NQH1Hq22OwdBqb1hf70RgEVKFsbeN+nw3xWn8BlLwh8Bo6t5u
Te3V0h0N+wx93Pl9AbLRqZJ93k7+Z0v8ug18sPUymi8EPuNtbiOnNJBBPqLIv/VRcv8ug9HaeJln
PLADsE5tnciDhHv2ktgdrHcy4b9a5IOdIP3ZYkjMetqwnoIqr1fvEfsYWIN4spqI0IYmyt/z+hey
Agk50qQOl9YNXkAbR/s48SAMNwseW0u2PBBi+Dmb3WmZRfcyys5/6hG2SErwzBhNtweUwBmOVP47
582eVc47I5eWh7fyV7PqqSpVWR1U99vVt7r/vIVqdpdIjfOIlWmnmMgn7I/V1PjrtBqxO1Zldabm
myHR6aTK/zi9td+6qzp1+Feduo+qm42u3Fp6PYXs7XK038qyZlJdT3WPJQzh1L9qrcFmQbC25xqQ
3R1+bH+Wvy79OoqZNKDmaPs4E81ZHep1mh3tCvExVbbl/FcZ9WpWkUN6V81m/OwYOo+DX1gbQETx
s6qrC5fRPbXHg6pTBx1uup6M0d1XVeFmjzHD2O2iDufGk42a/1edaijl0pLfWbWO15t/1aWaDA1j
0E+3OnacG8TsrYfKzo1d4tfxwamRGq+0xrnqta1foyJImPqm7nvrG+8FQOQXU9em8xKJYudiQPRU
zQvbp3gOkXirPhMQF4cUA8gjiRFYy7ATMdnbGmYwbIc2J5YSlfduNcg7O80PPnPsBSdPlkhLlp9g
jh0ytvyXEsnWA+Iub2Wbe1foh/pOY9vFsBK792M3pazw9fts6s6IoRQX3HsFljoAuUFRLTsrMFxM
Twr046rlu/CQneSLDl4I6N+XXat/ordWbsXoljt9MR5JN/dsMXtkGqts2kjUDQ92W5Hp0RFkMkyI
ciy9t9kw6G+NNwIY7bKVTUEkKccfCguq2PpI65+W7CU7ZQCNfey8L6Ndbwu4c895gkhBPVU/iOXP
F1XVxmZ/DfLipErqAFE43kuo31vVX9V1vfkWOEN7p0pDUi1kmKb7rpsDcGqd2FZFNj6XIiqhwSbj
TovH8VnVJRWLXcBRV1UKcOW8JE3xCxmaPzssE1LVRCXBoKz3UIfC/CMZHfGkbhPUS3LSsS4Mbx2G
HrsHW2vzk6preG7vOi26BpIc/lxt0UuMH42l0DHxzOa958dreIJhW9XFTvJUlGRQVZVTDaBu8+p3
Na6rqmRc5o1eG+ZBFdNZVs8zUfGvO5RYYJsAlRTmVYFcgYM+pnXqHVPJ+Ipky1+g268ucmF9bkS/
3er/3Y8Qfwkc0jL36n63joORvExk49jZFOMGBafqHslA+2RNq35Ok0yhqlOHodKr+249xKkGnNOc
l1XzCWrO3w23zka2eMfa1B9vVepszqPq/lbnp8UvPWhZ/bRJEPqtTO8rk5SxwKz36+xW52odIII2
OKseGhmmr25l3ORHzQQM05mojqe1jRmKXnRvMYGgXcSaYa+KhqgK3BB6eNeeI99EFK0gnzVWuHZO
RlEcUyEAVa/FUfQ1jsHgTJBqYu8l3DcryMG3VTYR5rVok1Q/mhLkfjf27ttUtuNRaKzYVGs+yezY
tfW8jW248kPneueoZVHiZkTndM0QiKTl7qs3lGzBAvGuSk5hZC9rnkCVEj9yXy3bQSWpK55UVdXH
rCaKerlTRRBT9gYPx88GnYetOTXBq5MMGpJgibZzgsB//R/GzmtJUhxa109EBN7cps8sb3u6b4i2
eO95+v2xcvZQUWfmxL5RICGoLIyQ1vqNxtTopOZM6qRaIPWC/hqTHOlsMFw8wmC4kZ0+iI7XLzqP
db8dJoP3qiwf1eWkSct0t/W8/FY6YkvMnG7qcEbCuHAjbQNfnn3YoELlsb73orKHRMMnb5QPm3yb
XN3xCXcuaZy2hy6yNWx9PjlpcwidPgX7GUTHHLWQ12B4Kss6O3gKxtDpsOheDvYLQQKL5K/W7QtQ
WW9K0hOdStUvXZDwdZ/y7M3Sxol5PqMcpjEpc3HDuZkj6M7oiKZvvTKSbPH8d+SgseAYEX/2OvMo
taoc6lfHODM6RnsbL0sHVNDF0XUP+laCFHXuh2/NSCQrrUhJQaPRT1oeONuQnMAS5XO2PUiXfZSa
3YEw1hIbc5nOZy9TZ+RbU8+Ck6fvEB91H+3FD0YKPT0ZpvJg5PWXTlew4nGr6YEfjQxHMRKvTlm7
KAa0yJjk8TawS6iGOhqCqGYV39u8f/T9Sn3FyVAQN5va9PyXjLhWUjFXV5WK6zNpoIuWQrbCZY5h
F+ZdkAfptUkb/eiiGP1z3KQ/S9s1Tg02FvehhT7cxBT3Jquyv5h7Nz9dM7zvx0z7jc3GIfEai8XS
QzPNGybkOTnstgUuYSUbD3HlL8GCvw7zehPgjfFmxs05Asj7U8sQhlMeU2xMnnW7uEGZNz8UGnHa
XInzvTvEJUnv6AuTvurYuxAZwtYL0adP2kezL2oCAXb0sw6/q8FsH71GW9D5ububVGKEeRwWGGe7
BG1VkLH2rD/N8ZC/Dl28sAvT8CLVtEJvFNDELcx7+9HvJvJQ3VDB1TDGx6g2F35Z3BxABcenpkIj
xFLyE3ZPmDikdn0i6FfvzYVWzsrceGbqz5+fyUGSoNgBgtrHCol+klrpJtbbiOCNvTH1J1wHn4OZ
EchgqD0Evl7g9p2D+lK08k13WjRrs/zJYrX21s+u9tQ2+kH2IX3q3XR4aG9G+1fH4Pxmho73kpXI
82OR8dZbxoSLNibMy74RIThizbiaLjUVvcXnqidyv9R6ksXPOU68UkMPuHxuvOQQ+qX11hYVZrt5
dpR9nWepT45fn6610qye2mE+m2qiImuhn5Iqne+zpWjV4WaOW51wDbWya/pD7yo2Wka6fT/qmsOa
d8o2RHTQDJBGY9kTW3xjpim7yfTavlcHjb3+1M57M4p6BGuXuuySggQmNk/9vVSup8qqxiKpWhBG
zYbwNPQZYckmxDDNteoQwhDKYVItlj9AEsDm6AX2TNYCOBHVsdXpPbvqfO7C6fValT1aXfaXyEru
s7T/yyzi4pwR8brv++rvAgVMZ4+vXLX9tGNQvfFO56esfVvD0YxNM2rVBgA50iLLWaKWYNCoxwgG
mH7wYCTueAh7yJRaqgYPvEmQBOx+nm4XDyNpk34u1kAPUnUr8xHGHVGG5fi1fa4a5ItqW0GXMaiZ
yvnaLpz8EMYpRR63OQBjKJZDWpJEXtoik9ETIaAAOIfdvmZW/lb6VXgvNc+b/AVaiSP5snNoY+Wo
DHbMQjrvXlU71+9sfD9AjLSAXuhRAUtlcfwilbAmx4Re/XwrVa0FygEZLz1KtZzy+OwPHsjh5Uhk
PLOHeYiuf1iabGvaRnUaPEvNygZCrAOaKFKN8H7f2+YSiF4OD22rvMDFsDdSTXXHeqyh4EpNfl8b
6KfUzupH+e3ZgvMarVjBT3P53QuwaNK1ci/VEnN5Hs0ctxv5bXaGDFKMENRSk7NFfv+YloR4SSyT
WrO0XN0qVVNfbJIFBJKnirHaLJqTapMZCjD/fHPGYtrEQeB8B0B8U7OFJx3vU2PNf4hbvE9EQr+W
HXQRkvLhCz7ffOqZGm7w6CzvQXCkp7Kw/UtrzOGN7yvRiTxkfioQ8XzQs/g9RZ7tVzs5z+aEX7vj
lr/yrLCxXE7Gi1ZiauzGoG+I/US/ziTiGyL4LAy0wI3v0zGPQeIEwQ0p0mM8zq/2nBsb5DiBb5Sp
fdfOXTFvskrj8eZN7dPsQQrFttMHoqFIZPvfHRQet30CA90dKvJpQdUDuAJ6DodORWOzg8XiteMN
YPn5XDfVD2wzlbOlZdOr1VU8duOjhh/8O75rP/PZ3ZKgR7m79A+hHf6uuix5iOII3drUUQ7Q9NX3
0oo1Jq3tQXN1+y20j6TE0i/GPA8HQ4nivaukN4Hi/WS6rl7MOvptRsWPbgxN0juVc9JAjJJlczHO
QmhsrOMUBSbID15oJN8GkkTpZLlAkSqSlQ4vdlKN3k4PSS9VAAGei+JIRD4m5YfpeZvHmL+gTkyW
QPtSzYF3sjwynwDf030VIo9pOoCVBrDwTdP7t9Y3F9b3/ZBrz4baXCCiVxuyUMFBLYiIWchdEngZ
ifeqzM1rx3gYx286jifGU9Ha7mnKOuQPRwDK9ZY4o3LSFPJqcJqqA9x5HXkQ37j8BOqh3qdEwHbo
K9m73M4XH9n5zOcRiU07+Fplbv0y63y0adIfHBL3gLudkIgphWKO4e3oxT+nHNPFcUA7F6vFPzM0
mLLVPdwAg2Zr9WH7RPJWO1qVFV4CKycqH5XuLshV4x3k54/Biss/JiqY5IJ+R11XQf4OCdYXJeIQ
Q9ttVETqzjj3Dc9qoUWPFSgVqUlRWa12gDhPcGzpIYVf6iBdRu/Gh6zyjIyKBuwvPoGN2Md4MTz0
mqm+TKRW955OrluqFkKK91mMFvyyswdd+DIYkLFHu7+VJgP2wdGJ7GrXuIn24vVGC8oTANFSkybN
sBB8a9PkIgcsX5+zwZeZuUt0KjR/Ufssu5fJB9JqRuWT1PCkCvap62Ohs+wcWdmQr24vUvN0rXuJ
lBSEgIMkvbTpeIScey+3YdFwgBRMSg68GtiLLgcErjLtkypRQSPQg1l1/NjpZB+WncpSjAOBPwXS
wFl6EOoeLn6BCtR6ysBNL4ivJtffnEVDsY286WWKCXdMlqa/ND7WaHkdXtIs5EtXtPEfu7XRlWbu
9OyE9nM6/CrxxH0lprmdDGvEmiQ3Xsux/BkmCE3IPkK06hZxSu8EYtR8tTX8DJXeG/bSNzf04FJh
U7OVvYNKpgf7devom49870vAMPWUXbyQGQRUtOhZCsRRin2V+MU++adNn6JsE1Qe4t22Hj1PwQjK
y/fQ/jaPaRgZL27RGS/JrDDog2k5SzVWvO6szcBDpIs22MYLH7DJyaJr/7whjTyi0nqyl8OroD4A
d/cRRIfbVimd8yxFEjeMds0wnp0gdp5btNHvx1iBZq4DQCvMAHY0jjRH6UxEMHxCS441jd/mW1C/
zZ4LNO4BNv99vrr7U2SKv4fZDzAK25RnuHQ6FndNd61KW2vWu1rjeyY1TEyL41wBsLtWdZ+j5uzo
A9x4kKbRmEnndbGKrUcVvEjbNPsXLefFkFrdKv2pteqCHvxRKXp7eigBh9xdm2BB4mg1eBvDyaNH
x+U1b9HOsifd3JDbJVNsDMGzFJ4aHtXCmO+lNvpucx/V7rHQ0yjZzs0SBa4rZyN7i4ivfGrphM6a
JD6sbYaX/PZUlY9eXzZPWgSr7LeDt+jYqM9S8Byh4NGTrV7bfHN4qyN1vEXRR33uAz++rTX7r7VD
wjoF5Y2mOa5tLnZl7Xg9adMPCFYgI7S1Rnu61aP4sR297J5vYHZPCv3SQ4K4SA2jTFvdyKaXhs9a
a7bnD21ymNUUP+rWD3ZaWWWAfHLnSQq3JkroQAiAoU5bqSqAdMnF1MMugaP6Usd++eInJeE1L46O
0pZFObHKGIh5mBfldqp8dcOz75+ls2ng0VqgUmyYwH9KFTuslGF2H3RR/VLP5XNLoPAOvdf6pUgQ
uTVDxd+q0EHxehhunM7suQDsDIFP7UikgpTS7PpFner4oYnds+yUJnzGNIL3jXfWpqG8n8zxxq7D
nvs5GG+NOZQXb6w7UEFTkN3VQbnPy72iDuWuaZx6p1nBDPDIbw6mYjh3fQJFI+79ZLEf2+Pj9qUx
/AI+fH/rl/2d1QcotofkpOAl/PC7+GCFCB4kFiudghmAV2rVaYzsX7Obg2Crz2ofwJxQQjDdaq/v
WuYg24bZR+7hL6RnmxmU8HaMFIikPl9zyfaBj4Fdb4JBV5XhAmLiTaud6BjwQSDArQJJB6Tc9/qN
OqM112qKQXIBdpKrHNNRf2fdxWADemFXGup91qVnzKiV26orocf2g3vOeghwhvEWN0PM8s9lnQza
M+tD92XOLO0ykdEm3tESTDSKTZZPLZypjTripIs6MenbCTcAr+yTTTvzjWQxfKf2T1rYeI+LCN8E
icGeKhPeY2Dcmk2sHhSMUTZF9D7P8ysZoV3UauWhsFv3ps9wgyEQwOZaTAMK8LZR3SBa9gWExYgL
XdsfSifEx1XX/fs+/8VpwgtyK8YG3edh65gGmdtC0W4z5qqZNapPRsqZhyqbbywEZ4MQkEimYLmY
6HDypuTUaEN9qTu/3mMfOewaxwluU7eed2qrfwlG/ANATHX7YIaioc7lkwX846nSzTcljqpThlrj
LTKJ4Er4puzTxmlvy6IgSqIP8LdmfxtUU38LkODU1QgytnWyzevy6GWjd86NqdqlzBtYWpnhxsBN
a1v33cmqFkRg0Gl7c7CTAwDhH0g1fV/MRE8mWfItV6vfAofrtqizEcHjubEbBbhe0rY3GiU6CcC1
0JJgxd4ZfO0NG7aN+qNK9AlenVnfDAANzsoS8DCaJ5lRa8u0mikKj1FHHiQNEWbJEyQjoqFV3/Ts
e28r92kKzxdxlG0aP4Fe/jO7RnUh/6byJUxqNNfUy1RU2rMJw8PksSfda9dDAv7GqbZGHka3XV4F
l2BkhpFpvL9TiC9P2pXI7Q3L01tmhKycHk0KJ3rDqJcJZkIM1a7q+hja0w/XVN3b0U3aLaHANiQU
egU74K1Gbsl2zkEf4ggRQKbRckzLinqJlHyBCJBvhzj61WQlLtmReeJb3icgVpC3qg9c0D91ikXM
SBie7AOmHG1lPRIY0Tcx6LKdHzcvntvAMXMb3N9UoziHNeNgrJjbeeibbdkRE6jzRzRN1ds+irTb
dikcE8NKBxJmmm9CPfD3ZgdSL9R0ViiK0zH2Ws0+SBJ3CyjrEBXBL4XMA0oMEYpChDJ+9tZQvrfI
mvPRPnU5NnaOC6dJD8iBqCP0VI/p8V3QAOSZn1iRtFvynlVp3mNrnm1wA3hLYzXkzzvWAqHeTZCL
H0aPAHutdxNZ4eAZYRU+n20FQslXO3D4Znw7grzcYJvFrIJFYZeocHjMluD1nAYH21vUZ6v+V+D6
GQJlBvBGV08BMZg5wEP/GM5YNeoQ5jedBpWp/T1AGoyA/e4bDzhfbTtEnZ2NmbfqFqHpYq8WHQjl
TsGARVMV5CPRiwkCn8RC6b5M1fQ8hnZzS6gx287dhCha1j7AXn4m0txsLPTkz96kgwLVfevs2O5F
8XvvoiS+e7EWnE4Vd98b17stI4ZZs1EYxtKqOs0oLGGh+m0AiHqsuu4b3gcGnGA72CtlMt0NeBXd
OgSPi4VAHKT6S+q4N+AfJmbZo88VHL6NrNqJbgTAl+J4rxudv2kKSBRZXBGoaAOTrFtpnSq3KjZW
YrdHoOsFoDjPAnTDx+AAmfni5CSl9ALNLaRjX0qrc4nyFNouieNjObXmsa8r76/Ue4XL1Kmt/3O2
6x2cd76l3gKRUX5GRr/NrSy46GOAP2KlNjtW6t6pB3h2tMCBgjshJaX4LN46CPeOVRD0UM0dc8Y7
b7SGx3RAo8ihhphMsm/N4DXPFPtmLaqhcK5Vm5n/2a6hiGHzdW/5zB29wQLH6GYAPSvPO/iB721D
D/U1jaFvy5J5o6sBr6JvGjdzHZM2ZfbxK831fR4k00WdkW9CKOpJi4Pf1uIQBVXnFt1ieRhZnfEh
XopFPMfMR+1WNev2aejb6b6Nl5GbmlcG7VMdMdWt6vRYBo4ablOH2wgm7Ky0rD+6PmXmYUXvSaqj
c2gWj5Yx2ocxj1h/L4Xv3s1eBw+t1eJ90z2lTpNcQpYHl9R3op1RQACAjR3dWLb5pAcG7A1v5InC
7nEAcUV8L94PSv00Y1BJYI/FWbcInGnZSTBg9pKRhioMLNG0Fq8rEJj/FEpHvqhH27TwsMswQiS1
/BKkxph5LWEW/BocZM+XRIAy63vdx9YVwy04EpiBenCsgx401hQMEytOn2MJjdwiKH3mQS1uGnN6
VMN5hNrh27sRVZrttFSRKZi2vcnNMlMXoJkTpvBKOqQnZw10kWcWNyAyTsMEIwW40n1ndk9Ki/9T
bsbJTsdEc94KZi5cCPwW+LO9M0w5nILZvR9TTWMq2GUPHqm5S9xU7zNwoze8NkAbFt/DIUrf1ByX
GK/95RY+D7dECZwlVFDPOiudlAfK8VztToqJTxgAK0/Z+dIbDXDs1UopFcCePkiBqc7Ni5wG18rX
qA7ycxaXDNlj5+ww7AYeQkoBEFwxbwsU0yKnsHkv7K3JkHc3aFB6a4AC+K8Nh6Th7yE54t/FBFhP
yRy+h0jBIT56mLCW2znOCMF9wRsB0N4lGncX/d9U2aZ9/Yd1TXvTDtmxHms+k6ACEwdLazWBJNTC
46zrsxN+LfLS+IKEPIqc47OeBNYpHZTnmSDAQm9Vj5W5GA/E39TOOMXeGJKt33nx7J3DyLqPSaVt
Ux1ZpVbNEf4zQIzbN66pT7daGr+OKqvUsAqQUQyhDC8mTZWPrk3S8PeAAr1fFSCCrO4ONglvsFyl
fRWOSKc/3eBoL8B2XaSxlYmFgMk4rS24+jztm12R2t4jLADnQZ1eZxB8jwZgBDsPmkMVJ19KJgbI
V0ZAK0uSqVKdUz1jzldmADQV5Zh0bsj8yUiBv1i7POiMbVUW/Ql2RPHamXVzGmGLbKWqJ04D3ri2
8AtVmjumy/w/bWfv9DL4NdnKdCzidL5B+OOxnwF7m66dPARIuTwEjVaTGUYK0+mddG/VdnUsoYEb
AewMJUFiLuPnLUwNd0Aq2AlJMhbBxpnHbM8q+sEgzsEovsuyhy4ELPY9t18xLWvP2YKZKRdcXQjC
4mw6D9GCG62NST0DjAgXJKkUkx69K4rh7+N/mqRdumfLa1dfyoDr6rXQ6TZZkVIK0LPRQU5rdRXs
/MOEI+TJCl/jBqSA/zI2QXoIoPParQG3aBhfECpH3RDPu6uuhmCEBDeUmSwY3NhByXsR3JAdnZ9C
khx/TG4TXMBlWfOeySq/RDbljbYquGQn2UxmIkiwsPj3hroA7eu2OgpCpXKcFkghc9nsUvTArYMG
rwd/kyjaEkegNQCLtSer8tVR8l2iBjjk/jL7ARTzcuGa5YyyteITbS1R571AFaVxnLMpO0nPyGm5
MsgiBn8f3y4nkV5aqE4b28nSnfzKBK1pErAIny2ufsegUY+iMOJ4W0juwxkM589uuX+jGTmnHDVq
yQFLkcj1l82YJTIpLYzvpJpl1TEsFR3/meU35eA+A7wzTvIn5WfgvBxG1YA4SV/tvbL8JcelYwDH
fLmN1zssjYKXyn2yLtZCGl3bxlLvjkit4MkE6OOK/ZWnAdotGepxSse9qtffBQ8sxQCMuqvh1xFP
RXIkqwYbM6LKSRnj3WYvSe8rzitUg289zMW914TcURsJ0UObNC9y7+3EfRiI+xzm2mBYt4YIvT2m
7qS3ikvqsPxrQzTb1psGdlgHQt0EO7ldcjdkq8TjM9nIpjwFVqj75JW7jVf0+QVfRw/0mWwuBUQE
ng3lWOH1ztgyJDNABGDOWA1jBPphU452cKQAiewa+eW6Oac9aCg7OsnfG5uGGHWzi9vkyzzqF7ly
16sEtXRTWOm0k2stVyVpC9b/rYb4yoIBkHsiR8iWtF0fB6lLYaQ4hjRdCEQT0cehe5Ybf3005dKs
T4PsqYl8biow7Du5FPIj9b7m+rRBoW+JoDPLtaof7WIbgtzl9fqaudPPAK+MQ8ZsgKfuRavyFqZt
eMhniM6tPj3ry9Ahn+0stp3jHMwggbHj26jQOVHCbdATspK8+H/+8IffIJvYXkF210P92vN691CT
waG0N/SdDAHyfe+QGz/ZALLG5xQu7/XiXuEUH96aD6CKz1fQII1XRLAm5+ZghLk272M3/KZ0mbpf
rzCD4EV3XCjd6+Ci9o8ZJpYH+S29Xz2k9qwe0Gjs522ThbftoCvAPJZxaHmt5UjZ+s82rytnhAPC
ZCdPQh+nB6YwLF2WB0EfkXYy4Vivj8/Swa5mOpj6dkCC7SRP8NhZw2nKLZYl1T53BoyP3AVc+Z9/
1y7Ssx+CFfZyA7jCAkhZn705vnP1BcBoFHa9yNswvC3DsjxJUl3bCqI/y4hk6bOz951qALOSPjqB
whgp/aVY39YPj+h1U/bPlTecvMbcypNwPQRbgaPy3jYkCGQsZMHeHFHoPq9v+PosS5tUg+UpVPv+
0ADSO4ZOdJB9pjzs0mM9/vMjKHW5a7J1PUbq181P+6X6qe362JaVbf899GArR4I/Nc8BXLlNCjym
SAG59TYI5+XDoXsQTQOdheqkH/ChIE/PvEDu+GDrGIM6D/ncPjnMDVgf3upELGa1wGM7ecoBpQx1
d2MtWNV5LJ/ywe0OpjkzlWh0dacGBbGbHoGZDQneg/AOpnyxizTnod4FUfngYF683nj5q1K9vk5r
XRrXx+TTIcWQtqce+0F5GKWol+FatvQE+pIZw3mSqy8nKcAzTmBWeOx6H1r9Vt4SWO20yuaH1sE1
/sotRJRk3TLhGryHVPfVFi5FyAXrYiU9EweHGhIv+IYx0d+iHrg7MiZ7ucZSyG2Pl+kJQrmskaf0
Rz7pFy82soM6jzeJWSJQ5nUnGWQ0Ru0Wzm6Jeu4uLILrF8Bof0HKz85yQrnzssVI3y5sGDsafs2D
94hZnHvFLPuJ/eLjeXbI5YlYBwNVU50zx62/T29HbddPEO/Xq1hmDiNpsnxmMjezdr4FXUhIJfAC
/gKXbDAT95AflS7k1qCcGOiijJq1v+qYyWQLvG51nFznPAHMIZ97hB6JRnFkbzMcw66zq+sqKtKC
gpybrl0HYbjU97WRGAc5v/wu347Gc6s/zEbeHlTTeJK7ut5a2cq77mdsTNFmLAqU/qGQ/71AWwcO
Rb79Ur9O7FieljjSsHwA47/XMjuHnd/mwx2C7OYJaFp1EdbOEHXVhWfhTxlm2fX+yp1Yx5j1xvCB
/p1CzzQnr95ZEKSRxXAMHE4KXgKXEXyHQuC+5JLJnZHHOlCJPVrAg/0C35B/BnPpsI7o6528PtDL
eL9ehHWvbEmX//+pmKuNsJfu1qFefoxUr3PxtS5b18Y5wvaDCS3CDDLRVTr7pOKxKF3kz16nXLKJ
wyav2nWTvPbfsPrrh1J+54dZxvXYMne3wAJuSQhij8GHXuavJEcIXctrMhfIwWyDyfyG1grx5LBP
TkUThupeul83/eULGgEG6YL0Oo+TJ1VmdGuxtk1zRspBQylSAya2TMLk31mLK0pS6h/mstdfX84j
TJy7sUDXrWe7AZ5+sMlSzVv0eguSUD9c+SFmfdFdXT3LtEwmdbIlxfXUy7RQqiSC0LwOIICsnaXL
WpWttVhv49q2/o1Px0b5W4dQB2MYY6YMnB1AgPwkdXnzuOIJy/hl//XHz6VWbCJlUD9MI+UWXp+8
+XsA0f4sj2uEki6g6eUehF2H5IY8Kf++KUdfhypAOc3JLdPdZypIAFNkXcJ94oQIwUP2rjvWNaDs
kGLtJ9XB/zlodX6+/vrlSb6SPdZ35jqfuT7M0urpeUf+5J/3TrauvWTzc10Oup71Q6/Pf+DzUYpG
YqO1X7UZqVkZV9bZgxz7b21rF9l7nWfL5lrI/VirsiXH/edZPyxnpLd0/PSn/q3t01k//aVgGfAx
mqu7EEbf8orj4Uyuopqva1V54aUglAI5ExoRi/clzLYWa9uc4QkK/Y4+VWuwee0kw62cfO36YY9s
+mYAQogU/PWJlpdF3pP1ZVlfqv9sWw+T9076/Vvb//VU/pwv5P4iBu037lwc2pjWLnNh+XCtxXUl
u9Y/xCr+rfuntut6Yjnt9S/IeT71uf6FIfFuNWX4o3ZeuJWhQdagsrV+o2UMWauytU7I1s6f2j5V
pZ/fIxjQ/9RqJBGSwobIx8tJ7p3prTzC101plfpMKJtldVZlB90rXtbhHTAVtPG1rswLjVzqMvIz
FwqIKFmZ5V5DR35gtfNWhgei/0iyNigD/01Xuw4atkoMQUaXopwhYSL+tvu34XZ9FBxZ9K991sdg
bfv0uEhV9o5BkxKycGF6Deps7jpHT+etrH8TAAaEi5LxNWiH6HB94+WirMV1WF3rcrn+syo71ldX
qgGBlL+Hb6l/OoO0zVkCdkJLeI3Wwf46sb7ul/uzHtngVcLiLTtbBEaMJULyYeW4dpNjpZCJwVqV
rU/9ZBBd2z7847Ln0yGDVyn72bgDFfhYQ6XANUB6ECk3NJAcy4erxBGvfZGhy8+SLDvJlSmTPs9O
s+psmsyxTvKyr3f0+u5/CGZ+mCqsXWVLbm9U9ET0rp2uQa7cQfTEiCNkUnS0sofZK0nHoOaiTffy
il7jlPIEjLMeN3/Ji/x3VKtWgz3W2aROGpKDeZ6dEySCYYlDWpOibshWbta6bwUK+mehtSkX3WFn
tjAgY0BeIx+WrgVHU/dvhLNtkQCIVLRr5KrKfakzqEx6VbyWMTwT4ZPryw2eW0R32ms889Pll4v6
4RZdl67Xqy5rFtm8vuYRycnZM6e9XGX5s2shP2CtyoX91HZd1cmez2TOtafsXv8lPQz1rY213gYb
Q6zigtx/74p4PBoIAe51GLNUoZ4hQFqc8Zlkr6WTOzMcZHqWvZ4HzFNPEryb6uAl0rKjtpxDTers
rgzqdiO95i4bT8pcmju1zwDpDUOxaSJedSm8zDW3tgfAUwNTdJsm7kGNQivfIxmE4TIr+z1RSVDD
k3Nu9KB5gJNFrhnRWIjnmYN7Uazepv74uiDanwNkYJ/h39Q7VONGVDmoSluG4FGWkJ6oR1QgYrtK
n2PPQVnQ7O6mGC0EB9jCQSe3f/Qsf35Mq+YnfMdTb2rl+5ibuGql/re8ZEpe4wN/8QMVpHjWvPbe
bH33iNaT2fUDEg5aizrOMGyCpq6/1DOYXpbk5ZuupvYWRR3gVRGyXWqx2AKYhJLn3KrQb1LVXYVE
MMpQJThujBir+3HZQygJM4EBR4Ew0Y5NYZf385RU97IlRVYUDrpneY6wMEF4q4iDXVkhP+RPw1eT
5NmxVRcpv0ytDOxIUOLYLQHgjeuzcouLGNVrFcKn4WMkqqJguGuzAkyQ1w6sh5vCvYDUIL3mEWxv
Uf2a+il6HJYCokv06KvJN2Q1lbM0lRkm3eguospVIHxmWGRrnOCxQQ37USUT+pgqmradxjFgBcGO
2PaAVqU21zLHUhQP2c00DN29lnTew7wUdQZsz+bZgl1Nj3VHqGfpVisdXNEGsjPmhNncOOrowvi/
pySa76810Bwo/zo8c+vxVWR5D6jMRNsqbDfonhp7R7PM3TQ1ORpvgOkLQzMvtgPUGVirttNtPWk3
WMEjg4EDeOmF5W0F1e62WYq1yvN5TApiqAPSRjbctFK/5LOZGlvNNLSLFMUU/G9j0VfKdvJguXth
SrAZUYPX3gcw6tpj/zUZ8r8MUungwqH7826Z8JlBJoJWKCpUYvr5N+nOL2Ge6F+nJgGtgCDOazBm
wK7RwXqYNXLJ1pRYN5Wb9xe9j9tTmsbFPbdAg/Lfqs/NqPBwZal5pxr9a41q0J0bJQ+DXTVQX5X6
Oe5JHDmIPe6lKjtIhb4hv57v63HTY9yxmZbusZZiyheD5VqOI4NNk6NAu2XM2H042Mq/Oels3sip
6sbU7h0vPEEOw6kzQxbtwAen2q2/oA2SP2E4J9fz1sbcPjRdu89VZG22PhbLfZC9YFQ4E7QvGtbK
tnkD0aJ5hnve3xM6PksNo932GdM6yFDZiFjT0kPaHKP8fFDivqouely4BgLUhvZDxGLZVGDQ3aKf
1t/WA2HlMkXtRHY4KFmckcFMQLNxKXRTaY+IbWpbqcrlyVJ1+VQ5YMKW62OPI0CXapnoxUd7/HP9
d9Ik9492UcM5W64fqtMg8rLJw5+eZ2YcTJRTZFOKKphhuK91edrGFgnJD42yW/Z0kDt2wwPAGRB4
wbAB14WlQlkxKOn1X3UdhKfeHgI03sPqW1keZH88hPUh1VFtqmbFIWCtuLiFEw88N0EU3HZLMSTo
nriGf/ywo+9T7GTeA9+O91AY4ptyzPAwXArZkjaTVTaWDTaKarEWNfgN/kdHOeTaez26GzEH/L8c
kroD+ApVO34+TdsViNw+jfelSjRw++nXSW/5I1NR6s1t2i48CtKOptXCgEWR8i5aihyBiTupTr6P
YmHkD5DX1Zjg+rK7VFEu36ydZAsHvRs+fB15ZA6OXaIqYVl5eGJMinJx3i2g+ChLyd5Ph0pV/nCL
6ujJQQj8eqj8tQ9HZLq570oAGp93LL9qKmPIjk9zYf+VYk8Kcml205t2qtIbd4wAnGgob3YZeUaV
bMU+KULtRS3D4dbV6x95qKkvg12oL3pY33cMsPfkpmG6IDrI16830P9y6la/sYGWvLsZpyKZU96l
qBm8R5XyBT5y8CA7zTK484vYfpR9IIX3KYS653zpOdbvyaCZr5ofFW9acpYufHOyF7VpoF/eh3U6
3faBlt6NS4G4nz5szKRm027mDWM2aLylKn0gmpLI8d3fajLgXuoSu4S5lL5nXo2Otma0W6kafTOc
DFxTd6VpoYi/sa2uf8bGCukia9T3EYTK96bHFkGFr3dc+JXvQMHKnZ355mnEMvOxtMdXIDTdV6v8
PruN+8VS3PaSlRHSSbbefW1mgBSqY+WPiOigpRv2fwLHbr8C2dJ3c4yLuN34rxrgMzRs2wG8J1tx
2O5nrGHhC/9vE7TIv3d+atMtB1RsNv8PY+e12ziXddsnIsAcbikqB0vl7BvCZZeZuZnT0/+D9Nft
6kYf4NwQYlAwLVJ7rzXnmKeid6o1eW0FhDlLPGSSYR7qtB1hbnfiQcUx/Yvod3fZKSFje0CB8YyT
Vz4vm0y/pr9g98V2WR2gSewVZ0xWy2oV2/p1oku3rC2v2PbyWYb1puKIPgbjhC5BGKF2rGDFYIuu
fChsZn6m6B63Hlo8sJ6gZdel31uHZU/X+M5aV3qD7x1pJ5PPnQdgTPTUyWW3wuMTHZZVK5JNZApR
d1xWTYKIyIFU/dOyOknju81v/mVZG7vsyv06v2ox+h5/CHZh1Eu3NGvkc+RjIw594qr6vLwi9FmD
nehuhdM8JnEjHxEr9DdVbbhUYqjyZWKflgOW7XARN4VUZZdl07LQoRxFJgaGqlUJXBWkx2ZmcFsO
j7GjXXP9VtdiY7d2SWBhtQZjXhzN0RLHqMUsN8OCi6Mks6jb0gYzK49e7HRAx82ovgsViyjw0XiA
EJa+ykbprOFmFrtlFY8OknpVPBX6AJJS69ASzIcp3ei7MP1Q1eQD6cpyg1C8TF9RUWdb7PjWRqX3
8Woa2jG3JeNeDzPrXCQGAov5sGaU/4yoJff8tClnhnUKaUQ8sufFpKT+igpejX73X9t+DlkeGVLz
p+xUZfu/nq82CGBaM76rhqm+DFKJXFrYoO9Qden8Ev3JZf9RH3rzqbYG+EC5Kk5ZqJmQjcsURVw/
PXelfVsOHbT0VEWa81LVuezZVWyc08IhgKWqoKXAhX3EjvQhAb9ax2JlIxs6yQUXlT3E762CQMzQ
7PrO0dvgIJlWso3SUL6HqlK5y8tb04tcOPVHS98IGZEew2EctR012wLqbmHcHBPmOJe7BdhSyd0k
qwRkXBhVp4J76sksQq/z1fhQASf/Z8f3Mcvu4mcrPhLEz2D8PXkK5Nhb9ofoHk/Lq8WWzUazxE5Y
Wvr+e3XZrTpKMmy4tKPvIwNFvRl6Ymxls8e7/fMShqUfTeTlBys0pHWqCJVYqt7aGeh992Td1CdF
062NmWTjdSTHxesauX7kapSR/tjWG2PnG2we6at2Huw+YUg6CGNzuzcboX/gSQQWqXOf59vHRZsl
FiaVYFpXZVldYrWpdrpW9ofIbgzSff2CWILWgo+FWJUbH85MtQCL5Xf+axwMj0mkS38klJbfb5Tl
Cqg4YXyOaf8eSpL1oph1Bu1Yme5DEzY4Q5TgDgu1vc1mqLgs+emxS2NjSzkgvbOxAqFxrg3qZ9zI
TH8KX7kBv2E+lD7VgBxk1EmMsBmEJ4Gt/8kgI6tt9xAQzVE3v7oWzTKc4vrBaZgTtl2p3KHbaJHn
kLCE78ryKK75/k5VNTKoBmtGGsgpaXFKmx2XR5ZV0QIEgXBuE7Au5Nf8UqzeechT50UZY+msd47D
OQDfW4VpdVhWWw3yXG7F7V6NO8BUCuOyfVsgdRO17TwGGNLdsg/lc1cW/mNUTa+qEaiXZW2aFeCW
atwthzqKdYwUw78ua2EXbJu0SH/pQvUf/YleojDq+0KzrEd/O/iZ9RrzU7ltBrnZWk0fvAl1W/WV
+VagyCIyp6x2fdCLF2LuVp0R2b+YR54IeRCXypeA5weYN9ouVNzvbfOOSNBxJll3drIMW2BHIxcR
4DUt0v4scYcGMLXQCtrHnwNqrdK80myNTU+k4KWdF3wxRq8mG9lbVpcdNGzFpZ5I2yKy+ojYiXcO
2hJ1A4GjLrU7cdHmhQmK92hL2jm3yukXVYCXtojGtzGahR4Nfg44UCD3UvUlnvrxbagiYzXM26N5
+38eb4Nc+jnet31eB3naqg5sgG//ev2f7f+v1//P45f3Vcse57ajr/XciFc9E/Zb0Y/VTbV0dWvO
28BlVLdlR87k93vbcgigyPpWzNv+67n8coKzkpxtrPKbuCyM2W3plLW84ZuR/bNNJj7ayfXNz2HL
ziF2HLeq8BsExZ2UNQaGSTxfg1L1wdriWvc6ODZeNijiblkMOv8v0T2prlKXazVM5FNQYsTjJrWs
QGiXT828WFZNTcJ0/72elV7HdA3W47/2Ltt/VpdnLNtg2x3zCEHbz6bvV/pZT7npTYN9V3C63jvi
PyCSOa8Jfia+VEW+d3y8pOpg/RrNznnXANBRLXT6O8O2CRxN4K2IVI7ovuImxni8rwtpo6nO9AyR
od+2vOoCPH3ClrVf3iPMkPN1ZWOcScJ2Ln6r0OiaX5vwijuVs/aIbsQgdUDTNmrdDAe1CmF2z4E7
S6LOd7iOEQrMuUy+lh3LooPVvbYRWeFE76y9nuoFcJ3Gv2VWIt0ARLeeunOIEUumCaaLBjsGCLml
uwxB8MXEQ7WVyqzbMvkDi699lXrzBmKkf45ikuCTtunuorpTdnLcZHt/SPVLGKhkYkjF9JSG6Rei
w+yLJ4fEwR8kXYeORfTvjTyZrTa0waUUdX0T80KTGR6GAlzifICmzlakGsmG0RQXJcUXDzJZXveO
aC/L8cthBDytCY0cCUADTpPMmexI5smS7ZJbAKyDXLU6vQIdIiDCIBhNa+VhQw5adTGCNtmWWGvO
SYapQhv06WTZKItxx5tHK+ujvQBlfHT0yNhT9hAHZ5z6Q1YOw16So+KYaYJgH7+LTkntg3jqLfuU
FCNZrxVFkqhN/E3cNDIJDHK1sR0xYHQFugwAqrvSnyjWaWy1Nx/aE9xgtIPccVADlV13P7VE/RDu
PDxEBnjkVne7NqQoFQj5saYHvQoHWXsabBuWN9zTZ7JnOreMxuHsk0MFgjpPvXIMI0hY8OP4bcLw
4afT76S21z55ZC90r2u4NtHstZ+ie7SkX5EpT7+lRPtN4Rd7uRFQKA9sdZM1/Dj7vb7t5lewY/I7
0IEVRDwMTKjMEUgnEpPfAl2i2urvDloDpoBZf4SNOlwrgtRnGv8EdK06O8bYgkLmCmBmVOyyWgEk
A7xvuMTQWhiUD7tcl6IHX3Ksi6Xgpl2C4EO9w3Jn+P2uS/vxRTeZOylK8GALrhRlzAXYAHl4iRAA
roOi73bLs9Q42VdarxxyS+k9aonigCMoZqo6K4MNh0AOv3G/N+kjQMTlkOXRXxvNec+y8b/3/Bw+
ZAufkDf4eZ1lW1na+NBo4K0yEgMvRtEQ5dhI7VNLgOVh8OUMfAWnJIO3Td2yx+kxr0K0c9ZjI8i5
nFdVfcS0pBtiv6z6aaW4uBNjl5AHTHKmxaRgXqh5SN5ToY/FcXCSkgQLHi2Ln2OWR8s2ksY5ulaR
KPU5aqz/j+dNAKMKDOr/8drL6l9vbZEjsGck5P617ecpy/sPUTEdsvSlHsPwgXuu74rYMvaqj7ei
y7V72bH8rdaH0mrK+TdbjoivZil2y9ryJF1z7ps2c86GIe1AF00Xp62xFDZ589wNVulqvRW8N4H0
gKHI+dQVZZPb3A7ggK8CJVcjDgDK22bxF8WMO+gg8e8yqmJ+durmZY67XyVGW5ypcx9lIO5njALl
OVfKcAPOdHITXS7PPzuWvQyw/jlOJ5JHNNZKbp+QyJDcPL/C8pTlwJ/Vzhws1+orepb/fpP/emlp
SPALqf5TikYVYOb8Jj8vsKymvbyj+RUfPLuXrFM7BAQQER1K4ovUhVhIVOuqQ3K8puZ891UECgM9
tL+34fQlUim1dxalgrMlE1wSy6D+v1fnbSR19+doXizbkGAqa3LR6ILMe392LMct28pKzjZ6TyrA
stqYWr6OwMJ4bTxS3i+r3xHGBUfI1asSjNjfumJ8sgom7dVY+/f5lHceUrHuprYxNExryO5sDahK
DMTtPBpdvxOoaiE4Rmj2ia3aG6kDE2S+i/eWHF3yVC43GXPdqwxrl4oB1evUqCQK6yJ75NOFK2re
9nNiQkAxJl1/I1P0xa9T86Mw/INMITOAhIOvKakShtKPomhM8H0UGWhotF/D6Jz8PBcfWh2/SzpV
au6WCOhRDRlGRxqWDmrBAOmZTVn/6Fd9DdOcCcSyd7DC4hhmWAGXvTkRnie/m2p32RunYUbmJUy5
Ze/YmOmlkvS3ZH4lOh75XVqV98u+WLepOQFaYkwe3RWNLF1ikoR4HBhTdLc8WhZyFrxOqlzufzYt
j0hDDb2YHJ/vZ/3sla3M2sY0otxlm1WH4CbtGt8pcNDVz3E/7yP32bnWhXnwJ5Vjp5hUKpxI90Pi
FLSIfJonSqocHbtVjjI+KjzrkbJNJ1Axy45lMdhQg1bSfEwlSWO5+XmO4ksfxVRAtvv3y/x1iGHF
eMiWF/95tY6YjlVnjYX3/brLbj+NeYu/jpxMSVoRh6V7mulgBJtfXuorLII4WP964rLj+y2XDxhm
sr9xdP3pe5u2fIKfNx+dhK+gb7Xyvg4b73/+TT9H//O6ymcWwG34/gzzWVge/fVh5w/3/ZmWPd9v
2hbZXQzYFav41mhs+Sjmw5YDfL2izLM8XPYsi3E5/ctD3W5BN/S/HTpCZ6ntN4w2iFMb6nOdROWq
IsAiiLCaBXX+boh6hKGHprGT92boT1vLaf8gyx29FLCiHH10akJ0pG6SR+HAB3P6dh+mzWeV+c6G
MdPRBmEalWrkKeY4o2ydD1MiIjtuXaniRg5oVgeHbzvUGGvSrewqeWKeucOE96jXneN2XHZwPcaH
yi8RF7ePSjDwYtj8IGInl06uT1aM/7JE9URBZ51S3RK6+h6K/iTR9RwFkYgjCIZibvgJiaZDgt93
h4+YaaqTHCNJuVVNIl3lmClvQZ7RtfSPOmMR4uXmTf3QYZNKk/P3NoUQF3cSfbb/eVZAJc/LKpBL
5KZK12UHHrT3ZsJxVTYdVs7pvi7v61Tvrz0DocaqYKHnTMn7CckI8LKYDxI8SgUhKyTkEHtQthZk
h2ZwB6ymuoPe0EgvnTKQADYvxtS/VT0+/kwcraA3UP2zEFSLV3jMho0qYI0t23IIDNuJlDUKpv/a
1k4MJECaqtuSFD1hG/5dNi/AUTiFVV4bE1xT2sDFGRjDXKd5EaVasbNHa3SXVe4g2jWGRoFhqP7e
9LO9NvXnyGi0w7LJlkoVLtkwERdai/WybVloqq/SJoLZuBzy1w6IedpYf7/xstlQBf3dUeT75Y2X
bX7Yu6bTaF4zVnSs5w+57IwSOT8aJgDCeZNBWf1iWZLXB2F8E8VaYAi+NooS3eiZfw1R6e97RTsD
Ik9PA2FV12VhT7D+wVoZm59t6djlhLhB5k9kKZawNPoamdftITES40qx3/h+bhuZ60n4pB+FTU2K
ls2kzU/JGJqMwt5+r5OQVG4qkeordL7sDwtDPc6D57i27yaH0UE3lfSKyla/Ok4i3RnRMZhXtCj+
ZzEY1WtL1fIw6uk8LcTvQ/ofwoyf44YEylE6cetdXsiShUl2RXQl8K69FGL0vr9RUxEFaI0bFypy
fSeqLLjpFMluaizuCz8Yjsthy4IhmeoSC1TsltXlWAXKumeUKMeXZy3bcFSkWBKSM3O4YeXIgXNN
c825wuWeDprWvgV+BSVk3q5aWUeSVOz6sY3zfzkMAuaezn14Xo5g5HeVI0U7RhPfPzFGzU4KHPOK
WdS6kiBWrpXQJstgmKzrskNpgHvKBc2ZZXXZATBFv5QpA0aSNyTIsWFDK1nTVl3E/TfpjNPPsSG1
U8LMamubqmW8sUcUE+Asw1uBG8IjniVZaxZktJXVlP5GczTI4fBbbqCeo5ve1HhDtYT6wUA91NZS
QoXmLJNlwdhlIi2LNE91GhhtFAFxeBJhIf5M6vMBD//zaF6Fr/ecN2T5ka3hoL+bo1V8wqEPyyPi
mjP614dmdgm1s4RxebQs+kUoOS+Y1CKcXDaCrm23jkrHe4gBvojxIfwWXs06b5lhd/UiqxNlloZZ
7Gx8+FkwRsbqsKxni+uh07NnfTYetbOTppo/AtlEOI/MxX9klIDdoEFSFIC7e1gWatkMEwFH1czf
+PdDNXU+okSFgVHnYB+X3V034RBdHsZgZ0D+JzFtDsD5NO2g7H2fMXskgiSBMxLbJi3E5Sx+7wb2
cpyrMlvYJ8Qd4DDDvqCvpVGTsNi1f8ZW//ShRaSi3A7Ef3mGch+Q63gQbfdicVqPEXFgm0bR38JR
d9bDrKpNeBnhHLnjZOvl7/0528uj5T9ADytc6wHnSiIl7Si3qlclgb5rCGo7mJoo9iaThKSMK1eS
222vm48pf7VhDDj0MXXI/If5CigVY3IbIP0kGV5cYWKeTWn5rLi25n/W8igD2rAuwYLwu9sphxqy
RVCaNLq0AhJfkg6nv04MFmXOm+nUIBQtZSVJmU+9n4JbGRofehZKa804ib4aDnVo9t8LTY+Gg6/O
Zy4b3zJFLQ9YfsuDk5dAx5eHue10ynp5uESvLo+WRWL5JWonBxrGrJ0XcxxLoZUYdBh0/M8vVuFY
+T7KAAHMHtH5z1wWyx/8s9pmGmQZhdxMf/YwTbNGcTkdYvGcLg+biYJXnlmj9/OfWb6nP6vLI0fp
ibfCwMvNW8AJZKHNsr+fhdHq4bbVjWMya++X78GyiObVnhbHZorq07Kp8A3CHQKb0cgSa9AtiQam
1PH/7YT4lSp1RfqoluMBm11j3w+tVu33CZAvTPKc05kPUerEGCyLZTWOoBArkfRVMaTsjwRDNu5U
Wx2pKFI8HC1beBoxXY0YRjfIiNYNyaf2ZLtkFqPK/pbaz6eTDg9KMYN1GY+QGysInMNKP9I6X6tZ
h280OWeiDF0YZTRKpyI8mWhhzoHfrui3124/ZpdM4Scid0rDc6CsHuWyWXHLKGihU1ksynYPbmCe
2k7yDfe9upt6EoRMm0xa67mpmnyj04RBxd52ZLHUwSZqCKLUc1fqMvojyAQ9fnC5acR3uqqYq1EZ
pbUvNcTCdOoG9j94uulR09N9XhTU74gkimr9texLMgvHdAN+KVobGP1E057CoJJdfhxxJodCeDWG
jLA9AX5FTxLT0pVkWq9BTFEFL9UKKFu06cs5I7rRUOFSoqA5vZoKtSff2K69AkRFbVNr7Iav2uLE
2J1DVArPnzrnFIxJvIoI2PLzWIZrSkRppFCu7mTAt1oMHZ/QzLL7in0c2TJKqtUwGfbWh3UjFc2u
UUNOAhy6SDc503qIV7zudXQx/ZNjz6VLgiAZj9WfFj/d871FUWDHWOY+T7aaNGIEltD7t720ZUQx
reg/vjF4Dtf2iH+/kMwENhEyHXti7KnjzbHBoyHf5A8PcmfcJfZtAIG0o+MpnxDTkp5hk8Ag5/yj
C1y6eObbAGCwHdgyWVutDnMK11MofTU+2TLVcJ6/QWpsNuc0nP4Y7FzlNT+UJZNsyfIvQm0/ygw6
ksolulL6jrCmsaffGFok5six7lEQPYmkJgHXxCeGg9tLKSdoOqbwKZHTldnMSBFYy+6gNs8+vxce
lFeXXGbyQTNaODbvZZZOBBNi6laockaIXsa5LaVNFtT+bYS4PpX27yIlVS+Qg/exkzaNzUSwVzpv
HgB2phYe0cptDCf8lOCwumIgm1gZphenpGBBAVKR/lhEJMI10qK9plDJc2L5BnHBXmlj6vlh9zAq
9oYgXOQjIVIsSZfptjJDkpKPpFTazVQOrTeGabGR7KdQynPXiDN/XaU59Zku3ximJE5TyAv2DZXB
SFHugiFuQFOO+1Z+Z+YfrpzR6tZtdV8nRLVW5HVRz1+bTvGqNB14FgBJtkbocdM9ocjVgB3F4YoU
z8xlNKisJvirrkNgqtuMQ+bGVrgzdEl2O5BdZqw/ARIrdUSSYL5Sxkel7OUx6Ss2xFBZaXeKFhjs
G58Dp3v3g7IC6iQ+4+llUhPga2n4gTg382r1kQjFxw69JF0XaKn90QGZOvc2mqG1PWptw9halMwQ
AZu++kX5BoSJ+Rr3xkUMNO1T56SrHJYp/VmTGf1zT4/XHanDTVGf/KklQDYft8TzmqTL5uFu/E1y
NvXqhyRv35SWQHm5Ga96zMi/nWZcr6AQSDQ6jT6dO3QOZLJFMwzYMOA7sapECxAsfu84SW5VEAos
adK+GBhkhbpSrpot5172UouCP5ECR63YVJnh38g2bNa0duLVUFqP5pB5Wt5yI5DA0KbpCxn3qac4
NLzrqoncus6e0YticmyYQw9JRF4S6k2zIkh4zolFGT2sayl9AuZ/A51mu/VzZ0KgK6ME332/tyP1
U0jJZxapH3WpERZYQeaXmUNR4d7mfTtu7IxmQaSgZbdTdEThGLwoVEGHDNhfP4p7OS4v5Vyoyse5
EftHqy2iF3o+cIhUtu50F+5dtR4kc7Y7F3ddGLuRMKmWzELdMhj2QuFHIUMjZALvg/XCXdMMVrGy
r7LozkKI4RapuGSJ+Mo0a1+W5nsdMfEa9Gtop5mny+kOoQr1IL8hr6X38dXb/aEhzSwAVe2VKNDX
rRZD5Om7xDMl0uhVqRldycgHz9ekDxuyUeh3CNEjba0TKqU2lrkdh+qBmDfa0Jm+pQqwNSYqmWH+
mA/yRifVe2OHJvphNCuRwddMEi+OLOJDtwpCe2aI/eq0ENp4+jROTerBn3kIq+lDDOazKsZbZ67U
zCw3ZjCcJ9CciQl5riZ/UjHNswBjbYsazqBQ6ajp9T7xfWTa5raPJM+OyLp/HaPizQnSB7NoT4OJ
plHun8Im3dVocJKB70Tc1BuQbKBpulMIOBBBG2C0KjW8pGAGLlWeVnF9QpU30l1Zi54i7ggzDj40
0ACyKwLjbWyGN7KpM9dKpcfaBmTTROprnSUfPTg9rRxe8Zf9QbaLLlbbTl20b/XsYcRGvkpl8ato
gZdHcJi6BEU15+NeJ0RsK2gDoPnTqB3V05YGJDC1eh+07Y1MIzIEberjfWP9qfUaNAW/sGRsE/We
6yB/ASi7kt4TeSnnYJvSk9rktwQ0j6tMvbHWHWc7mM7+NasB9EEb2ovBaODtJ4jlR+QRITmapLEf
CcUQF3zDSPgssOkqV2ThU9mhKtwYH3LWnBK5f2n5UEz9niNEGJA+0yenko7c+e4RlxVu21qc+uCi
kEwvDHXbxP1uEP6m3tV9vqk5LdwkmPnTOxxcensR4/8eFLBVXCKqVLuGPDW5JlhscE6JgPXZagn9
lHzTR1y9ve3/SVMilBP0aflQPZttc1Kd5tra6Yo8h1vRBG9GxrwRCxnRDX36auGph08quhWtGVIe
dKI/J74bdATAxucMGyqlZ0QzrG1NRmDcbnXmGXuH2bLILkSPVowDIplaFZdL+2w2FJWn1B5cODx3
aTzUbmlBBJR1BEdaFjwIM/1TNEPlZk3ae6XTkhiJ6bAK5X0nO78sjUHkGELOzoPuqNWMsovWf2sb
rrupVTcmMG+r7s4a1TvIKYkH4s6UUrqhpQ9KFO0UyN1nGIQInQJKaBq1w6rTOMkWp5HIk4kbupJ5
rWo5GP5t2+3iPvOy+zqDEdUlkrxRNZgNdRX9IgC+8WHb8wPHSPLmfMpD254UQGTMxoyd7TcPkj6C
3XTaN72BND5KEbqX9q2qnU3QgRStIzKKncTxUkoEFQ2OFGG8l8sSFw+DsFKPV2VARaCV5YyKdbLL
ps7eEzL5bEXAe/gFb7viU2kYG489l6eArxNHJ10SJMz1MBRjvi5l9Evh9uPhTkLVRH7PFJWnIBJf
hIyGrq60tJW0R7+2CSrJfyuQ6+ypwiWhkAjmRzb5nPm5DcqjyWAxaPJL59A0JF8E1NUZA9ETY+0n
m6bFygjmrAh1+BgNZgCJ3Q0X2+Gnxhy9xG7nhEF+zU0CpOIajmr5nKglV0e/MqtJvjO6bGAwniau
bjMGM1N0G0H01VHPbo6GmAlZxgDvbegfDdGvFdUYGFgRmhFZsB3M9ir1Q7GPpOSqBQzIyaTNVSPf
alSmynLqGdCG3RaTtlabmUdB6NEMg9/wrWCnJmj2QqXkCuBLI31R9HuPRLL3TW0gGbihW3nJCjBm
IO51N0Vtu5uMoPJqiJhOH6/iyThXrYM2tf1jSAeilk8Rwaw5RWiAj2jvkmKNlfEad7q+kfPyFcjC
oc0niM9iRjS/lTrB1YOjYNYX4WOhW4yE0EDZFAncUg4Yd4oIzCQS9NzeIloyiIa0+lVsYu4xR1wh
xnvcgoDs+pHMdlPd6Nr4oMrmqYy5AkPOcKITKkFX8o9h+Z2XNhCHs3WomNvIHN6m4YBy5jFFkeqS
C1KuM4XzRJT4BScGspGJ+bqJV6kZ5xK88SxB5pu1bSvoIS9qfZSUjUngkesY0r0u9E0H4Ha+SQkX
DipWqBEB9Xamy5H+kXBjk7Qj6MDXLtR+q6Y0bny1A5aMhRSiIdPTNAVvx4jQcPj2CwnvAAMTYhND
/CuM8ZsohJGUaF+a2eSuOVDuN6Amcd+khGiAF1TlW2TLKlQ5y0tIOXUlh2+JZajvFFz+kKFcHLuE
rrVK434kqihRlV8A+zIPqQwGSk3x5EQY8xPWETViT1Vp7NvJVjfg0irDsLOUzmYcEBcrUHM19JTm
JVZKcNTNUYr4tolKd+u0eIzTHDuSeQCM6U2C8XPfOKT6UqRwzTTc9iSOQ+2cLiYS9kL/HBXno8im
2EPIVvA1bW9W3r9adf8BSXQ3jePKVJU3MUQGtOQeRC/mC3+oDPgkfb6iDyIX+n2XWLe2trFlxNm5
s1saKKVMI9t5jY2GRPtMe/CbX60ug+qGIUqCGIk7suV7Q5ifU0M/6YrJpRs05DnRx6hk665g1tGJ
vPfCSL4SOPKodqRiOm2+CcLxV+gbHVpA60ZDhQCX2IfZPL3Yzi/blBCJqDOLL2uGVdPEDLAZYIKv
C7xYFd4IxZaYc7erWvoN4VYq8nOePoLNc2h2+ju+k6uqCLX1ECvMxDqFQ9UoX0uqqa3sQx0A7KTo
h3aBbHCnRXOSW+u+lF+kNKXV0qpbf4C5N/iE4aVg0EqrXQVd8xGWSO8Nbc/4os5TBhi95RqMKpl9
9XdysmckbUAdTkmpipyVIjqTtyEPIXWklY82Ny81ZWXb8edohS8hfcpxbLOV1MEGjB113Fvjs9Cj
dO2r21SnIZ3jQ8WDGqxNcmCE3r4keTBXqJn5+zH/NcesVvwg0CupFCqt5NVJ2xgT6Wgmj8PAr7dB
qvem6BlydGZDm7CmPRwSEu1YDgzlz8InIyMJi0sThBuNIJGNMw7HIlF/pxKG3TCG/D7zhsrmA0XS
Iw1xsZHQqLglV/zakSzmhg6XUt/Xl3zcOFCAx5FyO3qu0vOTADqbwBZY4kRI6WrFNd6/1KcWEkWf
wk9PsiUBNY8LkoV8g9ZTVO9CABsuoiXLrYT62Wtgp9JHxbTybSCUN0uRdtY0UD9xUPNoxacQoE7h
dX/Cm3lnRN1vSjW8TCCHIfsmyYo0WCgE010VEuF6Hfg15VLEcJi/I4lB+t19kW958R0iliPuUQpB
51lnPTnKcBwrYCRw5siS16q7rtLfc/5ZIFFuUeKoW2mOXA6L8ZQaMtT3KG83UcQ8TWbsXxT9E9co
MhBE9fPt0FxXwbjleXTB2wDwbbgnVugxUVTJIwFr+4SR1Hf70kc99OkMz6WtPVPbfrCyltEmwlRj
QnFGdDXWiWOaOExTuUX5GgNerk1EttR6ywp5zatsqm+lgpYqQzNBwfaX4OS5ea/dpDShZKhrLx19
SyXoO4/0n5mn4gSn0NAfgsncKSkDdD0glI+7EyMASHvMYW0VdmvZagiNIQlTsLo6YXAr/nDj9en8
9Dgrh7C7pTozNbPCTxP3xKLo8ktYEdQwqoI8qP4BAGm6QcN1ja3uRFsBo5+UXvQ0aDwmgad+JreO
2r3yHuT2u9XWT7XMFzMxnsi+uFfN3NMDcgqJAIYCTpDseKgrrhZsXSjEd7Umv7SN8VuyOurKKN1q
jey6WKYYE/P7b02RhmOi25ftJSnhgHMDQAY3w5uVV3+evNpScJogFYLUPiWqOVG4qz+KctiUlvSU
EknsWqHWr3rBwFs2UDP4fFsYxbS5cLCK67Jr6OlB+M3vXMdCEbYTUErkT1V7b6X6UcvMeqVKLWOq
HPm9DKB6iCXJ0+d83tZR1ljBiaKPxUeYhTvAFYcqCjdyYnyGdkWdqqILSJIqUYrRVh2LS2ISKFqV
6b7oiExt5WKNKvw9UWrkoioJ3Ua0jhMaz3GD/s3PAQcbaz7CsQ3vrChHJNyfckmB72QqoYvp0e+1
X36DhcL3v6ZcelCJEhpMET5IyRvMxNyY1JUUyKixevUywh7ztEb5sNpmrzrRvejprOMA/Gz8+WSH
6duodM9Jjq+atAXoV4K/OeovY9KfRYw8zw/eGUK8E6waupboNkYxvrXF7MuT+SGXMgdF4CRgj6uo
7Ribz5XKYUsXL/S0kdKsHKkEwKtUE8I3xyCRIqnzU5YSpySMX5nd63TQpdcp6E/y/9F1Xs2NKusa
/kVUEZp0KwkFS7LkqJm5oeyxhxyaDL/+POC1l9deu86NSjQNkmxour83SSyk3fysM4QL29k1ReGs
sx6Tu7zxoj76EaWVWP+RZvnbNNJ3vyzhWurFQ4ZbY2NnDC5WRdqS2WCPd5zy3vPJj4flhFZbK4/o
jJ50pYOcjvIXlcV+7LElDMkGjWOVol6bd1yNcM4nYWxUMFU8uAK0IHm/VtfNNMQkJUbJdgrsIwrK
N0vIX+k0XTp8voDVrDN3yM1KcGtT2o2bF3AwnWCnV/Ha7lsIxwppUfF0j3jpDtfaaSdNwzOxN+D5
o5FHma4dnburm9RuT6YDLvrQwAenxWSdH1Ua7uNgU7yxqaesDGZ0XMX52UhfW5FsCFC9VmHzI+yA
wOdLcBqJmIJYom4DiwsF/cT9lPo7KuI/fLu5p3J78THKZ5WADi2VmkcK0TEV2VMT6j+zwRIs9EKm
teipHBeXJ9HwYMyjp4UqEKgUZSgel3tWY0+Eav8om/g3q99nVKDNAdt8MpUnf4Pu5YdZnqrS/8n0
AD5GyBTFp1B/UgByKo2wlXY0E8/J9D0sI8p68WgwZZAB+ZDKqbBL5Z615m3IqO1Orb0lLzvfFKbV
s6Yf3G02YUUziTTZ59U5LxQAAk7gOYnym3XvakQLISLf2Q+Tgm4yw7KSkKxgcIK7LupZNOKcALav
rMvYJLZ4NHdjnWl3SgqCJVEigETYLNScUEWeoe3G0ZUH5HHRqhrJYBo0I3tUxhrTeDupd8vmVxs2
9DH3ZZ36GxsJB0b8pc6zqiFs3M4Ksgzm9KfhhyMizLgJsLDsYVxLdzwUNpJ0RE6/LOrImoB/ahut
suf3bCeNiWorfCp9mNiztHmd0qredczQq55nWFdRgIyaJ/KF39omnZVdPH0mpT8IrXN3tv/HJrNz
PabaGzwynjU1dLdYFQE5x+lPpcVQtTCY2lu99unnDjcNM+zM99+NWLRrSkTOBtsA4RqYOKs5v8li
WHLkXdTPU7ZQOYY2HD7f/h26+u+uhr49Mgj7rX/AiRmDdCpWjavf3ATTb3NbjspZzh8XzQiMYUGf
6nG+d51X/POwPcxJlpjydTfGp0m1HrPyUsaiW8Vp/5QHoM+p4xyqUlDStC+Jjprcdj6qwcTEP5DX
0Uwf4hk6cJWMsuFQHYUa9Ou6MrgjXFLgUZXdkY+Rb2QgBzD8ZsPkuue2Ng55JwjUMVm97Y0gFJhN
wOxQLRwJNLvEEzUxbBwag8qLzfJSxd2PIZuDFoe42/lG9qePpvrc4LQRUN5WTVbKRuDygB0N8AHD
8NxQ/RGN9tkN/ui1ASZbkYfmsOAsIydneIyfsv7VNyLchRzWaGFgBCsk1quhwcthKIa148asnW2z
X4Gp7uJI1W6Jy2iNdyyrW0osQ0Y+lBYdRUv1xerEPWvsZ0vNbnXmpJ5SiQiiRfADjxEk7I6+Q82k
riF6MAzOpEOb2CEqhxSp2vVc9vQ6HbG6zv9Yn9HWSSEY0kySHUGmHKUfDbCwrepYbxNK/qynVOl3
gCtYqCBxB3Hvm4E1nELukpOnzjqxLA1FU/espRgCqgaWL11RQquiYGWWH0ks8X7J+306UmfWUtM9
6OLQZE27GgOAqXqi+GTbyVtLkY+nTaGsckgPdVqEhyDu5gm0/tNE4rKiWhlgdzJUVzXLAFZ0872Y
oSf/l6TCstYShblrc6qpWUKTre4CpIEtk5EH3+KqzAuKna2K7qS779DXreGolJ6bm7ikj8Ae1pxY
00oqftHU9uBlXDA4IyS7KsSlgundaqiS9kGSmb6piTeaDfmP1OXPgSnXaUvdZsBRQ+spazKXKg9x
J3H84IkQSuGvZRup56ZXtxlzytVoo5yOJhLLhXpxS2HshNrKLQ6Rh0nG9spKci/UCWyZAh4OQSDq
Y0+9PXEguMfJ8GrlkEzV5gXUjP9/PkH9oSLrR3V8lxaU1Vm34lMbW0SvdFu8GHCRkHl0amzwU1lR
tC+NQUEUix9k6mbe1Bg8jPv6BxY9Xm7O888CadzUHcyEkTSNitfcmoy9rRewmUUx3ol6xoQq6DTE
b8Dhs5OKeW1KnjjaDU+EXBZKLxBg1xQCudFYZlnma5ZW2drWcn+N5UoOlxPVaxmviWzLMYCab8lL
OvARycgtbKSVuRZCzHkK8mSK+NZY/G19rbH2cZRAYOK2R+bzWln8YmnykeiJqMQEFsMakIzldDfT
NSEWJ9kJq8/hGBQPKiUUrqh85fNf8cKkxu67rlju8dlaOW4JGulAnZll2WA9nuWUxToOur1g4U68
cEbEaivyHWCxgUfM1u3ORUh4C1rZN9USzWOm+14XjzejR3XZ2d1L7aP1hAZU7XKCaBiim8sQTXRS
/ghSgijrBO+lYbUb22nvAjBUCoeujjFKMFI2t8oP/Jv5E43xtVNbhfBpBwVM5xC7kSNMkCV8Wp0K
nU7YSEvCZs6VbPrYrXEjofovz2JsGG6GXD9gVFJMTCtMrjlRah9DYL6p+p9umD6wniHcAqNwU16n
2lJxxvGpQ/tvmG9xtNCtrZqioAAyxL2mRmRC3UPpu/sejNkixScOO68OlZ9uJRyv1SoC16KkOIP8
2V46OaTjCTAdYK+1qjHTYZ2DuJcZK+vaHcY+Yo0nRrLhsX2IDX+8s3wVbIOlj8ih5NhBMWwVvODh
IT81SqpuK+eKxwUTQ3V87QZtP9UqVeGhemk6EBGrb9Z6kNfroXc1JorpxLcPzmHd/EwtIDLjj95F
V4fVPotgnopdN0A1YjnQDgDQoaswZ99X6MYvAXkkSkGYNeFOm75WPqqi+2kE5Hql/jlp4VaK9qN3
KOiXMSV42JXPDUUB8t5cfH9zi+KH8dL5LA9j3Bs8BDpvyqxeC+3xONhEF2Rx/KCIEvd8c+SSm8pi
VUBF2Wgdaz579sSvy/xTNfr3plOZsVj9XmPs2c2m232RvsPdIL0S91PwXlbGul098otirqowpvxi
prsQC1zIhptEifeZSqBz5RtXWbvxXVFzbRtyE/BHXo2lCz0QEFyTrumFTd/fl45nwJ7dOIMgbaN9
G8fiwhM2ZhZsrESJfK4qcngg5XaMZ8Fuw7qD0DYI8lP5ESOyYqkQP+mq669DSek1LMyIdxRO0qBo
L7mFMlf5Ta29/6UEe9BXFWsncd/VwGzTkP+27dmbRbA0qmqIdR3/FU2ddoE71ZdofjGpvmUwae+W
JiuVRBlReSgTi19bzxE0/rDPoD/CydUZSwlWdxQXF/+qGzelZBz2S+05bqOY60C91dhLbDRdt9eB
sXcsy9yIyb0FUShQuVHTLuqs9yqfhUzWo4OIV9VQyIMc6ufOLqedHhuR11Xp/QBlDOwYdM6oUrnj
5iHY2GkTfIQHsFqQOKZwjLGo9LGpoDrsGVXd3nel85jm/EHzKV1lpVbdN25TkuG9dXjoOyWeLA3w
Bq5jl8ofKfJTZmzC4b1vNVzEbWD5uNVeDQtmYVn/KiVOLii6mAplnlvZlwxEbFNOol4zafV8pIMd
ECueOXPQRv8ZV+PGt7qG+MK7pGqHLcbfMBf9e3cKzoHFWoVl2TbRy3DdKwn1GK2/08gfYJIzfDLk
Yh5lO1fNqB5km1CGsYLXdAT/FDyXAhykK2X8M5AfHPuGdh+ZRrdp8izYKinJCFJz/tgmHM2seR2a
zl8JbJDX9qiu7XpkfDamDzE4+8ogJjv+Y1tcoFOW/pYD2lrVbpj7KYQY5WNw7I3ypUogUzRcXHr9
jI7j6FYwfAI/9PyowsWj1Ve2K37PihMm4riT1K5urH3dPukwr1PwF68LrIML5ecOoeKLNseMB6UC
2l7wB7DFR50itkRHVFB83Q6+g6lNnD67Fji1bpNRhBfInVWMl84APTCF/zO8wkBhVFn7/eS1OtT9
rjqPbZLuoGUcxs6/EBeC9IVaRKINUHVszhmM4y3Lzc9qGs5CtBdmqdgWh8fEpwdXpwIhqN4mouXq
nmdn4CgXKw4F09k6o3Ji7KXZHLSBHPRseFLGSTu3cIF0eMDbItpnFVPcxjU+9cRoV7lV35Simahz
JTwM+LvpKDMlpKfKCY8NWBo1tzddNM1JIyw2Dp1xqzSNu6mnYu2KkKslekhxZlgHjPVFtcNW6QBn
kkd5ouro+8tfqUWcmD8YJE4rn4HZviUieW+qcOLq13e95P8iIsILyVvfWlP9KzAoQsbxLKePQdAM
Mp70wgnWAosyKgwgtiZ/5q7qthCfGGHv4iZ+4f//aL9XZeVuAuoFlGkp+teuulJ6llVm8DnUw2Ot
259l2tycsX4ChfDXeqzgk28TnOXiKCV9lgNCm9k74KgKqcGWgJJN5IGzarNJsuRXQZ1t3zhilPau
+b2zljk8sRnNyhvk+azU0g2xO4dusDB/uBuNcWdzB+VBscsYuH1L+WG00R/MzXIqz3LYFSq0NuTv
YfWZ2/WNnCmq0XlxkWKr+Tw5GdNxV3b3mehwP87f9cSBmz54rRNBqVNFSS4DutNyjp9RRgh2vvZh
658Amo4XTu55gJK2yTWsEaBeR1KF0+uGd4M5aas4Cs9loZBaaWQnC7Vaksts14ym6kGbM5ld9Os2
t3ZaPwS4jZWSCBb5qHNiHNa4/RNxV7EoDVB0ku4YIrx2ZcMIvxvL+DMs5Gw61RyMXOF3k8opLKo4
TG9ZhM0ZaGP/qk2he6SysR5qsscdM9K8wc6fw7K6Gi1BENhU8zWiTZ/BdXWolqP3Ns9WwlJIApev
o1EluMpITnjqPUD/xvRvKEGsBkCMgXAnmFM72Sil15eXZlK1Y5512z5Xgo1MmJSV9b7INeat1ISj
POK/N+SeE07nKGMA8kOZe2rZ3AUOwe2BSuwCjCPNVWrPTRXkyt2PdKi8qquZAjTBVdGY9Pd58REA
6MmYMEo3UKKNMupvViMvQm32mZuOXqMx302bxKIeZCAWSnFk8ftrExjvpTgGBqMmOYE2cNgfF45D
IUxk7p37SUbKG8UvIZ1XEJTdQAwcmpajwaI0DJhGDIF+QbByCXv1EvUtbA/tUAZpttUoD1iZdR10
d6byMB0tJUGKI1zXstJv9RA9w7BkOooPldl0CDVy6z6fjCffiB8FY8rWsdtdUk07t9TufJ7kiEXX
bQFARjSlF8dUI0nsjKNqpcvB2ECjZMsJmOyU8GLqjKo5Wu6oCHdjp23tpmFWQrHRJbNgVSrpSQzV
hx93H0kNVhFPK00+prJtuWmQ/PnFDz20PqLB/Gy7Ar9+fWOoabnD/B68bMRYQbJqt8J3SrIA9mVe
UTxTLkYxPYem/Rrbw17VjYMMmaoqjX7Cfge5h4Cj0/JANGunXZ3+aELxpFrywMAaonPF1pQ8YdX+
vcqxDUzehSHIYUsOFHUfLJtKXNoUt8l3N9U4iV3YaC8uOaxSuj/DdmbER+FJ6SFSQLQjBSIbTmZG
7mmhU+DOnBcVF7fWLy4YHnUwr7on2VGLaQLEsIVtnRGOEWjnl48ZQoaVO42nvHU30WSSokQXEJOT
gU8KMKuzNZ3q0TCzt6omq0xRbbz2IaSp3bMrKC8bLrIC03nqG40Jm7lhyAWBxiMBGq54SQjoRG6C
vZhpVG+52m4UWKqS1NAh0i+WZpMZim9gTM29Lf39/MgDF7hNeWKuRJijTUfq40vzQRr1vVkNzhqs
kWU3oXUrRRrXtLVqL4fT0zswH4fmqLegwQFwSqX8xsmBqEdqq6u+wkESXqpu86/twcvTVGNdah8o
wTM2RlrJc23atVr7mqmUwHBFmhXpOwVhd+1aTEqYKPaoVWYYED+pCNsJNRgpDjD79etf0tG2bSVO
rW3jh1KSDJkwZmNoYRcUNNvm3JeiOWtF1J4pQEzAer2yhz7Sr2qlHA5ZLcrHWCjJI8vq+f3SUNTo
H/Ep4rFp+XhB+mGgrStTrXd/7aajMnQesYbysjRBBwCHMMXP75PEfRAzjjuDZ051+UgdRj5CF3sq
Vcw7liaDeNd76ar7rw5zr5QA0y3fNtx8n4hCOir9XlcOSz/I1sPDIImvn8+6vKAt2YcIKoGt+WZL
W23VzRqGnYmNy3/a0shZa5j6XJYeeHeNsF1iCtpm0l/E0P31wtruwRF5f/evdsHcACudHkDrP/01
aeFiIU7gpPr9d3NKtNp9AMNoOenSnhYj0VOheWUtsi116V9jMj2fpQ9xqij75m7ZtNwimTPgJi8a
4vbZrYL0qEtqiXnQtzw5GueBDIR1ivymWef2cO5VBt/l0LFy63UAWe+wbMapG+8QNojN14kDvz+R
VUjRbP7YKsV1LtG+ui4f5bjlDdRFnJdP6iMiGyffCShI0L1vZbZnOa2sl80I5em5d/WXTCp8D1W9
GFKrn5bzaBxJKaOSp+VEZg6pT+auv132NrG5HuH0oqpJi4flxUxltU0qbi2sssJw3VoFXhd9Vq+X
3TCaiwc+MNpXZDAzis99smgKYV0Ban2fJ6nHgfVAvqNIoW+bxogulNjDbdEP6RUIfmYOlOUDFnX2
pgii7jHBUnNT46rwNFbSWvuob56Ze1XroLfS14bqG/ed2d/CCT87OzXtH/lg5qtUaYtfoio/CZVF
LlnlN6eLs99DmSMbjI2PfILInjrFn2ZgRpGBqYBwFOtOLRk4JvXqD8xoVtWJahWU3AwXGmHF0A+I
Jma609F7KnYhWMgnQMTRaCb5kVb2gw3D/z3q459OHlZvKmsCZm+1+1MHu10lcTpuozIgGsXV5ANh
8vhqpjZD0By4vLQFSYmkclKY/HRSPiw7tECzGST80ls2lx1VRHEoDlKF6Q6n+upXBoNnQTHbLJvN
fILC1h2vGxwc9f7+DLKeC+jT4GhmL4twPVW2ulUMDRfiuc9yfhdMcDdIs/v6qsuOvPbbXV6DaS1d
lvMPigrPvwvB+wsJnw1F+n7qEuIigUAvpAVl+1aaMZGgZXjmNlO8RhniJ0wMonWlmc2vLFXudbPs
AzDih8nxwz8yM98geLu33tIdIpAbZLO9nVJVceVRyQvjaOu9s2Xx2nH/Zzq4uNH96P3uh1lg5RKa
HuoB/kFTMj3kdmn9HCy9WAdBPz26WlRsXSvDbieruzvY/c6O1Gb/QqxpvTFkor7CKIwxTAqvUk0e
80nX740yw2jBsHqgCbDANgnlPRcOQFFQJPcJS6edgdfCOUlEumslLilpDsCVJf14Tkyj2Rk5rIJc
AP63QsvOWjvqO5xtgrPm6taOG8U+JQlCgIIBl7vsLod0siuR9u8NMw4fmI0wpdNs63eQ3uErYX00
rMNXdROMj0vXyJwUqjL/6Tp09b+6GsicH1UyvnddYzL6tskT7Kn4RPbZrvfxNsVtmXLG0kbBc9fJ
sg+9nrjQTVmpoH5+/5DpNcnKsT95ejT1D8sL8bL22sBOYrtsanM/rUOJGxiluSsZ2gjujqll4+oT
HPRIDl/HhTFFZUf3qztA8I+JND+Mqqj0w/W/NqWL7Q06JVaDzr4gRQWOZY8YGF3Cg4Gr8AbSzuAt
bX3h+A/M7uHo47gJJkS/pc3ujU0/Ys+0bPWhn91jUbZftpYToU9z9zHpedCZOcfyYgrTJ7iZe+i7
DT5nBZRr6Yf2737gHxsda7vL0lS6To6lW7UvKiLUhzRtNqrew66ggNJslVjwvyMOMvRQI6LHVKaE
WpZeX2weCxAB5kZqk8n6a7uWFQZ81HG/ei6bGOdTappfvk+x7CjMoLlYQOp4TjvYwPT1RfNHdb8U
7nMl5UtwYf4/jYFpqXtFo8S/HLh0XF6WHehQgYPng6ephD6euNYhmBegMqyM+476zyXIJLQWXAN/
UTWsAXnM4qqXGFWYE3qcogVwNOz8M9cL9yEKEN64knr60p7Z7hN2H+qTO093pUQWo4Qt/fPiWJS4
QpkjadP+mEtvaW9DVkR9W95AcWzMiQbiVWOgy8wkclYLe+VY21xNq+VtM5Jcmg8dVuamclyaqjhh
77L99XZp/d7fuQjX0kz586/2ZfNfbabuaIdMJl7vUEMl92o8hvr414uq1g9Ry2+dBHzxLLTNH1qM
+EAtk/IXoN2HKUrrTbHz10bTmoOwDLFztDj03MzA9QMP+FdRaMBnKDxy3WE8DTR8mao0upF4Sagx
AyasDMWrjfHo4LLlj7GxgRXO+JcP96OU2edYYurZ1vqPwKxVGKSFw4q9V+76217XOmxFVaD7ldob
wd7PcpbWDdIuR8/eSlf7ST658ohhdnHMdWwGI3uCkDC0W5mV6a1TAdFGJdW2ChKuX5a/5gSZ1966
KijvNFmlWxWB2KFog+zVGccDxcj8TeuNAtWT7x+zsIsffRH8WT5u0h3+g3IoLnaRdfd+AMowzAfM
3wMGJZhWDDcwtwKxw07yPcaS9Ly8GPnQnqVoodeaDhYHCqt0CUHybOiRGFZLH7Sc81to2mjgxPGv
zb9PsXTPyvKWZWmx/z51akALFkrXeK1EGjAM0wHfFvd+2coTBGh2h+39shlXsFigpx56p763AQSb
Q00FBHaYGq0LqVS3sQNXjXMhf9oTuHU0pPVbkWY3aB79byKazy3z0c+6s5Bk5QEJ9sW0KhxkAiuF
hfxcjnYD9C3ZAEPGCcQst8/QiTfolGdzucKWOMzpWrmKiJbeLZvfO5JUychBhmfZUe6+RK9KR4y4
gSH1ybFC6W7rEopvP1j1ITTau2VreVm6mHO/ZVPO6iLRB9TLGvshGlTlkDvoujJU6qzSO0wUdMRX
m2jevfSpFF9dpyk10co06cNj9TdLeuXu6xBdS9eVHpiXr878n+41kiXMyrQfEAxxkr8/4+v43s8q
riw+o4ZScBzKpt+uG3jYj0GS5Y/+vOSI1Aquzt9tTt02m4QSGNQdLOFQrujXSnWck9Tj6oSW5caa
2HxWkVXhN2Zdy9rGUjaGT25zIZ6WnSau9ht4IOVeLeEJNp1R7nIbvmvaGMFL5Be2V3aYI+jxgI4K
eSfhOR1StyGznqcUlo1bBMrnFnzN/8w7pqRG1ZjPGefyIMgmp8E0wk0ZpwiIYAo8Uc30Bs51NUzD
fJoqn8KprbPCRGTH2hxTd0M08WrZaxsgnWNj+yfgeQxGoyi9L2ururdhrAGhV9G7tLO7Ko/N18oo
bTQVAXYgUxbdSoUCwtzB/u8jwVJriupO+A5f5OtIixFrXY61fgVbouJuy/S5T1EoYeAZPcS+j2+U
1hRAJKm960dLP8Y8I6DDZC2IdlycGN+a3Zip9r3g7+PZSWI8FCnxd5Gq2M/DbFmEH+9KSuHs6taf
xlU2ZzC09qidgTpTCpe4bs1NOQz+czm/fPVrKlGQbaH8dcSypxlHEpJ74RNBiLgdjNuDkdg+WkYb
PpUWnhURRm/esrm80EHYVvvIzH5WAWE89N1haaODJigHUgHpD77bCpJpu+Bo5Wl17sM+85IsbV71
KP69/Ks1409k9uFHzLVKMX0k6GI+xsGq6CjmY1KbmkIVi/p1Mmb4oPc/Rf51TO6m2kp3sr+OkRa8
lCTNj0iq3KPWjO4RyBN8q9cBJGScB9uEZ0NFGja78mXXv98yCTY2Shtt00FmLSEFAh0fqbqrml+P
yzM56mOACcPKVB1e87nh+6VJIwKAYb0+TwhpvXYgcb2OBuNU5HriRWas3BDJX3quwg8z6q6i7o0b
uoUcWLz+n65+1l6WqasIh2vpRn91/ddZxaSSsV7IhDLim17lxovqV+Vz0P1jI+retM7Sv/Zo7j/2
/PuY0i37XV35kFAm2ZEsXqsDz1gU/wCiqvCWt4mGIUA0v5RujMOkc1Hx7TpWybxeW97meNAqZKr+
d+uyjTN8dTcZlKzdUbnLzeCIZETsUqDiO1B55W5pR/hO8XRp1LLBwRd57g3o5+arpVdraa25XzrU
S+vydnmRjglWZrfxqsQ546/+y55RC361bhUeR8b5a8CtsU8HCnNaJvOrn2v5dXnHLPS1AUy9+24f
/EDbOwbA/XLof/eFbfpX3wbv3hUeBy22w05wXl5MjD65jjLh2TLDu6Rp0X4vb7/71CNwx7/7LLst
1cSspSNYJoJmGDwrmL8f87xRqU/Pb3UFxtfybnmpA55d0JPC1XdbpzujPH9vJ9aUbOMMH7PlYCSO
ODX96zyUKwFp6tpiuHLAyP5xDiZO9jofBxV+TYlWC7u+zo2uGBnk10AN86tMRxuNuG9s3FHP/rlj
33QY+H23loZhb0Bajc1y4PKCtXJ+rffV3HNpqHv4YRZTjh06jYykmdsE3HgmDEGulk2kTMWuNnBa
WjZ1gWRUQat5WjYjK9rwgNSfS1fXr0kmnpfmPsK7tRFkyMVjPt5qDaiXJYR9WPYqpnohSXN6IChb
PNX59HVqNxXtsY/bEj8lDgLxGD18hViPzl9LS3ETLEzFuO/JVbrpPskk//ttxfxtmYaFW5Ck4fb9
bZdTJnzbrMagWaLS3y1O6BmPi21TBPCiZ7P0L3f02U/9e1PWIUo0FwrNsnfZMQ0pI/uynar5z1RL
8/2yNWbyyFCJxCfVPDdmrossMIqueLsNm5p6tjfU9giVKczWPkYF9wVTIaKTfBP4ocI+a+n9daBt
hHCnpTPnekRXU6mjK3yzgKVF/5CQf3HCQP7YKoNzU3U+fnQHVEeue5Vd8lLPzbmLzqZKgNObNnFu
Q2PEawrx0WnZ21gxmRhj8hposKcbQcTO0CvOrUI0ts2reNguR+l6TzmyjeN7V0nd1yk+LR/pKJ16
wukVBHD+KD+OAXKrXNktm2My/pzIncXDqi6f68D3lo90G7AxbSL5uu1S/VWgGksi59ykBoiHqiIu
JsjqTFK2fe6lCfYSa5YPL1Q8jWMqsBv6e/egwGH4PmSappFBFIt9k0erYaI6CbunIGy7J4KWKB2m
kEP9gE0sbwiQ6ce37x5a67/0sZGel/6kntQ7o0NouWxW8wlnFHc+13JMX2XmGk8Rd+ca5q5px+oy
5OjtmQBAta8U7lYVk8zWsIKP8KENu+KDDKcMnmAwZw0I1LZT4yD07+MX06rfXUPJPxJfh/5iyR+G
bkqvwZnwRDXSOpeTJslAcu1fsSI3S1fpgPPpveo8TinZcKMa8SQxq/5xKt1utXyehUgx7Sz55pdQ
FRU5MBlTEvNYI6r0ishybhAHzkvXJtZ/do6KBlG3NL4UFZ3lNxR+L9c266j//IaENdTXbygy5lTL
b6hQDb1EuXyHvtttfZmIbaom0x5yQLbRMfZ4WTa7Ksk3eqjqL6Kp/9o7uYHxj0010eUe0CjbonYG
JzGU+FUlJ32jjmp1Dxm+P0gtqffYJuMjqkTpxsY378c4djco0OKPUx/rVJk+G8kwgQl5jKCcoyfX
r+5r6plFi+FCb+RvfSbDHX5ZGfZ3aV+eqMwRGTW/+9dmi8kzMcOiWbMOoLeU/Yg6ghhov8ms+1Qz
PH9QohOwkbNOqbt6S7t0dLhACJ3zk2EWXtH0REYELUcYbkTwizs4XyfoD4YtSNXS5ng921ZPQsAF
nbdkHMDiKarxa2dXhZpXVR2OBPOOpcuy1+304giAgIt+DECFE9g2rQLzLKhvnq35ZdkM0946ToRL
LltL+9JDy8CPAH1snKnzGOn7fGxfkHEUmtk2JPVmvRiwo3R9KTH6f4oCCJO1Bs9iMUK3p/rFcp3k
CTg9/GovU3vdanr9C7cN1ObdB27jPMOgvzwEpfD3AdZBOydM86ekB+RoFLX7MHp1jQF0+6bi2rTB
xlG7xzqVBLQ2jbaDVOrXStVegirpsdQhKGvM3ZsZk6ESa3ZyakvZkwFijLj2j8GVNQZi7Dx4QFbe
nwy9sR7M+UXo8BbN4mGMI2t2FGvPUDCP6P/gWlYiqQ76xLTiu39b19FWbViyLW3LYV0IC3+M2my3
bC471Kj6xLbevPvuZsOksusiuyDetB5S6dcXp1PW3x1wlmFqFo+/v09TG7bcNROivuWgZUfbRsMm
SUMfyQUnWtq0Jh8Iu46yw7LZFb61zaMSNoRKNo4bmDeHJd2xdyEBLJv1OIYeTjXqftm0k+KlAe66
Iqbyn1Cob+umNW/lGCBgcx+1IRZnoAss+AP1DzQsdRdXJUuapW15iaK8PqG5QrZMX3UqjK0/VeWh
6fKfcIGRnru+vtFUJ37sx9y8Cv29pbaAcIa4igM2Zkhe551FVSSPqojUjQo65C1tXzv88qcx6tpx
2cJK0by6+fvSfWmJTE09MGn953nitFBhRTSKV9ldh5C0qX8GaKi+zsHiArq2nH7+H3vn0SQ3kqbp
v1LG86IGWqxNtdmEDqRgaooLLIuVCa01fv0+7sFiJNnsqu7jmO3FzR0qAoDDxeevgPzirhuPlemE
pX9NNEAxeq/351IQnEqyrZpQuTjvG74rfTtPNnLfjpTnseY03usja9WiAfx25On3xD4huPOT87wp
BP0YjsdwnNMrmI3plZUGd30+DwfkWNKr83aZO22rJxbMRpANHH7eXDS09CtZbpfhSxYCzMef4SrI
rfJK5mTS1jOaKnrWYyD2545AU+PpTdl04kOphrmfjPhQni5zvsLQKvNWS4R2n7i+TOS1GBQMq3e/
/Nc//vvL9H/Dl/KmzOawLH6BrXhToqfV/vbO1t79Up02H//47Z0DutGzPdPVDVWFRGppNvu/PN/F
RcjR2v8p1C4KkqnyvqiJbtmfp2CCryCmXsOmqTv10QLX/ThDQCMvJ2vExbzpvW6nMMWBXnwKxJA5
EsPoXAyooZk9eIT+/FSOtQt9GOhggNfKQ2Ti5rW7LhrwvvVKiUePgQomAdkuTFLzulks45Tki3Zt
0rT6rA3zrFFLMq9B5Vd7RQv71fk4uYM1Nww0yxjJ5ComKGoVh7pwxyuryKcrmTO+5cQRKKcUDOPA
nUZMTa4CXTt2cV/eVjFQ2sCc35S8Qj1akTfv/vrJW96PT94xDds2Xc8yXEc3XPf7Jx9bMzi+MHb+
aLBxvbL1vLweezW7xt1C5GFvt6xviC311ppxJgO2MSEdIpKvm5PGQzawboMrhcXNTW6qFoI3U3vr
xU6DhALbpsC2gJOqQwSr789y1Tdf6qzpcZ+Jnmrg+u9jVsOfVP0pS7v+0YA0dZeC5ZZb3b5LrrQA
iqEsZhqLKpOhIJ4vzrHgHmzDrG0g7/fWE1iLbL04RXYh9xZl+ub6U/Xm+oqhHse+gWgZaLieBkGH
WEc7XBF9/usH7Rn/9KBtTaWeO6arQfkyze8fdO8WLgPWsHghIjKiF8Pzk084zD0eqoWUBcQ+1PLk
Mz7vHktkUdui8E/HRW0PUxgdUT8yl+aSsA582JQKl9tzj2mm2Di4Aj8ss0Fgiqyjfz2qsuyXoWbc
VYeVd0SzytgObrc8d91qbomHLxjE7NRc7499broPVqDdyP05sxwi5noFkzOwrxvkjdft4C7PQZs+
TMSYH2gDfrhgBvzgTvUMgIbrKUO3dLGmm8Fxost+rK5kCZHA+ebr9uEGn2cU+IaqCFaDgfIjMBdj
E5jnQzi1M4vTqbpiNpuF8cmhTEB5REiHIGEfT3dqUD/Mk6Zh8DYQS3I7cS+h8tFxtnNvqZ9U1P8P
gIXsU9Ge4+sCDuu94WISFJdWjmEqZ//squL0xkALQVaN//qu+Wtlc/ilrOYmDqPuh+I/9i/l9XP+
0v63OOvbUd+f84/r5wH3rr88ZHP/Pw+/vJbNL1f3u4cfj/zu2vyDr/9w89w9f1fYFl3czbf9SzPf
vbR91v3ZlIsj/92dv7zIqzzM1ctv757R0CLUikFr/KV793WXaPoNS9X1N1+S+IWvu8Xz+O3d00uT
l8XPznl5brvf3oFJ/dV0DMOzDVXTgUMb9C3jy2mX8Ss4NUd1bF6nqlk232SBCFr02zvT+lXV2Oya
lqMaKLC8+6WFriP26L86WHd57LFcDaac8+7P2//ak53e3b/o2b776i3dsyzN8xz+oMmg31R/+Opd
begXLJjw1bO9Ly7CH0Z8i3IgSzVhbfxNL2qIi517UQsdSM3gTk3PNTyV5/FDWx70Q60bZRgc5kZL
d7or4N8DWlga2mZbTOob9Y+2VY99CvRvxm7I/Vgr0zHLUY/CmOIzbC2/zNATQW9/hPg2btJpDjdm
CrDRLeJHuLgPFaT7tW2jHgy3bQNoadz0DeIXJgIz0+S4q8SKL8vQPYwtWGgFktd2UJqbNzXgJ8MF
x/nJjVq26qoeb8rh9X7flkY2wlA4UHuHGTXYqYMzYCRuuuljq12ZyzrVEGaxEHVDHO01i40D3rOs
ZRXoCYAN2cZVtwuhuEZq/pqb+WWWDePGTQOUERtrS49DE2DHuCeV2UovWyAFOSRF/GN8fZ/2mXnU
XePIIkm7XkKmH2VnXDlIfmZJBeff2Gp9aUAWV0F/OMlTbJu9ny1ota2iIh9xmjPUNRrTG5ohSP8O
HRVggHbV0WoD7FPRE0wVloZCXDRqGGU0bIfI1R4LoL9w+QkuwaA8JEh+rjyDcAhCZK9aMh+KarwZ
bF5A1BrpBvuneXlBoPkmVcNXUIfMndL4vuohTyHCDoCmdTezmX4qayG0hPzgAHJmndvoWP3NuxKV
7sdK6Zi8JwvaKV/oD5VSbczKyLvFOxCkdsGuBg+JgYl1V64GpOTQvaO5b4oewRMT/QI6p1VaoiOI
btehVQAwBn23R27uEKaGu3bSSD00jr1lIU7f6PHoVxHMI6t2P04tOig6BBRC6TNqpQlhODvcg4/H
9CPrYJvNtxrrygjA6Yg1MdFkJhXDXqmJxq2SknovVrubcfS2i+n9nkXm5BtN/ZEIwKUJi59RopWg
PgfBz8I7Q6+e+pHhZknFcyaUDYRfmYZYqEVMvJ3bneWXw3gk1LNhFfIa24T3vd5dWkD1ptw31HZY
I6iEloZuT4CU41ezAGofud6tqo2QzGdBS06S957HrNPMHqY2fQX+7POi7nKPGvM37+knr8mFTqK5
LgxlW1e//6Ra0+j72Rm9Q2xUKIeq8HLc0Jp3MCCBxd93Zvrxr39Q+9lH7LoqCFD0ooHu/lAxrEFr
Yf7wi8YEu8C2bxYXgQxTfAx20X+AKH9tKPjqxC46NDM1GN1EdK9KloT6AvZ0HL62rJfV4WHoP/31
f/tZnfVUxxV0JZoYgx7q7XQEtnDB6lSGhAuh2BYYtxPx1+jJYHhajgUU3B4QNcr/5h385GdNVTMN
y3EN5kLmD+/AYxjiZgRqD8gmvqJX+aASB125ZfLa1n2wDacU3Qn34a/vVVPFZX/4Qi2dzY4tuql/
6qOSUNO9kQ/3oHao+sTh+3BE0y4as8ugUoe1U2lCZBnhOxPlNechRVdlVU/6wCqt+qpp3gWDb3ic
dEt8dvmVnZQXdUIjE6gpGjRcJtMwa/OQ/iE2goSTiqRtldnpJrNz1vJidDfn+EPRKLeFafvFwKOe
nTDbpHa5JeKN2M2ELmlm2rsEVCx18wbt73Hj2PAQ0iw/EsBHxMu4wNYbwNnnELX8lVMQ0zSiiUgn
IhisLWIt7DZfmD6mVTpugn587wU17FgM14BRO587NPNTi382pk66wXMSpDdqdyD/zdepty60QE/B
zXYDVGr0A1Nm1ih52WjyzKLhyabl0gzpDFQTQeKZ1wZ5RLFBesZID6yNbH4whvKx18SxdK0rD6Vh
p6PPqQm3r/rYezBDPrzA4+FatfHRnkUET/QOs4OOcY11ju5BVI/SA3Lm4OpYZcX+GFIzNOO/qRG6
+f18nC/SVeGmUhF1x7U9zxLf7pv5eKAHWR8tzXQIPZSKRmOXFMN7tBKXvRLABh+8W6SUZ9Bq1RWY
PBQViOujMo/hQB0yrTC9zbDNBtdgvl00MJPUgwaoCkE6FJ5yoCzAQgc45Uy7+hx1d7VHOU7XHvuk
1dAFTcHj7Hoa9A2LfsBWMeWEJo++kGJ9iR00BmfI8yhdAMcE2rhhYRzdMMeCKuGsW2Nx6UHQl4ry
+bUrbN/RiUWZlvd7qR6baLzzSqEWNABlKdtur6dmcwVV+A9YlFAFMERFzw5JOVboS6pTi3ZUtdwb
aoTuUnHn1qyp2lODXFgJKaDS9I9en407Hf9WtChR+oUNse3QybVcNEeXniFWqOXHbtHgCWgQyQp0
m6JB+WCjSzk10bx3c+MRZtmnoOyhvbTWB2HhtMqz+D5hYQBVqTUy9MoGuetLN4OMaLfKdb2gD44p
0GYAB8PvtuvA8Q5h3yA14M4A58Z7I6kOMH+3IALijY0OTjPjAu3yhJyMR2U+dWMGabge7oraekXq
AroWqitFxXxcY316Yzv87wCgZ8TAeu1YHcTOVNulHmJy2aJzboTlcQCv2FmmDc9qAwcS8Q9k3CG3
Lf0WAbKjAru0ws14mqAMWJy7Buv+zNCMhTEPweRuzsToVNuZWrCZocTAdkBcxI1qvw/t4X3bVvFu
WOJinSbNpk6M8jg5XkRtoErEVQmOCUGIHWs8DAENRMzTNKlWYapDDrfUYyU6ZyPOV26GobdrYgqc
avlH+F6rZAIAh+LAfWLVF3GChIEd6cCHAFHDEjvkfX3IauxQAty8HWsvqQQzerqqU/YMcqeUaneo
VdDzgVv2a332br3Qrta5IlaiasAsWvOY87muBs24jUZHOQ5teqG1+oKul2+nXIauxN5XgflkYTJo
qwD9Wg3zEYC8+0KldyECSCuoA6dRWaiENS3WKR+LdLpINLA3Y6myHoF636QjzrV4GTytqTRWea/t
HeS9D2ZKXxqluY3FgzPtEAJRwhTpKTDCqxHruPWwOO9LjBiXyHg/YxFYKcpzXk63DFpX9DbIFBo6
o6cph2cUDJ8GvbjDIpmbbFT1AgKM3zoqy9iMUC1GK6VV5TtQffdGQMuMdhH2zmFxQLkTeB0gHrfg
e3LHuxYBunXfI4dqKjoiWOji2RpfNZqKhxlroTXULojn6B9g3QYYYdahNCZXaZLQROf7ui6ZhWPq
3MY6EkPo7KzKAH2tKTOevc4Pov4PSLbjEf4ALL2p3bdWcI137n3hWsfb3ejBAZwNaMRKcaVOzc5O
uk3lRE9pPrzUDti5QQ2QVCbUMV30dv0JysyD1+qfWeBM68WvZ7EOhaPeNp0dCE8Anwg1jR8yy9r0
XcCgu9sj03m9TCzMLIXTrBJkh5DyKVeIoD422YAAS+Y9p26NzmU63Wewjlc5Iko2ol1CnWrYZTT1
heLq77smW7BMi/RtmAZI503aXtHNFPHvFmWe7HIoAggKORbx5QKZHMmlSs8+wabkvZtPFa5iyPTH
5UqxKxWZnfGDp9ObKIma3laKVxycskUME1A/WpzKDg8bHam4gzJ1qMrO64B5I2DbmfCKbsMXFpgw
rvnoji1qbcZwV8NiSkw+5qrUEekzu0ck3W+VrnqfGl2yKdxhk4y9t+pcd4tKLIpyi/OIa2oB0jE3
V9AfaCOh66xyZLb3MNOObhdlW83DyMCLkucgfmAVrFuPM41mZNyyeKEy6epXtrHvJswktCh5cGpa
0qSxQcDgeBBXQQcnzIN2mKrbbqjLjeWYzhbNQ4OhJBqb4/gI7ttatXpfEJTqfWiD8QgcMp2VfTzx
rgDN/K7En/nK222QjMnG8rwn8JO3k0ZfHXoswlfN3pw0Xr+qhqtbFZefo93m+7SOna0RzeUmqupm
XQ090TT1UnWZ+TGOhPLfwxFdjI+VZ35yzZWOLgsDPPrNeOjxWSr8ygi/GPoGHOWX3AR1Cp8mWzOa
euyqPBbWceDkgc3oQftBVbwvQR4fbBD0qzlQnkCoAJHRSkgd66HellN66FXzI8pKDznNCxgc9z30
wAKhsezgDd4mHZlGppnfe85rkuhoyrmEQtuh/EA8XEEMWcPaMroujehjEH5ELScroJyqqYlOiOHt
tWqaoOXrB3nuiBIjrNJ+1y6Yb4IfhrTG0GDUrBk61RpFAnjuIeQZe0QxToFKNyTopDcETA9Nvzwq
fbaLR/wWwadleM7huIFs89ylr9YA6MbJUvQgZu1DuaDKWRNj1mtT26pm6y+0ccQiVLD5rnsxNd7r
JH5scUFd6GH2BEkK24AK2kcdPkY60zXgEloyfuqUEtqr81EPNeuj0twiR3SH3kGzhSCNM4GyeADq
aeJZdMnBCSt7LD4A+yfJ3h4Eia2C9K142kuU4DnUz8/YC92Mo5KgZ07cGjLdx84JL1nb8IcCdeBC
idYAXR7nWTPx9+i2iJMhGMiAB+zfYm7oBjKAmOZNihdpVxxB5NS+wsy1NXcE0FUooFErJoDNKbEW
aN8miOYN3lq3DFeXXWkYaCyliAL1EHvAfeQJOoTIfnG7vT8JzyOZOyehCFDkSdpv1H4YV5MTLP6A
6tuM3NEe1Sz8CjK18u2a8Xe3lNfzhOcSzif4quUxoNxs0cSz7H230519j6hTbYUHFhwuQjeH95t1
15GGCw8cxKfGzWMAKF3nx4FOzzGiVBE5kWAraYB7dGCX6pVaGJti1CsGlfpVoiPqlOaPVHG6XTNF
VDe0o1UfMhqxCG3XSp5CguguFhdyfAsFFGG4l76Jb8YlN1gZKl4sLbtyoIXGzD0WVpKDYLpimERA
2oluWBV/LNr0vk7ji7wvX5pxYs0AGXqIXG5vfzZ9V0w/B6+DD1++6Fl4o3fIL+ljzvTH8daJBnjJ
Ta+G3qZf7x+nHk3wpr8YajFMMfGHVBe6PoJh8E/QXXNZAZlTGtOOX1ni3NpWXv6Zed/sW2o/+6OB
XOqA3DWy01qeI27C56oX5nFA1c2voEELH6peWETZOtLNVl8+YWwt1JkxBkp50Wlr4UvGJ6rEJepN
sxv4MinGDB+SOL1m3B3sAmGTtfQ0Y9lo7QnS1H6jpt6CTkljr+qmfMDZC8ESxiry7cqcrCvxYoHW
nwPG2QbkpX0gzIXwPM59mXMByxPmsRFtjjw0y7wHW29AWOXL7/jOaShoRce4UT+FCdGfcSieAjfY
FyKgoSbpazIED0yYDmaGGiN6Vejbh48eAgL72faE8KR1iCd6twIxvBVy4L47E98Ju5GJ69Ah4O0B
Oc4ZxEG+huzJ0G1twkdU8F/ZWjraGvN4lDHMLgGDNyDoECL65JYaE7bY2i1N/5FZG8MjFVqcvVwJ
B6iEHQbt5na0mZ4EPJ6mS15ZNqa9RKd6GhLh0c4NdLqC88GEg8oCI95kiOk7TC8bB0GDaZ51/KVe
U9Gti9CfnCQGoBQqGyEcEzyXW5oaKi1MuZeBa2sxgtn50B0rPXeFTxo+r4HxCI5k67l4UIgQngxz
IV/5UKvZ53pZGNemADPVLPnSBumrOS1bp8uO9sT9Jc11pCrGegyR7tJVNcJSVr1LdJcYG7pnwKjf
K8NQAiWnd7UjDb4G7eEWzqNSAZOqpnDZ9UW1Hjpt2Wg2gHVbvwkQIaJ7ZgiXxNWz2wX3VlMcktl0
1o2RHpysf2ZlCs+LQT9mhMgv9fgy6zN3kwc6EnGFvo5s1K0d4qndc1sygxI1BgF0e1OLOKa96Ns8
2g1YRfLU82prWdPGbPC/DFXXIoxAOBoxAbRSCjU7ThbfeC/CimMZedzWdIs95B+BTUSgGOeLSgsZ
rw8EKuyk/RC41R7hFSaiavmk9UuL1EBADCMdLxpTD9Aep9ceG3NbGgyaiLkX0MYcfZ0q/Clb6W5w
syyRONX4uOXriWhp4ggnJjtIcMTl3w5L8aSDigDuln4erfJ94mHnkCKDvVECcF3mhC7PUvF5pMa1
YrhIdgmMPdRZfDzdO0UoZU4eUYmOp+KAZEPCO/6EO/etEhDrlbUunSJk0NUBwRFGJ+Okrim9Lgvj
h2g4BULShsqzoOVE9YI1LuKL2OI8ZMDDqRbsY9ZWU6GOroV4Kj9lRGJKLSIxSJLeNg1iGpVQfMb1
gUDSS6yo1wA8AcAlGBx4GHHxSOOkHreYqIhAJYAAoYUBLEpcrUyfGduWDHyG6NLJRRwXbtrKbtVc
VHCQ4ul9PuFhDokCOT3mcnlsAj9UM32DPGmHoIB2lVWIZBJsAHRk6Ogki86t473K4HZBMI7I9njs
cEZQUyI8ip0X2xIFHHwIcsYLY7LVMTKCWG3GB63DXwpDYcJGuXXsQXL55Zx8Dk2iMJpyOWgEJZoE
Q/PcvAtcpJQI39MdR85FPWrRFn0PDKoH7AbyuN20eD8dvOA+Alm0x9eVj5a1MKZfRV/mG4wO0l02
MlNYvOmoQeFpFOtjyNIDswJUdIvA78L09zFMh2PaYzOWuctrrj52ogJbEI3Xipd+jkfMIJqA6XHB
j6TEzZAdux1hW+QG0Tk1Iay0WHFCXIiQBRWP+AWuGemFXJOBHvNKeIXXPLoPcaZfZ4t12wZUWwZQ
bZZ3WwcLD9SC05WsYwtM9w1qXjstqGc+3Ubfqn1927YmM4EyfVUXWtq+uTJoKldqnOubYEZOG3zY
ha6byoaAvZqjdaYjSj4N2SZXW+JqSnWcUyQO1YhX55XtF5Rtr0QUN0gvuxp59iH8oGKdilYnKtWZ
V0H4aUUcjVFwiJWEHVjRBgpAwx22L3WVNmC2ogsLBQxmJYZ2SEwCpB4mJAptyjqKFo34A0tteThg
Dg2yejvGd0CLn5t68OliWVuej0z4L70RjTyViCEKS4wSJ6Y5LUb0e71T3ocI0ZTxsawPjaojFFEi
QzTuw6oqj6wUfICJdKu2+GkTkdL0BCawi/SPw7RjrxUR7+PJ7nIGYyGCVKP9qdEyFjqy+dFenIOW
O8+Dq3xpQIxAUFZMNP2WXW0cbY1hYZzEhKIsY90wv6n05EOFrQACMNNnxDOVVTukx8HILtNcY15T
aIivCHHjwW6FuvjB6vSHuinW7hJfq3V2bcwYapZqDBcjvly8xMZEtTl4jRpe1KX9u9ZnH5HjuMxj
NDY94UKTZNRHR5jMqCh8ajHswmDBO7OtrxXPrPeEbJMLLAC8jaLS13X9wEg4LS8mALm+3d3GJvHM
FQDWecnnrW4ZLzhbg7hheX7ZEmfGcRDFEl8moVr3iB1+KzdCqxHjIl9pS/eiqbUG+HB41/AP4BZk
8xpggLseJmW+aBfkiZa03uAgRkB0UVXYEMaMMREkI1+WvQi1QwOV8BTRTaKLRnEZsCCLDQpOgDgD
qwQL8MXRw20xqjC/M2M1w1D3OyhE1AiRraxQ92VOJhCoWTGl795m3az7Mgn6LGKOi9iPdKc871ii
+JKY/7QNE+KETeniFWLch72BZuImxHAv58tLS30NFbA/FDDvY0KmTI1bIdDpWheqECss6bVX0hHv
nFgeLiWG2U9bpIeKCwARvgwE/0fAhH8Dc/BvYRf+twETHNsAhPYNxPZPuIQ1K+HN8x/lWzDD6Zyv
uAR6/V9V6iHRc+R/Dai633AJmur9qtqscxj0p5ZYqz/jEjRwCQCyOFP1VFdXgSx8BSYY9q+ep+me
azuWZThc5D8BJvA3vl/2QYUZcxoPcAJLTZYJ+u77GL+aR5UaKItykTWsKjshGLexzRBR+ZY7bUOQ
GXUjyGGETmReHvVP+6agw75wxkPozX5xPVmUifAT8XU3HHfh6N10aW8u23bMbqPB6XZMNws/bSMh
Awnrfo2VO55XYmMsZjwyqWahEnk6iLhbymxF7JNHZd8f+uZy52POV5K5SWFQ0vTjp6GnqT7v/OFX
R3zv0je7f3a90z9jwRpfGuSAmB/9+b8KjUhNAm9EyRjKO82wb4MC4YVlbHzVtFOVFacAgwG5VSYs
bH1XhqDc+HLPEjEtUKzwKM+Wm5D6zn3tQebPB8qiTM5Hng4XP/vmB362+4dtGAjAaUhtDGJQ07LV
6ni+kswZnnPlqLW9i8Q8FGAG4SeZlQnzgtI/F5mzshuO6NeNvUGQZ/Fa5/Qqz2/xh5cqi4V8/26o
ExS1HQSr7AqVyMYkSAF8DYymCXekRGx0m0QhtVZWUswD8GzURABUHCi3ydzpPFmldUthtANAXdbT
WW6TuzHYuoCdjTCyOBe8PQJtMWHGN+fKrD6aN3bvjHBF/vwNeSlZPF1U/EGQBpOmXI9m0/tmrOO6
KbMyQYh8OPbZcxEnvY9CN2NbKE0d3wRJoU+dL4uYCmD1qhjlGhPv1seLJGoOMtsJCXTWw49alBcI
cIIoT4XxtEz6Fkgt845mowV9fHBcKFhiZ/ztCDVlxFNgntgId+Ggsks/8ZCRWZ3LRlMa28wuPukg
YH2ZyAiRzMkwES4jX3dky/xhAX27ZfW/8t2Qia5XgNaBzZmuiD6QIuiHt0/jHFQL32EcxkA5OsL2
+k0WvJSc1SHlg65rmbFXxhpymXVF7GGsmYhZ+Y0detauJoIkb6wAkk5bIW7PtXp6Tyg147r0ggQ1
ZkfP3yuo6zk4vTFuhEa4Pf99Bx0FNIYZpcrASiUeh4yuyKJMTFGpZS7N6ysXRUto9Vhzd06FFJyO
8jCDcvGMcmgmiJq0t/IpJD11QObkr6FxPB8mpspYhkz+LOiiCRQHgEJzvZ1A9uTQs6bRD+OaLPz2
dFOlBV4sqe746Nwi6x1XympOWpYaTv9Lky4xCTWUiDzqduJPyXdiKs26D1pGhmKTfGHndxXsUN4o
/IypaEY8OH+qWli/pyKz9dqHYa0gplviFoVdVR4H4TEUtS9wrCdvwmhgNJdjUpfDfhEm4XKfzJma
vtWRxzvIeJMiHdlF5MmbKlzGFSjBfh0hMIgb4h9uNxKe7yKH7yRVaiqeyMpysST3mptWO2vA7BnB
T7SvZZYFSnossVHI7lGZwstMuElrRVH50JbxSLeXoORpkcAcKPEHoEpbXvhRBlNnEVGVuXPRXTwm
UEv0Kjf1ffgJezibQRYTUrjWTutjvIlTfbhc9Vra+XJTFHZo0dvlYYKPV2Fysz3frFsICt65PAkc
vj4pFfp0f97h6TaNCC9wW/hWV52mH9X8EpHH2j/fpSzK+61EyM5ksWhym2AfZ9q8BnsQr+Wdy9uF
oC/c0GUqN5Q1y8fOSLxePKJ+IqbS60m6fVNfZe3APNjbGLaQo0VqCyCQ/IJF4vXKPo8MbX/eZJr5
dR3x5ekiWp0YdPHnBFYjToUWa3ryrZRujWGSOtxgOIPjN3LIvim6bVmEVBgBNBFlSwOXVS5DsvXk
gECGO2XCSkpFtalZI4tbFH8GQ6AQu2rjiDpvT8Hoo8HA8kQ+jOumKiZfbguK+TNyWQkakVaCLB8J
9n3LqitVbTNGOX6sIpbea/SOUwjTWuYcN6SSFtjIHhvnXhtndGsL10ZwY2n9Ks+J7dHvtb4nkmGa
gOSpE8rXKvEFPL6SxpcV/FQ2a9RXC4yMgPRpG7tq+NTk6z/FXsXbXGaXjfU8uuhKetY6XBxtQed6
IAYv6jOsKgH9QKqDGSM9Ho9PVm6ZOxe7hnWbUh37rUtw2pkXzZdJGGofrAFd4UV4wqui6ZSJI63f
v22TRcwrkHWUWXmMPOVclNsMJBj2+mxfyBKqA7TN8rhTVm59c51T1sUl3u5o9+wZ0+imrS/1Im/9
aWaJAGKvdUTWptTtYdOzELJB09HYDEoYsm7iEdwqiPbrFfUsE0NJ0JwMjLSCVsMUG09ZuZ9G5T1+
2ix+ZMRrCZrQTYhOpgkV/qXMyo0yqcRumUNhzKHTENH18zmyONwavRWfLiJ3ya3yQrMt+qxUZ56M
MEbF0ESU8Wuk6/12JfgtNV7XVjGKAQrxabGnlOMZmY3kIFdsTEROFtN85CWcy/LAc/G0OxcfzCkr
T8rkF3O+pjz+XDzt/uHXkvM5lpeUUF+r0z+Q5735l6cDT9dw6gaxaFSH101Kp48jMa1NO9LpyXKg
mwPCxB3r9GKbTPpvOVkkVvL1YJk7nyuL/VJHPquIsmCiyczyjThBtWwUNeXBqMmzVWZPW8/XOf8U
PaJKzCVDfO7b751/XubOB7+54vla8n7OxR9OOe+YYloKNz7o4mPVxGcrk+Vb7ocicQrc4KcRezRx
iC66sVqMNs6JaeXNNrDmP+QmtUd9BT4WQ7PzIT8U5Y5/ua0sIxBNfaqu5HGGHC/8cK3Tr/x0fz9Y
2HuwFvj1H3+7Ufnf5V20spGS2dNdiWPk7sZIaL7Ot3o+xtJC6wiMxKtG4zDGNd5W4iSRyIc3Kh2v
3NHGfKek9n1V4bI3ZP2wKeUgLx+GqyjMnV0r1sAsMTZz5JBPls/JaWNTaJix1bVOxyTGhef9hjjz
dEl5EVmWu08bZRkb5GmrFVg0u3jyRq4CppvVIiayjed3YKBEML3b1gJ24TZJuDWtxlgghDkOS1GK
xeBWdHuTuYz32gSMY67bw2CqyUZYSdBe8S2ZYozWy7Ek7j88CYKZy9ptGnAkmoomcO+ZvocLnC9z
ETKGp5wZD86eqT66bPQ+rRhdeHJUlRRgkwC6EjPNwlhdo1am0/7ncsQ3xcz9oyJjyAXgp/ZDkciN
tsLq2KDjhlQ62p0eeWiXqSFLDHHk+urUzfuhdy1/EklvlpjadqC5QzSkEzFrkbl8aI9JwpihUQvV
70QyikXmFioNSnXW72av9v4gpkTnRG6zGSEQ2DOgqbosiCrI3W7L1lDoKBYwRQrASq1OPi6Q1be5
7I5d0RPLhMAgqzPlB5UmmHcsnoQlxlXywcicTOSOrAoFGDsoWPy0R/+U6GDO2wVKt2wbO9kyo05I
5yHa50Rm5Va1iK9xvPV2s1hdR8zSY64Rc79hMx9+PBgZ0IJ+nGZe7pE5C70Dg5cBc6V7k+TfF+Ve
uY3lIRA93mRtCnBwfuDNRFwTEzCLAUxMbjvvkLlJPCpvwo0D/sLX9ytz52QQdUC+c7lNFjtNBH3O
5VNu6W+jBUBOepotiAvKHfJkeV4cOtcd5JvdIrrcXvSujA0L/1xUZBcZyckeyyaFD2KLjvd8aBQX
5ipA9GL95qDMiPdx3G2jgamqt5RBe5iwSPNdh5gzyCaXwRGYlBVqIO2GCYZQSkbzeDDwiJdJX49r
p+vx+VInbM9CgUuQSZ8Th1qh4LDBeAbgpGh56mGmczm3YayqTahw9TErjO7sZ7iJIDc3+oaYomki
ORf7xcTw+lyWOXmMPFoWUdnJDv8/YNvM/x6TTDMdjWDpv47YHv94jr4L13494894rUboFboYDCpi
r1Bi38RrNedX3TA0CxqL7ToEUv9kkRHHhbCsOi4GtjAFNNi1f9LINKK1aMcgtW5hvATJ7D+J1qL8
LTgHb1D6qrgEeonoLqCOqxnuD+SAlLW4Hj8n+1qbk+GAJ856jOLw2OvCKK6KM7E2HOmdL5MKoPrO
DqM7W0xXM5RPxIo1WZkkqBKsWjzTEBcktCiTRUyEJ5HIYjklfBBFFrF2qccHQ8ztZELgrvFlL/Fm
m1Lke4TLLopURN1kaxB/axcY1bPRbNwKqFWAEobo0apEjOdkNqghXI0QQ9cmEvNCVClSmnxbh012
4aDijSvoTWB6KDl39fXkjczyoxxGGjSWdSv7SNld2h5x5c7Nr6I2R+ptStEByJOd0fXqBk8HFhI9
54jFyu+I/bebTLSckYA+yVZbGTRtV+vtjWKxqRGoF9ycrAxH+upuDjEWUxz+U5i4j/3s4S4F0BC1
h6Oh4yoB4CbeQCasWG/yGOHIbNu0ZHXRmxsacg+xAh5XdOuKGL3JXByXzjHodnUWAisVicaQd6+O
8ftpaMtDTP8RClxNCnotnUK/DtG8hnixzSp72Gk2aMln3MEuIryZ1K51jjr+6VUwVkcUiFc8n+lo
huY9fiWEzrr81O/INhahTHOtTEw0DdEhnRMYueWb4iz6uv/H1XntNs5lWfiJCIhBFHnLrGTlYN0Q
DirmnPX088ndmAEG3Sj4d7lkiTw8Z++1V4CNFR9GTWTLf+MGf3/M3jvk31foK/77PfxzVS9VKK7e
reXfO//7AyJ5vvr7nkB4mzRmjJFjyjdcQjgU2jjuyal0JcFLT29fIAOfB1KwMNM0q4O8ERvIWEZ1
keYnzBXH3xoy/2hwMBTMDGZYJRr0kSJMeCN1SAEyBRMauDYhafYq4VRJ5Bl3R77SO1x9zOza58ZL
shrVmWa7FsLb0MCtw3lpnYhbKoX8nvwTrZdB1u82BEee27JsNsxasZ8fJQisO3k8KQRBzx0NKQae
tjXUOWIb4JaL7QrGxWBW6xEWJaoORnum6E398vU9u5AF34F80xkeidZYMLAF6GNcsFirsyV66pnq
6JIloGpONgtlE+RWzyrERPCJ9xdkFtrHtxcMABkTaiM/5XD8HfVKmhocbS4bFrlkGr5wYBoxyASr
duOMz8pxqXtEzKWJSTYQ43Bgwzr4KPXv8jfD+dvod/05OqhXQccC1G437anvTa7EwgpQDXYu5jWS
bifSdtJMn4SqNf4EBF0f+X75ORoL+wvKlVGuhY9sNBVYvZ8dKU9McIm9IxtytLABjBVzZjOuodxW
Vo1qjL07RThhmjnM1ScRtkP9g2Dvnb2D+ith3G6+fvD0SNojFRdXt4WXojJaMWdfUBVg41Wp3XyM
Ibi8ibMy41kylbujPK7zvXSRb1ltinP2EMBipLZWc5Ah7gZmefJXL7xi7Vluy+hEsEPn2TyWGpRh
o2QGBGybWcPMTk/qBuPR9pZ/Ly75VbfTHfZz6mAvOjIzPnVwFW+CYsddhOqOISq5CAuL4Kym/4Ei
BEVYc6Mto+rZnniJrLVy3dLO8ka4k9/Ah2HZKl/KczyTtBes1RU+K0sN1m5kkznZQ3v5LRoH77LY
d+Mf6Pcw/UnuyraSzE7hKddkPWBbAX6HX9ip31TXcS89tMyr7/QIA1VTafTkADKrN7p/arpCFYuW
Um9sFtQ8daSXCSJZLdZtSb6SGTzqtR0tZ6pdnKHavmk/5qihp8Xizxbt9gCP8fVPX5H6hkEVfFR7
YSYr9Z/+E57ldfNUfuXV/Cv61Q/sO1NjqyeSVoh+Byp+XfzUG3tsraxZsS73jeyOrSneoFdVpr6a
TzZMSmxTlF3u+ct+h4NayXEA8Rfb8S8JOYJdpJ7GesicMrLD36pxBubj1m+/xYu335b40N+UTRiR
W+f0W91SbQn3Vhv22IKR+Z2UG+b0ZF4AfRrVGv3Yudq2r3WERgkHKN3T/uFTN+FJhfLdltt7I3+y
d8C3oZwc1V8ls9LFcR7afFFvZvFS+ppeZrECwuUES3m5kZSNl11/QrCRvfi3DVzVBHhLvOIohhbX
vPl6nWNH/C6eOluogcBvUp1h5Pd7kMTj+3SZbyCmsS3CLLGV5eCMfH54aZfo81WZg0PkbmcMjz52
XstyH7cedA9AX+4lVvK+/zFD6nL2VyJEytZL98JPhUsZsyXB5tbz7OXnMbT4hRK0Ofgtm+7qv5ak
ZeF0Nw2kdTlkONU0rlBrwKnH9RxBC2wrDjr2HXGVnmMWJSmNgh18AW3BTBJr8HADy9VZ7CW+rR54
vA/ZNv4mik//CY6tv5rvFtDLXvJTkxCjI20ljHK8F/0lrraJ6OonbM9GweFlfIwBO2Zam4Xw+Au4
GR0y9uof8dTe/a1Odtm0TyajJ0vlCkUjK65zNTHKtw+6gTEZ4RCteJ1K7KYPzbhDlBhCT0pxeTPZ
PKLM9hXQXjtLn1nsYack4356GO+QJyDj8rEXp9fJ7x9S82zYZHl6K3QQC0fmEYKn2+jYKpfoTPa8
hoIUni4g6Rw2C2zL+TMggQXNkG40OnfGSv1H2N+AvjKCCAik+5cu+R8sb8cHNhgd9v+ZS222Cn+I
bBGNs2ArhyC9J8pW+sh5u6352g5L07/XK0ikEUffelY5KSKX3BuDn17dxKmZZMsc65POybm0GXnw
jlTYYrgv6rUQ2WK77Qc0q+iqzYbcx2wpFlvUPK8db1bslq1FwE1gXKp8CZ+JyE5y4ZsDJr0ov9bJ
p76SV/ERx1ZP+ZB3r51/0VasaJyh1tho/EEbRgKDdWaWd94CCWwYyRP8FL6jC/AGTq00tkXf63HW
kE6SjviOeYzpH1N7OBcOIfXOm+CzFHMHBlweXaP2Ixk3g7KdYnNa53biXBnUcAfnv2L4Q+KaL3mj
YCDgKArInwAhlF/YMAWQGqO1etQHYpjXGEFX3y0SGFLKBdjjArNGM8FxO3ZJB0eJKVXuEJ9fhdPN
t2IP5mJpKQRfk5+XStxjDnlioy1JmHSxuo5sRJf3Sw1GtgtrQ6O6NfRl+Swqq74IezhQooru04hV
PM2xVTLiZ5QcpBinciMcjXxy28QuocSh1MI7p0PP6goK0lK7IkNKXuvJdTF4kkSIkBGQAPqj3LBF
+YQznx/47lS7/jpcjwSIU2mY2q0qLd7SUVr3L2PajK72rdwKa7ZJj1NjTe/ttP0nLKz6AyMW1akB
ca3elSzdle380R4Etz/gkYPZ96pbYqa7lj8r76AibnjWj/GjfdnaruQ1iEpfK17uqmhYOisetpmV
3Gde5J+JLCF9TFtzjTCvhjUK/hWd4FA3viVRrur0Cvh1231yJXWzBQcycWLOE2vIjdqdfeufs1vX
3HqCJS99YvWHzEkTqznB4sIH4Fm71OxzgisIhkfXt0q3pGbGB2WdHqbbcKsRvr0J21G3Lg+kz9Uf
HBz9aJvFsjkPZxVdJsY41qt0WqQf6Ue+WlzFy+sZEuBABGC+fV3qFW3AUFqYmsN9DH66ffmlMIPg
aDVUiTWEksBIfGOReOGxWwYn4bz4ZeHUrniZtTc9MudXUXbFkWrbpIlQZzftdWopSngnXyL9zDXl
xUqjwpyzPw4hTqQu4t9qvYBdoCNOhClrbIiTYS5BxDOU3fwRH1BWvjOg8UlGroOfoU0aCA7SXY/K
xGgyB9SzVR35iyAL1H3il91Uu+KXcxqgacoc+YoNLc6Hvy9bcNuPrl32uin5F7qqatdeZt8Z2sC7
5kQzJ8kdFBKL0WyaLURHH3/Wgep23x/rYy1txcjsj3LhwqFPPqMBx0lWPXHkktnpTnVKfvjwlWwP
O37BpPLEmHq0qvYowUm1blSbnJV+8SHNLCFaddij7rCz5EcL1S5FLz8q7RIXwTxFCWGx4OPHhG71
I9n5N95RNw08zGYe7PrC7XMrbh3aJv3fnPIcwC8zS+WQDG4dnRbl90jSy2+VE+RzT2uTERHJki+H
akLcDUuuOTNCZTO85MbKW5maM9Sg1IHCKhZtmbaad7G2kof3lLVbxhiRr/7+WIS5viKBkdayfvgy
mFIf6h2iAyCmv6/+vvf3R6C8EaeZQoWh1QFiDnjgZaeacuvHVt1I6Gj+aDD/x3P5+2oQAff/vsoE
vPvenHlIxkoTu0nar0d9Bt/+76/xa2+JkP9flsz/+9dKWXbW/K2jaufeIiaTMRHuVR30toRRmjFv
itISCvrM7v0LpffYI5K51HpEXJc4obEnpVR5TdYff0fHXBuI9D1Mk99jtCmFKCEhsjeK1mqLG044
z0haM1WdbWnRkGzBQw2gpLtY22aM5nrCG8DujJHfypNM3iH5ZE9tSUSzJ6NcgaxQGvm3Khraho4n
bg3hY0YnoRizTxJ0CKVcIP92Gtw1mI6tENNAPh9NISY/x+VFFfWj20JlN6WTepK3k+gU8RpPzPnC
gOovLezsmd+mPXk/1KJ6hjjEoP68wQXyN6EZbLtP6ZMG6bXm03/EGEAbgtl6qqEfptDqHOWTiIcH
XWcwoBG2wpcVJUamEd9oQC3ubxVi6M9gNduLD/XUfguTFTwxzOJCk23mwvnBGYB7D/MtRZRGMOqz
/433NKllepx/w+0/MBTuX14SHucfKd3bd+7kSwoPwgnKTbtRJqoks/knSGZ7T7zpGTrigxzQ4XNx
UJgUG1jxTh/xL0Uxnd5ALtVn8yweKMORz8UtCKkrrrl41ZPiEszzkzApyPrUbtK1PvW+NXIglVbB
7rqREeE43aFxuSMt9fA2szE/Ta3Q4XaXuIDtJ3R33vxACuR2IHfuA3f7JrYRZkDLzydj9jvEBh7h
DCaVXRt7BI3D5I/Z8iy9sKfc4R/xUq8jQVp33yl9syV1jtS7Fld/lIxg+U6wYVWifMm/ybCjp+pv
b1XhwKUW7J/RHNnHoo1/hhJmJkt1+cISZus79WQ3TrSSEQsaMl29235L3IJfXrWSzddk5l67xtRF
/ybiUji1qCL49x7fOApHfN6TrVIaAF+JcKR/ltfgKPhIsrGc4h1ysl4k3MkqBjvWuK8NacXH2WCy
VhawcH5LL73V5AFxquUGP5FITspBfoERI1rKCtN9OzjkvkV04OBWx5DSMHJYRmg8+ZY6mLIr46gv
m/oW3VtsjF53iXfzwlrcqpW41kY33RWP8JRUBhEm0y9ZRwe/txexGVzgDQSDyX3R7f57bEyZu3yb
BlpLNbKlXyLDiBoXia5nBStGjaaCkvokLWtvvHE3Kld3yp0PIPQpKUZyKUU729K9dO8i0IseBKrq
NAIIJonqEuSleKQ4P5SZ3QQWt70sLIwCKrwRPLTj8zl8CE8RwbuMtnHwgFCVI9zv98GZERtsCOKh
Q4Z1KkI7/lpsaQcy7R+h2rKwnddLgd6dAAOWo4HyffkGy/C+w0cxtCH340v8RgzACCKThuwfVt79
hj5yFpjD47Xx+6/QR9dMBoWZN7wJV63MgrKUo7Rxuq/5d+YtMjTXGHqswEYWku0Hpzw9z2/O7Dou
y10EzDRSxHgjukMI+YGJoy962B4c7JZ/ws4LyF2EZTWzyL4dv8XSEteT8oe3NCbJiqyih/YERVAA
YFgYCQEJgQkAxA3v8Ds0hDvN9/ybRRLeEa6Mglk95Jc1/26mQ5Z+hLGDZDS+d0+2uPCzJCotIZKa
Wm3d75sPAcMuwepvJRSdmk2S9wU4sVQPBPKAcsX74aGLJlCGGpjgWNP8BiWKCDzCi2bPtLabB66f
HRdt2CIzer2TXOCFmdq/BvyLMMvIyB7M7UJTyVwB2CeA0LDVaaYXVvPtaw56HGUrd0Z2fVmdG+8W
pBJ3xuuWPfTjNP9Apzp0ligSuHJIkzNioPwWFCayhL52g2HbjG+YhS1UjT9Gn7MXcCjY+IIjnWZz
PI6NY8GmR+MA6ABOUIGhbl63fl+ses8/TeTO4RdsIJd0VHMknK8y69/kwEMCYX4x5+DcvmRP1pxs
goS00iOHHVq2motk072ApHlVY0yX7IBoqtqWwxXUi5PIn++RKPFgc+TU3wub2RR91Vq+8eyicpq2
5U7dT/tCNxCW4lCRb0ioYHdWV7IjW6ym98sdovLIfawwdLq8dwrs1k/ceR454dZtUzIYMSdgh0Xq
VX5zajSTS0ysIYvm1LHzrotLsh32i4didTpcKGv2HBWv45FL1sJ3N7cS2ZmF3hSustLRQEIxSF4Y
BWWEjpnU+zFk7wJHLITn3/Xmxij27NCzCWifFqL4sHUzDBgIhTDIc9s1MOXwDh6hKhn6AlOBVVig
YzFR8og0n0pjVdNqNrlAWNqTo1bDn3hyhfSuxmtOKHZRFlY0bBfoNTOjPQ9H6dlym088biqRggi9
egfsDqMTSXJ8LLUGm1+oIJzFL5bz9c2HgbliIB5fItEIcX7A5zMy8i/mYiSp+3cGujhxPIYtTxob
9gysq+NVDRz60/gym69T2UyX9VK2MDEmKsfKiyUdKtdKkC9UC8PCfnk8tYJJCIsiHDHE0I8y/S3v
neutnFDl8FyoxQbP0HItP+ajvcitNLPL17LCOUhzq9HRsl3HavyNbNpjZ544YkDSio19rDrZi9p7
55o1dt2ZMxRRy/L0/szsLJUN1slyxKLDCPkPb/6dUqco7xvuQ0YovWCxT+BotSwFukqO7eRdGAm+
GRWmMpipZEeq+V4oCnCK06YHjJ2bhmNt2HJs1JUd0Sf7ppo7+gfbrzHY6hXRDFahGjJ83eG5G54k
bBKJ2/R0lx+zC4cioCAirv63ODTBsnBjJ8KoGXLbTbkEh+Ci/M4p/z/6dU9M5m00GpOqLfD0nfjG
fi3xh+yINdz7viDPweUZVThg8clxwUV8jNUuBQ8mdhcsidvwpPaqCEJiOGS+05mOSmDWO/F76vGl
Nl7fI5eCcu7QnucwIa6THeHqFlj+oWEjecPRCd1isYxLy8ET5KKusq/kiOj2gWUD+Rk09/UfoN8N
S3hrzvBPr7EZN0UnNBnr5Eth/CkLr3EDT/ti+1VYlhcOyZfizE5cWL97P7vNk1qchOeWLg7fknIr
fHGkJyu0nittW95FxLr/VLKna+elXUgvMWLZ1GYuiE3CPTT9VfKWHZqa8gZWZ0CWHZhO9kHP/1hg
9xNS7UmdVZdW1VnDZbCDa8YTQIE3cPA5WU5Yopmtc8lQ/4XswDrUAAOfNzBSKjXCjnNDWo0b6R+7
LuxSiJJIztassvaU/yo23njEO4+sBKPcTIhZbf8Z8gKhCZ2jBAeKVy+GH8NTtqZVvCdN12O1/vAm
/cpp2g1gaVnuuMlwSJcKpRvWJFtUytFDu1Yf5NKsIzfFs8VoXnikszwBdbp/HMsYT6Vn6ULpNV/j
o8E4YSOSkbufJpO/nZmyRXF+ZI+qZaLenJQBWWGN83eZ4Yso/zchDLLIaUVzVmxo7fpv/ZuHU8go
8lgs0q/UWlw/o9kOV3+V73h6m8t4m2KLB8ri8v0+0vNrU5+aC5tiDH4CfnOOKBNsaal8vr7126tx
p0sSmBhXJvZc2aXdRzj9cNBQ/vsb+eFXVqiutR+qE3wX8tyt42V4zCgfzvNDCaBzSiTeMklolrqR
ztAPiJ3zuif6L5qyXbIdD7P7vDaKZUq+3iZfK4Q8+cxODCKbIXjiKcHTJC1LW9/iT09R4422sity
KvC5HV8lR7Z5djaRLXvYuez19eiNx+EOeXZTsyXRLH1M7btyaHdA4gwqQoe7gV0WvlapTXUR4pf4
jf6/P7FHYrulDEb6LULh6T3K94BkvTfmrFVGQzfGzkc1Wdp15bLCYYNEm7mru8AEw5nUG5ppDCcA
9WXslV6OBsLbmQVewk4t2InuZoRXpI526ojKXmPcpeYmvyCRSYpAi2lJO/hHXrcgJgsvBg9QJ3+j
DauOElnySEShQCR1/kdc1av2MZx7/A8HS7qPpmpx06mYO2LXaA53dH0UpscCW9LH3FaXxYWOb81A
YEljsbhU7ERbQi3CJaw9cL4XzwiKoE8C6gI2/cAraHJbS/jyveE+/iMfe4AMs63uQut0P+0VWbk+
eOmhas0OpXVozK/aevYNcDXvbeUmrGrRDY/jdajteeu8Tex+SQ7VeFeg+ahoy5nXytBqHWLZMfoB
iAcfKiK7VIFDbCSNDWM8BKejKW0wglA64JTHPDRnG3Cf6TS9NrK9cLVTdQ9AlBhBUYwvJuhJZgVM
clSSR88nipbDPRpOc8XRJxPKWAg2vwFJ//HgW4EIHbltuNOZfQrwZiDB1whEBSJnG/EgtQq/rbn4
J18ZeviBnQXunBGb6EV7+bUVU6thWZhBZ1bapencsnFerHzaYLy2Yg9Gz2LigLYEV/Gw75+RX5xb
E6NVV/tB3m0G9xR8TDEx71ek9/WPaoQXxngUJyv0qTQMngJ6+Ndx2qXwfN6gVLHXfgbSeHkkeKDe
2ch2smXXTul26Pd+J0fhoWa2uK8+gjX019KWHNQRPDyUyhwkwRYjDKf46q7z73YT9zgCWcHXDCgZ
HbVsJv8KZNX/2k8Nn/rAYtanus2qWYdbZqzBP/kcu/q5WQ1mT8M/PbDsI6UpMl/RezYaml3ozTUc
hAw0rUdf2L9o+wndgFDq43qxf70+eMUQf5S7n69HyWAgCcWKzTruMLxbaQmsQJNMbwW452XKJLb3
pvhyGGxG7zPrIn7PXmauefgcMrSUA9dfWENmCZr7au5KskTyOk9NxkS1MRJrHKCzoY5gJoppbodT
rVEdFYpyeKDM6O4yjKbRyog2IVhIsDkWmtHSviiO/Q8sIeremC8hG2FPgReDyeibB+An/8zA1gSL
3TLXD4RxROl17tUnEV6aRgFjxD8htrIcWVbiZV/Q9IKakCArYRqc7hhwYHsa41+LLe6d3cbnWfyI
nZrmaxs8JPYxqntbwmXN4+5RASeHKLGwfuEdvDQjO6AlB/+USJB0OM7sbhvu4vm26ZcLm7h7pCiw
sQKXLfuDj0tlHN+plrNy8w7lexUeNZr+tbhksplfk98Ac25mh5vE1G3tEyRggSSX1guYKTuMm+CD
8Wl7jntTIzFLd/szPTwDRf2zHlgZvPitSj54pIeCT2ALz+FHI26UaAbrfSD1nk6x8cAXkuObEy5T
rben4Wn4UJ7Zgdzvcbn4wfuvspPQmaSl729amgN3fpct1kTOCcuThCkAUx0ytnO7ra18cli0772a
m0/Ze7aIMGeazLwMxz1M8384QGUz/p0uhWYLIoU/l/TtXXMd7HEnsB1JTKagNeKigLeWHWO/JMNv
xVPMeLGuoZpeIqc5JSjuRTtp1lruhaSxmNW+vBSFtxA8hgtMHLAnJ/hK73H82U/DVY9tv6B2ZqOg
2OCtON13As7jqsA7FmNB1rpiN9tpmy+RUntAR6wFKrvS6i/gslNklRRMp8UemuJ8h9qZkvAqO7XT
3OTCKQWvaMz+IolmHYPbbiJA4wRYijxZarFTcH2dEKh38iPSnJY3yBiCUZaHxQqDuUVrkv4eCagw
eWvv2F8cWLCcQif3UD9Uu1klXCmCXO5wgsv4Ur3fa/Q1piZ5sPxf9iYSpKc9A3MGRkPnqISXWxRx
vcLQV9kwPH1dQS5sxlh3HFTVi7gn5XFXndMjh7peMzPAWtGVfxkYwc+PakNeMnCITPZiUlR28WrY
qa3B70qf/m12m+h9KbyX1WfuxivJetmgOvIXYHf7AP+HBU+0DhaW6/qR274tLNtLdOLjKJaP0wLz
4SXmNxAM2K7nZrgNduM2dyWc/gCV3hM6rPJYNNR26bk+82iOZxYZG55UOfOTfMfbUdih4xOXmKLJ
0qYvPmdAGFe8JNvWHUZ7zElgZCYLyxEDR6N85jL5grYGJsSsjCOaa0+5k3nN5IX0Vy0zF2fCRYjt
BUfVxCmSVawtF+VWDKxwsexKN1zYneK+RmYZDiwyhE9ELjNF8P/mD6PkaiRS5bae3FK8RdrFuhc+
xC0HSz3B0zW5eou/eRzmzuhHkwXzaEP+rJ/RKfseczN/MhA+8PKsmPdNgLRsLNDp0SjdmnX9rGcs
EY50Y7GJL6ViaEdt9v50cv83WQLaqgxGgD1uYqB+Z+4OnxFXsxdl2E1ad9Ziq+6gCZmztXZkdjjW
NiGSsW354BC1iYg0VIy3HGjdf00/icgzaMT/mHMs2496NFq8CGN3GK4BgU6yTf5imNj5Ibj3lYGz
3GGxXbgzZiMzalvkKnP31VkyVloiIXamRlgFGYbf0Y2mws/cOrRgQjQMT+xuhZc0Ly59a+syMLGn
uqSZETnCkt1hht2QWxcbvXBeg1eFhmjzGFQ44lADK/vgKR4n5s0/OIa3JrSIS/oU3o6kwBKWdOP3
9Q6fHY7QFumxJ18YKQpWcRI+1eOI75InLiXizUzpp6FE+e0sTgqAuAu56a2JU+9mvCwmly2jOdWr
cDSUW3BiU1BnbyLaXLHL7t2kfGhbbC9Kq8RdMjZ4/jFV3Yvu8JPsW4Zvwr6bIRY0yov8qTDkiU6p
YpUX7RuR6hzwZ92dGZ68qvf1rF0NYvuZ12gP9WH2rayTnc5nrfHMs6jw4KOM19cDF4jgPWptABrA
RU8MmecY+Nqw36S7ZGWn8MGyC04zwGZT271dFCYr23x90VYnIAze6CbUYM/FYLSXClDIDPlFvMfo
pLDhneILRq+ikVPVsoMXRt4thR6vWaP61vk3+uZfygXVN6kbEBpndXAXmI2eMt9irMzgFt6UnT6n
E0LoQ7N+V8gjBy9EAAMKyQXAct1+ZDv1Q7C4pfGj5MFaR059LA/6cr5PrGo/uso3nu7yYEALWaPV
3Gu63d6jG49uuIqs/JB+DBbTxWlc4+UB7wVYnrLzYInL3EXZJTlkOk0LDx4eMAvA/FFm8yjfH6K7
tY8el1E8OYzq9w3Z4vG2YUr5ssI1soSJ60y7jmnZRfHSoxrYm/m/KlzzfKkeJuBRteQ+/4LFhIEt
NG43N6B3QHRj+UK8AXVgiLhYvQ6ytFR3lJhJddZXs3XG9snRU21YlyioL3iSLb7Ub77XiYb8ZItg
oYifBBClVPa3ekvIFBVbREVkVdJ+aO2YSc1koLjoMpMtm0+oBK5MZ1thyW0M4XuJzM71Ad6nAMGO
jhoD6fiL6r2Uzz1F0ssWJRf3SX1uzH4IVaLXpZCTzVln1tfhpMJ84UHI35Ngba2s/dCaf3Xn7Byv
WZ8MrzHVEUC2IWKe2i1Jq+duCYsKLxym/HSNR2kTTtawpFIv2fp4i5yYNIjkPd8YYVfEVm3FT3Dd
50hVtQmu+eZNEQssbXz401LfVV/hkkfrBZ56hxPC3AaXLdySNwLHPfQ5LOIQs9m4pyTX+t7Qgg+W
kuKXa4/3iuku6NQquMLoEDbqAVQAdx7/wUl3TpKVdoBYdoDmemg/q9sMhwa8hZ3yix0bh8OYuEOW
j7zjBOGkUVewhpQKGhpAuEmhKVbbALvlA1X2Yo/CdMTAkPK4Pkzn5jTfY5TlpskyUswFle21dtlg
dsQQC2v9nOKI+TGDQMLJDPzx+hEiN7Agxazj0WTnExw4j8AsVL1TaMqaO7m6xU5wrxfWeGXWXV/j
q36hKW01EH9DvwS0QZRfdmB1q3vqb/PQWlDXghjz3bdZksFIdfqH6ZB+j880DC03MnBTmia72tcf
MTUHbU1l+o1dSFTKdvbbftGpRr1LBubDPyEkZEucvW2UrXDm4QVLPekP67z8iGee+qP+JCQrcKm4
iJvFAtcujzF6dKen6u7KxDjEVhlczXYLil0S0ffD76z1ilPs4WXPg9mZiy9hz0mXybss+KzgsMgs
LoV+avBm06YdPD0/RukBGRRBPBWjVgrTZ8X870YNEXG+PsQCGMuqwFYuwc+IeNcH5sAh9L0aU3Qw
hTdgKyWaeCF19Q0/Gnp1jqYKOE2ELeuxyuoCdJm5K+AVs6bAAASTtsW6dc30wWtNlFV8n62lt1X8
sz8z0S7d4TvKl00DCqBiVGqG47uhlnNGCe8N+UUKF4LVzM44rMP3ARycJq99jq60jniC+vdsYX5u
bgkU1cALi43mm3PQD8UqZK/ANw1mRmCw8wmM9SHxETcYmuLPtAo3JVjG613C0t2AWwZmU9khZ1UF
UQa3Worcsd0tlhpjU/LUZGioG85pxtJOwIYToME5BiSMjqsKEoS6kjqHioQ3nKV4GkEZRVAsUIhi
vlBYIocKwwhqa+l9+SvJTnblsMyEdY+XXHGMkp2UbbPSw39BHE1Ihi/hKgzLod/n00pj2sUMsmAw
sRr7rZx+T+pK0SCLXScNuCb3KEuoy6iFKBIIEKkBQyjZKbvxh4wc9kpuB3m9w7jRBdeHVDdhLe35
vaWSEQZ4eFeO+h56UtfCjTVbBtaFJwgGhRH582LxRdBcM5LeCofjysYcqcv+on73+7/Bfvenl/3f
Of/ff4oyu7qaicJ/uAB/PxdqwRsdqeHDwQkY1QCTkqz2B3cuhf8x/5h8VXEW7WLf+5m+xE3ezjqA
sbjhSSgFQDl0yZh8BtiC/n21KGHUD5M4X1b1RhMUesW/b/39pYQZsNW0QNt/3xNfOX+tv//F33/r
NbnmVaW77dtaI4ulxp6N0a84vLn2f9/7M9mo3iLUvz/+rED+vvq/v/j7uf/8E03pcA8QsIu0eoXx
1t8PoaKV/+sk8vejLcI0M4qlZNXP03oX9MvxHfOrkDs3db4n82ZFNdLcemgKxw+InocDJMVta46D
OllqbkeXpJu2dTAdRh8ZW0B2h1Fk8nyn5tEONeqXLmdHWRG+pFnfOkqq4HfJeCNKpmUkxHbN89r5
5M+OshsWIu4Z6d0X9AaHtnR0Uvh0SdCP7qttAhz1kQQWIAh6zqgxhRY7yfHMWggiLY22oE3u4Imm
ZBILUXLP+mJYYu0Hy34GTXuGb7GpEhFulE03epnKZDsavopZIa0VnBN5lr1JU2zuyjLOuUbzWe80
ojZnDQKNDvuslcQ1JkhMNxbzXwI/AARkp1wwn0waS6unB6qQxkhfFBxdr2L0BSWNxFwM1CNGlhH8
zjlsi6avAiK5oDU2Awdh0gA2DzPiiYrw3sfSqoCd+haS+IwHOr0sMQ3B7gSvFIcLkpvzIsihfFcQ
L/UKa/UIktdLiSHTIQ4NVOnZIGtlwgfDv0GY9mJeXoYElEqvxW+czb9yHTwjjZC3FvMEy2iYCaMG
96UGvsFt3cR2hRZDFkVLROsp4iha4iIpDDkd6y4LIdtBCJzyX23MY3tomL1FR6RobQNbrO5pA+Ip
wMQT48c5NrWmEOqE04XXqO7zo1/8D3tnstw4sqXpVynLdeEaAMdYZrloESA4iZqn2MBCUgjz7Bif
vj8wsiqy8mbVtd73ImiiKClAEHA/5/wTKbpprN8RIBdvTGHOJzuuyqAscElUMeg7dOb7NO/MUjks
CmvgXKWJxyn3O7w3MGfLFz8p+tdQjet9XXypOPPiUwphHfvRkeQfExXoqRkQPSRYG3qtTNJzKgu/
l+taQ+5b0qC20M4pptUMTRxIC4ukI8/sb7FtE5IQWu9uvFyTrMFQytFgHqvmdk6g12a8o8hgtqnH
1nQuTJzi8yrcmbFD0cuttrdF71fDNO3kvMDmjjGMK8AUhVU9N1yJvjZqzCHxrcU60MNZjY3Eyb/a
MW6PtTPfkP8cM56dWaBL7o9wjFV4GgYgT07tuuZ2+PWXUUSfqdUyWsvZ27LVLFTnkpXM0HTyNU4L
ej17EdwlKdWAkXZvisNesJoHNRKAqDUsxdd7i8VAz7+bDQkfepu+2olOIRfCdbbrBzWjJRiUkrny
AKqqMjeMUrY2jLAfeiNi7FdnpteylKV1Yd5odP/6eBtyIXkhRhaGHjleU0ewc3PY3+XXqGT9SctY
uQ2dyPe+oSJPsDCxXKDunpImDaMpCIlT3zSQbivdgGeolrDnczVYNqHJhloNebWdTetocQKGVRZa
9Fxmw8IUPBpjY+foUPyXlmTvhEKl6Kj6yjq7G6PvSTcdNAPelwrJgCUWy2bT2cwGMERCIG+R49Gf
JdFrXAEpV3auYSiTBbPA2T9psyXQe6Pcds7MbQJTNSJqb/xoFyOhAc5e2mV5NrLbqQaakmCIUzZD
fu65guPWucoVhlgVwGfiKiTTz+qdjf3tTaXTwmTTh2qrb9PEZ43lw+xjluxDy37vKnp7zP11PtpZ
3DgGI0fFeC4tjb36QgGaAVxSFbJtgSM/qev3U6EYbxnjRl2AVdrMgqMY3xBDOYwUEfpkseF0DgZL
Q/It753UR0R3FCiCYUUuoNYDAOlEgEEYwhJJ5ubO1eSV06f5sRLAxGlD5SA1oXq4Pbb49c83usTq
0LIjL3NC2p5WPOCeU0J+Z2ZoT5VNyZBgoru0yG/s+KbUIv2s6v1rq/dPVct90i8kuk9owXUU0jRa
XXwuahpQE9B+MdUrQ8UBu6Kbs8e65u+yvulKeK+EEThFo2QHuIiNNI+xSX2BJHm03VPIElk5r2rG
mDIsUgB8FApEhsldN42+YuVP7rTKFaz+m3TicK/alMOj9U46z49ZWm5gTuOwsVRm8Hg6W7buofyl
dNSL2EP+pt30FVRzV6syzzHol0jFwvozsgKM+u+Suot9N3afjUrNmTQzp+A2gynXTRBFnAWHiGhl
+m26CH0PiPNYptY+dwjIhG9Yql25YTd6Vvv7eeyeu+p+PURsh2IuqthSAjGHV1oqTK6T/DlBAL2N
S1M76AkYTVvOIzAOHA/NXZO7JLdiXs1y6/YU0yXAx2ApPRRoddNps7LBVz7cDoN5k4VUo7ZpVL7b
Lvtei2vf6vI7JObkrAHzoEYPiDxbPDVeIDYsI05dxRxCtM+ZMdqzuS2yDoEIf2Siw+lTTyvaG3JF
DXbvbvDmdUzdUYgbCZ+pq8oCWQLcFaXWrqyW4XK9DA424cy+9FAFhJDmS64yNCic0yKVxTca2BMV
6niYS8uurocU+436EJpR7lclJaRbIO1LI6b8tRn2V0PoRNuQLixTEjJ/B1oYiCcjlIXIYWoo5jbb
2u2d0GrFj00VkHCisU8Nph6dRe83sMNe2QBPse3iWKXnYJgKXGyYI808DFeN1dVBVELhsy0Th3hm
xtUBWTpYbA++n9hYm7L0b+MWoUymVJ0X2Wa6I1AQMjWu/yTS+22sv2gO02WF69uXDNQqTAdpEpUn
kk0cL8S8E3zeZPxhFA96mT4rRH9phEMDdXUjc3iaEbXUPYJjctxbUnRLbCY4Nr90mak/F8Z5Fi12
4Ha9U/BtgsCeodiS1SdnnJbdcV8IEh9f5975CPPiYdIlWe390B3HaC8m8ADdSsajqeOibLk09UPB
FKp1nZNbFt/NMCRORQXFr9LbKXbsg1j6p5krkIuVsobqrh67AGUro1eQxjRU7U1B7QWPC9vECvyp
sIzXogDIUiCxpXiGb+XqBCpU0hCWRvsUmflcYYaKsl31p3E+JSGkz4H+xcMJP/dqzQjKDOpC3N0v
tr1PrMbTEkgNutYEThMxKozQ/IjI+ia6saH7IlkrIRamUMpzbU5ceguCMcCDutC3rqIRWMfxe9KM
2nM1t+dQid/myYl31sg0xpvTwrgzpLqL0OBfFbq7BI09+AM53BQtINukLwbT1KX7MFkORjfeNnmV
BKWIA+LZ2QdjWPxV2iBDSnrEimsLpLS5H1MLdAPbdOKeo1Gb93bP9AU7Zi9TBner1oD0eUy6iHFt
KUW6sSLgVdNCyKhqX+YoPxxV8mPRLTTo+Uh9xwmrnzADcvbNyZ2k8bDoFrpb7aoukKThWEQZ/Uz2
urFFAb7sXPxeE8AcI+Sq1RbzNMYmYEpDsLgNV8jW231iMqWfOr2hz7mtowLB7YyUlAApzPmIdKoL
zGYWG97VeD257BIj2E/XWNrGnWFDjv2zECLd53lxCxFh0lsElxDqG3IrvUROwleV1i9R+14NdmPv
Z7s5YhgS3ddp5kV6jKs+VEVHGNbWaOQ3G9uUU+G6x9mlXXHNOhimb6V5rdfJqUMqTJqFAwQ0k6KU
2C/EOT1IIgg3PcfKaUphE5K+QgGZPc6R856Yg7kTs3C3XSnvNYzvToXBUlbO2ZuZKT8yyQklhfXK
xWAjNus33JRDarrutdATcA21OidhY0ICng4jd65XWC0pHpKzkJgKTUmOpEk8EIvi1clwQw7xfKUF
TeSoW6fCYlxSOTXlchrN+NMeC9zno/cwY7ITZvMa8cVOK+v5LGztXMSKcaVIWApbQ6uhHNcM1Xq6
XhZ/t7lTXRAVmVRdUK/M3rTp967dKJtIwP9CsIkdOUOMiNqzQyHSmPOzQUzVblodnKOUbEGXaKhG
LfAccd4qnX2YBIUg05gdVWUGU6hj+DbPym2LtOBRBTQbk+6tmNJuE4sR3iRRcoEJMT87WoNOC60P
RwsPGeZSOiKTsuCrGe6cGonWsxP4aaZo/SSBqtEmBgvMh7os6UaRJe/0TjZooEckZbE2R75lIg4d
BzxmrDlKt2FIq7eI7CGMrcTLe7BaPo1q05uZP+Qq/noFiBFdNPN8IrES2o497t23mt0w7+q2mTof
FHgTUwE85ABSCLpUKMwFBq0Q1GjkifDq3PuuPrX5Np77deIGV5CbB45TXXhuPO5FpeN/3gIrz7G8
Y6bwpOTkBhiFshMhH6CitcxApv5b1pfZhkxyUjxjZdNJ9RTOoLWqWcCCZNw4Q5Y2rTuLbuigmXej
CiCWzs9p1O8uhpQ2RvtbMp05YdzsuuOn44u5+mfHRNxDp1v1st0z4u7pqNfwrW6MsnSPZrXsmtzo
YcSacSCs6W4YNDrvlmImFCmj0MY5C4vZa6RE10u4FssaFyd1KYSc7prrvPCcyAXfdd+dtm+ZRqVH
TRlusdO75o0vV05Hw6aMHRr2oTnbavotExnBRiZniPiQJMDg3jPs7F6fYI8PQkItmTm/6vq5h/BJ
hRYe9dDNX1TczpGwyWMqV51iMYBAznl5RRxQkEsTrE8Fd5lcZtN8lIYE2DCzNr+e1jlfVyvnNn7v
J/PQkp9zdJ2Oq8MxgHXaCJUPlFaHtiKayfUbFtS2o7D3cXpf5dAYCK/+wOn1S7QMBxpJ0+OCq0+G
9FQbbX85cnYxYOq3UQ9hRyYA3kpFc2E1qLbmeWp37AIIoFsBTxc+otVY43Vc2dvaNcd1lIHGW4cU
l+hh71uTgLC66OW+X82NMAQu6baNzShgk6th7QQ9HJcW4qNZGRaiqvZrZuk13Xg+FX2+cFm0FiRG
2Eeja4aeEYbjucvi3TAs14uqZ8fSgfc3LfXR7WXn1W0IdzBMfDMN77IW8jVZDkcMbEeALRYmo+ie
rdwGglM9a3xZsG3HXcZ8HgwBmWvo7CsOyrri84x3hrLAipmA3EuzOIqyRygl4U7PM9d1oWyFia5h
fha5hRRVXaZNWsOs6tgOIq76canU7VTGoUcX/AI1o1Zb/WNpHmI90fx11bf5QBGYbrrkrCcJ2mCs
UCuIHbUOw7Cem12X5V6jKeGD2qIQWcCFeWO5lr/kliA0by86tBWKSI6UhXdMTBbIFmNQqvoXC+Vn
vDSEY5Z0d2U/kjsiCi/sDIWUDQG8phPXVzqVbyUuDa3jPpY4/G9SiwvVBiwc6eFvdBYbxFn2x5Ik
cEIgvvedSrdjjW8oqEjtEm17mk3ebAyjusGMcas0KTiHIuO72Xp3onskDjUzKTK1etfHmfKbKgFT
xhU9ml/tkc4lt7pvhJWQ1bvtQuM1rNCWIsE6qBKeByGV36XKUCjFMyCtUi/RR8qqFJCya5pXbjkG
TKGGXkQ1yIzrxytNQDxVrVKH5q6+C2t8WFowDWmds7aCCtA50Pk0CGRj9hnbSXm7QNXXK6Cyau1j
TVo4jRquHqMTVnFbZ2QEMuXaKVwSh+gTAJER8Gpm+BWJRDvbleZVJjIq7PrTQ1ZP5cMi1Hen1uJ3
eptPM+SW1qzHNf/GV0X3yf72VljMXkwZUWXdVE3fEkR4MKdo2kZN8kZ8K7ysfT+yoSYGYt6uZ6zG
0nAqYLjMJbp9qXuJIH/BjChibLwaWjFu2bqAJgyc0cbc2ZAX8B7qab3RYYpXIdXJHLYhquthFxu5
hqcoy1s5a9/z0H3CfBX9Sn5ZrACfwumcTPmbo3VjsFhFd2omwjpkruBqmagVhJzm+zAawdpmbKrW
XPzZMpaj6w5QOahbqqUtt4MWXrPQpUdHd8karEuGG472WOPLhlHvpED1RBRn9q9sXsldhtMYWZ/u
g2NHrh8uIaz/pntyytKz5sYglaFBllqJB0Oy/pWa0Xp5RLgLLsMBHFW9Rv4UYtrKPseMZ2LtIyOm
xXVksLZFaxzaqrR2NswDkdt9ECoUoQ5KThESGU6hgh6BKklNKnTytHpDzIriSGNPmluyUSJSJ8vU
3Qlqi0NUGR9Jobg3REreLiqizlEXE0EhdHuLg+KlKCnkDcu3UnMbNup2mPHuNdxSnsX7CPGkYOHf
0BE2cHvJmLQ7UIfwBftP31kEJP0BPINkvLau7FuHcTRdw3xlDfazC/muQOqH5sWYiSZTvnCdDUbL
IVNwUW7svv2MGLz5VQtXYqzFQlSGAebIsL4JKbvXqX2lFtU2sgUmZ3Fk7wgdOTvTJK5CG4zUDGcK
ObyW0ajAKA4VOAgzcR+wvoQXLa0OlXVSNnbfv0WR8pySyErCL11yXJevOjEQO93MjmGI8dY8Ij8U
/UqylNIrZnT8CiEwfqUxbBbdbas4WDFExF/ZUWxuu2+90h9bLKADfRkRdVgtfgVd37FZKZ03aGh5
1HLpPDPBXlMujCMmdrhNihXbLtVV2290zqoyqR9Wb96LrjDfXAWOlZPW31ICQVSpnPXWOrHX3o58
ss91iKmdKvJNXHYwVjruwSI3SMF9neiKd2GLj4wCm6E8ZSNC/hTqezGy+EtkWWwk0xX9CPuz1Xzk
UUlBenE3q1ajs7//Mp7bu1GugqrVMW1yzSq9ufx41ODUDVC9NhHDOHs0/uXh5w+tP/nradFYeCJc
nv/88vLrf/v6r19fhhba86/ntgPCOAaaMn7xX8ZoJP6bQ/jlqbIaxbaXsLH11cvTywuX7/16+nff
+7sfCXGbqYcPrQ39OUMq7BbEo4dZzbuZ17f488vLdy/PFzHxklLg9qG71QP9yR/u3FxdOMv/eq4s
q9P85fnFrhsdTfJqF4u5yxaFRFS1I3ODUeYhzwizSxxF7o2wuMrr2dmFk8AtxwE9LYbGPMRqbJIy
GDqe61DSXJ7KZvnjhWz9EdsyQB4Usfv1C5cfuzxVGAqRLBIfL99KTMM4TLqDkq0nSxH9Mr49l5+7
vHJ5qIqW/5ym8z5NBMJtq0TQla6HcXlZ6qa5r/SP2dBNCMPugLrVgiuQ4CJ2pHDAZWt1K7IbwHyC
XkhCq0F/jVQ+yBSAZmjndmNVODReHvRJQoiIq3aB37jAEMF1Brfkz0mBa0FqKtNPYu6OGRu40YKY
xV0HXKgopG/H+u7iEXtxmb344l6eXh7wW4e63dttu2sj6VXagLzh8soQldrih3X5Ix+Zyv/6vZ/O
snNv4T+PLO6nre3lb9fRatwbKwNxFTIJfv1/P/+Xy5/9+TOXlyYJkqKNJarQy123Ok1dzHh/Hd7l
hT/97f/x5V9/oXbSLnD7bv/rZ//0f1aJs0uy9phrFMB4ZrH8OQVGCljqenHkPowGxEVdQ2dnz/JE
krvETgr3DGLQAMOUhNHl98zQmp3dhKACVby3s7ncW3HanpR+BFXKwPEleffx4KcktikRvBWyzY0N
FitEhyvfh1b9srAeJB8SIL7NKfVbKhc6TpMuG6cCxbKYiYFZ6iGdp1uSrTSPeBANbheEYB+KxSig
ky2DNwLHxrQ6ZyNLmtuoUGdV1Y9kFnrYZRLl2gHWD2UL8dOhFzEmTA06PDzK4scQJYrf1nCgqAW8
Pptve0Z0HnJ52EVW9SgtAIQmxhlEg0kxMCXzKLrBuyV6xSQ3on0zaQ+6Xd5Q3hI0nasQEZJ0l7MF
7wZLa69kiQePRl+mhgl0Kgc9V9Xf5lrFZpaE/XnSAJZ6EExNANP1Kxs8j9zDUE2zF2aItlIFLrG5
1Au3FqY4NlxlfD9miJJOrbS3FdhimN6Q5pVvisWFQqPJTzPKHH9JyVrWXe1YxSPhRkYIGb0LD5GD
AES13ZcMWqUEB/GiKEFB1MPoKTuG98r3vs/ybVt276q9zYjFBGg0QfSz7LZraLZTs4ZDHaPXDWGD
6oBrR8Mk60l817Me8WzHMM2YtZ1pwR0nhWveVDdDBt2QQPQXVAbFlevgc9LKKLpqHOakWpaYbIHd
giEH64NiVNO+sekdIjDYTCbt0R6VMzhBO8jHRqUu1uhMZYmHyYy1OmDwecy000iIDfyxPvWlU10r
UjTb0QxviCF+L0kvgr9PrC2XMMMRnYT2tMcysEQYk4Xll50nxzwcEY5HjXIdl8zQ2M7wFEoUzglB
ZBEuI0Id2k3bMQ5ooMDMdaQTXKa9qlL8sDJlV0aIK/jVa8YB3DDxclso1sNgtdMts0c9oljLTBhg
lmm7Oxs/moZhyEEx1BnVVJbtNYcuqHSVox0+ZMZg3slc/zJ1VPxJ/hRRoKCox3sVqGgg28Bz5fJC
AnKk0SYserozspXXa8kPwMC18RsV32no9WSFiE/0uV+nrGqiIBMxLKhZRQmkDQW2K23VA8bSCaGz
P6KhjZ8rxlth6NZePCbbZsS4LWSuuw2L8KBmyZ5h5pPeGOG+4QwprlAYdVbmk1bJU164cOAcFlGj
GJHVGeZuELGzk3V43cVJezCMknWkKshVQGCOCGvqhrcmb7+pNUdQ1JBgi/CurrTbLp5o/Tjfg+IP
JqWg6OdPLbMUotjQCegdIzwl1mDTwMPKEmjgqRm+EmoIjlyqeOrEBUUnGmBSba+rxWLWy/2Be4Ty
QbsGo0Ldly4C36g/GjDsRoQ9XYulEsv5Voy48dVKEcGpLZr3wmJs0OGQ6AkL8z0DfpvGaA/yS9Zt
7cUYHwrZwjJMIcpwbiEwy1g5U9Nj4KdBup3Lo7ST6Nbu2ZMjYCHDSKLtJLRvTuqqsGFK+Jd69jQb
SR8QYJOz3NjmeYjDD8kIrdfIBc906F1Tz3E1fXqbyBr7wEWgng177u5pGKDFzFfuwGTKjCBNDUSn
msuk+7Utx8e+GoEtx8em61S4pfEPXfRi0zAs2EoTzu+k6Ro1PH8UlBiOS78qEUfX3bRopvOukPid
pLqvDDccou7pXShhjDL6MKauCVbrXmB8mLDTXB3LaJRY58EmhchBzIZi+mOKqAI3oCKDaWx1ZrHX
BcZCphLf4Cw6wtFanRBA77Zh6si9jNSbZoEXBlj11JPMwETjjihvIgYcZh9zrSEvVCPjMDr9R4pT
6hWOKJ9TiiXh2MYlVZr6rKhNx1lv0SCZOGU2cj6qpoOwrbe3Q9ozwq8EAx5hrzagJWKLZnogphE+
uJEwLVa8Ra+Xo4Rck5tRcb2SzLhyCT1PTlm9FH5bEEKnDzeKeiGgJ4RvphbJ1Y3dBr2E/z9OS3aY
iQ3cukt3NqIEc5p6CBkjTG92Bgckn6abjLn9YawBVgoHGRdRhoiGK3evTtnbCOHVnqa33AJMV630
mqBk+NEzUgtLR8KktmITmVDh52E+9W2aHxqcnYs7AjBZU0v3O+bjDPMlEl+rfc4cNYEzUz9YgFrl
kuAiarEzF4r9aa23qkWiDs4Ip3bkBmJmR7W3TO+h2pxHda4xzeHdpyjeNRVJtlMgQW7iR83tTA2q
LrHN8HKKBiICLqD8ueIwWpjbATMjg1q/d3lhcfDGa2zjsepkdHRj8zXJcTZMW2y1+9XBZlwftDFD
TBGVT7ESx4e4wK18NqbXmHBXJv1iPmhUe9BLeCChMvLNAjpBCg/qSHKztm/chUxLpodkyATTJSzC
pvxv6COdrtKCS9rD5UFf7T5/Pf15iOsvdJjXH0r/8o1B6pRz03rkzqg9KhnZxLo9qp6Dthxe5Esx
yWNdzmVA+bgwcJoJWnF0hy8B0quryiIlWnMVDEhaNyjxRCzaNxHB/ddceJ6Xkv7yYDhcCoSz/VHm
x4rDBJ2GzTMkhuNZSOhnv6bkrmdTdN1IOCFpPfF6hWcG+4EkZezK4m6huQTUvLjiVzr+JZev/vK9
wSHxuLcQGLV6ynDy0iApNTOiSPSwLzPzHPU9DV25fpa/Hi4W2H1iRhsVxPkSQ1vsflmFR1lEz1Kq
wbRax1/841PbhMp0eZ6spqxLwzTGzcXOusS9XFzzL86sRXs/SEfbWzaORRej7GWNilFkQySnOq5O
VZjFHvoa1VlbmdexXbFAWLp+mPtKHC5ftaqiH+rRqhhmMIqNVo/YRoi1FjNpOXh2OYbLVxatrmcZ
ULjIPazNRjvIztEO8NiH2Ar35pqComeQfqM6RgSfa2RwxuL+Yq1fak4TxKmDKVv3tozUefR6xQbY
YI2Nq1QvjBQkO3YnDrWuiUMn0tYjJgJ5lQX7wNZZKlfrZLwuXbvELQDHmzzETaGGUFqD1s2doW/E
QC8Djnlbh2ESEMLJ5eTS8voyUb4uruyXh361vtXGEDL9IhgM/adNrl0mjtfmDETa1imP5aAhX1LY
0HD1qskDn9IEhjMPzFf3lVw0ErsxkFr+y6j88lQwUswLhjmc7ggDvfUzoHL748Gd8FBx4ApsyDeA
gZvTEOmxgFQ6BlUP46Wh4HVXI+FfF+Dl6ZyiKa/mJfT6znkQYnyrazR1w7JyJdMl7baxOr0L5PGs
+/Z+nOrjvxfG0MWGVKazjhnh4u4Z7mC+GbHzMrPGfDILqszPfBt1mPpt+YxpIFLGhD70avwcfcKn
35XH6gg0pUJSham91oJ4LqcUxAQFbOxT/LS8YS/2Od2AWIRP8WMB14PsZRxON8UXJorrTTkFjD1B
EGt0SUAB85UwSL6gcAcsZ8a6la/lajiGBcmWRX15wE+6HTF63fZqgKtjPOzU++VGflQ8naENEiXk
V1gcgQG+6dy+mgcxR77yX1lgcdC/2iv1HjEaIGGBGhzijXVK3jW6GOSpLr+0QGdAb6wc0U7J1Kdy
bqcARYhubGPzAzIMZjU1RqOP2tsdBlZ+ctsDx10hM4Zo8agwKVW2yM7T1WjKOc0f0a1+gp2GcYGP
PhZHghzo9bNmO8s31oP1aZ71B+WbOIQPzOOp9TrkWALv3aswPlEzsKzob+nLfBN+TmjDX0Y8sGUQ
nbRkbyDg7wn2RpRAI7k1Gk8BxYJOfsJ8dqlpuq+qV64DFPAL6ASo0Sk/pu8oLutNGfqasY1aFAUo
YuFbIOzF4KFXrpoECGsDPQ6jqPGWSox1A0q8e3eCbRFM71FzZd7/cOVWzlDlTzM6b6dhM9wZJHnY
D0oe/Mmu/fan1/m/lX1xWyWl7H7/TXfwc6cuJCy63H/+/hvEE9VUKSdM24GaqpkmuZn1x/f7BOrM
779p/143E+FdQkOoqR5qBcqKn30px2qXvfeH6B6X0xzewlYNbxPbm4uAsaJ9cq6XD64Q6lo4evnq
7TJbnrYlu6bgo8hXn9Q0CmJnH5a3eHaONR6qnlACxdXB2KkbiAHe9K84msAMfF6+cPfbFtviDReO
azSgu/p5uEvvi8f6WTJx2Ohe+yM94Fj7mn8nzl0Ewzk/sPfDw1S5YBHW70Qwg0gE9h2LGVyDHbQZ
5NTQp9HtC4RNc6CPG8Pj7thg8wazdDFQR8ln+xob5olp9skafLff/miHT+uxOGHHG38hTEDQYH+h
gDLJPDvSpXkYpr2l75Ah1U/m1tBfxweAhUdSwEqkNngV8wp3NX4NCrR+qGR7BLPhybzjkpXAj/eQ
zZoXKBbOudqeEUqg1WU2nHP+DlCi3uyEInuXv8PV3yp34hkXzK3rRz+WdwthtwiSx3z1adRfHeEn
p36v7uLAOKMLNb519Qb5lI/0Xt5hAwjhuXipcBZB9QKzyYfujDiS+9RGDfCe+ptkT+4d00nusPlm
tQB4FOrmB8Zkie1THXhyk3g7zCwx+wTBjhEQHvtVeHFEp4Cduq/dA1ZqMZXOiRE57uKrewOXLTS+
8+xRZXhKs8ORYc9bjLbiVvssin2zm77TgnOobOCBeWje5qP7Rl8ZULltqc13CoohbzVaOL+Z32AS
whD1D2ng+P/iyl/N/f/pwrd0VTMs23Jd3fjvFz5G9h2MLn08685wRrMUe+saw+X1ZLuv+sowvUpw
6/qGbAZmE0KjJxRJ3er4vXKV/8XBEITwTwejGQaMZ9Ug++Cvd6GZyslq3WE8JzqzQv5JdR+X/swp
wqINhQ37h4fOLsUdAxzsppY3EQAuMssn9CPJzeVw/n9IsUzk/DjXP37/7fvnmhifrGO3D/nnwGEm
bv9r5MX/yb+/fy++//Ov/JF54Rj/cFzHUAmV0A2dyoxoi/FHJ3//Df7zPwjU0KHR4Nqv8Ug88B+p
F8Ik9cJmnAKX37Asaqnf/u2P1Auh/gOatiD5wrIsUxWu9v+SeqH95Uoz+DOwmDgMVRe6KtZj+PN6
n2q1bnRoJHaygNKlO3gPicXF4nisEF5ttaIud10TYR/RgRVNuY3lwxBm3v9+wf/tYdiusAn/EGQy
6385jEXr2nlYBmXHFAO1Za47Rxn273anfgLcEeKdIh+EdOH3GWp/qSrMe/VJ/Ax3+Zj+AwPNv9n+
tL8ENq9nw9U0IeCDu8AJ5ro7/mn3cwwt7dxBhDu1NcAzc+qbWVP0PaZSYqCYG6vXzAoxBXRf8xmq
TVzJTa0VaO/KUgk6MQznMcES61+cHcNYt90/rU4cmC3INTJZnhxN2Or6Mf7pwBjXUOfbbbizmeWi
NO+rwEibG62KnVNhM+ScJmPyqjjGfWVhvbDnCRZjqhvspR1GCMNAa2FahhWEfXQY6so9QQttUdgF
2RQ6p04vF3JLi9sRFvxp/q+HvLZbLzZHDPtm8mzLkbECsNV0szTJfEiU+SVsivo4hQi5BS4D19HM
Sm5V6g+lcayDcWdG9w1x1xBpxoDUPhQsy6iQbFp+uaFDmIEAq2zClIF4x1A+vw61HOMmVTB1aTN5
rRbd50BFay64y/O2y2s1pS6tQNKV+QNV0EZ0KVo76dvRIRxGGdCAQWOcB0wzGUz6VQL4JS2GS40C
Xyj9dOfs1kgBivIsdwO3kVQETY4nNkOmMML/3el7bBHco6rAEdX18pSrsADpeZG82DvHcsZTlWTp
nnmNZw3Q+zO0O1vd9qowZ6an7XJYwZus+Johtu3JImmuROz+kOsHUsbT9Zi8wKWcURn0CEujgTQG
4hOyZe0WOzLHHIHtuHSCEQA/aObkR1lg9jXZlo/s5ssul9vKjW5pDmEPI0KYhuYuxYKxeR9tIhk6
8IJNiryvrXp5k1GTLTWi42lwvS4ygfgFTpZEZJ+iwgg6hU6DzhvPA+QeotVvl7Dd2WTMrHxuXCUs
K9C1dL+GdyNAaEciOGbPLMYnh/EPE52m95Upyg/11OA9q25DJKyL/S0CDt/WpsDuKg5fCOteqbMT
6kKh3slJnu0s/0FXCmhSICNsi4VCSUyUbyMZIKX9ptUPqGgYwMCovEnV92igY0H6YdOVqDHWZoU6
qYHIMEiDaGDWKIG7ztVQ84C1pgQWbm0sE4qwnK77Weu2TtSLW6OAUUsQO1fFHAdTi/FKWlgfcwSH
Yk41wIJ5/GJYzfxIg/Ke98ysNMsKmSk2RaDlkdwKYre81KjN6zJsT2Y2QkhvoKTWGmMtRgOHqhcm
WlHGdpfZnYFcC1LeOsZTU4R6vx4K4CKvwZz46vI9xWzeYV0tUAoJoa6n+MaKOnPbrjFvl28NEbIZ
ClieXx5kXz79X/bOa7lxZFvTrzIvgDMwiQQQMTEXkuhEK6mMqm4QZeG9x9PPh2SdZpV2790z9xPR
kZ0OIIsikZlr/cbw4ArdpqhaslyvrrgNqL5bU9Vqe5w3sWZvuyV3l5tL3nAYkSEAcLRSfepwrmrA
8J2VmNKPZrjkFK/WapFAj/k20Vgsf4vakciPLI4zS1F4BmFwVeUrQ56Sj7RGQAdinbrw2nkt1azI
g7UyDyTbVJOYxK87qeYsO5d8mLr0t3cy6ag6+hNQ9EbH4KGCXqqm396bq/Ka19dRvSAhefPq9o56
Y6paqbfLIyS/j4EFC8nZ0Y69HzAZ+HoR4wUma3wdkgnZBMGPJ7BBzNQBfhdhAJki9i+Nr6NjoZNl
56xXj/UAFBTjF9F8z7pz70/xBynNQ55J4lJ5/+RUUHis7meLr1mZFjDvbVDYfhkCGp+6bGvNSMbx
u9B3Gg/2OyMI3FNKppcA8rPQpLmyQfAAX46fY8TrAI6d/UT3tlPVPsGEQrMn7z6nuCQ7HVQO2dTo
LnvgG+2glBvDFSc8sH0cWD4bunscSzCrbYxOFs9vBOa88kfbE2HO5SIOFQ33vlmzzbcxRgh148XL
dZCWPVj20Q9J26c70U/zOxNlc19rvjXIcc2RMMlcDeN9ZhPccILqKZ+xx4GqOT6UIefpyCIGkHmL
aomD9lBEXuphIgromAbYcdiS4H2bVRPiHF6kGa4BI2zeCKklXLuR3g3ns2YbPyp+v5+q7ixDuMWR
Zs3r9nviBPIgI4xia7L6D2Y4dhDxlkXLA7ALVGpVw9Zwm45U1l0x6u0684iTe2U0ocM1vp8klEIr
N+t1r8HUY4FrxtC+ONCqBxMWiilsex113+sh+yHm+Wuv1+9trc6fNcDkW1PzANGy1AVDVJ7zVIeK
FzQOEJO42Iuf7PeIN7SgXluykH1IaKJK+i/NiMSzUyNtYzkRqEDJOgpecR8miNF4+iMofx4AwBh6
AsZ3/UzaYc4MKA0xlkW9idB999CkF1fH68A0cKIpy/BnVPSPWWXs7br6brjlsAZ+viqrczWGr5EH
qMiEPLdzqg5L5w50YGR9lN2XvEeLHPopailpNW61QnsxOqve9GjaWgY4ydyQX82s+iFHEBBlhNnC
NAskaLwUDEK5N+SIXit+OKKYT7MGIG22mzsSgkStRrCiOtEmlN1Ri6qsdeNYQP9tZEDNQ5IiisLG
U8d384Ev9lma4QSAnv2mkEG5RVgbDuO+6jAlCKYQSd020S4Fu5ldP/6YHb5eiR+AeUJ2P2iHz1Gh
zw8iQC0tCJ/SKPvGT3zXg3uOEgdppNI+zDX6Ik7+3m+JpQHPeAe5puifXWGv3LF9znx0uLXa/FL3
8NHDPENAhyNy5IavhFNhbGEbASwK47TyHM+AkkCa7i0EyjME3BKPdFuvmekhqoOLHoJYtOfnXlrP
U9a/Dr7lwmUYxz2+xWutRwnTlBd2frvEDohKjrDOIwLQMhifa0Nka1l1LLmz9dNbQDOBuR8Lq2e1
zIj7luXGzfTPYwXWIfTKbyJP8Exxqha2Iu4KJOw5qkYvgwe3z+t71Pw3OQlLqzwDpQfgT0qEFL63
MgKCUuNOz1r8ANyL61SXRsJcG2EBsHH6hPn3EYzBhxruMAyoha0J5b8HeDdMlzEK+KAn98mvm5Vt
9O8Ktye+EgHCqYMUBVzNe3Z8l6dLSAY/DLrV6NgswjXmGnZhbkun/xjrMJpccA4xyFZ+HMiHJdW6
zVFHqazoICUJGTxqZB9tw3E6yHYM7mxNP+Sp9TDOPRC2+dmcQ5JkJloHgV9+Li0EvzthfCDRAr1A
WO+cee9GBn9FPzzqevpuiuUPd9S/TON9ovnvtVA+JqI+2Wxpw7h4CTxil348HYTnfgeb/bEogfKQ
k4IN0iHMLzMnhPLjpSf89sTC4hizU1pJAjI5bitqRPVdh41UspdC+jYpyncVi8w27c1XNcsvcSIu
O5QqJ5b/E5ySbmPqfG3I5MCX8A30qZMsP2EcPh3MEWghmeKTWdqr1tSyFeayFRxDgJAPs0TotC75
NZrowToVUXu98ps7kdT3vqv/dLYQbKeDBfZthQ/oc01OPCsb52i1pnMkLYBMzYyVDpBGzDZSExIO
S5qvl+PRADjqOPwLl3cidMxMZONDdZEomSW9nqy8BdtYz/1D2dmowUQ/g3bOz6NVUIzkfETff4F6
TJA38YgZFziKJO7oHztnso7kPpKZ/xeElVuzzY5eifqrB+JX08bPWmk9pBA7OCL5B2Ik7g560YWk
lySTCy4GWnllzt3JzZIIrG/5U9PkOXGs8XFugzMwUYtFr7VOBrBd2F/p8aseowxozsVOL+TOLLCD
G+z6KAajOeHB+2Snpr5zsiY7lBN6Ja7WcK3T3IXLH7GESrYOUgTTdbMoyHwYE8AFaAQltJ2pRpg7
gzyijXLficpDTKPsTkkz5HiqwcH0k1MTh9XWmKqvURE8WsJH1yIeEgAG87PfDdNJjK54hD/yCKr0
Zyh5j16CKk/Py2R8s5LZLk6DjQokNqpsGu2PVc5z3270LdbtD0XrfCLOO96n9Vhy9pt6AJj6rk90
/J9LVD/c/JziebnL2QvfCxtp/XmGVQTIaVUZE7pOTVHtvSnc5a07nNKl8MzhB9RMsc50vuhy/pB6
MGXtbTzgpSdbdi5QLwBT+n57cq3oqxeMA/KaLnZ7dYEagV7ufHP+7hbjxfa+wqPhazE8qqJfalrh
oP+mqk1noH2ohqygc1mkONGF+ImIkg9kqcWhBJd+a6tOUdYIZKhqqMY5yP+a/7edjfBQBodmkIM0
AHHBpy0XE2NVi0wsnv9tU02plytU7XatuuzWVLXbrYAU86xKATOpO6sb8Py2tZYAuabXjxoZykdV
uxX/ts8Fgsym8W+uq3jwR0vSzhcgo2+3csy40kmc8EqqAObZXGvXe91eKjIBpV1ninCf+b3YoY/W
6g4SQ8vlv42T4vWMlepNXNn/ekeqre7Xdd3n2p3MFVslNF2L5TWTyuZBraopBtZpYL5HwYJdwQIL
0/KUjaeVfpR2tmmLANsZDZ+wNiGUDao+3cVBA7YjgRqbOy4Ujy5tV+T5LmEcPEUjEfl65lvd4eoW
yqx4qEUBFgKk5J1os2ZduX56dLOmXuPHinbz0uwDA5EcLcw4tdrjeigHcTAa60Os26jzWRylU9tf
RDgHu3yQstvCHQXF47rWwYHeCqzhxZmAdYt42/V1eojDKD2UIeQHHURXa6D7Mw/Idbq1fo4dDznh
2Z6gb/D28NkyEcIEXdXOiDn3j+85iM+HPtfmg6q5ZLvRfwajrJrGMppbLlJ+frxrqujXtGA2UMeV
SG0nhoHvFCJ7Je9ktj/huJ0f4whF0HniTNAkOhwjy4edOxsrHbJ+DS/rsU99clpLYRC7aGI84+OK
5G84CPmQnoSmHU1OKo9BXll7M7ikLGx8RtyQ4zzLy1ygTLoUIE/eVabt8FxmRh1owyHRBkTpksBc
NSlWUppTZhzTUyIMY/TBMevyOLtuyt6NXL4n8m+hZ6N73yEH7DXVFijvPpvRrNew9PMrToZzCki5
8OJsI8foi1/hs9bG0WvtSVSwSGUf9NTVD6qmCtyI9INnw78yU0S/Yxt9JzZUMLMP/Zwg06RmlRPK
4kRmUFp1PXtfZTlaTBbeSjVJ98lwvnkc5w+OXdePedCuwAiJQ7d8UzhfEKcUsmel+u++0CG0Qrqj
6YfnMmfXG8+ZOKgvlqq5/QCIxDZxYjPMiY1je+iGTm5tAFIHb2itTRLHH2dPmNDIkZuyjQPoauug
xiUMg4MLuCBEiC5ERoOYLeLoejHvwNA9llPR7jV9JEFnaw5bLdc/mHqmHVQtDVyXAxjKqh6K7RFS
W2Ast1Fn4xho2Vq+SoE8zp35WEvwGmY1THd20icHaabJwXJaqD4bT4wGev70BhDpH6SF+4FWuPHB
+Wummq4Kx93HsntHoDNZdwvSxOoz70FMrMTR8scKMwF7cvkM2+VLrwqjg185Gwbieg3poBANyTkc
fhVaFKDKq9rXKrZSyNZJTridNn9QA91ySRF3pLR+m6iq6m5qXDUdHeUvK7GQEF2uuQ3cXlX13ZpY
JVsPomPLe+u7vWgJAwJ4x0cLVBgwhhALYTWoijKQHAGEt/7t/d1eUU1R96zUO097Imc+uQDUE/jH
D3y5PBEjULK0bq/95u29aarJb96GulbN69voW9pVxxor5A3GWzrrLrlSu0xeko787hCCnq7hkQiy
KJeCgPPWKq3XAqGPU1yb6JgT+VmxS8cNyA3toxcm6GI088kvvL2lIzhSky2fE6ieY41NX26nxmOR
muaB4OMlsGeoQYihwtM5B/HHxoFhT8wCgZjkm8k+d+WSsOMhxUlXFC6Cbvw6RUA8ttQtIIt2E352
ETYpUgft6MZdDSDYHgVps03WlnyDTWMjOkSO80k/yi59RTug2hDd4DhqjdE9TXPHm0BGtWE7CJbc
XWvGJZinhaOaf870yf3Yh1/KNlyX9WicF5MXeJJbre6fAKcEKMNGKIdzeEKXCefbJE8+hRrL8jzM
w0FUBJKGzvrWieYbxt1it0Q6Vn2MIEE7xqdW9J8a371kNvbEMGyDEOnh2PjIOQ2HjildzfyNVjzP
fRSoDEKq7lDsgR/fayDPXhCpwd4wRsVFy1wSAGP14E/Bnn0/8tOyXEOy5ejkia92CT250jGE4Cf4
bBaJTQQ9RPAhqJONpxf2A+oJ57GmKy/agWjweG+IZlGbQY3WbPSvQ9V8bnUbkgPKA8UsLOR9XufY
Dl6yBisLz1yYXi2axyz/hYgvfWVGAAiQXu79Uz8R0OGnjM3Bdh5FwhFMQ95K1k+6ByIziUrc+DSU
YAAz7+0Z5nV01lrZbGLdJ5Io5GF0JyjmBalYO+vKU/s59qV7GPqpfNdiktcSvtwVPYSrLvcXzYfO
Xocaql5GWcgzCDQUlzKUK0Uzr/u+tJ+NOFjnNeLqfYFQszYYR1/HChgwz2Oa5yM2oyHWfNHww8wX
vEAeWCv22WhztEO3InaGzYc3zxs/A5Pd+CB6ejvQdmxI0EAKEfznSLyC2YaqEiph61D0FTj8WXsq
p/DUuUO3A5hIlKPDBsDuSnNbTPFPEbrJWRcFuBO+UUTaLIJ8wwb8Rgfsoh/WYQootUuHr5z67uJR
ovXh2uauwlsgMWR7Tcv9/8Tv/1XiVwAR+J//+39ds4cPX9ov/+NHvlx4+pKRMSbx2yRv8r7LFb/y
vobp/ZfnmDyZXAfqq1wSq9e8r+GY/yWEbuieaZue6Unvr7SvY/yXJUiACkdA+bGNJe//K+1rM2Tr
HqOW5YCKtMT/S9qXjOEfCcXl/QCMtoUBWFAXumu9wfkgWTdlWaeLH3PT/qzHKTiEsx2d+g59DK82
5i8RCJXEaGNMIDvkPUPDeqpjlEYMB/GiAtHMMRzGJ+Se5lXXoebl2XbxUtd989RF5h1UUCy8liJA
WgcEUGZvwmCiWZXi2NnuxXEMyLFtvyDbE71/vE7W3OmxA5p9N894X7plWpJ06XkOc4Jp0uJ4K5yy
L45u2IbQayINUOiAVMRtWNXUHFXre0c7EAC5deem/6F2MrwJ2Zw+NGFlvKYIXthV3f0wElw7DFiW
Uz3iET/a8pQGSfqY6Bbro91GqBkDCq8cs185c05AVC/qY2b61VG0frn1C//9rUv1q+LWV7mYq1e2
R66Gi7RINoehewJBjVluWpV4rC9FkwTjXjX5pqVAXrG5edMPLQlBqKIk9KNmq+LaLsaEMXVB5A67
OoVN46j59vUqnnJgfhDUceAqIFnaNJiLY+EuJtxcIGNmbLY7nIXCpM/2yQST5F+qfpRle1Fq6c4j
bo3OdO4ORx5s41HV5gEWDZoNTbxfRtVAWwHMzO0WLzRoEIhz1tWnCDk1EDZ98Ci8wH2FUB1kXvnJ
88sAJLQB2BSqTDhmHK8mp/xkGJF3n9cCif64Ex8Ms7hHrav6NJoy3zpWHazVtCHSnwpI5c9OLIff
Lq+CXpCLDMJN6XS280BKKnp0XWT+VdOPEnGSvlbdZb7EIRZOBlI57pnkDesYUHi+ERWUKOKBZ8co
vLO9FGTv92FniP2tvwtz/9ExgyfVpYpunr2zSBP8PLPh1z1CD6GRIhgzoFPxcADVORx63UZTL+sh
DY98v94MqCm3vgYREXLMTQFlInb2wDnCjdFUH1Wrm4Fh36nq23aopQxxcHb26OTgcdcJrMCWW6gi
r7Nlse0RuLt18nxcIaMBooBHJbhnCh2N+9rRnBP0+Pa5K412X+fRU0Vq53tPIG0iZfvFKhFoBCUc
vJ+azHqICsc8QxqfObwZ2d6Ph3IP0WSRwPe6faCX2vAexUe/Xvlmpp1CVA/utApu1shG4nIt0jwh
7msgA/tX11LTXKQq7AQW+20g6r3o8t0cx/DXtctEEF/+Ks5TQZofblfVVsicGN67nn/QsyoE0oa4
NwDEvfVF/nzwYs06ZgRqCZym3UF3tetFfhQHO7JT6HIuCAqvm2EvZwgb0IjiOcJF8VYNpwakhVe6
q6C2fo0o9EVsaiGyAiFu5pNlAIlt9PDkTgEY2Uoc447nXpdW4YmEZ3iyA4N+3xWc9qdEbK7zutn/
NZ6BoLEy43Hq8a/TWqE/N3U6PQPGW+rXYjCRFmsm576qEuPaNzs8HRO/PhRL1xhk+aF1EhyA/vui
NkTo681N/esNiqA/k5Wz+DOG+cUlLoNMSHdE0S6/XLuSrlnHAxRO1UyNJr94k5nd5t767YXbh5Vv
f8/53XnMZnh8s+j94xCbqMuPdvYN5SVNS+ev6FWAyu2y5OhOaFcP9q9V4Z8nIF1XlNhf/bYf+Ds0
kf52kfV0zzINCRhC2sIy3y6yBbmTom1m+weKk9225cM7jFZtHEzbQxbBSW25qbL2vQbXClUTUSYA
5OdiUy6feeeixTya9jno+MyN3iZGPeWIGS+Dqi8MDI4sYEoeZ/ilRyOLdxlsa3eXx/HXdMYxiSDd
ppyDL4nJNzTtq5HNZ75WLVUM/S5FfO7dtYGWFWp70aUNB+2d3YJc0D2vO6jBMsMfNc/reqeaOpnL
RrJNxRmZKHJqa4ixTdqqTHXiFWl1CcIs/m7o0WuSdAaedpG1zkm6rScDvFIIcb8cYv0SxcLZ1KkV
PfpNDz0NCYeV9HWgDXkJu6GBSDWlETKLHSrB5oDbZdj34lnrKBwXU1KeWv5uQjCAZp+esjk4qJaa
5jZp9ZCWvPTUOOL5Og2twQiSs2lll4JA9oasq7bx2sh5D6/7LOsA1Y4A2CffrvkyV/W877yAMFk2
Fl/90+AY3crIGudhTku2P20iT//5S2OabP9+g3oJvgqOZ9iOAIQtLdcz3uzMnNhEIqqpg+8DycCH
FBjUM5FJRP+xTYxNPJSrHuXOua0u0sWbfEL6GNOMMXunl1l7cHJE6ocgHvegmvgGzAK5I2A+qOp5
pJ0zJESqovf3twFVU31qnmq+6btd+2bg7ybf+thhmnf96OzSyMxXZSTsYykSbWfYrg+XT/TwTEmR
hkITr5PTvXjWIH7W5O3KxsI6PswMnKsCa5GHS6xHeyGlDLUOgVi1Q7YI8NqW3mtV9crWbjYmxJjr
9OVC1U/mYrxLoi49DLGMt5WpN7vSz8qzF1spEqmW9+oW7XkyCv9HpOUbo6+QEvEWbow36KfU7OaF
DIiHXp/RbLMZ2ealSiT/HCOl8KjmqS6kuwHbZVDiljwzSwPSwlXiHVqL39pcZOGqKXoLpVw9eUL4
O3nSy1anj10BYerkyeq15MmFY75JIgeH1qVPzRNapW0zF2tJ1VTF4KKJ0sXT661LjH12RIx3Z/GR
P5j1YG55FbSKy8R6n5CAz0Yp96oQVjWs/BQeUL6s+7cBVVN9TdSRiv274a4GEj+aIRKzf91Q1Voz
gAQgG+vLnA71QXrBDxQ7jBOaN/YHJ/XQhwuid8YcDC/hVKxQE9KeS10rDqWH/4jRhsZX6YitH7jm
R2fOOMj3QbobglB/YXH5piaYYMhK225ePBvfDMBkOk5Jlvax7tyNKAfjq+cjuGyROzwj21AeWH3A
AiwDmIvkySaY8bDIhSUxwpmDIzIA4XGSJhxDshK7oTGDE1vj8KXy20tUhPqxEjJ8MQrAHbEDKVQN
qqKHzT7Vhn5UrdsMEtZcvlz11z3UDDPP/es92hg36cHMzBWMdKw03cR3H6/VuDDcRw2iFZoUt+p4
IaqgbZzOCleV3Wkf/B4vdY5xBOTITn7QLTTChctqoEZhcD+QRdZewiTXnoes2yAarX1AD7P6J+KI
+edTC7LIcpz0ACzbhic51/4JUPXDZIygGOY/EtPDbtgEEzDEfvO1TMJ9n9SIGCcnI8pqDOKCntyt
Y753u0I8trF2CFNIivcRSKcHHyAUsmeseG4Cnq6ZwvQx6vPCW8ftMK1nkIN3MsmHf0DYKpjzDV8r
ePuWhSaIJ23D5aHrLiv5b/jaKc1gX8rR/64N8bHy8uLDiNBTh2T9a2OVmJEMaEtLyxKvMfEq4LQV
BwoOzO+qItvNfileLfKd26iw0C9Ymn5XfE+tpr5YrqY9OQTJrleXubMWbRhu1L3BIz01+hFqMpCw
z9E4N+R6UXUA+DNB8F6q13br/KoldkXexC4nOMJFp62KKe+JihVxf4aCet/YoUTN1uZNIAxObKhH
/LJP3H2UOs61iMcGBptqD7G7kJdMxPQyyFRq9RPYHUZt674KI4SOYiJp4BVljU1K+V1NqPl13zm6
5j7Pc+rs/AJl22b0mk+p7d6jKJp8aRriv8nII46gKg6nnq6v86a0Vnovf28KYA4APbSXzBHBEf2T
8Khqqgjh3t2RXEN8/s+BaA6yx/+86MqF3PHmz8+Z19JZeSzYH2r8tz+/YQWT7o2x/N43bi3xz+vu
AvQPjmOmn4EXTM+W11I4Hhi6iEydvTTVQKrhnmPK6TotaAYfH0iSjnLAYMHQd8A/QW88xVqyqOGF
wIo7hI2IYj8hVO8/TUaZoCKG5Tg641jR6zkG9omMkV9ZrlATkcj7yPPV3qsrVD98t+WuqiMPBPab
3FW11BXqrpkRmve3u6B/BGLYrqKNmhctBNOgWVsWyjpG0iKSc60ubVVTxUA4H0Y0+/87Ve1iJJlr
C9xokuTr//xXMBTH5s8/A4EvYXgQEmCmET7781doRnmalJFtfk/Lpr5HrjE5Z3X67Lmwmp0ySM6q
6CcjOaPZE98XpVuuVZ+aq2p161irwUAK7c3AWA3tDrjd65t+9BSTUzm8vOlOllc3g/jQFlO4v91f
TWu0GBRoioCEav5WWD3iLl2LSNdf7/fXFQDsAbTw0/lzIG+C5Bhwvrn1315MMwB25QbKGstFqj8i
fw12o043GeIFbP1DihYozd21/baqJvgSnS7SEcz9rfrbZaFVYGjzLzdbLmi1UnuQpeY9dPUIaIy0
6lHV0FA2iasf7bh7icbgxQpq91AVCGES3S7WdthO2IYtDAU1IglDHlRzIj61bocItFIMRd3TwuF9
YxokOpvgmQjUiKifA4dBm/VP6HI090aPSsocuPk7sEh71c9hOl4PrVtuszAyPplk1My+fkWqVe5K
6Myo4HL139zVyKv5H9grplzoKX9+cT0D+owrbTwCJM+zP7+4cVEYydCb2XeCHvyFpT9ipdWZ7jEZ
6nXr18letYrYREctNLN0RcQVzuMy5beRAa69n1bXrnbSI/1BmBDeDU8MD7fJ4xx41zlNifDBRGIZ
qZBuow88t5Cy2UQGIHtjHtwn+DbsfxznHra296S68jZvHoWdgMTKXffJXIpyljUeJ1r2oPrUvKQF
Q6+Dc8CKgilDGuwz1mPgC7m9z43B3qvarVB9MgzzNY/o4E4NOCYSKdfq31332zBo+mmreRxmI1+8
vf+/fbnbq1cNSyK807+bCtbCeUz5jPazPmqHwsm1g6pFUfOhT2xt86Z/XKbd+sAi4ihciGVrQhz5
dv2beYNAqbAeoOy/GSiKCv6gumETIEXl8m7vf+tUd5SEyLZIk5/CzsYiLRlAPBBx30PHCpqkbtZa
S78adMcEbnVmRfZ13u0Kom9Pvq9Pm1vX7TJ1z1BsIh+rwEw/uLwXhLDb4QNqZ5+sJfSdjED4iTN8
kT3mrwQRKpzphXeB5bGqpVt9dicsBSA/ccLoKnjnDRqEGi42nzwCNerYL9MQv6dQTxF4H5KtU8Xt
NscYYEgrH0VT1PRdp/ygNU1wLtP2U+YXFcLDSXnAoAPXr6XZRThjZgmqNte5WWdu6m6OV8kyOtQ7
zTkArqsQD+yGizXG9W7S5bwpbQ2Ua0FIO3dS57vufYpdUONpRd7U16L52a3QKO9jFxuSxFpW9G5+
LgXmtzKuta3qs+PFFwcTRHWB6iLY363zEP/5IIgB5y138gMLxdciPKoZ5Oj5BxLiWgV+NdxLLyZK
jBRw/XB94o32uEAOiQJNRsVRnielKtTo7cl4G0hYW2yTuPSta1A3uT1Qb69061Ozjb9u72+NnVq3
gxkpvaH1QA6rdf3aXhZ3HKPIaaAVeuu6Lf/G3+wG1Lzb5uDN7W7X8hGQYVdtYQzhP2wWrD+Ji+zY
bQuzAMOGPqk77N3fPHI1I9AcMv7Wt8DS9rIukNcpo6TfJplborO/tL0oDFH+WjwU47bYXjvdyi2P
Ix64TjtBNwGKHKIiOstFZtx4UJe0oCKxhZsRp6+H+FyJDJw1O3I46zI+qz5VyNTDIzvSyzs1YC+j
Tm0GGywj/Gn4h3Ci9S9HLJvDlVz+M8npQjT7c5Gx6rSpvThpvok62OGUUB7S0jfXXRX/QKFl1hG2
QTz8Wg28j22p4SWPC8K3QPPfFaxbH4zQ0lf+aHv7xnOaI1t6FBVrxNbrBBtKpzNwYGhkf5xHy3sn
sSiIQt19zY083/YOiqqjE3qvrei+lH4jL2mB6HHgBZ8I6z/9563gkgP9c0G1XcP24D+zHdQN+TZy
asAEMkdTz7/JeAQ+Tqb72U98fJZCeVEtHRbpJidycZ9CQ8sRaS2eAigOYFiYmw2yfkzNBbjtOWKd
VDFKm4ja7sep8veqVlrDuddnAlFLPxlPNPRVVRU2mHQ5T/rjENg+SQnpP+JyVO/bpNU3fdG25zAa
2WQQhXjnhsiKIx8K8gCltvuwwWPhzrej4BBICiKp2l7VVN8szHjXOT4YcAbfTFNzu6QPoMgvw1q9
3CuK+lMwRdV7tp02mDl8NNHI0z60U6bfp8JvHlVTWMZHTfPss2ohrFONc/vBQ2T10lXzU6Pl8T/x
Zd+mkfkVenwh2RDp7OZN422w0tcMfSxrW/sagRbadDniGmmfP6nCt8eUBE184W16hHWiTMeDMN92
k8yfoBLlT3UXZOfEhvmkVX5w3+Kxc4ngTER9hH9v98UeNP+s7mUsd8XrilQC0Pzba9ho+OGX4R7U
/VS/FtXv4Zc+tIk5P3UlyImk8r1959soCsbtvE6xXHtOYwwkoqEfvgytsc3SQvx0U6S7U+l+MQcY
OoHtBS9TPLcIKef+HieTdtWjRwMTpTjd0kFirnirloEJwF9po6iWz/C3LfTTSREBKOyOqVH97UVR
12Las1zgLBeoe6Cf1B2XV2lDpMbvyyn5/RVA6F0iG8XIsiogqGRVh6xcfYoSvX1WXfwoplUVWglE
H2YYPWaJhFGCsXioJkcehF//yJOyuAxW5D2Nlvsy8Kt6rSXAmG5kvc/9Tr5WYXfsey9+GbMwPdcD
6oPl0t9nYwQZ0E13uT8hZJek0QORO4hNU7qW7aAdb0Woy1/Nuh3f+0lPjB3x9d7aE8f+VZi+sPZp
h/wlHraN2KV2+qD61JQJgug+bEJjg6w0kN646D6a32qntz7qbTUds0oncb00Na0c17WF75esI+tj
zZbgbujz4PTrmiKoxLMRhHITDmEFOL0SyP276bdGHme91D9HoHAHiZNZX3fFi5wIb+hx/rmabBiv
kSZQ9W6n94Afthk5l88W2ReU35NsV3RR9BoDQ1Dzs9Bw+HWWIIaXy/HDXS7+hHNOviWQ2/2DUoQB
Uf/tSsivzrHVGojGgItgwZ/rAvYaZZ11dfHVbTjDWaUrz8ZSVDPKHO2ira36hq6sSSbq5rZ2WSdu
80KIYXtwV4dqsFpwWQCTO2c0NpjOeB/7YFjFvTl/ib2seRh0NziIwp8eLWRTA82sL7ktWZByuXPC
qLmorlbEsA/tBvOvv/rUAEA/fsBpf/ShE16q2osg/xaASHWTw2BmAbsgXTDsjdAVJJ7BkahmEJRA
/2Q9DftrVfVK2Zj+/W8TVLUsyfnE8QghjBu1S3GdvVztIXSG1FEi972AjCY0v3wRYxih8++yc5hy
/TmosVPPoZLh9I16UtwU4UEVPhORzswrGE0CL8FlQPWpmruM/ts+mMrIcst3t1lqKjmy6d7VoWaH
ZaOTguywRdAqvOVF6kBakr65wyIAQtVyeJNliz6/AURl6ZqguZ81qD7W0lJdUL/RwcnQb8P4Ib6g
9cayz0HUKprpU1Vj0yoCgOhdKadPYRSC3/ard36aCNJ+VnWvpvGHwa3ATaITDBXrua/Fs+oHDTOs
6v/D13ktt610YfaJUIUcbkWKYk7KvkE5ImegEZ5+Fpo+5jmef+YGhQ6AbAkEu/f+9vpGB5+m+W46
ezoUzJ+zOxoCpgcvLpJdbKGkF2MYvrTzQWgk4L32+dYTZgbewThohXaN/RfOLDiotTt96Gr+BBwU
XEIeUjSt20mz6+cmxBeijjVE5fNoOCGrK+H5bRQWDhgjBdERmUq9bYa0gGqVdJR9qd4DW3QfoSKs
mtb0f9o23NYqqd/7BlqrOl9UgTPHz8iOV2kwm9igMWVrKE+dnF3i7aCQpgeMQ9ugluWpjKkFI4aN
4le3TJcslLcOcARRn8ogh0+jZGuZ28kFGUcLnRMueyR+1CzvNwhgti6qnHcWESk2GR6Mg9Cdngnh
HvM5dBH4OfLOVhmW5uTG2BBMzhlYGIAGS9nIFkwM5yzPqO5coNW0j24akZVwB3D7IzZ28p2LhaNY
t3r0Kd+71PPgEiUHZDubhuU0lvrur/dzZBnXHh8TiGNRyXdU5j+GXtFfnAI7KKrOo9fUI9HbJln4
aRb2DydRy+9DMW6Fm82u4/1FSSZ8Byi85Keh9JQHt7KzPQLNR9URwK1lH7p4/1jk2keET+TmNqB0
nn4sK/HkgTTFo2bi4GYahl803TaFViTbdWM368opz7d585TbqGzz8UDaPx/kPB6xs7zV0KSnqIYH
oYUx0ByKC5/lAYtRD9nX1S7IQPlxlS57O6mf5FhQhMWh1MSrbGHgK56rOv5mpbhiagZBz9KFzSsP
XhXjvooM5fHeh1hWOfW+twqyxt7f+zH6nHet4ic/STnpasWek3c5NuoDilrZKSeruQAtEefHBDz4
BiFI+oFR1Lq1MnJfBJXPXRd/k924aSXgu1vAUPMswYOOIjSMcL/13RevVZayv3WdYksWPVlCp0k/
kiHUFmMS9StXC9jo2oX2pVCg6hUlL4J8GL1zmeM/QwS1/goYHhiLGgYXtE/IFoze59+LDNUcBbVb
PuY58pDolJJS2f1Pe1AwYQ76Cp/MuS+Tw7D7ul1i6+1OK51008EyfqxiJT87HqSNplaiH/g0OEOL
XJx0+8L0o+5UxI1NZrXjOyxJnbchGy5yJuLut7j33FeLSrWVkvrp1gvVv+4VuFg8JXZ5dvpJw4uP
UrqVPDWHxKge5OmAn2ZZdsFGBbyys8X3zuEv03i22FBEXr1WmdaCzu6jtWDT+AoMu33EkcResWyt
X4vR5RcZYmQlR70MU44JSfZSjjoYEm/gj0KUmCc3Ga80Uxvg4c3NUKj5Hlwt2465mfMHc1LTxkib
YlwzB3XreaizYDvDEPP5NLiug+b55nWAyUnTKI+Wr/k886LYKm5IcTpwtG6hpYlzrMYyfOy9Qn8x
8xZ6o1OOX7GB2nW1oXxJdHNDSix4sZvQPU/GSNmeCgqxUJJP326yg67E4UuhRuLRwnh1UeRmviEF
O+4Ki2+YMdvLg0a+73Ymm53mZPt+PtynKL4NGcwC40cF5rjScO5VkXfu5IHId7vDDpVUV+vaJLQy
FyhcbXZrAHThSR4KL4s2Im+/3rvk2aTMtP2o0NZKlgFMMY3xCwZ5J4Q4yQvM4mon+4O5P1aVk5KM
z4OojV2PZGdZB4m/CMewOBJQLo7yTKVE8ZiK8ffoODdlnxz1UqQwPWVXH2aDOYk+qhZOVkNzqEl5
LZSyqb6JGoPL0s4+UWvXq0bPBIU4lf5cGsFXfWIFjFx0HXrtbPUX10d5phPvW7LJthfEyvg74crx
e8S1Y9J5gVXzOqbvPiAvHuEBPRgO8FY5IPtud7D06NlhifZk6s0ezNkChS4Qlb4kZ1251F3PzbHB
u1Y2fUL1D7ZS7vt6QGg/1eOuLfuKiJCTnKdS9ESgVf7pbJchxQzduWmdeJloAO2x8DNe8S6oiEnO
KPz/NhUqh1b+mJT77KvvFjzEVWa8UCkbfQoD7GWWoyg229ReDdhN7jDGajCQGqMnqrbKC3INTK4r
mwB4FBZPfHLTk/Awo41ydWPMLdkFtjA9YSiDRWEXY1tnkQrn18JwFibVo6vNv9i6OrilHV61XkxP
re3Atc7R9oZZipyMmiQtEs6+VNMCB81KfLZOSg18Fw2HSLen51Y3D17mdp96XmSrgTrOtbwc/c6D
IvL4UinQ6ObEPQEKdyuT9fIA2dm7NeVAITP89zkm9QUUwlSPmtKZz7oZr0Qq2veUz+cOQ9oABHnY
vsdGX656kLq3Uf522kNT9Q5LT0bVvFnkRua+mG3ln/MKXV9MjUuhAlQike6fScvGh8Imfz23ZJc8
5Dk2kwBDTISC50nxyg0wpLOa5NGy0rNi41dN86ZnAOVa3D13spnqw1fMV6yjbOW+vlbVKr7Klqs8
Bs7QPasZqH8qBpdGadv7Zuzt/Zyjw750PpVteYj6wX+o6iZ9vE+UA381O6cA1tmAL/9zv/tN/ur7
X/dsK3Kgat+FrENS69TpQbQ2aswHIwIryWPKunkRmXH2qCbvo93ZP1qqNMByY7ZFMO1URany2XhW
vZgMI7j289MqenXcjWlJ5L3otZWGxyleJsS5By3PdlZJOr7mLfIlsOITdY/li+yPwuh3f66lJ4t1
0lUXX9ssCs8YMdjAOob6W2vNhKoheLN8THrMnD1YA3XrrSb+ICfgJDw73ZjDKYJYtLenDq+7KGi+
5VgwD2jTvgDuNx/r2C22Wpj2V3uIMZ2f7+3G8Y9Az8rnIWgMaKZOump4xj+xF1zICUYN5GxoJ6iQ
iukcSwNRdT5f2acm9s8wpEhtAsOI0YJLQbg8SP23lIrLs/vAX/P+asrJVQSi3bUHKr9mgfn9Bn/d
7/4zdBb0KPMm/G5tNVlZxTism2psP916Re1+8qWxDSSwKX+mWHOTLwR5FsJ3RmKhxoSGA1CJnJYB
/PcIorz4dhptc0MBstiO9W7onXoXqdRf3Zti7ktchUJUOSzbt4l/Lrn3lQWcoCKp/eX/mhyCH1zX
VoSoDCJylBg8BRhdvHRN/D0srfxgzq16xA4i6a1p3So+Zr0RX1l4erUZvmtzQIlfj7W07Mj/V8jJ
HSJqlezwFmRyPSJvcRO93yJI9wtu7VgJds08WZ1KdclHOtwqQl2Q4eugYuiQoOTZ3KdAmftlGvBt
o9Gjshiza6IR3l427wfqs81dq/289/w1azIH6hfbtEfmRt1eXTTXZN4ijWiJkPO1cMLnptYqJovL
xFt6fZ6/2OCf0V0pnzGOagBAJm9BlZ92ULREXVINnX+mVb0NE9/+MQ7Om2EH/Vse2NajWTf6Ls4c
9dBF+Ko0FFBhyJXNAPQMhbYP0iQ3bOVkm+L3YTBxWOvZtTzZoL7OcqDFMeukdivZGKGtOXD1asi8
HTYBXrzIqZ0D7aMmPzWgXaGX/hJR+DNSXbJbSsKuIJwmXCtVcO9Tnz1Nbl9ekSZiXMsX9Ld0wNli
vog10rktPftDbcwYwxhrPHUg4TYGlY9aVK9C32uWoTK13yqxkornqAKCOGTQg+1Z1adRlgNcv7iY
Cgxc3cz1by1+ZCFGMq9aG5lPlmqyfk20+tV0/WuT2+UX0CuvE15kV4p186vquCwUKiN9kk05oNTN
mpp/Aa2NGTgmk70nEdga7+yW0T1oJaYWzXud+RS7OA10NGgPW3VKphNbQ7jW0ZB/N4udOyXVD7yX
SFJ7WnKBFl5t+Kfj8kPC/CWkZpuqTaY0o/1ktFr/SSmHDfHR8feTp1Phx9fdshNT+2mJbC1/LgFx
HlTWqNfSqoH15X5/pBbu96FA3rXLAkE5xT/9HlxLgkkxCv+KbdPiPvk+Z+xJFxSj5mPcbV0iX42f
4qEK31jq4aOLKcf61nQbIMch/wnZnLR45oWl01Y2rYSKVFxOvB3BtPDNatE3VFpSH+Ro1PofBKSd
I6/S6I1t8LEcnO58uxGJ9iALkqu8EPTeg9+32aWDSnP73s5IYfWJoj3IL23Z1/UxWdPaPty7ZD8i
ub4imtzaAYj2MG6vZt2FT8g1v+I2jHy0GlPI6en0HeHwtO7UJjsVFR8UnI5Ivo4QupOk8X6MJJn1
sUC0UhnNsSOS/CXKLTzAp6q7+uAWV6aC1Nb2+3znEbx4KrW8vRBVVxcqgtNlOkFmsDG1W4DJM5+w
J42v8uB16UZFs3S8taKGOK2tbOwpTW4TXMWanoxYdAuH+umAQnTFSoaDPPh6C9FJno7eh5ji1dQE
/luBZf2ubygqM5PJe4v0EZ5p7oQrfW56YOYXPF7eRo7WRvqjzE33KC+1Zgt5lXAZgY/yaqTWbZLt
lvoeftAEN4dbFLier/MsD2ZewiNGjwbqG7Pe98XoaauxdKrHgbcTgGlw/OwKo2avxuAtlnKo8Aoc
xOb5hvwTZJiBLIM003GtrpuT1rliGxvZRbYKK2hP/+1X9X60WPsxV0/TXs41Qr25TUOz+q97yH7Z
NURjvydU9Yrv4KPcDJHFgsLRkUN39Cx6H6b01g9SUX+0i6LeeHP/f+fLflEXxUsdsOWwDX/XiQ4V
+XymZ8jL9ZRaHSUhWD6MyrQuKtDut+d2XnlaoFb3U1/tZJfruN5ZPrK1v23J8G2qssKOW9T9+/9z
eScH9Nb6WTZayLroP+vJ+1KwS3qN2DPF1439QdCk/yQCLtY+JL9HZ26GUX8iPspCKI31Q9CQ6pH9
RuLxYNcT322Yl74I1vk1+41ANyBCZRFFbjPzPVOVz0RXvtS+sC4GqKNj5NVsBOZ+22Uhp7l5SUDL
g59dCHvbq56/5dEj0P2nbqPRnHSRJmOLdxVCV9YbytnX8deZW7L2o4yxzpx6fVjKPurtdVyxOjym
K/GIGEU/Qxe0nuPUwZjeq6snfr3WM0FzdVfZ4JeCUjGf5ZQ/FwzIOdkqx0g0PTV7GfTmcdKd6KLP
raTmnVhk8Uus9CAH8WMU9kTYLm8H/5g5mU+ZUXYeLFww0Dlsc6y1diKw8SUq28M4y/HkQZ83Xonl
fPg9PBfZFc8btHA+2AS1Fig+ExI0pPCwDsRkSAlGb5njt7A1/OFwa8pYoZlApSghkshWPem8UF23
ogbMf2IR5D/LA5LOd2OwK8oKPP95SqBTsnh3Huu52WEivTdL5YuJn3q9CMoSN0NtPMu5ReRhJDF1
yu1uEA6JO2NRRi1ppTwbutCfp+9Dr9r1At8aTATMSGyp/LZWHoCRjRm/YU9u/lL9GcNptR9BCLzQ
ye0fdtSYSz3O2F5HSUsSw7SPqhY3lzo364sGSEF25blgPz7PAHnhHOWgnDZ3ubhrUdtRrtnjIaGj
HNjdO3YR1stIi57VWoUIPwYT4rpZ6CGHbzMrbZpAKhnN4l9XyklWEPxI+k5ZDITVrnVjXDLTHD8m
7EmeCB9hMT43qRf4kvLyAqk13WZpLTE1t0V2HrFRnA+saXgYJ4Fw+E9fHuThhgxpRRlji12pmk4P
AhqnNOmo+ibCucIOb54dN+OOIshJK+EgUUHvwwRndvPQUmxzVvI0QYNjL+SpvLJdkd8s121jV+s0
FM01qELqb01H/EAaxYkuvqmpihigNpoT5Oh+G2h8Pfm9jbRQKF9ITYgfeqyzSdcucKjUbRZks62v
sEihR2T73bwOD8TqWFAJoBRGr/YAKHLjVVDBkKWWerZy1XgdaCVzS471VNzIMfyhb2NlnWi3sf/7
OjmmzRroP9eZIBPB3CXhoknKZmEMORm10Qfk7+ESytdA+YzbEx7ms5zJhgNsEhOM7faxyyLzW48u
6mHsMv2sTHWx65OqAOFHgK9ibVZOxjdMAfmTq8QyhIiSIzJTHR4CAxqAZVtjx1T3fGjqJjRwvWx5
QCuHr8L53mncn4ZAid5CjbCJ3mNDoEFb3CNiSlj0mtY2xgBx26Ti99lgF2tf6cO1UWSz8Geech+V
Z/fLQrNUqSfzY/zprIehMuyPwNHHpzJJhqfBS/2PAbhlmJvZV76m2kddy5Ktzev5hV/TGSvD2eLb
Tx+qeBIvPggcEBKduvJGRbwocTIQOW/yhRwVakM9IuEII3d8EBhus+g7I7lalNe+UCdPIFjFPPl+
J/gj6qqYb8x8HB6Nelf7SbfPPA/fKhErC+yGaDYOf/z5IFzbgLQ4n94mzmeJEr9pPElP93nyrJqC
C2o7Su3L+o3XfvOrnmMOVDb8YMkrHkTkpS+l7QQIaLty3wyRujOjGLsG7GOS2hkuwsnGC/BulkQI
BWSXPFhDtdDDpjvJFhHs4XIblReEGM8heIFM/ecetcfrG8Ln9n6PyHQxYAhx3ZpnZbxKjlrZIxKa
S4ERqDs7MZcLt/Ph3gRQ/R6peIZiFUhFsRxA1w9X1Zyrh2VbHprETyhWqhbyBn/f9V/tOAqulW66
FKRb+DQhIl5qeE2/mToyDLvVxBPsb+1NaDisd95gbatJSzfjHFwPdJRKYY6VdJqH2WsIpQOcjK3B
Zc7T1zivdPw+62Yx9mr6Kqwk3GN0hWWJbIZUKeF5+ypblYJ616vwdp28pNrVsVHt5Nn9oEQuKRLZ
jsllubeZTdBVu7jFhiMqO+3RVroX3wOnmgElfY2auNnWA+RQ2YxtKwU+jvdGpWbDaxGOqIJM4Khy
1BkUdy8GvEVS2+pf+8i1DiAlvudzKyfccYzj8U2OYTdlnLyoPMsLk8A3zmMA5nyemZqRdakcZSXH
irJ00C9CGpjHPDwjn9v8pxwazDB51XgbBXE0LuJkDV/UxGNk/mlYqsQ1EVH5s53eXJJmd5dh18Bo
gGLy6vcj7FJSlVQLFK9TSHyy8BrsLxlzY2TAejzAipoH+Zhni8yr460cVSDeLk1W1GvZLARxgnwY
1JUZa+T9S3eX+2V0KP97AFEo1F7by+6pq0si1Ob0e1qsUT8FwmHZ4V/XLOUceAPMmdppWqc64Jlb
U14ox+XVcRfDMQ9NmFolfIbS7tUtywFiTnxlI+mxUmNvdKDrFZLpy9Y3PP5Uc2df1T66UznJjVBS
qxPBxV6fDvfDNATqQY/NdOta+kabW3JQ9icj8W8qxL36qZ9MoLnzcK5Rxf5wn0T8PHps6m5e0Ci/
RIm6jZQvSt1eS5bFYKd7eQgDhOHipn2UR7drs9tQVuXXaHRmHsefOfIUgBYcMH7ZBe4BYDNHEJ1R
UG4rM27eoopvd1yzA+IxNGu9uk6JGp9lC8zecjLE+Mzqha1GsU+CClRDXRVLXydBHk2KMb+xzEtY
JeNqjLJgGXtxiO2Nj1LLEAWmTSbP3CKDFwQMj7zZra3V3inEYXCfmbp5kfdxS77Ac+M8zfcr4qg9
WqOP5JwfIbsouJq2Y9L+kl23/imFWRJicin/EbJPuAVlvQIKbSg0uMJeb7Jq4h2ZTEFzCiaqRU3f
OLTzhqueD7JfAUERaqpxkFPNqu8t3K1+992nyav+zJX9mTtWe03nue/ATH/xfYAGWqF+DJHTrocO
j6eY2j7ZH/j29OHWU7u21Arwj4klFAuVEJRUDKOyqsynLhPiOkIvv2I4ELqteZE9rFD0NXFOTGAn
z08XcQ6nU3GtBiNjR1xNRHxnjf3/bRRBEMVHUegt5MVhlvwUSImXNoC2t26oNkOe6RejSxMKC20K
V3hRaFnkvoZfZWcTud1zLRySL1yQD4QrCrvdyTGb9f7Jwx9CjgWEaw+63sBmayP96grrLZjqH7pf
iJe4Cuzn0l41Sguhitu9Kp6vHMx5zE7hZrtJ0a7lVOHihQispOFlwWg2+d7+z32w1JX3ibHqPPcR
pcONpp+MeWdUzbulMjeetbg3DrIVqBj3VKDXH8Fbm89YPdbHeb4cLOb5aoMDwn/nE7/tH+Wgb0z1
0RnNk5OFiJZSP36Y3MHd2iW+vGVfmle+pMwruAIwTaNXbNo6tK65pgensYzWclBOC7XBxJmBcPz9
Kqt/LihWu8hr9NLonqZktBb3iwatvrq+Hh/kNT7Qva07/2Bz/pl//WDZDOJ4n9TRq20L7VRbNU7R
Sei/gUv55dXG9DM0XgrFwNqopPIYu5rps42gmQ2TgfiIr5lVVVvTLil8AmsKm6ACheQlcsZ20Tuu
9eaX2TrIBfiHIXtu5kMd9NScKChkctjtz5haNEc9svayJWc4VQNx3TPbjbwK/9d4X4/eN8d0rILb
FmyZk6pDqeX0WCtiZKInYXIU7qBvMkecUEQMKkD0+Rj5XnDQ1E8549ZF6WVylO2KLBPKOHWnzV2y
357YnORxNSzVohOnwoCRFqdJ9Tk1Rr2sVG3cNo3hv/f1i5vpJTZ1qr/uRdtB40oqYpApRTHJ1PAK
VbAv8cryCpqzvILwVR/CKSzx8qRpwDu7UiwZw+C+Us5XXH2CsKg7CvEgx+SsEtADhRnVweqFcTLm
g5VbYtFbbbySfY2WGCdgEsbJCZ0LGxd9e++qjM48RtpFb1gXPMjLS6TifOCzBZ9oSmp+THYC6Xw+
KK5HqEueFqLitDADQL/sjhb3Sc3Q/Z5OvtdiBfpPE2T3BrvlfmP68XfeGz8HYD3EPadpr/khHqdK
IZ4p+AXd7Kr+19x2nrA/Un5ZwlthpI7FhW0bD1mbWc9jmHiPk+LY+9hotG0ET2mWVQcXkAtbkHLo
tKylMTTOJ3RLdwUgfnjS5qZC8g5KkvXuGr6ziaHv4f5Mkr0IQVKkk2+srVQx3j1cWCkxtM76kMcv
E9lV2d0kYbxTwnxYyGZg+N4yE5n5/73IKBMQbVONeovgdKmF3+zQ0pdl2xp8GsbgFOQzAtAoP9hX
fpoqqhqBQcC1qvy97K416hLGGip6B1D/I0/s4aEcepsEM+hTMjG3qwddJ4zoZN0ZU/vtQDLmk1AM
BA90Qqu0HINPYwzPfo8mT+E1eiKMX4HUoR/ajbbkgzEHN4Pws5pWfWyVHyGcfhYaE15JBTx6qEeY
l2fFXvUJoAh2jAeh6dECcGD3WfeEgEZhxAeUs8kLXy87meauo1CsJre1nmRynPq2RU+W561F9b4b
yzpYymkG1T/UvdX5yYTkcRlH60PetioSQPt6gJRp/indo9v51WeTwqNybBwfZWZdTP4nme2e2GfT
8EadcDSYM/RTqURLC3XAphm/WUKF76kZ43OMAfy6JDdZPIW6G65zap5A3JJHSLrWe1Lb0KSsoRXt
sRWUMAxxvyO4quGVcOsrokMbgCicW5YpxIr1MD6F9qjs6rKAo9Vn3ktUjcrJ8nAznFuJYU4vM/Nk
brii73ZFkbVz2IJqIkr09kVNnj7qqF/0NVPl6SrCj8z1vpfCUn748AhJVkAYbVnouH09foczgnFQ
1FtvsGOiWWBUIc0dxGMfDfXzpAwjKK0K5MTcFFQmnz01hD+LezeeSag1cWJhl2P4/rHUXQFlbZfw
Ir9GQ0+jzyqg1kAO5JgSlsMhNCuKNBkMm4QZifYDGmeyTygpWPFzSWolBl5Wgv3FVGXmqexU7SYC
04fqV66OGfwAkmoOC9ylFIdpYljlbPrftbop14ZpoXkbDPuzLgi5Ns1XPsXDI3R0/P/S5JfuhyN1
MVUKwgXe0bIxRt7AWGEq2uBs5YHyDQSZ8pSJnBaj7Wyr+fD3+L+m3q832k78vl52ystvw3VLvKDK
9YvbETcaSvw2HBVZiKMWM5jArWBLINQOT5GnhF/1INcfKmF6LzXkTDaeiXoiPK49eVTMQmCrm50S
N/BiVTvd1pnlX0BOiafQC1kxD61/kX091RA4nWNxIXKVwHAqeA5T+Dt5OVVPHZLnj7G2v7oQls41
JQzPeWY8gYyu2K12E3R3GyUy7z38eAaCRKgYur2vN717AB+K+0DYLy2MZgjSVv61RSSxVkMd0wgS
Kdew5zNUsm56NRINGyNotOTW/Pp9KgfsLW2g8dbcVDw8SN0iegX5g8RUOFfZ3eaDt0nKDNdD1grv
fMfjeeIbYi1H4SL/oizXO8pB2SWbbdHvTCr+X4ehn9Zen7iPZt9pn0TEDp3wrWc914KDEzYvyeA6
D4Uq4lnkwA/HY2rVFfhP6HMTjV29rv0c04+5SWGCslV8MuEArqJXfDeCoxYS11esz7wI31VrtF6a
JtdXaMWKx4ZfwIvhz0paB/S2aBTrxSU5cTTL+DXtYYjroEJXSm3sO8vpnsWs8MwB1CDwjZPdOItE
oUkFmylVMVuZR+U8cK14yhMik61+1OFBZEgu3cq7IBIut+js7HOIFIDnthm+a13F9iLPvvhmjAvn
1LO80V312JUWwNZ5RglVTini7y1Rq0Xjko/3J1QdTu3oy8kD29R0uMIq09HG+hVPjfzDibUQtVjS
bS3Dzz560130fA29do6N8VwZkkPgF/Eh4JQ/shLVn4x6rPHiJj4C9Ct4mDQkLoUIsYrgMY90ytwc
04Dhi7JzO5R8zfD5t170AKatUZXlxUzDeJ0ZYL+9Xvt9UNPqasHk2Nz7W5SXqTm0mzHvcX/mGftU
puLUoXH+5WcJLjxq+j2PiOjZNWInqi6TlejYJ6qD2u/siR+s6pl9bUvMHXTALd+cUl/FujX+MgJ/
OxKN+dLoRb1Qx8DbW1YMnDipuweV8uq3yMjxlI0FtgNzsw4xLUOzQpZubuoJRI4w8zHTiuL6jcRt
sXQ0x12P86itEzCyzYrgzjzKYoi65Za/hEJw4m1C81pUZXKRdyo7ahCKpn9BpjO+jAZY5/ka3dCh
1s6M2W4YviLo6n757sZU2+YnyWAsExOtfLUpp3lsRjM/ZBrBfSvM8qeROO9FRS65GEOr+Jq49Zoa
vfZXVlmbnkDLlzgMsMuK6umS6BFF3QquLDkGbAdTTQoAH53+asypWpdi1Z92t2D91/7iFfAjsxP1
rU1TBzGBV/DEURMPz9vH9IwVkeWhANZjZ2XBd59l/GKr5C+IRnE5rpy23kGraYhpjU5MigTHkJ08
yKF709YjRFUu3LJ/XZOnVFVolaes+foojvV8aNCcLDEUEUtIlcWR+BISNjmsNXhO3Uci9nSs2Jkj
R6lqefXYSbTDpnD5Lr4drALovNu3q6pP0avOA33lI8zIG/0TYJa/6WSzjmMXCiGC1XmKauHvS+xR
kHzBmZyMeI1Pxnw6Btp8OuXNU+ELnDnmETw8op0QfhWu5Om/5ofuaSTAcvHMZhURHXmfVCM/kFNE
UjY3ozZo1obBy0HzRfCudngsETSZ1nKUb+rqYSq6/iBHSapD7lLUZ2usquf5lkOrKW/yllEHj1o2
5S17sl9L2QxY3txuKZvQIZ4ss3LWfAbVbdMSrQooxwJSpoKX/tMnz3rHn7ZWX+NtLdv3g7zu3pRn
9z4WLOvGaw9keExgAq9tmVEQbgj33AUOLkHUcmHWDrT9T785DPpDlqKZkDPY37rndFYltkRiyVD9
c6le86vRbYGt2zxl2JoGSVnez8kTzHH3UM9nmhv/PpN9bJV+j/4173+NIkpwb/cr0uDgQ3NNEt3Z
tgP1hJCIqJB1PXx4F/LUNCdWHfL0NkHOJZmnP4SuaG6Xyr5aXi9P/3UR6RJnW2pWuxxDJ6NQQKnX
kUCom6UYQE1ZEFCzobGsrJHpVLlH8vHPwIhn2ZHy+YWcdu/3EhizvC+Q2xOqdh/kcGvqB1TF/e4+
T4n1aNtE48dgWc6m9T115TTqsMVkZ9gKy8xBpc3tyU3x7VQL33y8j5tlzricKjtv829t3Qx0dIGI
QKE+PcTqKXfz6WtQ2PWjmubtNoyi/lnXsI6f+31cFa1xHBqd0nyWeakeBJes0ZRz7kJQ42Fvl3Vj
Kyw7QqNZk3qEjR4MQGenqrV3qCxvs+UlLC69U1K+yAa5P67qLWXlkeI6yD55MFK0xUh4eauoePEI
t5mDp3OV7EPf5CZBnsTjk5UrW9EnlKYG46tvZO2lVPXqkpbJm1mW4wfMBOiEqyos1df2tfYd8dr4
wuBcB+n9KrXOv89tA/BkFkwnyrTdRWwX+qo3Sp39FaAoJEs/awNovh6lw0tUo9AMVXZPUewPLyx1
g3XHCnwpR5WmSA/N5H2Tg2llaCyRdugS0m4RTfVKM4KTMQoUjWblHeQh60hyP1j+2D4JxYux95rb
93F55lTdWjVTfdt1ido9tQr2X2VOdNWLS7GzBLGKB99XOuyGaDvzQZ791eemOqX0RCZZiBkgRHQT
vY+LCxfOgMEJhPnvg+WACx7iCY+T/w5QMADnqnKxr/4zQHwvOMFhjw88L4u/+uU9/bB4HmF1bGRr
sPWerBqB5Lk2SNb4TFpfbCyzoFbrn7If2W+xSaMUbe68FRIxZ2Mw7951O3OpHrrfTvbJe/6ZK7v+
urseBhjbVc3aHKZEoZoZWIfldzj9ZXFJJUI3kqbri2Ij3GQ+pS3PckipD0Ya7fWw5O3j+MYRhJd5
xFUzgCE0LjWhlEd79AERa1GuLWMlzhHdz6Mm64deeA/NxIOCVpn/XT1G76POY5SbInuUzdy38FaK
UaShG47fDS0GWY+0SQ4m1pVPifPKHP9MgvFcaUr0jpbR29oCnKGcFAxVzeuq0lE3cH8+1ukCPWSz
k5OH0D/UpKMvLvZrr1SLomjjHk1m1WBp7ej2j9JN9nLKl5v0ocw/q8ROzlLSwBqludBDBU/6fzg7
i2XLdW1NP5EjzNCdzLAwV3YciWa2TE9/P2vmznXurlPVqI7CAmuibWmMH26fSAcw6P9qKbSPGOuQ
G2Dh5oGX+L/P83idxvryOUc/QBaDrnwQ+QimgEBzeKxVf7SXAOiBhs0FzMZ2lU8p94m8FNAVFRGf
MgirJ3nUysZpwj4t0bF7eAyS/VGjt3/GP0bJE5KMjDpSZ0Bz/zWJ7H6cFDthchKHgh3RMfFEs+2E
h1emqhxDc8BuTB5GfR7AsKJx5ILkpgGpAbSf04Gxg+jI/yDyiYbEvnKMiI4sCnzEvJ+t68erOYyI
Tc6cdJSZyP+elJRdAAKqoxyJLeOm7ev8YHpYhFUQVCt9RpPW7M8fMmyP+t/uRsUk4fK3OkToVC+k
NpuG/lGzSpNh2VdWchy0uA22n0purTE+XiC2yLJc/lYfM6BgNCCXk/WQOqf+rn3YlmXcZYFzhzjH
WE+NacjdqwsbZR85dcZvJ4x73qTmPakCGCOKr86GD3/aPO7B2B06JF7nqWRHgXf2YtTJMH62qar9
xUum9ihnku3cV1cN+HFoRJxpaEV8Uxx8COe5ZVPtmjnpWfEkz4kdCLddq+8j9liQ98sBcB/3q873
OlaoVbzIEewQvHAfU6q1RbJrHjD6wUop4+EQzCeWcpA89AMSj1rsNuvP1Vg9r+I+q/9anH12fC7Y
/t9DmqRpcYFF+n7o2PhM4BsCEdRXHzgzasNzYfe3YLSGg+AxbwFMo60qnDcisOZe1pykrq+5oVVX
x6t+DlYFqvpvkxwx6rgkChR9cfZEijjpSuWMymqE+2M3vqcTdMpB+O3T0Gf2Oi0V/+y1nbYzcZM6
6Ag4nxp3CrZG0dY3xbT6VZxF2SsGdWyaO8t9S8XQHRWhgo8iQeIC06QIsgGnvuqo5ZF30v2ATtGZ
fzrlCF0f45OphwuVjbGaWvGtmBOLcRQ7F3zL1rImC4W7wCE12p/dGCTxEn+kflt6VQNjwbdXjZ2a
hyaAbB5EobI1x8l96TAK3cS5fmwtMIWktG9edHEsK0H+kSLhaXxvke7NXAdn7rn2aA+8A3tB5UQC
Ypq5ds1X346sgxyhpml6dxFfXpC6tnamE6jBEoIGkISmDrefs6sZQqB9TuL8s61oUmU9GWm2ktPI
CUUlRqzj8UWR46z5nQ24he7LMCwWj7fgqQZrA1t7wStlDJY2yhTnsO22n+9Z2AY+QIRP//en64cR
AZkM0Pz8tuVwdNgfn+6z6e8n/HwHsemSEokDe/d4yZztBkAVlg+frxk7Dgo8ORm4z1ftIsVfQ4X7
8wnlhHWU//mEj28rCl2kfudP95hbtwLWO3w6OVrOLz9hg3Da55vs50+YtY/f7/G19CUk8GT48+nk
2apjHZTABRU1fxHy7CLLv8Z6bR0+p3dII2J8pMQrYHjVM7ijme+qlucSS+snUmXPje54H5Bv0NjL
MVTONb96L/DJLm0luxS6Z669CSuB1imu3Jis51wnIhdOPneZKCHrmZr6SdGMb7JTFhVgDMPyxsf4
uoM03xIA3ch8aB+H4uSWyc/P8Z5G/JBnPgtOV10JQ2GtV80y7dkwrJrY1Z7CoNCfUL46uUOrnOO5
NlYOHtcxX63slMNsH8l6VtshOpgM8dsQOQoXyeN5DlnobTmss87B0utvm580G892muvjVca4Iebv
6wv5MnJYa0a4gthldpDVQRubC+DmR02eNbTIGVV2hRzp3/cb6j3oA829yaYYwYcdYhIF7rO8N9mG
ZvjvQk2bo6ylbRyeHb159MkmtN2Jgw5JSLbvn5OMjyToxOMrAexfbtU4A8ZvfB28s+Hn+aVRNAis
YxBd5ZGVZlCn+rrcyapjpSi5VzoIhMhs49W/RnuJOuxr2I6fE8gRsuAVMLL68wqfzXZSxpDx/3mF
z460En9epYCEgn486yG1QyNZDbM1UGZC2yw6NrqlzG5yQbJnOY+Y9eQNR7LOLun2urp4HlYJgxq2
dwN0wYp8jv2ihG6w7Ix8+GI1PfbkgzF+j4v2XLud/9vD+E7Lw4E1YUdWmaVZsEhdnfWJGv5wTO1X
6wTKlzDzXBTC8LLX4fWsMvRV71CX2Joahnrh7WpbO+yco6N07t7L3Xo/KPxzjcKRNiysvDT/BxfX
eAKqVQpc2udSY8nfGl22lz2D4c2Mo5xc8kLvsvH0aHUMbzHwIFiDqMj5CVp+5XwZNS3xfkVLN0Jj
ebKs8jmdrd3zpDGfKvSHtlFT7qNai4iZesFV9cCDgC9WEKDs0mWiZ+15amz1KVabV9nuBomxiqe6
PXB31+BUGqu8dJQP8KzaxtN9m0Qypw/9udAForu9Ge65NLS1bGaHeOyrQX2J79YUutDA7BTHKs+D
Z7lhmUgQkoxvesT7Kj02TdnCUZ4PJx3VCtfSDr0W4EwbhqvI7cr1NObZq2eTPhMD5giuY6evpYKt
gl2A75DVTkC5igv1t6xNmJJevdg7yzPRfLGeUElfoo3Ms3gu3HwHsqR9kZU+Kbcot7d3eW4WT69m
EKkXWeOToETsh/FJDk17QICCUP2e8IHykrH/3HMplOrCLJuIWD2FMWjREvtjAy/56E/blMHnQuG6
AShsEfaTA+NB/6d7HoinXHnwxwK88d/20poDDd1sTzxNbwluK8Cqq/S9U0Yd+X+e/LJqlMQ8jdgM
DgEgrXfWAG+qVcU36OrTm7BWcpCWe+nVKDv+x8zgYqe6z2yNlcB8SupapPMVH5TA3Dtq3Bx7Z3LP
snci/w0OKXgdQVfdLaO91G2avZuaGx2nNqoJx3NS0U3FxgZjsZEnWaWqgPKN2DzgsHJEvd/fBDNj
Uhax9OXxInx4sJ/+02iAJSQ6ihQMvs31c0xYa0yEfheJUaO2HCXrgm94Izv70fWv5BkfNdlUiz5Y
5unIJTSf7pHSPmqtRcZrKElAIoT6qoggZpvATASCvX0MuQAE82/Nar6j7ADsJ5pp4qZT3hKzsra2
P82cuQHZQ4VHtifs5rnVTW+BtHf5rXGgT2lzGl0TmEUBXfph+1W5SLJCfS1Dm1SLqesEsk1v16MQ
tfeUacaTlNEaLdnitUnZmvGn7H8QX1s9ZqryZF/2nfktMWEq2BDDn0VL1KvFB/5sqAWZu2QIdpHq
+NfQMYqVqyXZe2QrPzPHsX6lw/0xD6ZXdwWrlQ9h9S3gq065e6g+rPxpwqVpSF8nbK1eIvwgXroG
J6jEyZ9kU9yY0wLWBsjqubMSWbUpCKevZS/3xuTUmT0Q0bm3RE/5pT1+zkU+bo5qJe1J9jtelq2F
w59M+cg90b2MXbaqEHB+x0tLA34RGQtZNUrL2dihqJDubpt3dmJYOSUD9Il5sJH5GxIf3bPmZ/UT
1KpH82Bn4TEvZnT0PCotuOagjwzbURXWsVda/BYtpT/P+hQrtQn7pWlPw1m2yQIownBO52KKW3uF
pRND5jN6pHvxzZ17ZF1XkWj97JZtshc5ONBTmK2qTRovRT/5l8YOnHNb4GA9GpP7jRDcIRj86a2c
MHAo/KbawsmMvgTmhLdE6n5TIDSvcn3Ca6fT4ltO+gZar+58y+PxXcN8IiCzsQj9vAfX2Ee3z8Jp
/XPDQucImbFyF4nrJftJscOFHJJGzp/BQYTqsqnm58SG1bSwCdUtKqttuP5lnd3Fpsr4eiIrH28N
gmaHqQfKI9kBmAf+qCeUlSRzoKUGpCdEzQlWwehFP1RbRBfJDpj72nnk/8d5chbTGvauVkdXdYIq
oDQk4n0r8Z5Cq/ee3Ab4iGvfZcuoEvRBJqddyT7ZZrvtZvDw4pS11EqSXdOjXBZiApcvbb+5IdM7
nON5ssLX3c0E5jvSLfspxGMFCc2MjYnR2phMTu49dYC50CdbGttS1j589lVaNKg2xkm8NiCAnDVQ
2W5dx8s4Tuo3rcj/HMk2aFbieRzKJRiK6KvX/zbsov7ilHa+dyC4rWWzH0RHzxEmyV7uVljHIGWQ
9dHXeFJ/QNnv7mEiistojM5Cjm9yA6mIwukvnqFmd183f8l2yyt91gGVjWwN15nnVrORc/SVe2uL
dmYm9rGVBV9ik+T83K70SrpNkWDbyirvzvr77vreHdbF/C5QmDlWwvnz7jqWUste9zcNUipx1Re/
Kke7EpEt8NPEidNOBvXst151rArEHvs+Sl6nDogCcZriF2zwZdIO5lUYerYSpuEjdRlgAjIffRaZ
UMatjTuvZ4v/bJdjTdV8C0w3fO06E+KNrX/xhwodsjwJz5UmoMerfrHWM995H/T06keu9jM2iidQ
cdm7EfCx+rpQjrEx9WfUKWCOmmHzAVZ+H7D2/qn55VesucxXjF/zjVsSfDeiVr30wRTNopn+10QJ
1nIockg4Onll81LA/t50WOoeVKjsV9SjhqWujVzEo9khPj76oNom09kbsbdjg5FIsaD3CRPPRT+N
6VerjL6XWeN/J5JwKRDo+FXp01rlth8uvO6M6EkRL4SN/A2MkQXUj41ZZPUvL1RvmKmJ70YX/Zq6
0NopttdvVJxHnrFsFkX5jFxE8dzVFRvQ0dc2sq2bzPoKcWyXF33xGIFcYbD0UpMwBg5zYxE9hXns
XcvIAsU8H8HEb1YiLaJ16yInsg5RGOMX8I61TlKaxyv7RqtKnh69rQ8vKXbbaJ04iBeR7hbM888p
jza+1ccpcv5QK7R1PETtJnU7ZRErqXL13V7HRxagXBIU9bcufgN/7HxPa+EvERvXzvxg9tlEaHlZ
zx1i/JHBQ/4W2328Dmr2AfYIRKVUe+TVktj5PpkljAwRfin7pNtEbqzuldLCsSMOsYyaRwyd/WLA
wXyNcjPYoQ/qAt6z61eRac9yAJJE2QJRPyBnTVNvdSXS+QrIFwHFBF7XfHHAZO+UNCs3NUYwjkjC
NxT/9X1qev3aHVTrqz2KVeTk47tfD+bOxZZ8I9tr9Xs7ROmHwM5tK4AfbTUvsr+mWWZ9NVwiCkOq
OttK9OnHmH6XfQkc5w3bamOHZcv0PhrNSrZrFhvVuMlwB0YY842A8k6+BPEdZxUp0dawU2VZWyFW
Z+wljvKonKufbbLDDOv/Y0hveiZ8CmGu/nXuANL+gI49jpZI/MmijsEpV1Fp/EdbnvXFlTcRb8kU
4EX0d3A6d+BP4KKzbf38V7veQrkNg/b8r3Y/KPKzAPHfJfa4bGAtL/u+f8+tpr5XM3PRRcPn+LcJ
1ntzx5zm0USWrSaIBCtWYVsbmqO2KnHUuweFZaxbc0DwpPO8TWmY5dljp7eDFTsc1Zbfk7S4vw9s
rzxmRdjtGlQ+z5aPok6blGQwFFz8ErSQb2HcoAng18FzpnUoxMYsRmNdvQADKK61bagbW+v8RZ5b
Phvrx3ehjjs0EtiZ2nZ+lW3yyE896wAz6CJrhofJ/QKoU3VuSEhFaZ9fH21xnWEhmKkpxtSj+gwZ
PDi0Uw2A1TfHir1euAQA3d9lr5W21cqJsAeVVSNx+xMO7N+LOlOfG7MWF8QWT2ngo9qrxxEZXSvZ
yappav0iL2P/0Rv109b0Ev+J7Gnw0upiJUe5E+uX2mQdr8JWBPiF1sxoTeQJez8+hbXZvkVmvUxG
Azlmh0jhZHZiLauiTX7CjR9vbtYl95y9p9WmgEQ901iXdtWie8lJGW5VBRmTnVrg7+rYVvNUu0SB
zTQ6i1nZNmmt6Nzx8Jd9sgj6tl4LPazXtq1NKUBocTMtW90GIEj2eeRnV1loZpWs1MrG0M4o8kdb
1E4ZbKUgxAXUBs44D5Zt8ggGZ71TBQnOzzZfCf0Vai/aAuRhOa27dCA3MmvwZJ7IDjGkpm1K/cZ5
yNl1QnCD8l493fB/R+mBB4b7K67837oY1LesViZgSU14bYvG3aEIH6G1aJuXXoO/Wxpl9abFZUR+
o+p+geW1DMP7bdTxS/yS16rJE2q0H0WbOSjUddm9SgosTf93ezd3/quN2AaOK2KRWuHvygoa/eKB
Z4aSoU5rE2DBuZgMDWxk/AuB8xFVl3E8yqPPwrG0bKslAhY19m7eXISsQ2A9zoexUb90OhniT6M3
2a4r8PRl22Pw33Gy93PwUGvVOlVNf6fARttitjqCNrKjd11TFLQDVWsfN0H0HibZt8j2misP7ujd
nLPgafMW+M5AaDh7lqdMVaMfSBn2SzkoZQcL8gu2B1FYnikjj42ph1lkDY7xasemtsqSsbmmmp7u
NLXKwC8Y9qmK03QTYr3+5EASW/bQST76yXkiyD4D+Vl+kbRa+DDZI59lSGga9RK6Y/tkNjxBskpT
TxpatYfcVYLdVKnTtcTAezViZPrW9+ySyy/cc7KTaZWkAOKmXxDgUpMV8Nb0FMw0KU9AhVzIuiyA
5MUgHMSER2PyT4+cQw6XYx7nyLquoNjadx9jY2b3cJa+1oa+OA15hRQbTfHcBALBOsd9u5VNsuhN
XVyJFSzkOZ/t8kifNbEfbYx4DP07P9Jg28eEakacLkuaqxvmxUmOV6dI2fjW1ADEMrytRWDrOFVx
dWiL3iMEL8Kz2xj4uwMFv6GL767YuIzPxWi1JIyNan7mlpgzGcHKFfDOzMTUjii2IGKQzWohWt0m
G9kYa7lbPQ7dAIVmn2jaeFRHHQiaxn66CETz3PUpSHDTJ1idqdlWFT3CiENp7sesrvb5HJmMUWTc
TF6d3kpFhrL14MVUi2xpq031BR/hEJ1QQosdwqSwOXOWyuPWnzdRC4CF666vkBrzC2fruOPCmgEf
XaVEBzbg+L3NVScU/gK+hHKK06x7+ztMOKAL3QHGTBEaf4b5je1jWsYwj9lku5zNnoeBa/nPYaxC
bHACU3pK2rbeKqlLcj8Z9efItut7yB3cbkOrWvo6pIAORYJD7aX6s2PnOMIHFkz+ebCLuc1zDrVn
HmqWWbHUwLrt5FBNbdODUIBry6rptBheepW+6x1SQsgGqc9ZiLKm5VnJWxmw6xGTbn9pYxbD/Pza
t2RCSiJstZ9K3rHmShHaJlaxcAlzxYug3rLNwHQVPM26SbLqriiNuWwEVPM67tBoEhmhQ5IA3yCR
n4tQELeI3V1QF+5v8nOv/hBXH2VmlUtHqcwnA5TcpkVH9WzHibEXY2bssGDoLnJGpH5yRLl8VLO7
IfxWF6xOeXbNsePHjFUGemee0ey8cjnOIoUmsKi93OP8t13Qv9rIiFWHMCO0PVm7EJJiXJhDjsPO
mK0z9IdQ6VaMMrtHbVm8VqJ6LXpDv4x+l7/yLgvAjRYRmblzUgqk7lyjPsheRzQx+p1Wt5O9ZD0q
1J18G39OziUMa20aYt1DIy5gaCrw70b64UbqyZpdV2yH7Unge19y057lRiNx8eIGYGan+WzPWwhh
SdUtGsNpf00bP1DKX3WaDgBEkMRSy/4Daod38pX6T9GKZlynRWos/tXxr6pdN+y2IEfK9ikq0A7x
sBDMJtM7hS1haMTX2bTGFjv8Khp+siJDkHnof6N8+IahePjFy9AJhlfUX+N0sHYNvBy4Lm55zUgI
r5DZtre2OXpLHm987XMhIBgcbc1FR24wsBeXjQWuqBhLjwmZacvn+TVFi8gMzFPfNP6LH/TzhaK3
GDNSzTqvXtfCwvJiHoxLgL2dDBO5jbkaCg8dZ8yQH1M5pScuoSJe5akTu+InBI+WzjzUbkW/ZOkT
bVL2E/AigylZlSkbz8JQBuNdZNx+mhX7hiFcAEkecH6IEB2wVmUy9r/UUnvOyTJ+8zu7WeiO7b3h
YDYu8dzNnlWhRmuEp49e5qATGI5otsZTsR9A4qB8oinFsq27A0sNFzw7vZpjplvFctNVkfj5czYX
I5kFMg132aL6wclzpr1K1zkMbe+sa4U14dsNfVq1/WwFRKhXV7K/HokIFx16xY3wzzFx+WVlDu4i
D9WXxIF9ZSPJsB1JP21sP6+XUllICgfFMwG2LcrZOh5Yqzo1+Kuk+ptj8vHcRL/KmkoIHeT1C56q
zU1Dc/hQF3m9CnLH+hi74qeTWdm99Brlgjw0SW+r5zrC52GORt7JJjffs1D8tPjOPni4CLwvgQXE
hoiWKDbfcJvvLwUkpnXkuiCJPQfLTK1v9nUA3dpHb3LELQiDIXU6cbV81SZukPiA4HjXdsHG9kBY
ovcW/fT4YYxa0XaJFis7AoDfxxph88xEgLxCD/0PlwWFyFwvnXd8RP0tVif51q5KcQ/t8pz6o44N
mcHWv85+qC3KLgSdw5sTV/deCeP9MET2ERFvFCHnwkqvQfmtqMI2WAQ9fNEi6n73+kY11O0QVd6X
sPD7dWuo9dFlA3ENeIvLWLDIMlBw2OC6bV7rSQTLnlgkbKEqRinaC5NFKxIH2qd6NTQxfdNmi1XE
U/KF75Ql/6hxU6jue4jW7nfXjUAx9xDOeKDEW7tGGcVXrf7ds4Fr1WbY/QiscVsHFYk7Ybx0uenB
0lPugZ3vWhOxhdFBdGRM9GXbYjLdZ6G7TdAkPxZDM+xsVzn4U5GvtdE7TmnTLVSCHgRixLDpIsPe
FL74Ejp5i8O7Gy2afIy+o8t0c63K+VVy8SDljAcsMugbT2nbA9KvBw9+84UBs5k5DIVLPoJLT4CB
DEEY32WBQJl2VBJU6eemRFGQFctca01uRzv3zqid1b78MrjlrbJzovFF/QJ9PL0i7Ky+FoqGgJfm
XPS4bM6jVd/6GChPmcXxMfJ+xarITyqiE148jPvAQQEFeH9hnpSLL2Aqhnb20YPK2IJNR5ppriqj
fZ0jW0+23vUXYbcQ1xVAbaYSR6taFeFR98RZa4WLZv2MOJyBiaHHEUuEn0kZgpEakS+Q7bKAjAWe
Xg6RdS9svrLoz1HRHl8H3JSuVRq/tlrRXAi0ciVNPRm+vuneVDePF5Assm0ddT9dMiF3bIKN8zA4
UBvNMFqy2ihOHN1lJ6Lx/R1fBODKU/KdsD4jes0a916UlItHPdKdYTE2egqoLu/W5eBWb5URizU2
mOVWVm3D5vHjaejLBhP8N68cl30LDZQom5EfH4cOu9ajb8L0W86gimMSmE+kgpVl2GO7GHqHvBlv
1RhbVzcD1dq3a9MzfrKvqxZq3H7vTau7TW1G2qlA5rOOPqaa6zBW9OUo4uZ3bz73roPKTxJ6p4o0
0wIVqm41JJBnRIwVeaQIf4c1HgEnLudbhpLnLZ+PSEPfMj2tIHHSJDu7AqJU33OvlFVVN7OLotXf
E1A9BU5nL3WidjyDkIWSVScKpvPoEizjOfcC5rN/ykSxhAZhv5SFmi0iYAIkzof/dJOb5mqaGDx1
Q/vbfzOTkyNkh8fjYW+MvPpfzzoHpewxSn9XfukehgrtR1fgbwPrJttFJgwr+Jkwk2u0ydhyjxuj
NKrr5NYOZEtVEMMJbl5bFbuCpfoxd8nLhVz+O54hJOcKpBQQPJyuiDIXaz+K1CcxJQ4uQ736Uqb3
umYBOtv13rsujnediSN8HHjtdYzm5IuX1h+6n5/Viis9SQfc1oEzEeUylraD5bohLHMn/EndgZXG
ybzQ07VmOdVes5kNcPf8yOgrMtOsSyEsr3W1tn+5ZfasjdgENYWqYlujrHsrLn+zy7uE3As/go53
2IdJgURTJHb12F5cLqVtorv9drDc8aY6brBCA1p/V0lQ6nYW/87tM5ksoONczDd7aJ0PJ0TntOq0
5okEk9hUaVuAdanBRhPGYs3V3IrGFMu8cZLvVTEsw6JOf6lhjQlCHqWvNtDATYe6yXGaDFRaLLC8
oddr5PTHs96a7ovreRq37A1RrupbFFrQO121Ovhm74An7H9pQcKN0nWA4luNDRBexEekiOM1kZvx
knl2uegs63uslcELVMRxpyGcukX01Htlj45UZB78QMYCAGGejU9jZvbQfmp1U+edeEcX9SBHRHYL
YrwiPqf3TbEVQ7NTnSDdowlh7zXyDyd+y4TUX2tfkZ7wVhFC/msxEHQf9Wg85YR9F0Pk+S+WaRIO
qofDjD3pDRSCqwG04NCm5wigHoyaul3XFjbVAd/lysbxc8/DRXkT8RQu3M4l/T33NsLFccYyX1QV
pVESDyyKWh6kNZAKw+z6vRBErydXyz+81PnVgzS9VV5s3goj/IlZew4B2luU4KiX8PhQWPBUe4+J
1LgduiR/CvQ5cl2I5oeNeFYWCe0Xu5xflRo5rxXST2tNSz7csS5X5D29WzYXYJZRUiV3tPNtRVfQ
/Gi01VSDWQr92rvJgZ5nA82PSWJ/tpXKYBP95cYyzyKHpcSVbu5j7sdkqY25jrgOXU+wWQnCtVuU
+VkJGgwIphThp85IT6AuvjoAJs+RYa2LsHlGgjpa6pN+mhrvaGbEcR3P1c4lpu7LaQy1ldW2w85L
G32PD8l4Leci2uUjIRdQBtGuDLxoZdpCf7dH9PTrYfgNGW4Ke3bsyFq91sTbF03rFesegSRul2kw
HcggLENTsTCKKo2dOgJiSytbI1YTODs/UfIlf3muVy39Eno6MjAuJjCGWo6nCbLqMjNIR8e2Max6
KyFCr44OlDohukXSimfEgrKdbPssYIX9M6Rx9X7dO72xYDVyNkkVvLtNTxjGMaO3WY1y1WWWcUu8
0NuEkLP9zNqSkZpOEIzyXWDheNPrFYo/UXvuayN7RlGBdTUue2CvzGEv27QM6AvqssBBFffGVsD5
pemEoabZjsx9CgxWybhNfFMVZTyEZjEdwGPz7fhkMCJI/ScB9oiFYPJFaUg79JBw1x0CzLusGty7
iqGp6ugdmx6c5uG9EiuN2OOEkVimQRadwAzn+2giYOEC81hVzqSvjNDzEXfpnwKi4Z5lk8KfYsU+
tyAUffhqd6UIijtr6ZntjG3EZLNqCkDvvtoYAWBuGLLIQ4jrFZcvguiJ+cL/xwajs0ThPb+5YnZS
Fq8OZOQbkc/sUVTkpVcVCmHrcR4lO+Kq8S9t+UNWsHZV1yRMk5Xj1NMNhSlvYWjtQJbFmG6PNtWy
t3rqmuBfGSI72C2YVwuI5NxS9nGyVC0M3FtF1KfBc6qTEOmfoxSpBRS6kWFE9BqQshzzOOROxP8q
VbtNypPwXFv4GSuqVW4zzfNhVVLwN/D2onWI3+fT2aptHgBZfG8rJeHy57bICtbBAxeFboxNoJDU
lnOXba1bEGhskC2NXZ1tUuOTpCOqC+pvO6l5viqq8SKQA7qpKBssDT8M7iHvektoLiVb2KOaH0w3
FzDRiYuu6bUVuoImj2nfPHqlnm3b2Pzowi45h91PguD1JRVjufFcH7WYCAeixkd0Ux6hqYxMjjz8
LFrnMlTDSOgU+5HBVm2MJhz0qpX0w0cV5auFvcXCMpX2jfu9tmxjP3iu3Bqntrj2r7bKnyJKEO2J
kqMtcCPWhcWjZa7KokfUAxakVwzFQnbpA3HrvF8pfarfjOYpkuJMqp1CreELfmg3qYTj9rDCSF9M
EELY9epzqA8DNymwJIsq1FgWhLbYaIFqPASc6lZgvzro6AvNEk5yXI+vFXrR9ikp0BEo4yBdCUcz
D20EX98DzPWihXbzxHZ6oQ5Z8YLy4xqYpHKfF+q+aLR3I/WqU51F/qNqlVm2jMc+3iDggsdK3g3K
GrtWZZsC031qzOIH1AkwYnnfH7jWokVPpupuFQl4OS+dtpbnA7iqlbcQb6unfsyWpqibl2Ac65ci
c28lYsKXMlDqF8/orWU3joI7LFXX1fwtKYp45bf+xSrK/tyVo3/JsZdHnzN+D7K43kdqWELcCJJ3
OyE2SRwy2sneBB41GHlSZbLXVzCuyhPlWXVN9Ynnx042D06Xn9KwANnERhOA5BQi3kAG0zKadAUf
wn610gQBbx3tcBhV9mvWEPsGaKau3Llqjaq2LQse70riWK8ZLCUgoVq6lufqXhdsUfgW68e5AuQw
T3sDhV8Gs8JrNsXkB+ikMVXSDRGi7fC/ZFXHpHKNMr+6kYPzHky6iezoo1cNkpzQTVhuH+cOg79C
8EfdysEGZIpVHbr+oze1G7FyoNnv5GA16gE9dXMaVr7uFCpLs22TLbjRneV43bULRmeTRVN5cpNj
QYTuBbevTlP7l5lJ85LVwxv5Oe9coCywQ+EBdX1j6K+iTfdQ2r2jYyiosci2VvtWTTCzHk2d0ScX
E6SCr5Z6hHRpbh7Jjhzc3u2vcnxeR+mK/XOEYTvuJs7/sHYeS3LzWpB+IkbQm2152152w5B09dN7
z6efDyhJbPVI18SMFggcA7DUXU0SQJ7MfOAVL+KcWI1TZOs4u8i08VteWv2Xsgx1hNEN65669PgQ
wRvVchz20FnJu05FKsz2cv3Ennq/jr0x+FCzdbwz4DnYyajWIPvRVinqIiJamED6mqJ/CCLXeN99
aaosOOhhAWn5wLZdnNn1plGqeg+ameeWG8zTyUOmwtrGlvOzm4quqWWVvn6V8KprZlq5S0S1V2A9
IW4bvLf571G0PG0UaIDeG3zbHv0UISJhKdZg3sfB9CSteM6Luwp0nrTAWFkXA4WeVSTo1ecakid3
HOE7F7Mi0GnsBLvWJrYV437y1R+NqRwdhZLDxc0Lf3lKfcCUImnxpyaci+EU2es3gSKI1VXlZ9N+
SZYp7Eew1rHhmv91Ob9nwWjVmvYOYYId9d3TJ3e2/c3cesNl0nL1qupsd3U6wMGYNXI4QTYRCUUh
2VRCVkj2UsMSPBgIw84OikLSp/3qpYU4ZO6Rp30TkMkyCmsvoh9iZjkMzd8AHgWILLYzIOrbrA17
y8CeOJTqViCZN8k056eiiX401AbmJ3a+85PsLYElbwm8yfsvUpbpgZtBeC/nX8ZJc8lZrvRfpLyZ
ahn710/516stn2BJeTN9Eyg/P/5fr7RMs6S8mWZJ+d9+Hn+d5t9fSQ6TPw+tn9B3DKMn6Vo+xmL+
9RJ/TVkCb37k//tUy3/jzVR/+qRvUv50tTe+/4+f9K9T/ftP6gZhzduhUSDaO/FqF4k/Q9n8G/tV
KGlCRuWcEd5G3ezOTIrX9m3Aq2F/vIJ0yqlus/yn/OWqy6dWB1Rotkvk9Uz/ab7/dH0WMyy9BzPm
7Xy54m3Wtz+H197/1+vervj6fyKv3k7zg1UN/W753y6f6o1vMd9+0L8OkYFXH32ZQkZS8St/45OB
/8L3X6T871O5Xg11bm18mRQrOndKLxgSAZud01+NjCTTVJ1040G6pUf2GjlgybX9Oj7LcM0B0tFL
kWUzhuCpMDpzHTQWtVWtpTwWUQqBWju+sAqGyFZYaUklYQ++RcTlmDky7ROn7//IuPT78ETt5hpG
LOmTTTPClmGbgMBayPYv0EXfQ+qR3leukh4H10PweaDO17WTWwNDZXotcxhIRZaRJCjJyWjkKMDZ
AvVy88mwnpjfkaNjQ8TpoJaRU5XhSJ1zqavbW6IPq+SmsSIXnmSL+pJiRmKHlT04TMRUd2GClqsL
341F/fxQ3ZtsGnBuH1PdI8wpcqr7Skure03rjH1gVkDX5ejeaKaDX4FseDXaGT2AyXn3CXJBZpQD
G7tElshqH5e55NThYDRsagbn23xRVnWXOE+h5f15SZmWj8N41XmxuKWZM0s0Rz94aj1SxIxeUCAU
6m9i9dAjU6L+Sri+U6m/mqdhb/F7OwPKDS5hI7TspeC9dMrhS7gCJ+IpnnnKhg5UhVtWFJ3mMH0U
zrGsnPBmeFrkgYYR/hI4LgRXbF7dRkjnMkxx5mTNoUe7fTXmltlM9XZIs/z8duCsTeGxi5XHN3NJ
0yrsKzvd1lFrLLTqU4TWZnUI7qIuC+5kD7BXgG5rHex9ILOcaxNdAjJv8ObkOlNZKlKXkbeJjP7J
dZOUfdPIPMlmZuvshDKyeZI9BNOmY6ZkKxnMfqVJ0zfNIKfghBEFxdGIzSqr3lOBl6E2FkI81lX6
Xa8o2p309ojJbcHUGmsZuEVFuuwNs8qWtx5cZO6SwYmTvVNKKD3Aa/zIXaKJFj4jMqSzYftb0JgL
82Dq7pfFb4Mn1OHTygtOeXx1LyPLxTw0DEHVDVCYiE/963PdzJxSPUoN3a38EJYT6PxE6gyGLdc/
ycYqChTrb+3iHRIbb0FNCLuFIjcD2YLw9YTy3ZwOyqsJzKpkwyAdUuU24W3QqwnrEa5XBYaGjQ4z
+tkUTRyX3Vmasrc0b3zU6UEby0JsvQT+pwmWYbdr6KO3K6C2y1n41OMlY4mIArKePYRqmD/EVs7q
KkZQQgbYb0vQoEaktoAjHV5a90QpwJyvpA329IfTscIXhBbUnfSDHvNOy4glt5bClnIaOXbJeWOW
wUg1htceZzX5pHQ5JxmlBZObGSfPEQC1o+uwaaDyDftQ9cZBZlDA5bHm9sIHR8DY84LqutJOayBV
DhT+Ak7SCzhJNwHqKefS5uhRdKWzFRHZW3LkkGbcOSPyTUuqdP/JjCREZZkpVec7v2+nx9mzHsw2
G14qFtyn0tTr7VSn+ZfAtDhSAmDF1tkEyZs4glIT/2NlAVxNKujX4rb1V0o7HSXYWKKQZdM2rr+2
LC/bLj4JW86pqttm4LfWMnCDJ/ueH+8Nl6/+K9Bz0PbJEebFr7fEjiruJoIxF4Er/+RVnndi5Wrm
K9mVDVzsFhCCBk37m7emTHusdGtnLJmQnfrIcIoczo2QiRWNHO5WbQTAkm2B0m5GGENzCNXVOWiR
zYmau7qE91n2ZFNOGdW2uQmqw29+BJJfvTQA5ACTs7mXyaphIAedhHCitk5zP+bp+9j3HMiHUyCn
SjqhG/LTF3OUdS8Doej9zZ+N+fv01xxJ/8K2ZXlpvTK5wv2fXLva2TQeW5+Qev1wyeBcDTN4kkYr
j5DQXtTZnYaVzGkGENSce6IMn3sJ9YFirqxvm2gvu2lnfXcjvdi/8slLxf+U8IJfZF9hy3QcjQyi
O9M7ZaIZbQ1GysWWPXSC0SWxm8Nbv9J7pz/5Riv0TwqiT2i6i5zbrNIrbTlGNv1E6claRqpqUg+c
KveWrT2YZli+b9lvDlWA7HYamu/Y9WjtrnwfBLmKgvoArl8t3mtIyN9bg/0sR8Slm17rkpfG0mS3
1u640ZiUXJ/DPPTPspcN5ecpcO2dtIap8s9BAySZh/vPlPhXb/ENwEwRGPFRnxDRJXAbLOeRM765
XEu1ziZvM8GJ/9u4JfnH2EhFhcKJdmoYFftqNoNHRa1hoa+89CO7d5+s0dT+QVzbs0yOft0gfk6d
pP3k9QlHOnEfPoWxyz3TipWz3drp+c08HaRf53Co4bvhS3zR1MY5DkrJ/hO0A6sW8ZxLhLzEdO1g
Bdz1MdBLsAh2/SFOFG+bwta1ctgo58A0S7bwjnWXTjQc1r1uFp9M0VRtm9Suclz8csBiyjTpy0vD
PsyJh1bbb1Na5fz6Cst4I+Y4os2yB9+yKIRKEXdwYCXfSzNVy+zOy9I7ALZJue5y1CyCELWt0Gjh
+RpR4NKMaFxBqjVwcP5bU6DXi96rBbf3SobiQYPHWnbLIEMFtmJb7ZXTrwp7awwxKDev6XaRlmii
5CB8lk1nQiCB1v2jtIIKApwlYxBpAxmRM//M4K0J/KOGvLdW5c2GY8fgWkuSpKpNeW33i3ErnVBn
htdJEiKlIkk6/56zjFlyGkG7JANxbAQHFaweDEKl8Q6ukMTXynd9gxLdT+NnpFIqZZdTHUUxjLjv
GUGxjaFyWMvb4HJXLCaYcUMRWHy3+6gImJPPRrq4rcpmmWoJLMOWqZbkAsEm9muznPt6Oz9T6z+u
XE7cT3OCXoyeOQFnrZQUpY7fVesGrpKw059GEYQYw113GshsmTsqtnWOGqF3Wxh9xbFKdHZrPbqX
0ajkN5Jn0JhL0+Fk/s4MxjPCQepzPW176mMakHRAFoTcuVsYG7+zw2OO0MUlc2DhYk1UJhvZhVh8
alZuAbKTMtR610752KwqQ/2ReosvQ2VviAQHw8RaRZrsslPNNALCS5TiyaXa+M5vDe1l4tBzbSSO
eQQ1pb2EtePCdh/4KE6XUIWp5rC2xemrheTr0TKqb9WsuixXhQ9MYwAIrKuPsziHlY0ZaOYxattv
0urEma3MjSjd+WOumHMZLntyXq1Q6iMsXel5TIaK+nXepzR+DvdmDWBG+nqNas3W8739XBXKXUmd
7nZqe9TmxqBcj02mnWbZpA0Ap0LICa6k41VIxAu4Pk5B1v/oyZRX2UYSfcwLtT6A3qlPugqx5C+1
QSk5KM0iKs4ci4Rn6WqlKmGTcXRmq7mg4P+pTyiTa5vKOWXUgR4jWfhqxKiVZ8t2gvNtAhlZZplz
6K43vz7G1DcclM9Burai8jtHqeUzJ1DVs6Kknznr7y+msDTVGg9AJpGyEhllpVfPRdRtoD6fH2S+
Vs0IEY+USMmgYtnNo96ydS+Gy0G+n2oAjtD6vl3ATbNrllvU9htluR7YKlnZiVecZTIogvmoT1QK
yeujEKEeJ5djSYirnd740DW1cXUU4LHSdAJIleeWqhxpVp7TrFQzca55oKgffozpe824Khk8437l
GR+WMbzExg+6jtpfCKdl5KRfMzA494VoOMLU7kM9s7ajUC9dfDKQmQU6CQkqP9KUjUwJzeh5BJ14
WlyyR83oaLM5s8zD2aF78nMof39d7papU2vujx5YV/ERZDM6JgzqebgffKU9W6w9S9gG9Pasj/XB
HoLp4GptCz0trlS3DapWpC270nsbI4fbDYeIQHGrZhvO4J+7tvjDgEKl5jOJlIPWsYSQTdoHPqgr
YTeqot+clLv8CC+Jb3yzGNHZnfdjsAybRqrvNXD5b6e2Us/N0Pb8bdqS0peDMcHfCC9IuklQnPmo
dd7Ak9ZEpNMOio+a+w5SZOc9RGf1tYmRDHTGNP+Y+1O5dQPKy1liQ/RcqyunULWNJ5D5SEHnZ0sg
N2VP+maA6MCKRUQ2xa+eNKFJI+xZKbQ8g3jwFsNR5Z35Ai9196CFWf+ga5a/GQYUbxafrVbBtSn9
vXQNFF3CMisoXY3JHY/SKZsYYoi9DaBD8Fx3D0tjP8etXzyAznRYKloUcRZN7QG454JVbKvXzALN
RonpJoZe81ByWv2+a/gJNbGF5LBQYqb+l+pqv2vPpjCHFgQrFcL+RUZtN/wyTN50J4eCgL3Par16
kDHXLPedaadPMhYp7QoETvqieZr3bkB+GIYXz1ZeIpjyHgBsNufCB5EqrAxqg1uv81JECLS+OcrA
aAX1g1e73QEmLd5HRPIS6ELlqGpmh+AFaTIXHFuw6wKAKUuunB0RuSoJw9voWyysgWMohrZVgsDf
eUMID0EaFPeyUS2koeYWAV1pImj8I9CUDdQ0qhrsluRcRJGcGDZhUkI992uWZNSK+yDUve3QlQgE
/QrIEdbArl2sOJAxmcrOhmn7yHXsY66hGiPIKVUhtYcsF1rBktZysZcwwoUQXkp7atvq0JgUL4fJ
vC84/4flKegffEPn+yZ6RnKN0QC850z5hyf2i0Hs+vALkgki0JdtTQUDYFJ2i7e+klKnH3vwBEJA
exy81nmYRENVLirANbtjqRY5D2FmOQ+W5jv7dkyc1eIzNUW7UOF0li45VOZCY7Nqcz0Eo8hsMqgF
QXS7zOJbLuP1VBz3cNOcvdDpjxRmU5yelvMHm1fuTWZ27EcK04WNirJ983HsleY5MZ19oOozWJM+
OKcgTNeRNE0n2aZd0BxkNKrGL7EvjupB57yr+PbKLLhVIL5nQYhoBVNXjZbvoOWI9tKc4woUpRZ6
V2lqNYhPJf+QG2F3x5MqvQ1CnwXmYZgatjKrNCxlVdfg+aWZOxB26ghumxVfW7ssUFqADujYlE6+
56ZrPHPYwJ0cIoF/RTb02xDif4UjcFw7SH3fv8k14QlAi4XcPEXlndfHDcW73qZVZ+Pci0b2ZBMh
RXV2qtCv4EAnogC3WvVG0kK4iZnUzZPhtfGHIWm9+KXMu/ZDqXbftS7auU5VPZaDqr9Qlg48sm54
U4xC42UE7bEJrMHfy2hkst5HtcQAgEHyhPL3OfGBSSUiuWYP8YES8JMMyvFx9S11WQ1JT1jGn4Ja
geFaZCslxP4zxPKqZamblD+1J9lQfKVa4dNg9eUTxZwze0kqZJezn6RrN2W5mpsmxKi/8tu+2Buh
Zd3pjv7dzxAkGwctvR8K7pS8TsKODxrxvhONDIx5bh+DMXvX2tVPlxiQ5255re14fcvv7OAUh/O1
kxSlgnxe9pam/YNvyqz/lLcMi2O+/4XSjhszDRKw0j6MO5NJxbCoOdWbUIcxiEb2+pJzkpW034TB
gkaHMPIv0n+bQQ55k7f4XuWUcHXs+Hv4rqmVzksGF351pWWI7L39NLnJ3tDIa93qr4lyxmVumWeE
irWtuKvA1I1GwHpwYZXmW5uUO0twS0sbapMI8DCAxsU3jAYaRq9sMbCTTjlmaWrXiU9lOSiPAAet
577JvymFNVykxZarvmNtZm16vjfPCIccoqQYL3nnaqjkUKkx2bGOvmmu30ufbPrcguTS1YutNEtl
Brtb9fORPVu+/10dvgcNHVGhpnVoBRb5zvSm7pokjUedShScFMH8yqRsXAMQCuc6AIMehPeyZ+k8
bQqtgx359wAqY+we+9YH6bfnLIaGQqRo6T/NwEGSnCMr3BByiFHnNqfYKMhSG3qbWObWEwcG/rcU
YZJz1qbF2Rnjx8i0sn38yyX9lV2H5eptd6SiHS8/6NtoGX+V9Gs26fv7lKXv/Zy9LYM9ICd3qw1e
fm3SqIdogUqDkhqTVWT34fccmCdFRP/wm/lowI31YdaKduNrbnpfFDAJQu6nHya70u5t3tE2dt+V
a0r3PQ4f2vkSmsCzd3VIKZHTOOPmlVN2ZWMEANT71vCBa4HZBtutz5clPEFx3606nx8TuslflkAE
PSxKbGheqlnxxNOW2zF0pNKiUsI8N8X8SVqyGUpTfGmGeqs3U/EkfWoEEUw9u/xx4/IRzeaoNtrK
mClc0J/o+1kxuvXiy7LWXU09YPVlojH56mtol99mpRzsRJlcvJJzSF/uwS3rp2O8kz5ejqJ1pUft
AZ6R+6KckPhAZump9+zxCm/mNRYWZfLV0wQL/w7StHkjTdmwh/8doHzM7iRpaWN59z4n3nKQdLVU
W+9hNujXNcTQ1AmPE0gyH2nGsdTvU9DxZjlHd62wpF8PbfPMu8NJWq46m6AU9anaO0huraTz1jSq
fu/rSIUZHUxz0hcOqnFnTvGqyep4a3tKdReVFqezUPMeUkcz7vh/uwCeHe1db3OAovZm+K+p1NYZ
ZCgUc/fmKTej4ktYUbjqwkoF2ZGibJO5ci4mDCUnr1HNvcOmyENPPeQGChb1g1VEXznhqv9x4j2K
GsGO+0y9d6iee+g83V4XVYDP7jpvVfBufula7ySjtpLAeJ9OfMXRGrUPKljIY4rEzcbQa/tC2fx3
KBVCCig0JL2Fa2kWnw1H+6FQO+rNyZB+ZZzKHi7rn8Oo3fx/me5PV5U+8QlZd+nbAKR8LY4vW9F0
4uRVNhQbbWIAv5fFJTMCfdJ2na7yCxW50ifHS5NC0Cfw7tZRWsu8VMnkcIHsC8qlTh2wciGznL1U
fUqxqPMZKnvvvuGEbWry6lDoanSXDy3Vv5ZhP7IbhPKU50OuhA7pClkM6/Nodc9DwjdYGZu1NXDG
ySr/fONXfUW1KruTl+nbujIplRHMqrph0cieaGTKLNhZO7FrHc3ZP7NeTvfc0aC5HsP+K8Uqp4qy
yg8B5EZ76sv7QxX5MTI26leL79ghdx3odwqneD9SgLT33HnaSrMZ236LUFO+l6Y/D/FGtYz4KE1P
F+RXCF2cJ26V7wOYrCg3gnqrUlXliv4zuOYc+rVKdfV3o5b/MGux3ypNL/F8qMj6H1FpZg+luZ0C
9Xs/zx7Mr7aK6lBqgvVt8wR09MAKxtZQLOE/s8mUXr1KSzZZmAkiC/17PBh5th2do26z0c+2gUE5
jGrceuJlncKYauAQiEIzGTCRcrhF+VMzKVES2Wlt6dtSH+Ce/RX2KssoN3LG27RU1q6m3Fe2LVIx
6z7ti5OVZOgEIhe7mcGff1UtSBh077MyD9Z21sLo1NVu/mwkxldEPLN9GQTgdLqguMrG9cf2Mrj3
0piaquo2S9BQAm1t1UgsjV01HCA0fO/nFcWEXq2vPN1R7lohGMJpQHCfp7AtWZrxyl9WeWCuBhfy
yajt2DcgTY6CgbY/zj1KlxxfxJ86HY5K23K/tEPAgy4p4YnvqcvohraHM6LwvkAT9EUr+/rZNKbk
xKuStoXiefiS8HqcGt4Xk506TmpLFSysrj2Zs/tdjmMdwOObspPHkYpHziM6k+duZN0oydTx2dRs
7TMVpWh3AhE5yqWjbDKWQqFT8pgSq0nZRBVln2pbIRCeOy5Mw+XsXEvP3shFqBsLubY8WGt+q943
SazeF43/qY4C7Sgt2chgnPirgdq46+I3dN28dKUxV0hVqo333p6N+Wr70bTqVUQFZ0jmtp4+untp
Zor1DlXnNWqsaGII2hpTi0N+anp4kb1kDrNmJbtB4CbNagmpbsuipdZAhjPkVeKPLrJ/K7O1Pdgc
5/ESiyZgFybf1Mbw0Snsbi8DqG/5SJ9ExQfbzKk4LOuw4Xc9gB6S3VDQ7sRC1EI8cC63RjD53Oxb
UseRm4bWF4RYAjMtUdENfG4ay8/QQWMUXmqFrWL0XGf90Artnga4PE/12Di0ma6/U3v/RxTqu/g0
DSjD8Z7grqilC77OTrKvY9P8B4b9YxN3bPJB0sDy0T/ajVM8yI38VK/mlRrk4VmagRaG20qFmsxN
nHfNOKOPlMyfbd8td2k7svnoOfVH4S8qffpMySy0rHyFOd5ZVyCkToU6Rh9NN4HM2GteugkWyCzq
v0u3mw3hvjTGlZUdbNZoJ5i7YWoWPfN3c1LGQcgXEr51b+khcCuz4sG5jHkzzy1bQ14gXy1zBp7z
6FAHsa9zZ7goQTEgeI+UlTVo9x1a5iZivvhkNFHH4SKbos5flDFw9kkT2/5V+qAGAUOjl/VKjgBk
ErE9LWat8jk5aJz/lIi/ovVNTVKZDrvkVzEXv0BnXsmoFcWfikbtDnOr6VQ1iBFR2HISVNoRVXq/
EmUVGJQ+9sVqv7CMTRKoLXteaEpeQuqWQ4y9Uif2roTPDLZrXVM3QdD+U5Zs5StphU4gdS9UVvwU
e+f/iux7N/wISAH4m08wZLwJuLlD8esyjcyWKvE34fjf5//TNIvvJh//a0RuwazC3y6fJhKfJhLy
0DJ7+axWqD8FZm6sNKWpNuwxFA8ojOUPjuiBL6CAyb6XHtnMISpy9WA7r1K9tJ1YDx1uQ37NMFZT
xm3M77ZypJzadNX+bmIvS7rMrA9RvLBMtpGjMN7NsRV4K43n6rV0h60mTTkuK9OC40zV3KkBZeOU
+fXdJQIRunwyeXXqfR1u+HO/XwJe2/Xnhk3H28cwVSECpmwQcnYeM7adOo+NUt2q3Me08cwruJeT
jKnCVQwORB3GxNuRMGWgLbthW2uet9Fj3sPXrOD8VUNcqEE7txx+qfc25D0XOQt3he4RNZslDvav
PcLqcnXc5OBGnXXXWkXK8zXjCFRrVCA6MBvcxbNp3cmeG9TGMWjb51ueHBIM6b9yP58PGf8MNr4Z
4fAncWgbI1rZYlaZt0wlcKGTUxan2yU1uDIiqrI2gzhtHPouoASvLA/SROscIWCLUiRpuhlUH3X3
jGCAe0Zfwrk1b0wZkL7ei6NdOYUxzINg/4x4SFfo29SPaMzVj1HMmZdZ6lR8DVPNj5mGOpPXPpnM
U7DdpANsHdKUeXJsG/PuYbLBfBv7Zr6mCdt92VCLraF6fjaL/kfjdc554KWBEniYliim+hkQkuUV
QgjQcVpxU9Q7uMvhnIBmsNKqYCNneNWV08psGfFhEOEPDWmkWUU8CvFNJDHLDE34NvYulEyzyTZY
qKWXQ6ZubjZVqO7lljV5AQwWdvj1VcSSgwoxHtZzlt/UCfIanvK+Yta+cp6pKuT9isZKSgUZZk79
IPTRtVMyltElos4V9nnjFGfpLmCP8xA7lFXNZWWdOLO1D4E5PCnGQJU1rMgrY+7bHQuo6XPCLgL1
p9NHPYATgW9Iu6vT/ubP7Xq++YdMf+WX+TNwklu+mXbKFVVFKFlG6JOGqrqrhbpumrA8bsspOs1C
e3dwkBbQENDbNUJs12DhcuAvKtzIaAA168W3Ex5QYmyVT/aDqkSHTuQifeCe3MB/D4Xp/NjYvbFq
alh74IJDxsEyvhhahzxG0EfQmZuUuOqNvkpjL7nrozJ9RnHpvoJN/BMwq3xnB40CwZpXfvKoZGb/
qKTYD412DvxRTcyulGjWV6irERCqEAEa3PrmCuwQgiJO8uurVivspWXAs2WyzJEBacqmdKhj9wMU
eYJQcL4sibKnCErnYvi2TC/dcpLFN4TR5875lI7FvKuNJtB21WxTtKiwXNsgRFqtuY82vEaJkBUn
1WXsDO7imRenOzaQstX/NQosVXwyPGNzm0TOd0syk/6Dphj1ITbi6G5p7AIU9TCtFw/0SNEdPJZo
JcyR9cKWZHCUviVF9prSnde+pimbJaBNLsPYNQ32Vp9RdygudnPKblGD7IC9aWOk5utPYThsxXVl
98Wtk+EU+FN/8lTnRyN90pSBxXyVEldKunpl/5pGmX1z7SOrtZbRZfBf53LEhZW2DA9oNh+h9pj3
0eiEq1pQaLUw+0MF4JabUvGMcx56UG9Jqq0E0qhrwvnOerIiNnv9elJRuWSMWvBLmWb9LFOgH4hg
VkKAKQhK6zCmjsPbY618GgbtSOUcbNxqOHL4JbjLhb+aq+9GAlNHFIf6XdmapybsdoPSn+LGKr6G
mdvwlDSUd1FsVpuxUYYHW7WivQO3xtlFemLdpVOJtJ0O+X3bfskaJ35nlIrzUFBInEP39s7nPOal
CE4yJBuoH4A0qw26gWTzXvHYNOYKzd1vFVrBL4mh8/w0lLW0LMSMXpyRPzI36TYT79obx1jZSpQ8
B2HXPydjFm/czG/3aWb3z2pRxFfugO9lUDZj4H92eVu8SAs6DmffmNRuxirbQmsmc8VknhP+mGxu
0m7PRvB16loO/OaCdxhB4tPDkA3mRJgwn2ydVt9XKWxAUaQMPIR/KvFIYRwtbSB2tsCXLoGqKb8g
8+JAscwugJKFnDKNyYNEWoEyvK/aLHmQICwRa4QlY0Ec3zdqqq6mlrcOx2pLjgsTdQVWv3xyCrN4
4l2aYol8zvfSlAGjoE44jp076Wqsvr7orfNyyxeDAkXIpQYsetKpj9P1YLZfYy/ozjKFkwz3vp3t
9TJAU9u1yk3y0mjmKnF4CU7KqLegCk79o5cp93EdKCyWAH7eIVnW32VDw/m/mlK04kPluTccahbQ
KKr3vq8Z/BD9Zl1ZIUdk4mGa6gncxjGyP8KSjQwWImNJ+/e+qUeFb2wo7k2UbWG7sBOypnahG9lO
ceaexzGs7tEoqdaotGbf/nNGxhzj73N0WoUmiVEEhypJ2+dmUj76fMZLIaw678LDPIzaWlHM5tko
xvY5ST/qZpo8SY+FxghKhtawk7Fo8pw7c4QnKWjaxzTWgTVX5h1rU5S5s77/OvDIDi0l/tg6nrFr
PCM6Folq33XcDOzB9c81j7macl264+wpW7cEAInquwsd5ozY0tzq7yaol26m3tv6u673nVfmEpXJ
fxqbs/d3gPM2m/X2IhtPhfmAh24BleNPn+ypHYwXbAX7nILkAuA5ZcjqqjBLbm7OTqBJ4845ZLYx
n+YSdmxJyt6hgMQzyXnptVk5TH0HVD/Xo09qZawh/Qy/ApwEDha573QnRiKxBIOT9BC7GtGdNSj6
XQKDDMVN/JlcsqDc3oJ23DpHO1A/hJQ0cNTjvy8abhGePXf7HgGbTeHNxksVms2Z449+JU0dcvCH
qEkQ6amVbm0YHzS97J5lrIZgIVGq8E5aWjmVa/dujriVP8CB456nREnWAACQF5ns6dpXs7FGbin8
6hjOjjcl60PflrCK6DBk2ZMSvi+FIJhIkCMTIUxSjzA6yZG8Wkdf58ra5ZNjfRiGodz3yTYMoP6e
QQzX/4oqdA6nVlPe2/3wtbbq5F5aqv6+6Vr1HZC67pHDtWuaFih/dz4nmXoarKWp50O2Bwpsb8Hp
fcyojz9WtZ3PoOyV+VCCutZTtoZU0VjhCOfUr96YwZTBYmDYyYBstDK1b3kOhB9nSMPWy/i04RAF
+aOugQHCD3dOjorW6HasjOspufM6VeeOmWpPMDUP66RsXH7oc7BqnNqEjssY16UbFGe7qyr31s38
sjhrrsUWtFPCyKh86wzYudlwK5AaGoGBTzylCmNAFqdrh2fdF5rhmRl/S31/zdZj908W9w8mZFSf
5ok/GNOoyofWS8pDP9jsEWqZfmfElboJNQ7s4ez+IgdN7rGEhei7Yw3ZKlTz+l3eI7ReO36/qgMU
wDkf7GEU5W+umcz60CZ298KehNAaA9suo3URBhzymN9k0CkC75kfjAzJBrnz9+h3e1dpGXbjrg13
AHEmpoa6+I9zyWClzO7vc0UInpiG5l1NMVjOFesvQZqZG7nt1ltdirpR1P7Yr3tl96PirrMOxqFG
vFu3OtwfM3wwB7girJdUi51d1efJthXv2n1cQ32rcAfuhamOxnzHrjXnvliKVurPY/IoB8rJHKs8
ouAx8MwjjkBQRbVW5p3lXKox/vlKwbsyiHj0GIF/awK9tYCOhkm06/qmW8mI11c/wtK85ahZox3B
eRyXwXHJyiKAP2ilTQa30RqM21m30TYDxspZYMr9Vbh8QXuuhtoUIctE95adRYBrFS0+zVDkqa72
yVJDYMZt5++GoJg+GzPcUz/dXQXTrnSrzh/dv2XLSXKxp/dbtnSHcfwvr4DbeFTd/sDKydonsNG/
mFPwrbfr6RskIU8KBETvTT22KK6yVCo3a5Y/3TyvZAY0i7uh96jm9MMSQHv3wYi1cW1wAn/lbRLm
VVVpi6u0O3Djg+CF8oZvvFoj21WY/+RBeYeujPtp0GvUjip2tR32U/c1PDsnp+mUS997+nYuhuYF
YvP/Q9h5NbeNbO36r+za1x/qAxr51NnngpkURVLRkm5QDjJyzvj150FzxrI9U7NvYPTqblBmALrX
ekOPrlw9fM0rfb7xGN9JDG1RHV60mTs9dgBb0CdRwXjN75pZAff4mzgeareNUaiPvoMWbG+af4wP
MYr6GP8Rn8d383jPZry8vnxDfx3/8bo+1/ltvPx7fh3/N9eXf381//32mK8HCiiPumu+B3rbf21R
gZ7iBH8YZwGTLkTw38x2pAzEV/zTvw2RYR8Que1YcJrmDvWgaOM53viGXhtSbJXyyRZoHpdzHPPi
8Q1FnqXxI55BtLvG5/GTY3Q7sifNIsVw5aY24qpaJKli3ZS9bmPg0YmV7JEH2fHRlGdVrTPlt+48
ag9tMAy7j/io9SaZskB9wNYZXaY0Fq9FVz85VFW/o7ebKjZ6Y+3U7wY8apYDMiybpHArpP044KdV
HWVTnsmD0lMu942mRgmFR5ICRauYmlt5iAu3uQ3ng2x65mAukXhpVh+xymjJY8u2r0zRRjf8aSHn
ySmyYyxQlYXTWSHvb6uv3aRj9Vb5T7ljhseut7VrfIyQOBkSCztNFUcS9gbGqeuRf4mT9FDaLS7q
CWiurZvh7o12u3Ik0QtvzoaKPOmz/l02PQwh2xs3Z7tljw+4g0wPDt4FUEo7zBfnGLSbEWNXFhyh
Bc3PEhfIbeNDM7hI4ALLQPnYrcqlPzgwChJxkr1WOPOsQImtNT2YHlqEuObdMIvJZqmruvsSBeMn
DV3C70l8sVEy9BeWBT5imnmCyOqv24R1i8iBHXRq+yZguPVbnOeCExJQ8xZT77HyRYlr2Kl2ADJA
Q9hNLYuDbA2kRs7yrDzXXTlczxWesStTJLxnA0AgOPywhlIf6nkJM/G2yooh31bdyJIZQb0lxcnh
1oS2laEFhdKP3n3x6nw5FKOB3m2hrH01DQ+x1k/3tRkhOYuw3G5QTXftNEG9cQYcYzXFH56beBZ8
bLJgL6J2eB6dSFuwAczwYaB3KmOeKBjgGWk44FJS8sT4ccAE8o8m+6PooLglevRoAZ2gQXVPtd0u
WYtQNYk0bhuxjyfO3IRnj+hdl62iQee/pNuzumYOlpgU/NoqavFSKLOHeB27Zwpu1Y0BugRvKKWD
LxkEGy7eLMoGdkTmOOJOHljcn3VVQ8rQR7vsGkd2wFCKSw1y+y5PIKaEYkJ2+88pRlj25A2Dl4/Q
hEjnTtVJaH9chjopxjY8Ga9Ta4Qpl8nUZivNwwi5AoxzG09C/4QUf+mrzafcFP7JQcxzIcNqLHDQ
MKwXDVVL6v3OBgt2cFMxCcWVIma4sprtq7hylVUbVeyR8szYTJ2Wnp3Yz66HFKsTjKGRwLaAopxy
kJVbVceHzazb8Zz6nQX7RrPfkGjeFIafv+d985JX2vBs2Gq/VkRUH3F46495k5erXrTNY1em3ooS
ebirtXB6Jr8AjMavIF/02vgcOO2bAtYEmiAt1TdZ36T9g5E1xqMKdoqPd3rOcOa5BJN7LweV81cG
zoO2sEOUlkXWbhV1iDelgX4f3JfhSe/co8Jz97PloIOpD4BzwhDXSSiZ6NINffO5HKHQ5Xbi3A0o
i930GjiAEaT255Lkm+7axSeU95Odb/vhtm7M5nUuGckBuPSigTtm3aHqhHgQYfncknfd+uQCdtUs
/Nq4mvY4I442cWWHB0x/IUEiZrXE7Et8GZTvpVDGbwBKufvBF78PXDvc6UWo75zaU+8aH21vhMem
b+CHENBSvla+k4C7qcXFt7Gtrjsby1mgDlleRzfurCAtD944qUewP+lmnKEVH7HrmYPItNPwhbr2
mPPAQOMttnWDoP3jOrw3Fkao2KuVRTYc/Mkmtfj7qWzLgzCM4aBCI/nrILVRVMrOfj8czKjkKgAY
AzBCSCWogMz0UOtOfhWad0U1dJfI/RwZOrbqSRpkR3/07mWf7TbmXVB06q7KwKT2UAqiZWwGxrrL
LY0a1tz2UZldcmvOkX1juGug8Vg427RE5W8shLabKkrSkNlt1sEaFZ96Av+NgWXXXuo6BPav9ifZ
QvC2vRSWQ4Y5i8VaxuRh1lPAq0A7YWTCpWSs8cRLqinN4TrCfBGpfyBDMaEl2sHdysFa4B0z4x9L
Yd9RvY/OiepiMhM4d6le2ndZajYHPLXDhWz69iDOuCmSwuuc6XOt9YdBgHRR3HjaNYphbFh0qK8A
EJE/Vfb1oNyReeruBruMD44p3IXv+d+NIp6XfLOHtflglaxNGupmiwEF5ScRR8mq9sqa108wAgAl
eGvXLFhsG8q6mlbOTRuoNRXbvDt7s10BErHjQ9uCEhwNJX3xfWybbRuhOstCXQCe913h1fEXXPz8
RZcaGHv0SKrFTi0wg4iAZthd+ohcLF5YbWTftST+1uMA/BDauLZpyho2BsCDnZUJ/aZj0bv3O95G
R53vEarV7Iypj2+hf3Mrsob4jNUij0V2AXfjbGZS+sX0gL2ZSnoEQ7bBdky0VwbtBf+EGMYhP2ob
IdsmsMtvhjrui2wW4fdMGMPthMVBGowLq9Psp8nCHjdsKzbVfgVDWsQrt/arFxBIOEPoOeLDul29
FMmCvZD/MqpWfkRKJFnKUYkN51tPHGxH5klIvqycJEMWVdTdyay9it+0VWGFWirPTuBCinTJTuSi
ezB9ZamOx8A8dUkR4lkzZAeBhdJXvci+maoZvaoa8MUwcvCV1SzqrkkyAZS1kLpI/eok7XoEov22
5ZSFvlD7ujs7M41MMmkl4xYsZoccfnfvzHRcGepjH3WWpBMH10mKhwnu4gGT6W5RVnG3G8DEbbBH
Us9xE4boV2gn2QIpCzBlPqBc2Gxj9Il5QvpGtC71XiyUIrXukWMRi3GwvLeuLc+4QDj+gketNQva
8qq3YRbDHCmzcJPpOU/KXo8VwFEJnq4isiFmNPYtaSp9WvkQrlgntsdrs+w8sWlMBJkcytJ8DFG0
cWJNVQ9qXOOzhczoIhFeeSsP6Vy8qXjnh2swznao1xhH2ammBuoj5MjWpYmZR+KACmkMPzolerqx
FKTvR3Bg/Ixz4xJ1rn4J8q48QTBE1fXPUD2fNShMesNo33zEh1gxllbdFRstjH10ojHs3F0vxx0R
7M5oXi8lL4zlaHusq/67Vk9o6w9B/p6e6t5p3pXYbBeGU44PTjW5/E+N/sDO1l31Tf6FFYCFiwYl
5E7NAiphUOxk86Pj2qR4Fbt1dvtbfDBadRWhq72Swz4OeU4Kw8guMmI4aeGshlFrl8Jws/XgHVTh
d/fyEDi8tZ7o1L1solSuofiLEs9Qd/cK38J7ZC6zre84uMvPs2QMNU3Y61rkHuS4voH4Ek/e5jph
HpaLINvUkzeu5Ky+Mrr7qlKfsSTNjzI0OHjNdnV0kpPA7uW4jQS7ggrFSetJxI0azpV61ZOMRZaf
u6d4VfzU3xiW7h9IK2v32oS8qxwx2PUXslvqQ6061b4y637jNXgFq3m0r/PC1DF5Ed6pbOD7t655
RJUECVe8BFamMYtUYU24Qga22pO3dF4sHi5hYRvPQahFxx4M2rLwLOdFD2puhWoVscvOzWfTw/4k
dYJlk4OY1zQn3teprh3Bp4XbKIr6c940xRq1UfWebL21NOo6ei7LUENfJkWX3hrfFAwhvtZdtC9i
XefZ5ozb0Js8eCUc2oCbs5uNgt0N2XjLQ1g/GV89M3GWzeRON2Xc2U9hYq2DYiKO/spWm9BNNTN9
eM0EWekOWVePTAQu5DolkHn6mAMLC4qhOLfFVN15Qf9ZTi8cYa1SE1l2QfU6DtNbks363nWBmrfF
0J10287WAW67j2apmVBYs/BzbeEeLbc8Vb8Pu976jsjBk2nF+WuY5+VSrTVxnw2jv5FX7Nl6XK9o
o9t6UtIe86nByh/LYTCB9mvhZzPobkUs2ERxxQxUxTeNitf4dfae0UXgvFqhzufRW/pRTwPjIeiB
YfSJ/drrQFkU1Af2BirSD6qfsItEoGAq1AxDr+yKovMzo73hztEuJYoOVGu7HLMvnlOGGFB5zrLS
KrHzXZp9lyCW1Pe4JpOvAUPdGNtQwSJc9g4xO7QASPZS9uolpHYbaiHefuaN4gpnhWax/yUJ1jz8
tS9lqzWYdqXq0Qzr5DwqRjZT1YbHGWFW5GJf1db4xF6/OPgiCtYSWPZrPJzjEoj2a7xgvfB3cTle
GYqKimRq7tQk8jepqwVY0OvRU9DpyraN0T+wvSh+6oVSHCyB+aXszbVEYd8x8kSae11X4KY+JLeT
NhdxmvqLhHsYSpcc+h6Zgg/0h4xR76Qc/wP9oQxGcpAxCRCRHbVJXaAGHGrrCB27OLTdOpNOGVmJ
xGvpcGevhYXlSfHa4Hj9XM0C+iQBUTibhybvZrxpc1CNMlNgjK1xkmdiPkPQ/zwoU3KQoY94nlnN
tv8xS3ZQEP9jqteYP80SwfStmmpjJzQtOrdpbK9y6D4rs0BlXcbkwYfasBOFi6sVJJ5zXXUtC1y4
f/C8jGU3xR3/wx9TcAfbumXr3FzHyWt5HqTJZiau/BRUVM9a2RN4h9asQ2XVGXm1qxC6XSRuHWC4
Ob9CzCvIa8vrXGfPr2AUnb1KPY28k966d9akwbTThuqbq78XeTR8MYtMX/I2pGdKy+YhwCBsI7Db
PQdabOKRVttrJXXZWWpd9mypHeycUrS7YW5mZoX0cuxUB9mLmEMHlCnoj6MaZs9mm765UW+d4HRn
z0bEVp5f1aEJ+NqoCa9aT2rxCoYPeaPAiE6R4qYPMIfOMm46eQ5CA9LwhKPSq90Xq9G1smds342b
og//mO6lSIyFqKifdCv52+k+oJZXa8qv0xFhN2582xVLO9VBY+iht4xdsj2xPrIXcNroU92+uIga
PTVVrVz8hEJ66kSfWj1wDqR4GjxtivjTwK51o9o1aCk+k4WrWPVWjB4Oc3oVnIYGd/YBfehdPWKR
pPhjt2qCwnyeQut7keBOUSZ3UJNZYs8kDPgai8jKT45uDEfptCv9eOcQ33fsOMw/LXp/hKoSz8I+
jTwgrFW7r5LyPkKdWt3CCWh+auId0+6xirovWzU/BXEFw9Bz05VuGCggzoc0bd8S5FL2Y1diHDg2
UXrWUBxfRrbdbmRTjlPnjnQUFBErPbteoBqqlasnoPA6fXwcPLIIkV6/4EBYUiEfzRVopDmhgOA2
mtzJ7cBD7dlskkVsxs2LoVvqwRscZSln+b5ol6mJTbTsVV9G5P1eSLSExzTBSQ2Od8PqPUpXY+0V
hzpUrRVpzWDTJTzB0RjoLHiM7MBs43qaI9RdA8g9gh8iS9JR/Y+DOt3rs0zOirW3s2j6iuc7GmVL
so/Rk9PEILPwSn1Pa5B6nvUtAoZA2tieHvQMG9phMPwbw4TPhlREuFZsOPdmleNXNJFuppqOPqL5
pecuTGnQR9oS24Tt4BX2Hu62dapDt1y5YyJeKmGe5QsZYbCL4UJiDceDtFAnoAa5F53lmVWX3xQl
sCkE/hIvq8bFwB538ZTU525Q2HB2qtkdO6vuj/KszaI/zuzeVG7UEKg4Az7Cvw3FHb2/9rbdrKti
FSQmY8pmcRukOxcrq2vZrOcDui1F9CI7ixkukoeLMXGSR1n8shXjM0ul7FZ24R+QrQT+FlvZyRIk
uV6rDF3lkA6Uk4NY+BdM7MwVRk1Am0LY7DLmzWfk3deKKigX41J4jZeeqHcd1duFHPExIQmRlnLt
oQSl+edFwpQ/xQkR+ZlfRsblrLhzjJUbY0cuO366Oi9onMNILe7YSrRPdebchmMHEmRuOVr6pKih
e5Itu86/eemsyTGm3ZONoztek8V0NOdmAZ55URpOD3SCmSqiNUvhu92hrafuKe6CcZnik7eXc8l4
Yy0ZGdNOzh1UbthjHxjb69+goTDidbgmyLkORa5Nq6vJRvb2sWcCfZz99UosOKvUwkKx64tnz4p2
kyrsN8tQrFUC+AHyUFA8wh+8XOOocqxi9vNHdciae8cQn2VcXicca9Q53Wa6WBnc666ZnLehNTTu
tk11DsLYPVnCtEhDaGgINumwqgdsJUsn6C+wMPuLMtPzKx6Tk+oCOfsRN4UZrChcmqzQGCE7fFPD
rCJDgWUO+YWquAi7jucMs5IbGUuNOFpwxzRX5b6JAH9rrOLXpSvGfUxh87HPp7um6vEJasgFjnbd
PVo2ZEQcAo793LqGAtRMKjRnZSuCr4aXedLfyOboRdnaT4Jx48VgEJ22tTaZZO6ogdcuivkU8/iN
UXXBvIQh1s7sHg1cb7FqogAQzozD1aZ4m7rTISts5bXhlmqmrMjZWu8QGeXbBSLytUndHSZq+RMP
ifoGhdjZYZc4GkFfR1xvVO3B7LM8WI2XoCy1m5Bl9o0OT8ZpyZALbtoLsx+q+0zJ3F0wRsN2iJLx
MRXDV1L/1tfI4j6CXsKnvDCSjQPy4kAyPbwggYucjBVbX53s3lKH9ksjsPi1PSs5uRqggLoG9arY
qXGDNkK98Fj3cJujKQ9e3Bs3c2IGuP8c/OnUlVG9LdMN9WE0H+f+xtTipTtvNVneLzEk8I7krw1n
1dtquAoVxV61aWOfcPBu2fNE/FqCotx1um6Dr6HDN2sAo505QFLkZr2TQSpazrXbDALIJq7VLQaU
ulatht6JqlvTPd655nY2lsLCa2xS7sbDO+YuFTYN0XTvu2w4EVk5yZacQPVQXQ3zVlVVijZlYdsu
y6SuLnKIxzNsP+WatdBRA74354MvEN/ws9jdy6be+ckpUHcwni9Q7knrV88m6gv+AuL8vcqf/Br4
cYxdUpg/qHBX1mqKxUCBKsve9qZgz27JPyVuiB8SuZeHwC+VBT/85q0rkz+uKKiB/HnFGt2srTtl
6hqrULEztBhNi6ryXhBifq8svboEMAmwe3SfZXjUVdIr6eRunXlUYetbU4TaI7vtCdN3YfJZE+/Q
x10NYLkPOFPVL1m6kv+GybEfLJ0tL3Q6Oy/gYifDz03cLZUFRShrmY4TRku9UR0jBcLpZpxPu9kK
SB5qrbTxDmFMgQBKs5DBjzE6yr1bs0jVZZiRdpTOwJoYd1lDoSriN7kwwWg+jXYiqANN8ID93F/3
VeM8N9b8Dco/YSzmnvw+/H5tAdrc1az2VoHR5p/GMm24tXrZ3veUcOV4XrdRSnDXwsWpK+14Unl9
t+Urm79kiJ60c+LWgAKziosY+0+EaO9M344XWJtNn1uQpDzB0uROxHFC+dSHrfhDqlGeScHFqyrj
tYeNNqtcb/Mxrov6dBlaqb7M8Obr26y/jPMhKR3y6H7x3qZogMiWjOt+CIu0HFmLor98HeYmVXku
zBc56iPcjCxwTJGnu4+OsiCBFdkAGOXV5OvVaqeBd9Wz+HPR+2uDW8MpqQd8rtoxvM/A8iyFBQp1
rAAw9EFevmla84zpZfie6VRDRctd19W2WasVbAEN/yCcGlMpxXzXx0B/ccsxIIOTDo+ij4dVVpTG
pUMCZiPqqL5tBYwS0RszobPvVh94+S4Y2qVTuFD0KJhRYemD+lZ21/BBcYbp32s2iNuSdDBSPHmM
TVx+N7UWPjoaMK5MKci9xwLzN4wm+bTD5tCCx3uBmSeHR+RZ9nFXB8uq7vMddylkF+vIWAXzDVce
miYqgms7NqusWug1TPJ//+t//9///Tr8H/89v5BK8fPsX1mbXvIwa+r//Nty/v2v4href/vPvw1b
Y7VJfdjVVVfYpmao9H/9fB8COvzPv7X/cVgZ9x6Otl8SjdXNkHF/kgfTQVpRKPXez6vhVjF1o19p
uTbcanl0qt2s2X+MlXG1EE98UcndOx6fi1mqEM8G+xFPlGRHATlZyWarmeKmwnyHt5xekAneWfei
o2z1tWc/QnsHb3Tt1VlZInl5lh25GKBWlTm6Zg5CXUaXrNtGL158J3T2zpQ0K9lEazBbVk4aHQej
KF7aFYjq9CXWKQYlk5Ys5SA17rqVSyp0b2ThU+Zkp6kZqotmeMXO9fNuoek59HEZzEoHulrgHWWL
lGp1qTRlXGe1G6+cMq0uud19/ufPRb7vv38uDjKfjmNowrFt8evnMhaooZCabb40KOeAqcvvirHq
7nolf5Km8HoGpiibTGsjLeajTn2Wo9hNJGym2RH4WvZezJwZeTA7rcXTJ34Hmlfd8ZETj+L28GOU
OWdKfoRU3zJQ5VXbZeFHw3OCbsXkUS6QLbDBkFHC56BJ2vtsciDzMsZXvPoUmQZZkcs/vxmW/Zcv
qa05Qri6ownN0dX5S/zTl1QAepw6topfpqpuNprRphuDteGeNGbyFPX52TEi9XPmpBRYWjMknx1E
58BNlIXsKBzjCW1d7wG6cXToUndcx0OJzV7VPGA+imXllAT3XRMl+2szmEsHsn6gkpDdtkqE8UyQ
tHAwf/TIGsOInnvcY1X2UXGQZ0LR7duPuXLWx0V/Gsx8+bpyxEfcG4CzIh3I9x0ox02Rjf6NDdM8
v7YDHRtL3q2t7LXmIR/jEMgLrjNcOeOjO4nSzFpiOu//l7uIEPNt4tevq6vbmm4Ke948O7r16ydU
q1qNnjnk7k4Jy02fqi7uQej/OC6EStIM7EuxRjtFXtUdi8aFpN/lzYtdi/BGT7rsLjSj7E5LcP9M
etfYy9j10MH88IMCQ9J5nIwhbpuSu+jarWy2o5Xd9YVwSKImzWaUL+55BUXdvOzWUEI8ZDCgKceG
njWLoVLQZdZjTksQ9aRInXoZ21pxdJMCHsxPpw2Cw7to8i6eWoN2jzLe8T4xd/w2reM0lPF26PXw
nEeJWAMb7e8ifhErjBjjR78jRcUu3XtWih6K2TApr0kQfFFUwOeKcI7oTU+PcLHuK0NrdhPAKNKc
bXwR5Dov8gyuzDcugDLjj1DeIHIYNemz4U6Dc51QlD7MzBRc6Mf8poNW6JGGCxV+jfks+DZZeRl/
Jq0CMdlGZMlXS3tpmD0+v8KE9jufxfaEVLs8rafQvQZlE6C5cWi+mzG1X38JVjue04HJ2m0CIMzy
4Mc7wxmVPcXNGAVrpdaXmhNgAQCJ/ogEvndMlKa7Id8MAZ6WjFt+xRr6p1NAzWvU2KfDx5jcZdG2
km1LWF8iw6+3Xt7sQ7UIngK1LVYmufdjPhnOyaU+vNTnZHebzoaSifnCIybfUD009hhyUx/1WuqV
lTVeYfoSmT94PhZ9DlTOGcg/di551hq4kewEfBud+wq+v+lNxdKo0nExqhH2V/NgvXEps2bhGxjv
5ji5vXoCLfnHIcswoGGva2/Zp05iUXepeoo0YHnItm/kOEt7V8cmONtN7NyOGdbsg2cFb24P6yMe
TbYbXW1e7AEdNzfXw7eqyyEeeU4CPsZQHigznYzO857IyXQLNzpQIxpPilep/rrDO5KyJjAytyzO
ugJvAElarLPTqbyRsQwsJ1qXWnEmU/HUF2hHVOxA/TVbPBI7YDt3IyLF/rowWbQpGbgIOU9OkWdu
EEGkSfjffFxrchCET/ixrJMg4Y2NwJatjckLVjbL5bXWCJ7cqMafYDnkN6ZXWefaFtZ5jEDT/fOT
w9B/vy/pulA1w9VU3dBgcBu/3peGyksbv7fNz4PnrfXZR0GbD2TeWrb9nJmI23lg0/4Mls4QrCrK
4z/F5OgWdNhNnCsGaiPzbNmWZ8GArLw6pRSfJh1pwabdkP1O2EJa8akKuO3JQzdkEX4Z8hxZBVVF
iIdRsu1XLqwiv7uRc2T8OgQI0RN6Vj6KOrWmLnIzg8+mY3T9z++TXE78cv/WLVt3HdNyXE0Yjlwm
/vSENcsId2PFKj4rRpQtbbJC27ws8BYFyPTamSjYoWv3nDtOe0M+Gf2COe5EKCWqhTmdk0nxLr5p
fOsLa8Snlv0Ly4n6YIpB/RSVxULGA08Pd2RDi41sahkWoSA4Hsna6UcjGKrrZUutYEHeqOlpMoN0
kwitx3ghCTfC8R3uvbH9qUfeKJ5Bsb/FU39pFG3+5o+xs+4xBton6C5+CtX8CjCO0Cq9xnEzbz8l
5JMl0Pe38RlxCRh2QyVCx+EmrJz8Ya5LroosNDayqYxNfoaVuovJdxUILwsY3kGX76M2Lx4wyKbC
0tTv46ho63/+tJy/rId41toUwkw+L1NQxvj1W12Vte5QxQw+d0GLE7SWf5qs2ruL0tI+9XnVLxqz
7V+HNgA/4LsWbGVHe0IjZ4Mldv9qdkOydVoRbk0jbdZ1ANJFB19yo80Hh8rajWzKMxkLTEGtxrYP
kYizC+sdJF1UfjYlXsgXxAKxix24ufSlWhw9beyPBWYZT81onoMqms6IEuVPrjDfqXc0t7IVzEnK
pgjqG9lM27BfVq7d76t5ZumzVfMn3d7K3hDc+FpPq3rjuyI9BDPkDAxke+xmPpE1a8e3y6bu6yOo
PaCWMiL7PkaVvUBG3GG3kNUoTbVR/42bvjXX91JhUR8jt3nPc6zYxVFNMiVRSWHEKkP1uJuH1o2/
sz3ImbU72rc2Um7TwjRy+zavjFOVm+O+nDtkr4xrjWX/lw9efrA//0wFOUpTU21dNdisab8vhHuk
qLve9fW3UfjVKrcKELWm0l8PMV941Ejc57yKrA1biujWKh3rLp0Q3rURWJQt6uDJ2ewM4KBsgWdT
qW6de0a4yGpwNWOPlJk8oBWVnRybe7/fGAqLUTzHHVSnSLUMp44l8f6fv9R/uVULU1f5OusqTFhd
17XflpCxYZaOrkXam615n2pIzbcNd5mfDkOPOh98R42F3GQvUsSlb0GN9Csj89xLmYp8E7O9x0gJ
DVIzy71D6YTWQQVCs+uSabr1uqHaFFgzX6Cf9YteH5ubItTIxRtFvQN0DUoomdaOl3p7A/zeQZ4V
atRdz7IfZ3/X+xH7GEdhLf4vj7S//PiF6VrC0QxHN9158/7bI40F3MSefazeojR9z7Iz6Xnvdogi
6xTOWB6JzzFFGq9QPDJXHzF5FreOOGoYbF0nlGjULORpNM0gYr0cN/ICcrDsQMlmzn54NyNF6/EP
qHeHwkAZjAFaK05/e4V/y1N1qGeppjFZ9+RAwR1AGBUAeuCGifpsSx2TOWaHrXZ7HQLq69rU5yE+
misLtGZHZGDr7FLV6aNwTOMgzYZwIs4uvmo2OxMRXQhYNOVBjs3T+Do2Be/vLMwyaHe+Mmz6SNTQ
fZ1WW7RDeQtS3nkL1AR7egcwHhkSm02s+WI0vvtm9XazhLmAuojWO5cqQYxVzB2IDZEOzoPsDLLG
PxeTh+jm3JGNrPEab8QM3Azy23ZQ5/QQHdFUfDIARP7zz8SWv4Nf7gEWaxoXYKttO4AQ9d8zA0hW
Jhpatm/WAHK8rEOSX7gLrCOlt59Lw+tXZl1bu2BuKj0YblVvslvZy6Mb916ywmNhmo8ZS0wZHi2w
UzzcvqAGaj+3GvgPJzfUpex0BTYsHj8VDnOvk98Fff+IO1F5MkvTvjX9UCxblJW/AHOHUaWPL1Nd
gPrDNWWfhX7xWCnVJzmgU7J6YbVjc4fcY3wT+FOyTrxB+dyECzkgF5m7KtxgvPGKzMUn3uPRP18a
P71H9gHWI6sYfTfoCm5kknjppBZpP7/n80XmaKtqUX03zgfoP3/Eqsyo7uQBqZSfY3Lwx1wl6urr
uI+YiFBKYk3xy7V+v35pgwpiOymonj/YtnoK4IS8Jjr2QnE5ZPu8VuyXPkI3vrZfuwYOXdKpFWpN
nvVql9iBQ1lkAd+BK8FgBJEz4tAroSbUmXXpsgHN6wRqqOuW+66g8IdQSMLPRPexi4buH0Gfq8b+
hoVHHzy7efPgCLAvIq+fXQgCt5PROA/A2fR17yLuFuJG/DD6VYfNHb5HEdIVSxYuIMyH9izHDhMO
XkmleLBWGetrFMOqfEoWsvd6yJul4UbTXcLG8WgOmr4VP4RSpN7Jb/InHyIrGGlPW6yYLx8hOeG3
+b81f7tcC6NvVZrCWsi5Umbl43oplmMHtcDSKLebddfn+sUstIYCBy+rz2fDHJO9auGK69k/j8vR
DN+4KjU2b8a4WxLuLk/93HvSW8u4dpCb1o6uRMjLXmceLc+KwQecwriYGtGkQ4KYWIuBolajO3nI
vQYxAy9MlzOa5hprTGPa29kMF57HtfNBbVr4LbE4f0yN7FY5iald9tEo1qgbPRmOO97Z6lQvtb6r
t7IpD0OmtYu+c9J91xTTnYxpKfBgBdKTbMl4Mbr73CnG249Qa0bo57fRJdPN5mJm755GqbhOcDQi
1Tq+YOv1Tr3Rv7iKZtwPWnBqRnt4MUtLB02DehMOKT+P6mPuNFArT2NagMuHMbiMRj0tl4l/8pA2
u3dVZXj4/5yd127c2rZtv4i4zAG4OA9k5ahoWX4hLFuazDl//W2kvLeW5QMv4PqhwFglVyDnHKP3
1msRUW2gZbgV3TTcq+WonWb/oe10WUl9kgwodC4oBTm2yyUbMwo3JyW+V7lHwOUfb5kuF/fykLZr
U+nV9bI6OnF4m42lt6y9HzGWiqcLVdriWKbEKKglAPayqo3m69oxVDtGf322IybS2hm62df7Zcfy
kPTIPjeOoc0sq75yl6OXPY0ln4OkKO8UB3h22Rj9ObZs5eK3CJIQkZYvCQCyFKzjU56m2TaDp7gz
5Lx4JPrrdjngW6gK6xBYtRRCo8PX4TT6ebDtgdrTOFyxwKYXzADu+xEKI5mjFOunjyOWw0SRkaJm
NiiTddlmsFzZVBECoskHY5jfs6Q6KgKIfJCympiNv8+yXltDaygha1LQsQY/fdEA6JSxOfwkqAhh
MZGad90kwOOkjbnzI3nk2mtb74ck/OYc0/ph0lRe3BU3WZaOe+7HKcSKpxanFyF9AwDAOv/14Myr
H9uKVOdjnI2WGxRujhvQy/1KVJ+3kAPSyoK7JyPEjMrcugYyt+WFGDCNyZ2Vluqp6HmXp6KH+Ay1
8dtkz5YlRRouqUxJTydMRNWZpKL89opGKb/hG0J9FDg5Xpq2fcaaayZZ+W1C5L/166nYLquJeigG
H3nYMJa7adTrzXIySEgvx+f21EsSeCc/HtfL9qAOd02kGI/FJHeHpNeN1fI0SmVd5IRyoZ/1oANa
uJOJYeq4Bf3hWSfG2C2tJaBoGm8Jcv+2bFcE2m303UuwwfA1Ho7BfLjaSPLOIbBvvRxVyMZVr01a
viigz5pZSBA7++F5NBoQAKUbk7fm9bFtPJpya7lDU09fG1HHpD2F43cjEvjWK/WnFmU72iQCEab0
luONjCjoXEtm7IFLm3vT52n1Gov0Vho67XYSYYZj2hhuMmTzHoYJfxPH6sz2lVp/N6pNzlhvCOq1
HyVuBT/x6hhS5ruagkOw4i3dxJmAkh89q4HsMMMqK+ns94p0Hiw4YLFaHpdNH9uXJbn3e/5TDDg/
7dADTVpPvNi2GkwSuqb4aich2B5d8h/HTEtQNDvSjZMX4pYZju1qWDjoxLLNFH12MdTglhblKZK1
/qgNin6VG2FcyQuJZyzbetm0PKQIbYhpGdoDrUgq2C1DBkdWgsc+RnCL9CVGRdKGj5A6rGvclVyv
2Gn68XAvtNe8DMPHQlarlT2mZB45Q3Me5odCjcA7ZNVO9rPmLNsWD/PSsnM5rNS1wjMw8a2XbZ+O
K5OB2EvzAdOOcqpUeTr2TloSoFNHD9NAG1wgvngNyc1odP+1M4LQ9UFP0W8V01qgGHs/CQNfuYkS
xTWQSh8tFXCsgiOtA1ipdTtJb27eV6HK66exhg7jWmsdv91jkxFgUBX8TCIjrR5LjIJrgsGCrS3M
8jHTwFlyVbdIi2FVLXWCRO0c6OW8GlqWtQtgSXvLqt125YEBZvS+ClHROeJLRH80H5xOpnxWC/Ez
UR/8eJK/IwX/ESHRfB7q0ndFZVgPSaXWq9w2g1vcf/km6gf5PEjlQJF/lA/JyIeUmAWIFfJ8PFNW
2xsctvFO5t/eVMbmginPWIlqVJhkdz8VJejf+GlIVZK8RYzs3JhohC9lOAbrqkAi/GZnarqKzYRf
gByZzqkv1R0xi/wACt38kpWZdij8cbyZ18qm4J0SQfaICjhxJUWbgJjK6aMldCTRQqoOy15HyWAu
wrVHEs9etRt6KHfOtFlW6RpH256C3noas/QRHpXupq0Un5y8Dq6qqrxxMeyewiDNdwU+m7UJmPJJ
5I5C2a+QobKw1+mCkxo0+V2TcQUxBGCbebNV6tURN/NyQe2eGni362Ko5e2yly8LlPukStBn8ZR9
v6qQKX3RwehdrV7/x+tiCkzXyzlaO2xU4hlNuavvSBzLkSaXRHbFZngRoBZXdpXWT+DSn3Am8f2M
eo+Ot/NiTz5CrfkkA+/JdggMosLnkwIbpZZGrPHTFCTvJ5l279lVYb+IPgVQYUX1nZhfKVWDf74S
Irj6KavEkykJ6TUtu3+8Eq7e3SSZLtdSA5Xo3IxfWvTLQ5U2m3+Z5M21jnxp1r935WmjqbpsUjhD
gPRnnafN/CKQZPwUVhRogD/b+KhWmfolVaPnSUT1FfCf+iXQYhSsdfUwlAx9+tFfLQfhxSbWGKn1
+ylBMx4iHVXRsjoLJrdQ6DQ+OJ7CHqR+BZtE2y3PCCISlUUR06Sb945hdI2JoLlRmJUfqP6Elzz3
s12QkLPAaA3whzGFJ+EkuRtETCnzcMBdmg4kYyXmw3KEGJ5gvnX3y/6A2BFeu7ksa6HCrSgd5eQw
OsEXu3ZMgCkas3HZ3PqVJs1CQvuEtxR70LxaS1m0i+MoQm/EqpOUA3hNx9otq3pj4gwtGvUY2OM9
F+Ivqm1md1bcZXcxUw6UmHQyuoLfgicifrxhlh6XvShG2vPfP0FF+9x5mDuhjiMb1GpMXELGp3JW
ZHE1KWu7Z4Y3jFsKhJNG93biwuinwLEawrSjc2vI+tGsMr5U/F8x2vk0ms3RuPGzF1W2o7uiyuO7
khDrvR0bDW3ECGO5A0tUBky8reVQWo950X2VO27Mbao1V1Hb0FaKaZ9Iavd16vppNxnIOAPgcF9L
DfLGRAnsYuok5KAPfz8de0izt2t+Ov38bEWLQ9axzfLcE0/yZUSevZxeF1N+KOiiE8DFYeUsp8j0
tDqlqE+f7F+v6Th1fLSdTPeWo4QB0E/h6nhcngMmEk3NcSXZ0eANVAJvVAhzNwXhC4LL2+Vjk2Og
idEGoG3LtuXBJ4pno0PXfT8VnLNy0kvzSSZE9yTIV9zlWgrvbV762Pa/Lf39OCtyfj2f89+lT88S
h46xRTpNr1W+rTvJ30ZBGHpM0KZ5ljbdKmmQbIy2y1cf24TSTquuVbT1ctqyo9PV0tNTq9t+bLMM
G2DaqJYbo59+ogMHj1krBr88Ie8NjTLWZPSQquvQvoP/nntmFrTPamc8oB8LEOFIazZgYJLt8qKV
Xf3t79/vPxr+msYcgbaaiQudsu2y/x8No8xkkhOqTfAMqCaMD6a1q7XsAYNX82ra7dYYa+WbLGzD
C1RLu5Yw9fdVMJlbzP75KYd+7+YIB10UVnzJ5wcJrP/KjFGCLqtq3Vz+/idrn7smmuUYlkZx09Rs
3daNT4UzU5FFGNCV+jaNwypyphqJCA96UpD5bFnNjmly7Pay/2ubPFhEfJNn56qp3j1bWX3E2ofc
XMFiRRsB81Sa9s8Cvb6bGql87mGG3UtjejVTuX8uKj4glUiZXRqssE0XIlPPY1NR2hx08rXzhJu8
6dgKsYnsWZaWh+VAlAo9uVVh/i9SDc3+dGHiP25bJhBl09LpitJn/L15hIseJUY2xw+YXDCNpMxP
9GfEHOTNojU/pKrIT36B55wC9v7T9mV1OeLj2GVbYuSwWhOdrL/5ST4d97H6cW7uYNzB1RTBhNX7
Ow24+TEwnGeMA9RAan0koMESxsbWa/bOh+AE9Qac8zfLJtRaw54r6QSblp3Lk/QyMU61Heo7cHTD
nVyUPTCNGyPKeUqp47spqhZqy3zC8iSSXwYu8glxXJ4Eh9l4iYmOW3YadRuv/aLXl0bJMaFGyJAT
GUM8PyxLTa3nLpjldv1pR5bCaneXA01+Kp6qAJKt2sICpxdPXqCF3YOVmOOFN+SuTTvoXvNDOTzj
mIrv3/eblEYZJNenZR8iFjXLmlOekHljlg0sVxEoZDZo8ilRyl9Ly7blIZ73fjp42bbsrRvd2hsC
Ok0/ieIoOy3FhzG5NZSioC7+n4dl52QDvN/k+lgcl/WP3XIE0pimwUCT1iFvV5qkjTbfeZX5QUa/
EilterHn+zAymvg8Ndm1f78NI5LfENbaolOY985pPiA4MzqJqCqWJ+nKVL412s2ybzkqTKdqD3V1
ZKAy38v/t1dVunEf+vqvV43SQfbswUCykU4TBF0CGhOQe881ih9caYVzxbhpX5fVXh2lZ7Wniq8B
YDh1g5pd06z5Tr6wdoEqr1+WJdPXmQGSkmGWhc40cUKEs+yImOcTI1GX62X142E5o4Lr+rFJpvng
tkoMJqXppTNCIGBsamZvAtmUzsu2j4fAFIEnijA5UD2OjzC8SACcl5aHWvLH3F0W6VolG9io16gN
klMkMghYdpGtbT6GVRUV1ToFswFVAh40Ra4B41v7JsocfkbfZfd1Q926H1V5/b5at+2tQ2yQqul+
7hlZRemlLDry6Dg4cPr2kkXTieJPchb08MCeGrbrN7r2NAyquW6NetouqznhgK4+jfG1DGrxpWLE
ojiJ/pRMY4dh+bezzO4mxSTDcLOJqAuo9Qu/5sOIuO/JN/Nqm/dMf/I8KCBahnfLAZDeRtcKfPNm
CJ3uaBQ5COHBKV5Qg85PYBeSvcoQTh0BC6k37ahP7rIDqdgtlZLmsfNFAV0GoGycoV4PbfWwHGCU
MKklii6dTZ5q4cWpr3cPvcOk1YfRxsy52swmnO/DCnAiIqsYAxtDZm3nh6r+Ra+RZs27IztGzW0y
X0n7ylzbgTEcZnExvi/Qc1IgHcuFODfIq8wCnrUYM0QR74O6SPHlOs1xyMUvw4Y6dD/pJxS3ZKCN
l6osaU8hwXyu9WmthI10hbcw3o0OdaUCDekuztThToWyeNvqp2XfsqVSrAJ1UmB6yyq1i1td180D
mYrBvg41bRPLSv51zOrN8l6YQ9t5QTPVlzQpaeGNhvH+9gJiXmVZnj0rGj9qUnnk/RAM5b1B4NNy
ZqbEINAKA09CjVBJ0oWzdoYx+IZX4/2DUH0ge70No1Mjq+MqJ2XmmRVgBKkDeZnpsE3rEp8c5tbS
eV8YlwWShN4X/rtrlP9/jvnzJXierG6reVjw8RKSUI1/uS2rf96VSabSZESuuqWZzue7smGIxknN
dnjU9cm+xkl7Jb6jfFZa8jE7GC3bZTUD22FWKgWzis6g17eUIMd+5edC6mLeHqvwMoB4mASlCEn8
f5Yk3XIYZYzRdll631ua/9KaBFPy+7R1HlnRljQtAnKREGmf5zzMHeqyQEP9oFc94E2ou3KlKTtL
B8a5LH1sc/6XbctxTn4lNdQdpZSuFMyYZB9SnD50U0nlMXH8Q6cW+zGbIm2rDL61GVvuPO/rpNNs
4BnDRBmS565tkpVWV9ahdACKGvV9ZEkJozIz24dBmHJ5ZjUau5+kLyo3WJk0TH/hz+UoKgDpWrNJ
MltWK//BQtLyVCCr3HS1XZmXZMhKWHNh8aS2jD/qoCH/cV4Ni3wlNL96EOmk3/L7Y8w3C3RGi+Sl
3CFxM2CmZ8d+sg0gOV17urwnyx82y9oYt851WapaW4YyRp5ebIGfdpeNkpk+Q9Dy9x8HL+dTpdrI
86nvxy7nJi1342VjN5A6HgoNl6ym+FsRyiVjlb54ogRsoQQoksPyP4kc547OpU7xNuweuyajwsv/
yCSvwMNTPkDcyizjuUjD70E0pT/CKXrWq1xn2D/4fEFtFKCEQz7MB4TcJx5Do+RS1ztI5ubh0vvi
MoZSx5hPVhnb2tM1/oiPgVWltIXvfQylIJSSuYA7bju1erqxw6ncMx63H2gT32paqH0vDD+GmCi0
i6YFxUWUNTeheUcbTJeCH9ajI2dib4VVtyl7Ljh19GPZT+s5WE8JkfR6I8/ZDH6/1hj+X5KEcUWv
OMV31YmecHl1YP1U40AjV1ot23nXvYh44K8zS3Xbt1a9tQpH+hoAr1kOSMiPWqu9Vh3gq0cPWUiB
Zn5CWeiVZ4+TfcY9rF3roqMlM+9ofRq+kKykW9Wv/eOUpuXKTA3nJupxuMAl/VJXeQ2+rBCPBnOD
QijjU2dZxWmsdPhJYzY+YfMIN02oZSjy2RsWgFUlop8uy94Kz5OlZ09QloZLRWwCUxKOisNp2o5C
AobUhtNTE7WxJxN/c1xOshyxbkG3PUh1L91YGUmyywvje9lbTtCtlpMIXUxWjW+be5Bm9bmKYLNM
44Swo55nTWGkPX6skhP1a7Us/OpIaemfq8vesKLksJzbzOlKYSko6ab0Hh2dxr8R+IdQdMavRW59
3ZxPXfoHBRu3tP5j33KG5BtrLTZlNCH7OPN942s51BXIDoBzCFUp2cc0aDrV3Cf5jKbzC5lcKSs6
FqNv3MeTffe+PXFMqm4oie1m8G8ZTb8u22uGJF5aAwTAtJTcpE3RuMEsNZFG4lrSwNav5lT2F3Sy
5EFEYHW7FmENcN61lTXW4X2RvBrrsKz7NGO2xG7CyOEmCwxHP2cjGMu6JKrnfVtZmudQnqTDP8Q1
8zah3I5I2n0uFgxfUbl1UfhS9eLOivzwtevLLUnFeeAW6UtKQHjkFu2VmbERuHkcQbQQ02s9+lez
svsX0nd+TlWuPKuTPkAFA3A3UPZ2ocSD2fUtC6RgwgwCA5vDfUj24Wl2NkWueXE5aFmqtYasKNtO
vWWbVGGZcaWA50iX56CDEG7hd74tuz/Os3uix4Jgytednw6uA+Ycr2ks1pJZ6hfmuDJuVkXZZ07U
ntFtgYkzgvpeChgr21PVfYMUd/UFakVXWoms697dTeFsalqcTYuLSYhUOQYTyp/Z/9SMRFOYWpq7
XTVYCNB4oNiHTaQgs84REQMRzKwqT38DQa07iKD+qsz5bMuDMzuJW5GeCYiXjsum5VAzAArpwzld
fRxrBSQPKkawS6LKWKnqKK5q2kykV5kjyXSJfm4iuVurTp49kIul4r3VxIs2IIGpGUO7XVysYrA+
P/Ihngl8iv7ohMAPl2eqhPLrmfI5oFUzJXVrSpVxprSVG2FwtueVhGHoOe2nBLBbX4ab2pLmXAT2
WIke4UMkn9NDCUnVJGp2LKSnYV6KlDI9iaJqdjkJhO9LwX+3fdqbi7pfy1j5UQfIB4faKO6beTEw
ZfkgGTwsq8uDodmZuX4/CLKhoRK0waF2bCperhThTQd6M7G15AnJj3qw9bZeqSZWZ3gZkMECqgPY
1dIbO9HIYZ13wEMrVr3T2odSBM6XKmm9xNQHMlKwSGR9N26WVXRfe5LkjAeyfSLaxRjAEujbLXmu
vNWMvvOw9r8R2h56aT4DyiSt2mRJmJ3A8qJlBru7LSfR3SrONHpBgHtdTmg+aHOFScy1pqYP9b2d
VU8fm5Ylu+z1VTinGcoE/ihxap9IJLeZ9OObgzRneOq8umxbHqaCkYuL55CISBs4H8Sg24oCmKfQ
DwOkW4BSWNaneX2oBSqmZZ27+H/WRVo96XIG8yuTv8roh9NKzt6YIALtzAzmSwgNglg379AKm5vA
LsKjaaXi3Npzw0lqqsc2z6BfQPZ9bV+SJM7fMhUNaVWp9qPEZQ/hQNKcRV+ph9xK421StuUds04Q
H2mZvHQEbi5nKV1xFSNXK4R7vseldfv3yp9q/G5PokuoO5YqUxZ2DEOT+Tr9XvOiRhl0tlz4P4x8
xh9Mmjim1PrwwLyptahf0nhafzVaMNcRAeteHJ5HlWg8pcZWLBlKeG3VYU8SEpF/pa8xIssvYVTV
+9ZZaVYRbtMiD+6C7C6Jm2uuCf0gS4Z2oFpAoEteJF7YtShgdEwZzJr0VS6PUL+GRObSwdPhoIXx
uWmfFF3SV80Iv426XbPFfkI5Wauw1DQBsRbKwZzFN5aMewqg9FdVAa6VaV+jV5Sz2s2UPxJG56D0
gWCs0t8kOcrOTrLiK9u0ah8lZyKoSNDAxGtv7Oimph7GSuloRfcUPaB6q319NUaSuPwOO1IIRfoo
yRYtdwipbkZO6yZFmbrqffKp7CDxfEPJN1jd5E3vJ9pmMn60uprtO0ota4v6uGcAMt1QAR88qyoY
exvt3p/CZIcXF63MhG4oNnIXRC+GTjLUpJA/uc7p8cQGDOe0dAc5nO57oNGRRHrjGHDPx94LU0SN
rTU6JmmN8K7YjJqtunHQ07qPm3IlA2Qj+QGWjNSr3+McZF9nZuU6E37mSlKZrlKhFncRakAkBeoZ
iLV6bvCCxUrYksgQeBBuhgOCY+dIgiHg8xojGT3D4D7GNOklg0rJkVw3RIhltYfDt4KHSTM/avYT
HHtgDYVrDlQMoqn9kcqldkI+8yICbWsFjJnMMo8y1+/G8kA1XDQiPaWa/mWITO0gGtlaxQb4XkYt
wosUpyE70qzpsTwwq0tPmPnTU8lFegyAvrY4MqrIL+4DvXgwjCY9GCGtal8/Ur6+gsUyv3Lt3Qc2
4e7kjttBds41M3qqpGSrWH1PqFVYezntyFsdMV1X6W4SWKgfioAAOBL0cMpGbtd1zbk1DxMyiPVM
89wQ6ntuE3s6BzkCFcmiK46F7VT4pMzKONc21qAbh6KMvuSp35/9kaJsDDPDVip/147qrc181OWS
bO/BlgKFVod7Jaray/KgWpAThzIjgi+oEF2VsnbUxhqpnGadCrqx1x4lymo0A/D9FjG0iG293p/c
Rj6L0ja+YNN07SA4llSxD1IqDfvR6Z5T/ONnXR3QRmt8jBoCV0/VCBZmRo+4Ef3kqqsAJPiTrW4H
RrKrVLW8UNJ+yH25VkOV28s4DGc5S28avIuk06OvxSQPHmPUmlWctQShp8GagoWzTYSVr4Aor8xB
fDdVrfuXy5rye82AqxpWAM1QDMTgWBT+MF1SWXPyGD/azxS81gECoHlEP7Ii1TwiIiiBzkR0iO9m
uFRdioc+OdwJAduqjV/QsL2/X2Qd5bfJ//LXkBIOsNVxFFqfn53kA5JztePr/dNhTAyFo62Ik85f
OzuYLTRjs5p0J3bNCG6IPdhvmhT/aJtmOLW9M+1z3d6WssUImiLWjpHKcPClAPlTE1obJSihnE+w
Ddsu+IoiSb7UU3CJa0tBatCF57RVk21LLoSxXibjBCc+SXnou2oRPYRtec811VmLok/J10qMbSVr
T2FC7GCkwxDTzRiG2Vzujlqn5e0CidOWprxWRLdP01r1AkPuvFEoFclRFqaWebUyzWRd99ZRYEQi
hSB104FsQrCRb04TBlsjbJ7VbAL0V+R3ua07B1Uohz6U7iFVRV9ivkOuYjsvaQ66Thtb+YhKRN9l
gstZLiXR1vDV6hiJdTWrbNv2zRj1K99OPFlVsh57aKaVH7cnVW4aFJ4OEQJycWzKtjknKeHApshb
D3pu7MayHVK1UG5A+Ut0E0JyM+txevv756/8cY/lmzh/H1Gn66pl2Z/usTncTqs0RPYzs+Thpquc
grAnX+89ugz3daAySC+o8arzt7Mo8+DWsKN/8ccovxeglu+gYRkYxamjEYr0WRsPmy+znMrJfiLE
U5/yEYUhaUpWJ2FRayyJMgQ2fqhq68LnndU7o3gjScbaBozxSA6KT4ocx4cY3UkbdiM+eu52f3+b
1D9+JnOzFFEHvxWNHuTnxqkiWfWAT3b6qeTJD2LQmhNyhwQcWyqQdYJWWbq5alydUUZsmbKIfTAq
w5oaMHrhPrc3oaG+QPJvzwPpsrBURumYYMKPxkxe9X2nnqaeHM2//9nKp9oeby2obhknpa0qztw8
/KRnUGLmXwiBrJ9hxe9Djo3vTturK5L6oGr4otxnlommZGq+GMGaavce2rj2LbeHPfc6XLAE93HX
LvqL1BUu5UrnUFtj4kY2MH/o/57C14qxo608hKUir8cg3wFUkldNLY6KDazBJ/PPrNMVgSPmfhBT
vaLUaG97m+JY3ySASVICNkkzmrnYyZMvDdnG6sEXBzR3jyV6y3Xp+6BLRNidLHOkAULfFY8vGZ5t
HtVuGY0vmU4zMMBC6MXS2K5HMVib3LADJm55t6qjrsQ+ODob0WqbIDeqW61vUkz5ibUeCLra+Loe
cQt3GN4ZoqccNjUYxLRyVemi8fyCkZ4TfcdJF9Tli6TrxrlMGJBJEnm3ik3SZon/3bWicKR45D/g
LXP2vR6+tQyUsPksg81h3MOsLXZF3SC/pUyx5RarHIDOhlB2f8gaObgQNbSqI4gqb4K9OTendOan
xEWGRDIG+r7uxbDuYX55jmlk9w4Y853Tta8G7MGUUYCq7BQcZDdFzdDuimKHCZGM0PTgjydHLeJd
UPaKO3Z6OFFeyDyjTLyRrPAbzZLIYS2BP/ayE2QupX7pNsy+Zjodf6IblPRIQCWDqUxZif4NOnd6
X+e6udO7evIaarayodxAhJ9zgbDf5VNT/8ud6pOD5v2rrMOTsKhXO3DqPjmoWtl3+F1a/k+zCgOG
H13mxpbkbGIkOxtFDlu6tF13MU2ju+hCIRAzEsc8wTPPtWUz6N19Nyf0YfV7SPlQ/v5LU3/Xfi1/
HQV0HD6KSvPe0j+ZOxVZTaq0LKLXgTBFUjCI6e3l/JbvSU7M+9jvVIvgsYLWiVdQbt0kSu1qPeLk
hbxfTICsopEcDi3ZaIpZb9AoUOkLm/Q2lzNnLU+Bupnm6UkW9yEff6Kt9dQgNi8PnhouOf/y3/nj
emfRXDAcBAeKqVp/AGY0tZ+meOjj1z5sr8iGlXvFQe5eoTD2fO6Uq7GtkpsGGho6ic5T1BFHmmIr
XmNwwZY0Ur3rWsm/DXaLgja2NESQUXdv9Q9Obr+MYiweBD3/fxOLOJ9HM7zxmkonRtNsR+dC8vuM
0VTCOq2JLHiVBOCbCaRin1uPTRIxVABfujEHdXADyc/3eHZoDyGLvYc2fGMlziFTTGO/TKY6WTtL
9YBeL9urPWlZect8RyGfwhWoK62mr8+aUuwjCodbxRYzsARjDcQ051D1k+xqfr0lGujHiFLsWYtt
hCtNdY5Sv9pSG44f0q6ibMbFtGmHp79/cp8UbMsX0daZvNmyoaJ1dT7pZaa0hZwwxNGrnar12olN
wR3cx/Zd27daWMRHc1DMNV6p11EiKKodDtJYG8d0qNa4lwAQ98FZG+TqZKRBAd9a+WoRXH+j2dKe
xMJOavQvmH1Jg8SssUK9GLplnXQeRRXYJ5EoL1Pmf2vllmu0z6QKn+ujj6/nWLWwyP/+f+X788fn
jf6HQYtq8yU1FfPTNaHqU6O2RZa9JoYhr1DS9hfcwA5B252w9iHDzGsaxit0MtnZmcS93gRvfjmp
XiyrxibRHXFeHnKH0i7kHmAPBspK7FZR28a3XHn9fWHXz0QwDyeJcq/dpOtQqi4EKg+AKiiP4m68
6PxtNzrAoZDv1s7RBZn2iaTfDLT7LnH2HFp77tMJaZbkOEA1yBzNNQobu6usPZZmu/bp0WuxrhwJ
JUfL33QypF1Swlp0Mxn2+MLi1kjda+eLKPBaQkPcWmRz84Mp1nRnpJk76qZEqEkKKgWDzhXsQ3Zq
ZuqRSJ2SCHuA4Ghp+MOMVvoijUm5okVxRb+YX9ThoWmmcMeUU1CnNzF1p1lBynCXeAjBVW/SHhkS
IvGs+9fWbI9OWZHlw80HGLhLUzG+Jgyj3QlB6zoi8cRNZw6/aVREFZfZhTG7c7TNPDzSxMrdJtaN
nRL4w2G0x7chbFW6Dply8OdEV1/NXoO2BHVBHdMlNGA4FaR0+CW5lA1sv4Er+8Zg1IVFjoKHDNxn
LoXqxlyB6zrLJXrmOHQVULEo+WLqFZmWcwKvalNzQzOEN0Y51sFYn/XujQZ9c00YDLlgRPaw3vqt
7lfxF4T+B7+iRpyPL3YiiRNX8HIzCKjeFdI6NxphR1Abl4/G/IBD2iWhtTgJv3iBUfRa4QPfKblx
Aeys3+ltO+wsaKo9XNqrGiKpHIz0R9ZWZ92ESt/Y4qYnZ+sGWKpXK+kdyRH5myW4tZsXavvWU6ZM
pjvSejhmsnoZDEW9H5VgO9pFfNMzx4R5NjY7LkvUt/ugJ0IowEmLXm9nhpT+wZMytihSZx0xMjmi
eB/PoqVUNdlOfSPIP/uXEb31x6zCMhVDM7gZWo6C3vDTdbgjmZJvnd6+msTHeHEwMopL8WXZTss1
lBHQ1bZLvpD1RiXLvXAjAfDEVMQqIJhxa4bTj3QIjW0SA5yPDMDj36h6WC6YLGcfR3OFipkTt/MT
CZGYQUDhcYkTZ7wZbmxmPekvvumqGjZp0Y/2ShEj+P60H09y/S1Osp2G6PMOREBOgGDWnmGQGJso
V94Wag6ukS3ZJdreGOgBgS+Ln9O6S1ZYx7iLtAHTEF6rT0NjgydG3WIewBsqwvzYA9WK57zPrK7a
+zZSFW/qHlI6X3DXhmgtZyCUgil7HWyURubQNVvh01CK56+wX4WXLurGc2gaN81UVO9zmP/zGzWu
XihyP3KwYojBmk+r/3P53jWv5f+dz/nvMb+f8T/b1/zyPX2t/3rQ6v7/MXZeu7EryZp+lUbfs0Gy
aC/6YmjLl0olf0NIWhK993z6+ai9z1m7N3qAARa0yrOKzIyMjPjN/3n4x3fZ/ON08x7+/sr/+HS+
wZ/f0Hnv3v/jjlt0cTdf+69mvv9q+6z7HwW89ZX/v0/+4+vnUx7m6uvf/3z/lceFE7ddE392//zz
qRWbTyZgsBD+r8beeoQ/n15/7L//uWNz+V68/5f3fL233b//KRjKv3RTAScBPQX2Pk2vf/4DtcCf
p4x/iSDX1o0WBip/PFWUTReh1Cf9S1dNXRTXqo/CTGSBavEu5amN/i9IxaJprtmsKUMa+Of//P4/
FQD/uHj/XRGQSs261v1mH6iKIYGS5eMgK8rsVv8uL9LLbRQv1Ap2c+AuSu9nGh6CQhLnl2COKOGY
op0BLj63yRS7WjI1lsJuisJxfiXUys5mUnwlK0YnElc9Vjgk+37M/LwH+NA2712bC9aSyh+aXs2I
N0jXRpOV/ZDG7zX1I29kg0BF0qDfUvahk+X9ZCV5GdqjFonHlQK5lEKByVzb7rrppevVlCrl4lf9
ZkClIGRthUeV5pB+cr3oLTp5SHthbhKBMxvgfXpiCUETr5bTKrXgCHKR2nWdfEBPq22Yh63dTpTN
YD0CnervV1vTxlSw/IsHzUH4XVoxh1ZH5mgHcr/2J3EmU/W3EiVa5MfY2ECsPtSCQhnfqP0ypMoa
BuDzB1J4qXWbBhR9ouDKo6mvCWFNz8UKP6vqG+aNyEqntNm6JTUcSvCmI0eqaya57s8Y1diaUDf0
zhRO8aRF9gAofGwkNzMhauLOU1plle/E4R1lmC/Enq1a1pExJ5YU0gU/CpzLtcUG/Fo/saA6FVs5
5lN0CrDhOSsJRaV+6O04ju7yRsnALysfsI+6S6RoqqWnWr0tQ/Em3HI8vzxMUFcQNLIZXYFaRiS5
MwT+sxlM4rXuv5PuwkYrfB4no3TYhaQ0S2RaBGx/UUuzNzWEqcmMl7OS936+6PdzXMk2DuvaBZn6
NOGAqO4DCs8oWC16eNdSxNnlnXAvIH+IEUn6S6sBUQ8Ic9rsQepVsSD0Yz2/L4eShV2iARqBNrDQ
/aHtqm+uAINLen+J6AxV9hmUZrZPAMBpqxYCpTvZof3ZbmMD7AqWW2bRbK4RlVQuXT578RwWhwG9
AbA/i9s+lRMcTKwU75GIlRwMiNtdoGN8J2vVEasD12wDgx1MjUEiShyyCkV/FsfwXLDSuX1AfaET
tduYltVzaSF7jZokrtlORR3QC0RkJQZq6nbRoWy5RJW96FSXDQU+V9mP206InzB6vUFJLZxgCrFM
aVEsy/TWlmGlbDU8U+gGglLCC0pUlRwYsdDvI+i0FO+Xs6a+QcqaHvohtMygKXEQpDyPci7iOILo
zLCg6RrWbl7WF91QBtLHyqDWXTc21T8Ijamntplqi3k2stfPo2Mstu/xokHqnUUaL4mtmzhNJsMF
TjcE0Bi8Z9pV9wLSRcesvupjYpzThCJvkmRs7QYxcQYdLmmc7MZ8wG13kH0JtJwjdOGHkEVe2s4R
ysPo56XpGWLn7BdTs5W53q7cQ3qg52htkHeB9ICIL4XPFBsqQ5IEeyMlmjuB+HS0cUZzrNfuqJZF
W3ItFVWPTvPYCo8dOkZL3b0kc00p2KArT2OiN5bPIkO0Pe5BViRV4BTU3bDz7a692n+lIuxEQe4A
iMezo6vCBL2lzy2KnlAJdeW+pmijH5UOBuBAoobGCgYa3VGW23MoAfQM53NXD6FTpIip58s21QPD
iSCqujpoOltRQ8OVjGWLTOQJQXLEbGnNuMgP7SXc8nBAKgVbyEXd7sdV2GVe84Mt2r2xJYQIwCVF
fY0KfbYHA+O8PrGmXt2clIzQHpsbwUI93BmkDTh5/VUNeniSORUa4TmT+9jL+/RZoDWE5xhb83mc
cZpNleuPbWa3mcOXFOljc6rQGOmwm4i08gHWLiCoSaU5N1TOIg+GPzX1e1hDSYuj0R3S8glDFegi
gyqggV9smzH+kspyvJpmgdTGYrCpRXmCBrNxK+PRCmOS6U0Z3gVLfz+B/rZCTSxdSADj3iSOS31R
Oyl2uhYCu7CWvkMpDval3D9WXa5c1fjL6LAY0/LRquBFopMyqX6i9C9ArPDv017MKjmVYnYvTOJ9
J+LuZvRMxwFWn460RZCx5MWgDPcQ7SURI1JJxB8HLQcbu5rBhYRfYlLvgzHBkFfeOJV4hpaDs5Gk
PxaRtJwMqZ0hXUWCv6lfC1GJD0gAHjepKXhpubxPdVL5ixR9bZZyOib6N9UGMEjmrhDm2jG0zQ6r
DrdIpP6qr6W9elkFc5d7JSCGymngQnWjeNgn87ZZCpNNdFz68aheEowwLFVHbxHCx2gtjdG6LVJf
IcZD06TfSGh3siCKF4j+1oaNhAPstHKEXgAULy71sUWBOlDw+0CB+knT2RKblboLgfex55yqezJr
WrXwCRWFaKAFgOwBn5ywCLmOMojivBVX+ZaK7h7tRrcVq6/KLMQjushE/xi9NFnDXLPRmv2sgomE
3Xiq2UdagSFDIep7bNjQS066oPU0dTPblEVK9kjjx7JRz+JqgbfRGrdXzI8Bw0q3o/Pn64nMhhOr
dwsw8p2ganspZL2NzeVXOvQfCd48fqus5d6umBECTPYJPq+BnEeHAiTFnJiTIwRi5Sg9S0W/SKMD
ke9BTElxUJwaXHWzuJUUqxYMPPq+xfJQQ/VFiji7q3LWQoogGKgCf3JC6SFCXMQ2kfd2umpKTg26
SaCCqF83CDRFSBHZVdoq9pJ0Obiqb3lqKt+oNCQ1wan1uobJzgZPKsS+05wFut6aizRv00042kD0
yL6Q0/IT0kQrjMBVZJ2Bu0cB325+aZsQjz9Qfkkcpie1jRykckQcB8Q76K8xjZhBOXdDNu/0QX4P
auBEmt7rpxCHAUsBVeWremraotL9kkJ1OrKnjR0VU01L5ZckD2UNFF4qm1+T3pceInSPmlK/dRV8
cNxGV03yjeZ25n7G2/AWd6hsEQ0NVJXoweXPUVwrnk4rQJyzyosGoNcT7qt0/Sd6+sLyEbf4XaMM
uGqrgbpSO8mWYuVJ7iSZrV5M/uYNZvNU3YmB4JfIAFm42LPI0xTwDPoPFjUHF/7xYonl8hkhAmXJ
ZHpWVvYHZOxCp9JzInxV7Mcqrf1qFlMLpbRXoceJes6pQdHHHNfSPiaEcmib8WwzUdALkYhrUs1G
XQA+0A/iJZtqeuurThYljd2gomWHCSWRVszpdJCDlEvyZGxq8ZLkp0gwb6Bb0UmNO5AA0uwqNe2a
pT3kKHvtuzmm878MDt2WyDLnp4VAP1E0nEx0mIzM8AZJCu0ChyqvKRPBgywfocuBOUVTy7suoCGf
V+dUEd8ioMj7mSzfUvPRtBNFi9FVgintT4KI1mtxo5tbelNhxBlohq7c63NQ7k1ZrOB+VEXrTnn0
KxekEtwJ8gzoEj3ESvQAvHqg9N8MThai/EDJsindrkRxCJnzfq+tf9RS6/aeIDZ/3v95kBxb2qXN
/QYJAtQfFKPa1ynBlPcmbqjze2nabhZbVaYMEVgcDH6eLuJOhEcpXupeqfasIjVOp9z6b3f/22PT
QBMftRfd+nkvBPXGxl+ysv+fn/LzuqCW5MWG75AhHSYMf3m1mubgnn6/G+Ho3IkMEHR/eeYvN39/
qRDhOZxKmsz5/W56P4IVhqVsU4nlvPx+9e/X/O1H/36JFK71mWrUbKbA21xrkvv7yT9+wc9704rq
eb4RzD8O/PNY2cCvDfTUgGmXct1V9lRdudmqP0Oh2YRIDq1PlOsI+LnVZkBnwoDl7PcTTUO40ddR
lilBbksd7WhNAuRjRSYesVYjT+X+5w8uJ4eSZN6XMi76Gur+8ufnMXOD+CrOFrKVwynyux6kUGYU
+16oi32aIYfdRXFHji5nCxjl1Vo+zx7l9YJGOSO0a+Nib+YTBrSqmv9x62+PKYqxRcav9xEmqtqD
XKOoiufCHq4hGaBazTYkXAb8OndkNa05Drg50PcyVNa8tIeYhoRchoP9c5zffyDC5PtylP487M8T
pWZ6mb6ofiDlxV7AbAgb5EHwgjE9xsam2P9+fBgm05tL+RglQb7v9Yodd84xf95kRtp9JBWlh2A8
GIowRFmGucLHbXTc6uShoTzHF67Wc/1z62935XnuvUU5MKKPqhlX+/UbZC2YW6Fum30qJ83+55bB
lP3jblTB0QW7ETtaC06pYbHbN0pV73/u/vEY487BjMZPd3ezt+wxIbDuEsgyeQe9x3sWTYvyF0lW
dN+4o5ceC0s/PU/7wgp3s1c7raP6w+y2+nbs7UT17pb98+j5nQsv1pqQzqEtnhzNwJWWXXCjGrbP
j9hO+sGtcdVrZvXeEcSS3TuDDfXLX/ZAbazGfV0PdiQ416V1lzbOc2LYx8lOd8+F7jwbgqdd5k8e
6B0OmFnBTaXMUf5Cl0RIb0xsPz8+B7cuo3yAo15vR4a97OMdWfCV7yb5pABXn89mbH+3Ds5DjrRf
7NEBXj86deSUDRJ2t3xJ7YhzMa80HXt8iUEeFRdOy5L77XJXqp+cnjkV3WXZmepLRh79NmE8ZI7u
EnfbSN7XrdtBwZ09UfBavCJzF1uhGlskfYfZ4rRgl0qjpDxz7OCUdaGbkamPd6j1IUQToHVm18kx
S7drCfu7QB2dxnLmSJEtSo4xPvM90mNv+HwN/GSa2coya/Q0FoVdQuGXfNFC8QkMrBG63OAubnzo
CgBtnSIqBBYNDAWuii+OBxNQJeV4AF2VrZkngw3z5waBRMGjCiRrW+ltCFwexSaqgq4UOk16G7va
qjcYku7jzNOLM8n/erDpLGUOV6F8WRQUZyxwWhy9xAxIc0C2hfQLLdDM4mVhXTv1oWvGO4aFFfaY
mLhaTXxC1KZ1jZtxqXeGQVX+jhULncE75bl0ZZ94J1/xTAG0F2TOAtnvaYYe87S54Hlc2QHgfku5
L06UXIdThH1jbO0Vwxof2GFKtT0aH+InDUyVc2340Yd4l3UWJ2z4Am5YgJJG0eIpuCcqWqZMw+K9
dxcvehicOLXnj237IHoulPL2WO7i5tQJrpljiOjIwg7J6fvUzj6K/JSMmpenT1LjNeFkpfVJvMdv
3Ykd0TK/g0+SRZXrtdjn6hTJh+5cPGbVUdh9K0ycenwddlN27eQt2IV8R5vQAlYL0YcRja+JU2Oc
nW82DimOCvPne/re8M2t8pi8MwR6VfBEfadIi5O4/W0457+q2G6epGRndP5aH59drlPypFVXs+X6
4OuVY1t/bYtX3t41FgpinA8FOi2iOw5XHZEEBu80vQmAmWdATBaXrLefl734Cfrd6l+olbxJyXaw
BzbvGBDTbqzsbNkW32bmTPbS3ksoLBcXjp3MDEgn++byo8XMJOSVlBCV6sTgCvFL0ddDouO/GLcC
eOITP46PZELQF4dTct/Nbq2sIzrd2LPgMfCRhi0UHCR7WlZsVbx2PCiCRzCY5W9hYC/fvzOS22Yn
I6QrAMA8rRhQ3Vl1l3BSl5x+xlSoOBgtsufrWSrAEBmPdfVgVp/95ldU276ZuyBFy2Yn9pZOYavx
+Mg4OQrNRxuw+uDrbdyAk+fykY6qDTnIKiRfGvE96N83wd2AeghTPq+vKZp1xIq6eBXFzs7KO7k6
GTcAgHWHqS9XZESNhfmN0DmVlRWM60aSz0dE5a/nAhX5p7ZFaoNEzGHuUQtUrYY5mXqGxXXvN/Zg
K58G4A4wybt+uTPfjAtXWG5ADBNt32PbuHTWOY7uVX/+ZAZrkkV4YpoQFnDK6qi6bnOIbYr7vrlu
/AqTPptQnh6XnOjJLS6H7g/7wV1jNzH2laHEMXxp338SV1dgA7okGVG3APVmVy5f5VjgAu8g1kY2
Zin80tB8B6cr34SvhkLdG1MFL8L5U/Qqt7LaZquk5OTn2VNu2kU/Yc7OOIlxjKBgALVvzyDkm9A4
fIGmg9C4Rd2NKgYg7ZdeAjznBpfZg3CBDBrFpCMXDvNezpbeP/IVFF6s6vbgdgxeY/IgEGAK8En0
IZQCduZ3pQbLYrCV9pK/rhxK6AxubNNozd3iiWDZO2zue1yYrSRi1Qpc3Tfio3YxUlZSRr3wqDCQ
voU3TFc1wRv2XCzKOPJFkxwFHPnOpBHVW3ny9qrchNPXFLjiJ6euB13MrtFhJjEd149PnqmkEHYB
Bi8BM9/mWUL1z+E3uS/oNrIPlf2uv7mcfeFRv3bW+GJY5pt+ZfnjOuo+Jyh6Hz+54eM93KyrCGze
NPM6q2AdZmEXudDrSgh0zrSkvfC4mjlajI1NcVfJjMhLgqsCacJ14YoytPiuhQWTAur3OhwaC12+
PaB5n1Qy3a0/2RY/3xl5LBe6HVjdvkadwjFQYPPNK1dzYSVuvcVOjzrUhR3mzar/rL+xDTtCOLTp
XvJygsLGFy/CSXiUEPiy+PecPE32JydBu03IPTqcJjgxdOVCh9/Pz2Lws4QO+3WeqofKxeKzsCTE
Il1Vc9TyKXuSb1zG8sjyHNz0U+cyojfEKN9MCFmcK/3E6qdemWX5kY9N3qPiIHP9bFTahHnLERef
pcywKkyyfBBfa3rC74TDcyJUUmfFF8xqX155MzlKzpA28wOhEgjGso2PXHiCT/ZEGJT2zDz6JUd+
GTHghcVdPb3yKzZv/BpsI1hDObPo1Lit4HEo/e21aY9wkYQ3/lDxnJFTc8IHhn2+m0NXv/YCA7py
uS4rA9SL3tEnalknd52rOERJBis9H76A7nOG88bZXIn/vGtaB6k2eQyz7JuvxeLPIdiKL9u+2VbB
XfvJtA50n6tSLDuW7DklbXA5tHkaXCHekUXh+cxE1raTAWzXIlRnki8z0I8b0Q/qHUXjiWRB8fAf
+6YWb5DtwWxLOaMQJ27UDyIKr/0j6yaSJkb91mByq6rjHaegPMZ3yWy3ow+JHflTCyIZeoX9bq3p
M+o701FkrqRVJXauN9iUnYR7nWLgFgcwW5X2ldkeKX4M1EqituV1kGuUQTtkUbxdNmzhd53u0dSq
Rbtq75rG7rSHivZBJhvAGWz19G7c2KRbFaZ3W0CdnA1Zskx7nM6h/ng31y9F7meWEr+NXHiRaoAd
gvRPcaGNVRu71tWx77iefAmHAlI0qD635yynsuiRNlUuy6oxHOSbLB21/EKI0ilLjJ/TXpqpYKxF
gAoGXvLKcoqLozXGia0kUPhY1abaDbzSPFXlk4oaDbp0bkZDRALFi7nHGZSKMqzDwACG1qy1YfsR
a0lrMc5R4yFhR2YujogAnyKGKxmxclAgYrglwZ/MletzH57UEh3/Q5R/QdQSnlha9UdsdRmkcehC
xRLxer3U5DTrADvS1ufgt0/GLMs5eTZjN99OpjPeNYrXvg6zHZD5q+Cp/Ez16pe534m7wONC9/02
UUDqeayBRYEg2Lnj7nUyzpJo404zmI62cX3fJ8h1zb3w2DQeI618IV4xApALUalpT15vnnLSodCJ
q5MSO6abojxhL0QBwspsQzqQ5B1NQXYYZCuTLf4yYn8juoL4MA4HvjA7DsaWH5VOy36H5ZXcDVS6
ZTwUwAnZGpAAA3Drt9I5w7yQkUKeQiI8skDZm9M0bzFryo/t59R+56ghCFe6e4XKyezUvfwgvdUO
k1L30X5NM/Ybhw4IAKkxAVmB1L1YAVX2TJzuairSXaBs9Q+zkdjwr8JNmpu8Q9dAviaLzVuW7NXu
KfV5Y8gW1Yvz+6XBqMY2dvlbVWIrjR+Qk6Ak1gOZsTEOzA7IacZXwSW3dFUGFybv7L8YgEDU2TxB
PaL9dWpfO6Z77rOQkrV299qWlkWm2b1gi1Z1Nqz2kylXJlCG8NeCAsdnq5B9mY+hBSB0MRGW2FH5
gv/5TL1pph4f2huqQ5/dN8uUfsDmE29n4UQw4eJGit+lpzJxYBIA/81P44niI83O9irG9pK/0dyt
93Ra6J5EnkgBkdQlF+wFtawBB0I3sufG1WiJjZRrtd0sWP1oCTb+JDqKMps78RWHTIbQxFQGLNv/
MszIuqsFP1K8XKAc+8uI7joRKYankU63uk+El5Rh09gTcMD6wCPgvIWncrTU81wgrI4BAampFU8v
E3RHtIJaR+zd1vzSNKLQa6/aUuUn5d7gGbpHid1jFwqmt79iHWSK7zTU+Sla7FcFFM3Wxbe9dDXR
S23j4d60Ww9k2ZqYyOzarPDNPDNx9Hv0y/Kv8HG+Y8FDa9WID4p4SKjsYnGchtuBQgCrbg5noC+O
yYY0xBfs+VdIkf6+V5z0ULAMWsWz0HvI5AcPwZZN99R7Pf5kmFNkexHdMvr/uJEPV/W+pTCsOAmS
AB0zqROttn7TiT/1Gxb1XGt2TpFDei+0ltnY6n1wXQX9fmUbO38K3hSBkAEU17CSW3iivqvem+jJ
VPAUaaztqtofaUbeJIhZg0MYk96Co3nf1XBGOyNlWA7bJBlZFbnMyrCLfYwQUHoJbtOe+MNQgDBE
qipY2WZb60e1Q1OlsZrDPGBOdheOD0v2omCVEc1+FL1CUcUZpLbi2sqV2tpogA6OUms3l+xz2Tj9
tXgd3+qMrbzDCkyUPABvc+LjDDbdAvp+ZFWWCwS+rOaD/6NLdpEfuzsaMS2CDzkUKmDVF3M4A3sI
FAcWxUS8SFzhlMtO3IGBosRPSkbEaPEJFy1ttFCBA7pQwCy31WO10/x5z7kb684K3hZvOqrHiOjm
dkf44ROI+oL04N3wT+F2eUjdFIUTANtuyBkZdq3uhNob6AWnRitC32+TilyZ/R7yFe+tYNyJOnOq
2il2+WZ6kkfMZDF366fQcIyT9kiRxZUpDYvg6dhh7GVG7XM3eIHk4a4KDCujj2p6IlQQ9lfbyJPI
UQJHE4A7nmJUWL30EJLQmxfhcJjzHW0M7Roeaj98lPttnTipnyaOSmHuQjRVXtPTdFCBy25zNHm3
Gye/N0U0Oo8R4cyR0Jg+qBfJoeJNVEh52XQsEVEJ3zdWLDJ87Oal2BU0f5zgtfZFpEYUv3RbbV/5
yrHfSVRl727BWXWio34RKClY+qV0y4OIltst3kJDjMhC5WP+PbG9u6BLOT3EbuaB8wqXF+01fOsf
O9ERo33i1I8KZ3zLN0btfDkCqMs6u54sltVn6R4DzfI0p+dSPpSG27Q3LnRrQyJerNyGNFggtY4Q
ioBaOkgMki2/PKFtvcbEEsPj/eZcYUSw0932JXkmioqvdMhCHxB7t9nFCfH7UCrgMCwIjX39VsUP
SHkyi6V7jFHnCjYdIv+w9L7JuoxmS44gNrsE4Q+y7jwXubcRrVe2Tix/ZAjCsG5i0DU5m81kC7SE
1/9LteOMZ8zmo+EWe4SEUXPbYe+UEjPBLEIx3At8l3CXa5DNgYpqdmf3x/FFB4JATms850eYMJDU
eqSJm2cwCpjtKpk9YAboVsKBZha7Klo6tNoMgEFgGq3+qhjOfJJNVLLsMof6jQOyi/Bg0W8Baze6
D2WBxuAj6SY79PkllR0oyKT6laubd4t0pdQvgnFmzw6SxI05SInNDDLBjnCavXdGgWwR4vTcp20z
J2/QG8C1utE52o6/aP2xa1qpBPRNrPAxQ6jyprsd+iF7IBZW/NTrXlhslVNpBa9r9A4fIc8TrzxE
vL/j5/4jpQpD+d2RPlWqJ465TWcrMO1g3ontMZ3f2u8Mx60NiAniuHkS+Dm1zbz4xk6VGAe6gIzj
KNUObXEaUHJ7pBwgU0aJ3NrKdrSZwAdRPgABRIZAlAfRUaGS9QJ9NLVbf6SDsTV2JPm3pd63dn4f
MzISL6jey2uDBDjU8PQA/onikHmOLgrGhsUWHj5rFRq7qg2aOPiVFJKb7nL8mVrYYjanEV7ctI9f
sWKlUrRZdy/R0yD5veyoi53cC8CY2D6b9Wv1REn1s0uuZFqCnyt3fQev9GyWe6mlJIxsarlsCR3p
3kRiQkjsYTeepWfjtRcsv/bZ3h+ZkhtvuHXP2mtEFKUl7pWharMqqdM2TO7SHvQa9gvs3L84A+wC
v/OzXH6pKudUOW7uJ/KJR1235OGUvsvse0N3YYgA2/di5mDQuDQJStrLz9VH9VF+mid137Czp65x
AS4AWmBT3zImdD/Z2IO7pCpfibnWR8b4zjxvDoyOeKtSx/DVy1RdQ+oL+24vSt/BsftABfy5ctes
7BI8IMsbouhaWwGMTVirWvBVtwqzZQ0GLEl4ohXyoxF31ldnIYu9bMMDpQHdlXVXcBWCm0UGQADe
wpj+QPnVGpg+fGpE0+0wbbvtBBbBXs/jlkgSXklvT+a5rq0HSIjnVH9ZKKN5ouIsBZ4j7nC7N8/h
G/2qSKev+ireqLE9vdMA0tZo+xQ9k0IlXGUOC/e1fjTuMtMryQFCi7A/POtntXSoi182RPLUQgCM
PM/Dgar185P6PP2Chlu+be7Lx2DXowDzHO+nB0biV53cDZg9QCfG4Vm/f1Dg8lmfyB8+SpZ+xiUG
mwvhnO6Fc8+KzFAI7hCkWZzax12ytMO3HMiidUmj7SC7sviyHND33pOcUd1I5Ws3Btt03HXmg14K
x04I78K1nxLmE3v/n5sQhukFNTM5pKjD/8I+xBa7AZmgte8z9xjKyyoaXPlIB+jnMbOODxU4Hj9d
W1jRjCMJEAkKMnJDSTJZxtn+/Uy+vub3Xcha4B7Ehw6WKPxJmnA/7//58/PSTkn4pDlVI9CWNXHg
P9+fyo20C8d9LNLY6dBK+eNPuN79eQxJS1J0nN/eTTBDrsZ2WO+jv7z0b+/8+Qy1pFf0+9PKJii9
LG1vIOYB/zWRS6N2G9R0i37+hPV6jJ+bKg17yf25aeg4Gbq6WBR+O0WH3y8f/vdr/n7MxILjz4/4
efDnNXnWxFuWGu/3634e/333j1tRHon2355JMQRYaSaAntbD/bwQnzsO8nO/HMnLYAIjZbP+jL8c
/udngwgN2SvPTKs2JIFkTueVCZltZOWs1xoubiPeUJkU9Gq0w4Z6q6p65NHZF315U5/CnJ4XppH2
smwepBQey2a8tZKJkjvbvxSxVWHoVKcHPtFoKnQ4lnYtMu7jUPgw0u7UKvKbqXf+XICj7ETKaIIJ
rnbzHKFGYG9oWZi4XbMDov4zC3iPgeUtbBEGMbVmwx9ySaJiPCjeMEhbsQFWgISPud2owGSj9Bms
+mRrrbrDvR0MnvhQ/WB90gGqkzI9bkyJKFgmt3FcDpiCxJZYu8UwO4m0RYfbnRRyyzq9S/KXMCRP
ocoxsnnDYnMHCYpUMUH+Z8xQfmhi9ivxJWpxWZF0YtcmvFveRUPZ630NuihBkguzgCoW3kVtuRZq
6gXhxzhs6AWtPiIEHFO+LE2Bx0SKzJlQQrTRoD7rvUQBFJJQEOhvE3BRezKKO6BmoV02lcrmCHQk
OwC6r6wiSM2GIWC9SqGgU46DgE/LeQz0r7mbZCet5F8gSU5iqL+EKRBWuV/8Kf2UpD1yr5+YvOTW
WCwkAVELfrX/jgrjgzYydFIRsn8J085HEdqrhC18Fgp9KtvpTgam2xXP+pzQK5f2TT3vAZPAM6fP
smCUiyNwi7DQPMuoQzWgo4r9nNIRagpAWZ2Xd6ndjBq5GOE+aEA1KvJjb/qD8aApSwJvR0Zyc/Fx
jjuE1Dw79Y3T9NEC+kNs8yLJyYdCtpXhFWEt6KHLmIBUVD1yztkmkb6qpP9oQ4iXE3Illsga3wBy
4YzNmn7sdKlBUEyNEEtaNT4xcsN7mRZMvdGcarrWYaV8LsjENYF6n3fzS1411EHNnmrqJgNnVHxJ
Ibz3qBcOY1s6k1IW27RG4DunDKb27KmUtU9NYpkkwryL6uRXmdvQzUUnzMfHymB1nTsVmu/QTrsh
TZAulgDtqrgoCU1l5WJWneNWfF0qOXVq2RCcYcN+Mpefpl4qd22+vKXaQkiBjg6srHGAAQhINoyv
7PXpPoW2lIG8jJvEMzfKFyPJlaTuKRiN927WLgFd6UUHqrGI0+M0DYchiyHy1CB3hzx0JPE06+FN
j4p9Lm3wlzYpf2xG+X56ggPU2Jk5yLuEXmYld7IdxsrjBjEdbKjl9xrervldp/mwS0tO14QycqTP
Bxn5fW+s+XBznlm8huDQqYjIY1qBor26lyLhvIiBB8I3OAN+PZhJ94UcAMxsNg9ZpT2CJm8AYoK+
RdfqtAzqu1YAX5hK8mg6YuiV1K7QiHQt5vJXMuPOEWz6SyqWBharZ8DPF6lOyT8aaM9KGHwHeJQd
x/5FlQhztTjt1UzTXGlDdxuiugEa3SzsLP9u9MDuzJFVHGPlJsBrEp6tWAzfSrvcQDvH4BjYFgZB
POF3kxw0rX2Oe3YXuTziew6il441zY7MqFO3esqkXPU7FUU/QXiKmJuc3f/L3nksx61sXfpVOnrc
OJFAApnAsMsbVpGiE8UJQqIkeO/x9P2hdO9x3X1P/PN/gqBnGSCxc++1vuW8RYpQLtOgIxOByA8m
ZpUKBnsXv0+D+bkPkX9ZdRvsBdAXKlEHc8IkaQ9N4doHiyIbdQGvcYbPjIl2EleQ7VSqQ/AAuKIu
v/stcx6HAWR2kuEsNpUd6TVI6rW2/HWndLMly5heGyZ8VjcmLhBMT57bvRcz00/HoO1psPYc6hTj
OXLJhzCt3p2yeYGefuU1v861dagoaEcsPoTxic+BS9Mr8Z79oXoAVrw3yvIhsgnbMXJuDLXGE+pn
0U97fJLFaK8CqTBHFOGDZRMGIVVKR16QJERy5MpCYbo2nB5FlxJklSbtWvTph1G4IeLq9qetlhTH
tDoGdoLZzG7XrQy/ufUcH5EGj2eglCe4GRtg3sWqBASFKHw16fap6aKfbWRND2bL2T8HqNVtb6AF
wV0Q2UOxy9w+oj3Yxdu4qd6SsRzWDdBn+SDphBglCpbsh5NZ1vq7shkXVOGXtP2mwplLXVjDqphE
vjazeYtQ/2Rln4izvgZj1VxRVy+qUhrqZgE7wCLv1Mfhz0qUvUIL+eZg1Npoaxl1Lb06u970WQrd
usgNbs/DS6SgBhjMJpF9WuTchGxhE/r1CNitrZGWJ2PUei8KmzFwYqxu9M2ypQniou0dy+JB5sy+
kOISku4Pn8XoTVCS3GNdQKDMR1yyZAJ8FrWgYhe4fcuupRFSJ89itj6KPtySKn7ywvUY0KwtHaqn
FHGJNhMUBJNy7mRMJ71l9xnSEdsWWYzeyE/7Y24X5npooFqejO5OS59xk2DMQBAUWpMxPZiJ418g
ByFKQvSp5fThpXSnBNFp2yyjRQudj5H0NesKH2dc5/FomZOQGzlR6Zg02sv8sWuqZtfbGCFVQwvA
tU4Cexqqy3HcRD4ImdqM1xHisG3TlR9mog43n9R/28oWc9o/2co8B0fy/99V9r/r5GvefG3+Yiu7
/c6/XWXeb8p2sM4AEPasJXDkd1eZZ/+GodlTmKg0pThe/P/5P/7lKpPqN0csWbImPnfHk8tv/dtV
Jn8TJjY0LGVSe7zb/yVXmWX+DXzimCZ/TgBf06aJt40Us7866quosuzS6pY8AdfFNWR73NObcxg5
r6mtoyOB1MEWD+qHnHe6WSvgBUfl1V/Qtopt15OgFqjpyVUQcD3qd0WS26qAbLgyjeDFM+WlQKB8
lHM3bi1J7m8YMSzGli4mrMQWCuzY92y69fpzMMXj3iPZO8TSStCie2oBZODgmi/IODH3A4xyV6k5
OTvLkgk8YVQvifkN4y/xds2dyCMY2JlgwqhZ9LnVs44W+mfSS/XUoP4dLJtiMaar6/iYSFp6nV26
MBsmgs1HQdsd3AdvC8W2gDOkp/DBzj3ruLiCk+ydEOzwpSxndXYrd4JFNBCAB3ieYKz5IY5ic5M0
3IyaT6Ea2juCVNiLa4zMRZF4h4I0nShhCS/i6GEmJy+Cv7surHi8d4p7z3SLHYjXeOuJzFxbtkL9
lfnjOuiKH7mjf/h4DPaYst+wD4E0GpieUexP84z8scgFUpreX13Nnptn0TEP9enn1c2l6dmoWDCZ
dTy9Dpn1lBlKbvIs/OwBbqYJl9iIqnHtKVAiu3n4iQf9vq3ZpceJz7g0EXu7D9nU91Bu6iw7JF1E
Ms7SkKqEd4+hskEFRIeto93b2+Znv0iibZuLeu0nPpuDaAeQqdrhgNtlFQBy2+vhogzOxTHdnVsF
+9hzT33BnLQMMcKMaYznoR7pjCYuXdK8InJsChm3Ot5z6TBhq+q6xkYBzFmV8WEe8vdCJI/sgI+6
Kd9rtwNXkHnz1TfoFTWtoFPCtgbMWHO1AraOMVAppULGVyJ/r4yDVwHubeK9zueNFeQfMUwrgEyP
LQoKd4oPEKQYfznje+gWdKhgXQ4ZqdyZMO+HDr2kKs1Dq9w3dm3dLq2xBpNF9t2oohcPrKhHym7q
ouBOCSORpv5qj7CZXXAvquPdrZziq+4hvQZDglvMNfxVZBjIdALgd8WU0BH0/TOtm4Qb4tZKFNUg
GaOrsbK/iDL6MVt1toE5ROZsyeQdgwiGJ26tJYC7xdKAM5GHG3ztrcA5Jv6DEWPH8LLpLZbWwcoY
RVjtZqiWFlsTeI866w/S+OEQM/vYjM5HH6WEoubBIc6b736IcgMUS8gLan1qBvcpDWGyveKHLHc5
jxpLFjNVkTITwcdVI+MacAo0XrQxNMT4KonPvT1ADIuLYuOHHwkYx9Wi++WdpNNuyXc7dmCSgRlf
F57amSXFgpkUm9pZGBREFA75Y6GGfq/mXu37LnoNQR7lisb7yAUdWulrKewvRUotWLegCGjvli3F
Lbzu4cJzAgV8MUnmibniWpd43Mi6+rWGyugwa8D+x8CxR7ibgm2xSH8wQGL0qf5kG97WRv01VR2z
VPtmHDRp4LJdDkX2YfUQB4kHfKjARaAdiJ4DI+w3gTWQeR7Tqs7ZC2XVDVqBQm3Ih5+GnMeVkVZf
0M+H69ncSqOOT65hv9MDYShY10cmHmocEECE6oQBdC3bqDtEIxMFNo8//S6B2ZWO/jl4dEsfGZdf
GU+2ddKW/p7msUtzI7a3UZZy6bTZusAtuhV0AQg/hJ7mpycrr4nb9TCLLYpn7gGc5rYLfamvoTbP
+suQT4/jSOHPRTkcSb9BPujLS+waOc+mbijZKW17gL1W66wnUkBh7xb+QYfFbd8KHRubKGtZBGc5
Gt8HErmhCNF7MvQ3O7rUTv0dQHoAxRYVgsYuWTRptqtBku1510ZvTlEzxPd0+NLdlDBkUQFbpsyP
DaIvEX02wjvGeY13siB0BIPiql5QlS3KGfIb6RwSVLBK4cjDr6MxyKjCJdRKYalMhdh4CROKKtX9
uuzQuBDxc+5QrFgt+RRNYvS72Ef672z6kiGDmOaNjCKIoWPEGMNUJ50x0JlUk+5HhzMDixidl0vo
BtYWLnuJZRQxxihjY99O09bE7c0JHcLTCkmQSIcw2LUV81MAIdzMxjUemWgrfXQHY68U0RP4tQsa
yFNYpzsrs4yvo5lah5EUqY3CkLD1KNz7sfwSRdq984b2OlZFtR2b8c3oUjIeujcM3s0aNzUz39xY
h4J2cBlS1zqUiBDX7usgsM8sBizKuWQeYA2w7dDGNIoVD3RDPSbAy2pvC26Z/FPpvLpF8FopQ2+r
vmY8AaRjQ3YONl6/KHfR5CpUwdcUpOJ+SHHyDIp+GSnzX8toeImLen6d3UMDymzTSZQCVrLt5QBZ
L2YO5PL6tDlTNtUf3AlnuT1W93lPELnjnQKJSgOE3EWhUAg6FZ18l2S8nENSRochwgE1mt5rr8IX
ENq7wKHFrry9sCVjrLK/q/Fabcwu4J2daa5ZbMhXIcsu2THpnuBa/iuafu5AJKxUr5XL7YWsUX9T
zvxgOSPF65OM/YwFnGl6IpEDbx6P0WAhQdcRGYeot+lcggBSjHXTxJ8+TZl6xw9Alsk4HOfIBJQD
sWgs2HrWAoVMzYWMu3Fvlh0u71jdRVPW3jUOyhlBAmTuE7kRVV8nmKixdc4xMDNUt396suTMn3bY
epqXkEhGcpZZc/HkjINHolnkQcmBrY2LLL3AQQF6TggW+gZ/lgcoqgrGj1y7BS9o1HkHghN/eO3n
LHbsNW3HEqkQDLEW492YZkczGRgl6unBue8mTryEHF4lEuYG2LnNgd6ZZjFjdllC+AQDnnRJtLc4
4Qa/q1lb7G81FyI6l+6tJyNkjaVsr7pUbeY3Ldr3qbCzO+G7DwXV2znNJqBmox2cnWRRHVflDo88
FdCQPMeG4WFm4a6Ncwz1ONSFU8wLqH1G/zpo/I3MmrfZQIoGb/WiyePjJ58rjPaYd5knJVBGJmdP
lvuRnelXO8lQ/izemzwJBOsRiuUmauIDudwETHmf4BiOayelEozs6fMExH6jGwIt8pmWtKgag7nJ
iLMxbyaIUTSPaoZ+fmf6ax+kK2gAvGBeNR5niC/buMUMZBf+0dUzikAyXtezx9pFFUhHyT2Oknc9
mQxOUfC9aLLlxuuj7q5skCmQwkI6UMhMlF3lofM8b53Jsl+ZMvyagtZdJ0W9gzN45b40bnUh2X5q
1XJGcoKmuf8Z84Gau+d+7JlYNoO4wMTzw1jv+jwuEFdab46uym2unJXrNphSl5orMQCADS4vddxw
1vqnxoA/vQzbnJTgNFfdlVLjB4fUtpoEYo45pLKoQ/SYJoqW2JFo4jtkJX65NXy0MAODE9lOPKRK
PM5peWj9+jGMZLB2GCuv4oaZEG9C3bRHUvg+N107Hc0YQ3ec++lWSEUpMeiN0VcQ7DqvP6QtjEWP
xpHizaSHozxAwEF6VDbt9/ktpXbZE77YbjA09Rc963czq751EBE3dR58i+aOHpHfMEZ1c7rHOXe3
dDxPHbbxiS3HOrP6n2YT6BWJcsVWSxblaQClCIhwKdtsyk1KTR9aeV8M8jr8HGT5dQrVriokYhDc
slEKUTPs5Fvl5ocuaZGLxO2phOvL4ubuKBHhnhfeukVRCt0beXupkbIzI+67DmRkOD+SUTkC2qDr
KXVxcprxOelLhrYlKTtOa+fbenQlu47KW9f0kDCKJo9NwfLuGPHTrHt0Ye3i/mgpwXHxfo1wFecU
K8vdMEg008+U0fCo0EXmR/3d1cHWEZ3J0CXnOgHW4Q7iqNL+XGTf59AzVk6PHgd0ypmdq3iehqMT
QZkoEOdHRfNBrYT+nR4GIYlFYXdb8mg2TiL0tp46XDMjxkpoq6vCCtANq6JahxiBEQtU237J/eW0
9rPFe8q2ZaOj6S6YxBGDtbp0fqHWw+B/zGoodgRErzqdS9zXmVqDV8Bfa2xMH4E9uUhhrzGDy2w9
hSHFV9re20iBnLl3WeKIbUsK45xwAR5rad2HneMg4Gk/QyVmPNrH7xnCHR0b5UXSx2eQr+C5OzmQ
yW44g+7yPnUTjv/Q61DeQTMOiBIVHZgCWc+HupQ/SV146iuWUmVe3HDJSPd6RSfV26aJuA+anYiY
FNl+c5erJZOmlu52IN2in+o7P/KPRiIQQVXyNdCICqpuKIg2B4PBPXRmFwZ746ys+z6glgiEdZI5
vbegFtF2Yq4aOMYHEbqipZTNmx4/RZKV24ITeWf7/qY2mn0SGd/iAe0NvYCAPAjucI6kJmGzY267
BfRiieCEHonNfDtBmwZ7gSSMvjdFLfdzE7VSSCG2Toi8gnKUraqcPrQNvnXN7fSn6+pr2OgdmDBv
X6D7xTXgfYls67Mp/PbJ08ajyIF2QsqEzEamevCic965JPKHXcCWPZ/Ym1SPNmHVa2/uFxejr2C3
TCscsF/NBNaCihJvpxqqrHjON0ADwDwUybOn+zvUtPWh6OxnwyNlpawnQuMR5InnGN5IM47oVbu6
2IVmeBZdxGA4m7u151aYjSS+tqllyh8534zGeSFNhLfdevOcLMYUXnPfo4ySCLkx/W2HAQ+eWSKd
rxK16VN1ShK6kFA2GPThPyG2BL9I8aUlAm5dRKLfWcP7EIXFuWApiHIXNGxoPbnjuE4FkHAbDquw
om2k0N7UyB8bV2/6GaFlhzzHaZOtFzQh7eyPPAjxzlWIyYr0MhsY4Llf4lL3jPo96HzUiGJn13O1
B4iFn5yIByuTpDWY3Z3nqIneM9dwyATA5DGuOmsR+qBsoAXhH4PmIU/eh3ZK76DOMxAd4qsWw/cu
/2kNnrcpCHRdia6DMZ/0a2cYnC1B3etR2flm9gc80iitczWakC4RMDfFVavB/+QzUg31uHgYcXpU
JgTJjgleNG7ZvRnbzEDy4bhEufgLhrzBftCyq3QrwfZ0gqoydWpTpO1dC7mVNZUeVROCkXXFszVU
+ujK+XOGq8pI/HUWs7gUvnlJMqxWLRWPiqHV9IPBfTRwl4iu8uovdUngs2+SaX4xHQNtqjuZrKfi
tey9l1pypan2VVXuvJPK+hiKgC/EnMt2dTe4VA4dgXwXRVfLsYJLVmbPvWCJilBOiB4JbZDFTyM0
1lUe0pZZx2nwlCI1YC82XdqK1lBLf5vTSViP+RyheRIYFULQF3E+fMWaOjRxedRSvik5ri+t1z7B
fnqeQZPyjrKARSjGb5bYpuO9/vXh7fM4+550bnE0ojY+VAZQhLrltrMcGD7uFdfc/vZZGljFqTJz
pOO2/2BhWpoyjVA7zGFip6RFApS/7yPo36usY0Rnm8ebL9aZ3GjmbMI6O6TuvqX3tg/NiJUs6Q63
zaQLhG6XBiMNc4XENGRaPlXDz1w2ZOaZi/DNCh8abb12wBA2JWEJB+jhIB2RG7WsyB8DoPvQ6b4N
aXmsCPZZ9Y2TAwwk4kd0qqbFMZDFEIHxAUK1DN3weLdB/aH0iENlpmHhdKxoprPllWZUmKHCMq3k
frlcF//ztDWehA7tlRDDg/T1xRgUNSQpX5soKI+i7WgCmRFbOnGQTTs9+gaguLrZ9iJtHw2n+mAp
wi4r1cV2s1MypO9qGBCFktpdGAJBXXC19LlmkjhIN9nPUSdWRYhzFc8eMOBsG3qY2IV4jzBY8yR6
wRniNqvJtR5TWM+bVpfYr4qzKfDXxGAxspipE3Qy8l9hMigjsfd1aXp4aaD1tOqLV1pvpZc9ViXY
FwrEj270KkYl56jIxNpWZrePqwCHeA84QaaLfrv0M8SvSGUi8dB59cWc0PPpQpv0Z2GA5Ga5Kpnu
6ElgPk/zp9nYUpJ9YmqPHqltgdTo/i1DNMPkI1gNWZachqE7plGMBlzuapyjCfQAfC7VTLxZmoDH
lFdbWnfTZJCg3AMLGDzmsWMXdhsBdeJk/X6QeV6e5PIjt69B2ENJJMec+CBgCMOYEb/jGh9lllon
QMr3DafS/vaZX2UvTeZ+i3q6JmhKmg1ZYt2SB/0vE7YtXItFBvlm2qkTwSdy0XktvndcvnRlQGEg
3nmTix0eoQTe/5spvicQc9PYipVqeVjGOA/7aGbvN2tzphHC19p+wkOkhxBQaCD3QZ+8F/b8qY4p
+V3HLU+3Q5YEBS/K75+bvFEiVuHx9hBvhylfFE6/rmfrYNNOPxbsjFoZe7sKm+5iKI9vPv5+VHpX
+/UlaKx4Xt/s6+w24U64n28X4+9WdDLjCh4hr4IZBP/+68v/JumVBmngZt254p+kBqaA2zN2dIeK
4PY63D7PQ49ETWt6dGT3jZn5uQtpnwwN767TQToOK3SJdjcOJ1QKlFPsx8h7pL3EZgzVk+21xwHG
xv5mkf+b0R4a97wGVRas6+Uh3h56LdO3irsVt5iuYVzaMdvtbejddnvI/WLrapbfEBwuO3Mk942P
mQSNCv3RLIOSMC7aLgN80a7KvUcmFfmpn2xEdkUPjGxRn2eeVx7IzKMttajFshEWkGqQ7ADUPAuS
as9m3bEjGyEkeXUynESAJretAcBk84TZPyTq53T7P3NQs5dJZyB0zA1PGp78yTFwSBuNhULfVmJN
c3EqD0uFcVt/k9BqT17eXFEwLG9hScuf2TntsBAFVMzh9tHtcDvjSJX/icABJUAecppZuKl9V6SH
X5fK7XpZDpaaWDBLrddTAzykKxeOSLws9h6/jKwXEXkZxR1nvvSJUIE2EXeSQi/aomg7lnB/2WE4
P7Kgs05Z6lxdOgU7onH60+0gNVwRp+WS1zrtT7KsXM55OWrG2zV9I79BCpiy2rTY8xtKdTZXEHtS
fw8NKjqP3Ng24Cis1f+LiBDC3j20Qbsx6nwxgy9QhKBSaP6Ww7ycGh+d6rjLml1BKks5ylOnXkRO
xMvtfbAWxd2vd4RujmsZH0bvsBVU0bdq8KY7tnrzXWO3zcohFnwfiPlltBzNaDq7nwxXXsRyqKJw
1xnWtGua8FU4bOlGkkR+fc+sjb0TK/eoxwJimm/1DM/F1kW6t8noSNyRT/w6p5Ha334gH0Z4Fmqx
3/I9MxvuGuX/HOyWNQNvil0P054wF9ThQ9CjHMjqfi+50MhezbNrb8tDn3rNoaEbavY13hQC88JL
5dCDcMaOrPlkeVZFuaF79URvgQ7ukmZsLQ9a1My4SmNGRkihcQlHtqVGz6eGPX/zAN1VseyQD9nn
vkHxM2cXcudoX+RmTjTMz6IzwztFEtMI+kmu5nBKMMfHBxfS127BP62GYbIXZ4hlgpSurEtfdwgu
XQYKdpLehWgzD11FaCNyjF3LFgvRifGlCjS7qZguZ5GdXT93cd3WfsXE3PkkPIw05oizaaLb44j0
ravmYeuUnAwwij6iOnvIEoAWwHLjfQfQei1gdpSIblR0ZzpWee68kBdzKp2NMpuY7UmIlFeCU12T
/5Cd/zhocpBX0p2Rnft3Vq+XMC3vE41bEMZkAKXnDHceIquWGgRlThdxq1tiEZzJIt6sMazT7SPQ
mlvDhKYgRJoRVu6mvw4a6haAJIqzTv8YJx1tQge2tFdgqpoC60Raiwl/mI+q5XD76I9vhE1pnUY/
h2TNxHR9+4YI0Q5bJUSwP37u9lduP2yb0WtDf31XCUOdettSJ4v8BPzRy4eeNo3DZIeb1HCGU40C
c/nqH4d6KPSvT/MaV0fhZMna7CUlGgazvMUW5M4L1IQ++SnwhXsahZXsECMean/apFSEU8PJOVRE
+vV1+43mis0fMImOGfbe4IfkNXLFeKXccivgfWF5DKRxQpJnH0tW1WFi2cwMzARkLai1DpLhbKIm
seMBFVlGMWn6wxHNmV63BmIWh1VgRQzPhxMKLm9ESm36g+7KGsTRmyxQBUu3JTWxeY4S9riJ630e
EtdfpxKMGlcV7VYisv3we1qSTD/qFITfUDJ6q7dWk6lbD/Mkk/TdHC4xUhQnoZPWq9oFTJp+jAID
juQlS+vmw9PMvN2W2GT5HHtv9kRjPHLsGInw9MIt21ppD2EZ0qfl4nzSLoMvwsAWPif77Exnq8Le
E3ILpQ94BM0M+DKdux2L7HPaIPOX2CRyuaDXWPGc0Fk1Tcmr4NBuy+MHtyH+IQ2XCVv43GfvUQbc
LxD3csKe6orsvoAmtykz/8Vvl4u92AoIoqyD5dFEaIJKkGJhDoF6aeStOsf6R1vbrFEw+X5/cq0U
TTp1wVL1S1n+1EbJ8EsfFOJvOeE9tDS30hmpEHcGWFjWfWqMJ+b4D9CV90McvlUTMzYvfW4ZnHJi
Mc5CiDvkz0jRwpUfJcF6LjgDWCn3njeqFVsHomL9+J68p/ue7iI8SV4jsDhNWdAxRjJeb0VjnzWL
Isx+x8I2MZfTlagjBvvPAHSQGEnrYWYB5Ar2FzVUv7Yq3IhiFvjk/C+tudg1qm2BIHh0R16f6CuJ
tVhZw12RV9e0YJpjPBgWUB7mJMpLP1X+BvQRKHE/v6pFnAP1PRy97z2UlMqPGSn00VeEG9ux23al
7EH+fPJdN4GbIbdERUJ5N+XZwESHSpro0QICDdwnegZuvzdp+cENW9leuXVs645GIOxqjFqD3++7
AcAW/lWmEHe0z4nKuqY/Das/EHz44jv1x1jCMyTrNRmCc2MFr7Uyn0x152vney2vMHdphFlsSIcF
ptAlx2r04vNkqHHjKIlzoZcmkZgcbh/dDp0MrPPkspZmYfxezoirJs2kMLFnaLpW9tly/GIVL/kt
oxeGTNbDVbYsAcwcKq7xTuzdJv7UwcZzqd7GyatPyOabk6o9HC+3z5tGz5uooOoerNZbJSPejJgO
YzfYFXs4Vt4hSOSXkNpjlbYTKyW1mlz2mfQqeDNbuqWnejlYISaisMQpZlhNTdSsvnZYmSJpVacu
KOqT6bGPjVTu0lCgLLwdyFr4hPS03pXtQtWKlmJucmU5Axr+pmYRo5dkE6OXHUfflwfX17gMS3+R
E2DOtX1U6bdvjvdxk6UnOq7lyVwOBJZSoWWiR15Iq3mdVTHSkygnRZFrJQ+txUEPy1znXMOJWZPR
oGANOwzoVqgckGTOGXg4OH996AygCufFpzLim4oyNWCA4JCx5TmJd7nU2+1sPLk5zyQ3llve7Yfq
jIFBqHAxLhipZgFFsVnDeXT7kHhpmOX11kywNhOx8Bl1J08ni2qqRWd5xuOv6pFhkN2hygBhK7vz
SHzQyuoyWvFLhSob5Pi9XbCf+ePz3HSO8HTBQbQ3N8Pv/z5ePmKwx6SbtUVwQmQJbHsFXHLlLYSr
29duH90OhlXckQKeUR9544lSRR9GTeZPOn+RdoPieshfnd6MztwLIGukNJmKXDOkKwDbkgFHemZE
S7hfhoWUv4rQihOtwO4UaHhvU4TppVEmd6PlAAHspAJj3Of0hk+3gxPqrYud6dDenmEzF/kmpeSh
ExBb6zYwaGOZcbSLSvmSGiyLEIRGvFd6QU3VgnW66w1OAGpt9l5sNyIAJk3DisqHfDFtoPENrff0
34K9evoXzf0fBHsOMXf/SbC3/ppGPyHoRX8hwf/6rX9J9phQ/cagzdRQxm2JJo40s+EXCN607N9s
ckoJMVOmzbYARvy/QfAWujwXdjxBQJqIGiH/kOxZv5G+5tq0I12Sg1wi+v4LIHjrrxE4juBhoeIj
dENLIaH8og0sP74+RnnQwMH/X+0si7LquvGaD9LbmgVonXa073pRYhUrw/6lsMccm1bkbqrIoVxB
aIFmJCr3kQ84yi+yZ/T4HwH4deB2IeVFfo1UuCDSYsfK7zPhGSffnt4jwyUfpkboyij30Hjly+C6
430eQ9z1Wlft/vRG/It4/z/yLgM3l7c8VOdvfPvlidnCo4DTtiAHSi1ZMH96YnY+lYkXdv01oE6H
voJ2pMW3YNcOI+kgvyMvLNyYSEL2cGvReXeNe1cPo3ktQ/tHSwL72Rv7+0KVI5CwJQOiM1rKkV5d
akLfxVB3DzoKbey4DLnNkZZ37frpxXf97z2ZSwcxoi/CqfKss6KGINH0Wz8u+3Pk0iNVZPACxBzO
tXKRW9vt1sir4RgwRT3LbojPSQttadQNPPgJfgktcP8sw+HBNwyXgMxevtCRW7AINjaNrZMbMGMI
Dn9ScykPuT316yBAMvKfX1P11+S928liK63IH/AcTV/rb+l/6OJDF+R4ew1mQrT6Lox2Xs9kLmh1
8NwHADXKeToZs82DjYxon5fxe1sM312bmPPIqyzQIiSU+oyu+r6Th7ZoO2bFMAireF+PtfNEBZA8
wvLFmKmsF49RCiAa5y1I2/7EVASoR9nn52AU28AmJmg10PsmQG54ZnANrkVRlVC8UvQh4NmnIbWl
trLiao/kn1QIUjZcdCZbRTe9R6nBVLlvMWubGuuLNZjPUvNaevODG6rsdSJju9cZtBrupJfELO6n
vjuRBJyso2le6H3OYxJB7Y5DpOkW4F6nq+4kE7vbHfOPQ+9FiOwnDNb/+f0w/++Ll0hynIiWVlzD
ZOf99RzXTPmR6aXNlSTnJJhJfk1q9nQ9mqY6BPON6Cg694zmLiMhbvsE957yyVaxwnNbIREjAfra
tTZ73jbfytDgHruhgBev//lx/jXszBHa1Np0tfQs1hgOy2n1p0vREWNglwQQXYVlNKc4cS65ypyt
E6K06Sbl/cO/u0VX/Cna4vb/PGGRseFSOWv3b5c+Le1pruqwuG4AHIf3hvmjwgwCOd5yIIqb9nVq
E2ofOXtPFRfUSqAQVl5XnD0BOKOzxaN+lJMXvLZSELMwSJYz/S1GqZe2EUQPeiMrRkvlvsAAsCUh
Tl+KOaPwszDMNsJX/5AWd1ur/vqEljhJB3uHrdRyN/nrC6i1jEIsVdHVseU7e8vwrImFWY2uWbNc
BdU6UDAmtXbw2KIwu5OsROd6JlQrVtVjFIGXgfe8bU1+SU6shk1pPtwOie39YGijjzLiEpzMmdRc
rHPncc6hkMD8sZhv3vUmzw5N67AbMOzGfjWc4Nvitcl6GEAGnQexkJ6bWqdXIvcwRhA1+NnLipCA
9NNk+kyt4k6z2UldYHAtGXvkpFMENzvyWl34NcnI1ASAX+sJoPLWSOFbyrXRdD/bRoRXrEsEK3JD
RZMUmXeu65tQtRKs0Cptzn6Rg3232/wf8uGcJXfob6+7Xm6P9CGQ1Wt7uf7+dOIK1VE+Oz6SPXfd
kh2ECt0ZPrlO/TaEBgtvT+E21O6ARGf6nphu/EMSDGLFxfC1SrTJ5MZW96ERi2MyGP2+tbT/iIwW
ztTys30DKsaYvhMddrUTeaSBFL/HhTutMlTK2JjhLVUp8rnaSVmJkKZ+tU0fdk75SHiYs6FZgEyl
nwGOVdNDXNIMnJOZUErbM45Bbj4N1iLItiq61LPbr+dK5AfDEdUut0f7EOVqaxj5cBjJt4aIk6dX
xJ2r3q+/9Lh57mlt1K+2/lRbzfjZbZyWvKR/CH4ir3U5df/yEktGNBJ08BIozF2FQufPLzEdkEjU
aMQubeZH68pMzTM7PPMsGpoiuLLNfTor93D7xu0wur6P42n5mZosiGr3x++YPiOcuaRn9fuf+dOP
ODo2K6ID+MU//lrfYLHs9VRufv3d27d9dOMGY/zff3JWhrEmUhemBlmCTJx5lAbO0CPNm92ffvH2
jV//8vYAsQ/4O8Sar7++hsiJR/DHPyelhjeDJAnxf9g6ryVXlW3bfhERePMq71XevRA1zcKTQCb2
60+D2nevEyfuCyGpJBVCIskco/fWjzKmSP3/+0z/Pvs/72v8KSJ/pNU678N/d/F/7ez8h599Wp7z
80/bqrhjKTCajsLPHEIm5qctTwjtxtd+jvzyl2UzLod/uWlzymb1LeYav6cEN20pyV80Kzwnhhkc
HFbcsr12BkMfIXcWyQtVuFOIjtY989i3zpn+oZqTYXl6HbX+n07Q+W0z65La0z/6oBA7jMmLytCf
DUhO4mz4VRUIZdO2Q21OLYgUA4qwevUatt4tlSbYGOlGe/yu72bCdFU4gD1bfYv3PNqjrz9zwa9W
rQGZIy21rWWCVYgR/Kwqhbs2qpkmZKF5M0305OPw2GtcziOCTxM6mYrEGkp1CQAphRcq86ig+0Sp
4EGDbagPzz15IthUeI/E98RaT/8yO5vWNMatbZGcUJXCnTPdd1ZlNzf5U6fdrcu89JpYkF9x/e0y
t3kwOvOOMmzcZmnvUUEpoZ66ilyRFhoGpwHMHABjpiWeYqvlguR2O07fLzv/8uFfUzBGyZOgP3Is
SaHPJjQmtYmREQH4EX+G2rn+utIaqpRZdRFZ7W5lEgeAfY2PaZhIn7ROmeXdIgQgZ02Br8/FuMUj
1B4IadjKsjEvTh3BEhHZRxbqQPAgIBj58Cd1qmfTblqwT+ZTGjXXoCbRkJ7mE/ZADrCs9nUg4z19
HK2EFBWQoxIhcRZ6vy3b7reH/qwhrW6vjBy1OH3Iu2V/ERezRvKLYXNOCI6tYeWjBxo0t9zTGjDO
Av0x+FUGlQTPzEGrCUCPXffEFfuctRoFrxhERuo3FFUNjoPHt5cOv5M6fyIZSruaPqOkoEZbecMu
wkZ6HL0ah+DAD6z0ac+F6oJljkzwzjkOcQRpiM5nE6mDkTpc3uP6Ujvj3h07cBV0zxnVS440wnBa
CzgMTRmD8WtTZjcFQ3HmvRo1CqQJ/8cKgViRgxSjjNRuvUmAn7Iw4TY4hBtPg4CO7HU9mcM/Xp+d
8uHNdtI/rmh31CkAUNvpU0m16eI73glfCu2DvvZ3dd9idep+WV58ofyer7XkSXGdX3WZcSnr7Bl8
jp9W5PjZxOMAlzVXxK6GmnFWufM2UGi595WNPrlFjSy7h6Z2m41ipTfp4jm2KnPdCry+UVPdNMds
t1iMulUiKVx7UbDraOqegtDYdmn5YnXVXqcxsZGialatbouNSnL0GQPeGmUztKZT/meyO9wFlepx
CEHT06lclp7DrLu7tTjdV3avX3D7I6/S8r0+ujfH1Jud61ET9WOThAY/OvWolMvU+9Vp0Z0BK6dj
AtG5RTuA8Wk8lKZ1GkNiA9EHnvC7OGvbyzlJ3egRqezAqYUPLPwuXE1tLCYbuwjNJKt1OvUjyiCX
fJ7uxUvzu9VjbGBARJ5ZhgAcqK9Jv6VlNKS3VtrmukAgs0od+VKj0N4Zk0HOJ2XKweNUJjzpMDG/
JDxNvDLZ2qVp8Nq7UbpDkkbquIQcadaf/IZokyPZOljUUinMIcKue3q9U+18aj7HjxxtfKVVZu7s
OeC+QIO/GrILmZjNFvOPQTaU/WwyQ11x2S4Ps9KLnJoaFX3g/+0ljDD2sNxoiXdmOfSLPA9QSRzp
xHGnre0T6JlYjH5u9N559p6lGLK6SQXk8pBon14HNOvrLvJ0Bsh8g/GYhdI42menZJzMWRVNqZ0+
5rR4O3OUDxJLEUmRxxZhPF+A1exdt8o2Fa4STLtBsJs6uRoUPtdWZV9Z1/UzflG6Lhxs9R4j4xnQ
GNEsgGSITaDZBK26jc6DqDXzOIQQONPKldt+GoxN7D6qCc6mNbJoVATGNmMFNBtM7qjDRh1ywhht
ivFeXWvn7t53vnkugDkFynlOEMhHjIf4eWgSkGMw28aLZyTBzEAVeTmsiw5hHpbgqr9QBV/MlqZ8
VlovjulfvJBveCJo2++wPYxhkG1kMj2btQfMWNFiMIUx7DrrmxOs2+dt8poxcAIZlOYqM+t9zKwa
akIJG902NkMW7Qs8A0Ogl5uxaenepNxtvOqNOIwnSETTZ0lfmiIy2ssghd9juR9NPdxihs6qmPYt
KoWd56FrFzYsSTBaqyTOaaIhs4ctqu0Hqsjgk4aREopfbvWEkHES67FLWM8GSVsUcAQjgKnFG9Jb
XlrNwj9taPWG5E1vF6jgrMLK2VOYePDS4TntiDgR8VXvwr9tmf01WhkjshoOzoSl2zCGD51GL9Q3
WnYJyXOrpKK3lA7ttUZMBdyuRSXcoi1zyne3Qbk08SNfdQ4q3oZVE4klxxgGJpoQBhhqoPZv5G8H
EnWND9PROqyMdn/uokC7IaHW18szls1yN5vK6K678XAO0eZul5fNrzc4ML99fI94KyftSdETOFQo
iwETRekLKJt/lveQ/XhFR9K+11xPd3aBFLZHW0oPPycNa36P0n/EZo6BPc2SjXCM+DYoIS95C2LE
ChrtsytoFMy77U0FVgau4Y+mNggcEpBbSa0X5zQGjzR5+Tc9r+aPWcxEAqk+NBv9J9IC8gvNoL9q
ejxsAr0tvjTSXpencuhBtmcR5ZG4G1m99Sjfpql5JLzPX/28W0dbUea/TU/rUYCizCY8VAHswXpk
UGp5RRDy4cz/FyH9tSM792NsdcJf9CiG86Cca5RxyajsYISdmG97w63J/KHTM7Z1+8yU5zywagYb
0QWHrjOMR70NgePPT9Ptd8uu7F+jRKxmJWVzH6PBODlS1bteb5I3z/Tflmc6+FvTIjbf28gfIA4O
9rnQZHTDDKIh+TSCTvsqMVOIGjeXHyVw6VwrfQ4aRBKkW5gHTwFHteuZIzJ/FjvmlNFL+QsnDJaT
yY/vrSeCk4uaZtfRrmMF778sB8jI6wcuV/V77tA/4zzoz3VWNzfH69ON0M3mWwj8kPO7Vi7pH9To
nacqC/ODOwfjlm1SP+V4Dn4Od8Bsl9Dc8Ftz4O36hga+zIKapmm5tq194byFQfy8vFvURk+Ieykb
1Lq/BU8jzgW/u1tjQSMt3Nb+VnnwnwPp03OANdM9GeEkEUbE1cHolf4Uiq77+cd9V6yr1g9WbcR7
OJLWcmuM1UXqNTlPI7jtWC/E795+16bc/O7CGJ5F1+gXkQt1M6kO/jyh1M6NZee/0kQBbCP88tJp
Wnwb2UdIdFb5G/tP3vTGL+KkSMmye3iFdm9dO2FA35//RYG3jB+c7iKHzX01XUPXk9e+dYtNnY7e
Lx+N7rIrTUt1VXkERpDDesWhJCHu0SP1pJVfwu6wPIspHyQk/tdNDJp1WZ4A0cj/HrWnZX/cUGIr
GBP9luUQiAJYNxtC5+V3h8zwZ4dipChCBOGNKLX0otceSFnl+F8eX9byDOoQzdr3i/rO4Omc49FM
Yc2N6ktCaVz+ixP0BcgWw7jnLKfPKvAAgzPifeIK/PnYCAOTNQcofoh8pzgX89A0L+4/3UTwVA7M
pPh6zCCUD1lk+SfsgeZ2tPP4sySeZfkvoeUTmyHcQ5JqCWuDeiLwqAy2/Jgw05KruryP0hxjVXtu
9uiMDfItrrk719XSjy7CTzF/R/FAKQEp+fAoTS2i2Tihg0QG/s704LQ8I4tUu0o4JR6nurKPJnZ2
gouh8pqeeBPI45xhGr4TnwBSRx+TM14U8wkzNprZbPjm5IHnhrr57sfM9vWYkoY3v0A3c0DdnvOa
m1Z40F0WNmGMIN2Q5+WFppNiZ6KuceJ6nm8tPSbbzS9flz9WoEkooFburXd8nIYoUH7eNc2mp77X
25e0ke7RqXNYzVkyfsPXNBkLvxXNux0OV3EMcr1+NSnwLbuvuwos1lhY1zIKh7uRJ7DZ590kbudL
OV723EqgGonwoQ/Pj5dxxSJS9Z/VKJidoPY6EGZovk2efVh2Ed8ThsNoNC6pSqwHJ6JvvbzSxZ83
qzv8xyR1zXM3Mlb//CEkwjVv4w8fVtG+1JqJyBU3+9ATe7O8Jaq/ceNj3TvTmgwf1Yg/KXBZpGm+
DB6q0gAkJGvjoZKJdZlUr62Xzz5U8ZEyz/QmSof1mTFghcDL+llBPTTacXqgzdGuXBtD91A15ilJ
7eK5RRb1s1eIp5BEiP6uoyC5+hp9geUPkmzQLPLK125yK4h4MP7Noc2+EeYse9tiNdvWMnGOcU7G
qjBDasSmePo5OrKFpRpVkrE8BPYXYyRY3rUx2teewuizZ/T5acD5/PMF5trZ5EL/5Ud1u7Oskp8M
oaqvfkPkwvwFa4ZmoNbkJ9ZGfXhffnZ0zu0vM93rZvx76Lh0R0aGDsQ2G4ytxocKfW8lZuo6Iorq
2KTuF81TBDeWU19FHDE1KcFzubbwrlXmOjvfw3Rbdx1X1RZsrCOOqYdYuAd1gHbK2Pe6jQ4kAA7K
zI8YAzU9jaoB44nxXverYF+yguUS88sdMw3jrz1trR56G4wEe4PMBOavr315fkV7xkiwLPe+eBVA
0RIURyui5K3T0PnYTFkDIhf1rp7FqjqyW9rxCY23yeyetdz+ooxxyFPfeWvNGFer2XWH1lXmLgaB
tpEkMm5jZHGnSWU1WD2v+tlE6DFWHvWk+UsrT4jF0CcsN4dZi9qirm2GOiZ8gtypfx//v89bnrxs
rFmQ/3O3teN9VE7n5WXLGyyPT13D/1hu/vsgw3iwFp5DTCdODNZOM9Uw65BD2GiMOk1SLvDleOW9
4Bjj6N12WflWepjuk4QVUKypaS989ZbEH4jxAybERU6GDSIInAn/SYMD7slct+qY85eoaA18iPS9
Ew6ursGhm7Aecoh2ufvtKX08aoGhTqIhwGeyRbXt2hx8vk+8ut/dPRtHx/KEbhaMZQjRT8W8WW5l
Z53i1MEazGfSiaHFx/Kk9L9C0/hAS/DeT/oequfJgQ5ON8bc4Z5GRVyM26TuPhIZibOHS8zEHCI9
zDO2U98Lz7p4USP3P3lriQNhKsNIJzJCqF30j6u07l6XD0d1tDrh4yA7ei45CrID7V+Z4l01Viq7
0kteiWDlvaV60dN4WMsla69Hfl4THQt4VRmXhPjYHeoJDuL811IyRXeBKMXtmG3Qhq9jDztSCcae
iUKEfGW97FiM2GwjZl+ryGcF9JQC2BvcPdOxF4k7d2VJ7SEuQnjZZkesdLIpWpaWXmBtjVma4/so
darRkicRceEFLNKtiTMNT2EWZxuqV0ga5t/Hz7s7MIdOy/0Cxfk6HRxohbY6GmF6kLQMDxMZsNuI
oYoWC1EcE13rjetQckiTHPXq5Glrt0sluO3msbXLdq+TB0nEbz7sTeldXG1E9pWQvLuiC01DpCKa
dWr6t8ROdp6ofUjLQXBisWgrJznFM0UTWyKKoG6gCNkl7trxB4OQctQy1SzAMFJz3BqxBWJ0CH/3
Uv5JvbAgr6XJaK9ZN7srq30j3Hs+obI3h/5tUY0v6nA5h90ttxo6Z5T4tb7cqRgDsgJddyCS+m1K
Avca5giAW+9BE3V8nkwSXsu08o8tL73KvuvWuSSwq6kJXUqxXW9TD/xzgjV7H3rNQbZujyvPdJHM
ZuPeMbpga3VGe9MS+F9oVN6U005nlVr5uZR29TSNUO5IwAaY5gprl1pavh7bGOa6F3i7UIRk6uCo
PYUDIbzjwNxiCFkac2kg/1Sz9qgJyrvfOruypkCMpU/oFahHfXyJ7D58yESQbq08R/GNNvFJQ9u1
4v9Up6alZpuRQ3cyRjocqVNPq7w3jMPiwYjt4IrQ3dsBMGE4WVwgbS3yvbSyczrrrJYNqs6HQBKN
Mifs+fMAtsTs/bvJNKNc9wLJnO5pv6MsedUDYPtMwEJy+9o3N9awOA40GyiIeBizT7rGKe91X46f
GbtxMB/iWQLmSYcluJ8eYouFzrZm5s953aGpinF/dKbR7HtLXGAjmqd/N8JFIwAKDqd/IX6FcQHG
WRC2HLv+z/73s0Rq6HLsqFUX/6jqF2k9JSc0P95bILrhKDlBT0ql96QkDyM3B3VaHir/e6tDPEdX
wXmbZqNDPgzoXiOD0zCZN+ZoaVvdG6Bd0hOnWvNQGODRpR1Vm7wN0XvlcobnLL9zDyMqo6EWjN3i
P1DRpB97PxvPTjFcMnyoK90kim3R7uOtak/LZrkL6NODGjmr+nXK567oxbGfP8myIabS2YRlORe7
4vA0zZsqIs21gKK0MvTYIjxG3ESnvyxeiThkF5aNj7fn51b431u8mbUqa3r5WUpitJolWMstewj/
993lD3rlgUFwq8O/VgBrdgZkWH0i20yxcyImWzZFzTgWzmKyfx/zM8A6aRzZ6yVMMbTwscYokFex
7yEGttzXNoLdDCKBELP5pdksVIsJfl47RQ0/3cZXNmFO84yqOhuBn1dYTCC60XWjNOoztpsI3mZK
e2VCURJvdjdRqLH1R5iiFnMJnFy9gWxVjYwX0dyD1RRy1ryZG6VcEZeNy2wdJkRC4PN8SNpZ/mcs
Bu35V7F8nKzhHApZruvaobT8djck2bfeOunZIau8Ho3+sIRyLsNWO6dECmqGNELCB8prxFpNVr6N
4h46pG0PJ4QuId2AHr75LHpL0yI6ZhijWCIxaBcep5pZ6sR+LPcDYsqjsM2PZp+WG52q2tomtgqy
TXVqm3KbWyHX4tnVoloTM23uReUuDtuXxWm4mFGW4WC59X8ei1x+iIGq6bjyu2gVdukKtcE1nYp0
mwMxhnOQlRd6hQGefRwDWgyrZtKjYe8VuqK7y2LMFPZLVmb1Th9S/z645q5lmftNDwaKRgA9MMgU
iO4QHXlfa5eanvS1HcDqTE3E41Z0cL0pu1ioeEAQy12CgfMrKMxrQov1pXCa4ewDTN1kz7ETDE+l
nIJbicZAWFqHHYuGoBXTW7JpicOqMeR+TKLx3teAyV0FNSf0XeBdyKDqrTR72jR5hw8SGQHGBbEv
Mjd+KPqsQCRuksURFxEl5XRernjODcVL/2hS4d3irtcRO/b9I1g5llHYqpF5EsE2aeVD0ZRUiV3r
IfRx4psBrZsmQWdK8eUDCA1i3noerdPBXGPgzS4GOjF4IuQNu2ZOVkIVTXRnMCDCTQ1e8i790+hh
RfgV96jFMwUUmJpyvGdrGTj2+1DapPV5xldra+7Wsg3UF2aRvEOj2C6Pe1VHFwEgxtG1suatKZq9
AMn5FPTis8H3AIfHoqZUK/dgjghgzMl5qXAxvNv0+Y8V/kjMY6V8F8bkbIYISPryVz/TwTDkuECJ
Lt/JIgLhlgNdPeqCa7OHmf4d2/iJ6Xzwq7YNvg/iwaF+ZHvS+WJKOeTo9FC+bpmbyvuysWSVIJ4Y
gArBe6VcKYxvpTWIBwrnBV91y8KAiYd08vGhpd3O2uOtVpr/ZgFNPZSwpWiktFtNxOZDNN8aE5L1
4mQQh8YuOXXwcDOds8fHOG+0telgxR6nEQbH2CkOtcRGnafjqkt1ZG5Ah0/exAiUk2J41EGkHmSZ
/y2aVif2paregi6jt5FIim32pG0A4kWE3tvdjnmDWulcK3910XOQdYeosvS3wU9OciCLPHWj+sUz
h/xYDh3ZD84z9WT9JqXmsBN4EVIDzBhgtwnZ36BAL+e4tFEJr2DCcSkMlHyEoo0U2BDhXysjcQ1J
q8cMUrbHvqmrt4YGB5rr/A74GNEXnk83KHHNmuZLEluKZAuGBvy+yajSYzO08l7yKVxvLA7KUuVl
OdMT17fOCR7vkVbXyGv41rjUlU95mbdXy2yA5nDP8BDtaXpN58bDn29FuDjCKb4ftCG3370h3zeT
KH71AXW2sEujW5cPn/VQjRfaotS+Hcs7er5jPgJoNB+hDVyclDp6odvwtVj1rc2aH1mQ5uoB7dO6
RVqBNYJgxiR0x0fLmapjF9NtC61sEwrEIuVIQ9sMmXuGXWl9mBQrVzFpTV5lAHGFrwI1FQdh2X6i
u3I3g5TOKQwi8RIElC3wm39FcymBUmV1oUHUwkuFhVZljk7rYxx/+7m79ad4+gyCDkVUHpPT5Vuk
JOpC7jR7VM+qAL6Iayr5PUTJxq8896+W1kO20zqwPUzP/JOoFOwlClwIIKNd4cew8Vt9QVuwLhre
jSCyXmtHT2ggciEwY918dcL6P3eXv9LhpEnqMFUUMqyf3YHBeRjtD9uS074Gs7LDW2J/1M3w0TVk
radm/4909OnWkdcadTCvR8QAZz8NmODaVIAdsFMkV8CVdpuIXmkyUjehvKu7v4OC9j0Sj/jFDmkE
0CUZD5Hue0+Toc9tGFGvbGvqX8q940T2P/D/fwmaye9lOXYbxDvFPY9mVXwAb7ZoEvo44MQ++qTZ
oU1MX+1k+NQzoiM4P/xvU/qPtW/Wf3tX0JoJsahM4kDxBwidzDyych2GZZFTInWycJWNkTyNnuu+
hFMfbVNmBHvNm8D1eBpYt6Hr70lufOZJNB3tSaqrPXkbA/PPW8XIXqT2a+e6/XPBOV9atronWlTi
D/GNIz8inBmOL7aNnhWAJVp1Gm3XOVedehZ1/mLUltqm1vSVmwJ8vm+yrsH68iQ1aWwapOeHaKq6
d17zkTU2VMyaE6OhVbyucS2sR0V9awwqlmhQ+N4nMUApkmvMKu6HRYe/KI9DDebQquU+j2J9V9th
S8E0PliUkg6Umcjec3v7UHalPl9fxVZTGammJnUZWLjyTleYBWMH3szOCLcVpek9N6MdgIUo3VOe
Qf+xHTxUKoOkSPVo2lu5c00zPf6MI1grU679ig2NHl06sHaNRm0zMiL/lsMfGysLnnMLTItmi3XZ
dMZNpu3boJnhyheFc0lb+dU0RvOcRxUenrm+6fqN8+1/YpaM9hKw0ktvmPk5UIUBg0ErEeVLwrGa
0nqdJu87rYyNFgu1ckG4bqfQjI64/EqSvtKUqGgKc76o1bFziPJLm4DVmfLzPW0RLmJ6NF6QylBX
SIS3p/slrnZLlpdja9cUkfaWfnH1VDUky+IoNNf/+QaVmW+w3by4hRw2fpBBnk3SHWpkHKd9nB99
MR8V3Xqus8Q66llenauQPq5hQOPrnOEpngbtZigcpPM9xwUKyjUFDmipkIBMJbmMhCs7XmL9ycjW
bhyDaDS+/S2hTrCZpPfdI4mdIF2reo05pb4pRSOjrqdXOSC8MPzE/gy61zJOx4vb+yOCSqldLd0u
zuMoZymRfsZS8/82jdh7WvuXTsZDn4YICzWLqUUyDWdNjJc8NtLXRBs9ZFFQWuIyDe4wGII7ZyWR
qsrAKolm6+/g5PARYns60KZKnyGTNY30Tw2+6VOka8/SivgVSkmF1DWnmyiza+ngr5DYcKDxq3iX
tfm0M2NygpbFtCxadQ5z89j3MnjODQ0BTJI8tDjnoCGBCmWI8oR/y3uWVdX8CdE/afjGmGDV/Tbt
Xwus0FeKF/5NKq9gXdE5b00c74tgnEjMMqojTeNqM9XAo5KS1yqnDuBlFK+Z3r8nLKrezAG6bdhj
nwrr6nPuPH4nMXF4GB7d7ShHZmikImFGy/KrXWFyV9QXTlo/qr1Tlb+p8N5VnpiPkA/9XUZ5bFNJ
UBytD0XP6XH6KleeSruWb65OLT0q4jXeYuOG1RcEXlIPRBY7v/SqcOclfP+IxL4420ztYZjNOA8h
96qjwJtZ4WuEu5eLdh7/DucZpTYcXMwQW5GA6vQfLav2Vk3Xdb98Liz4MuMt9aIceZAB67ab+/eh
ttHNqX3VQsjXUiRc6iCwOBM5aqC1+l1cEhrgSOvZ9uiyuIk23U0NUnCPCPsQBUO4y+l90MKX30VP
E6htin+o0dBVM7wCIAuzJdNNnmq/Sja5nRLX5Hf9urQYsCfXyc/2zIjE0uYdNT0XB+kb8Nr6FrnY
pPXTKjEH62DH5Ad7In8HykiJhXp9qQhNoJgb/NK5WOhxVDxXXnpvPKlvbNjd98S01L7y4u48iiTC
MBy5ewMc1t1s6WW53WchgPt3YZGfB8/Yy0BxDUuiDyfyenY4RPWtbYRRyWuSWttcx3ECOqMrH0wI
JpAAM/pPBkshPjY7Zb1GioAkiKyPVZoZW3Y931LAMp7wl+lPnMANED5FZ9S2WfjZzWWRiuNhawhx
lQQVTR1wjyAOcbHp3Z7rB7Ko1mzOVq2ac5VwlRfNeIwQ4O+ZcYQrIzChr5U5tCf+cm78oTmzVr7h
VjuOoepfB3Lh6qy1jsxNiD61CWGe0tgigGG+usnPWOESHVqnPuuZds1jM7v5GcFqGlbkK5UvmFu5
Hl+yPN/bhZJnAwKWoRfaQxhNBsAETmUc9u47EWV1SnCjinZJnhQ35Vv5Tasn4iKc+GF5qMgM5LQF
OY1VPt4ImniJgNe8dMCwkJcG713SuI9J/d4Ne+ys1VOaCArAbm3uu2HOfrCzrS+ok3gAfWPBCVNN
mEibch9pTHVIOTBpV3xZLh3fVDhfeM7qp3T2DsuicH/NEDxLRNFzNnomqDtsNFHylbYdwA7HLWem
wfCu0CWl5QDCr7Dzo6bZ8jlz+MHS/jj44J1c7LERpb/CqlG7lM8cDYpSjYrPKGFW0fhLtfNy1/oa
InCQ6RCGBwAlJCMk2WXsmOeIxvfWzGWab4WsuNOhCjuZN4M6hgnjB0ciBa75jvFkWqXoKWgwecM7
cxaElAD5WtvamJC3H1lDlJu+BP7pCrc5OBQw5tpBdF02yQDSwymNbhNEat3YyntZNhml3dGc42uL
4b3HjLur0yjdz775KALQp/eafgrjNr/KkMuxXaKAMWBQA/OL9VMWEmtbFFCcqVQ9KCv8IKMBw5/s
mFoxFKQty1e/9fNb+WWODHdpOydEupCz5ewapgamIdvq8v1YBHAOaPu8qIlGTcBKoCMalKuUcQsr
DeqNZrNWTwogYRlpgVRr0wjptmJBE2TaeEraOTetaqqzqRH+lkQ6GvLeto4K0V6pDOM6SpaZkIZr
5iZaukdk6/CbZN029Plj69rqmnbBJXIHcGqtQGRW0HDWELV4HtpsVdXFSafwHUhOtKyzTiQDMbv2
6VFRxAyefKnWQR59ScsL3lrhVSTYVwYaURG+TYNT7t5Y5Je4W3LSPbpx25GuQKiioYvoHsV19urE
yaYz9P5am3M3sJAGvFfbO8Ii/DCa2LijYzmXKqmPVuuWENiMU4kxk4ZMHW2TcagoVqTJr2E8qXTf
+2b4Uvdj/2KSCGo22R/6WOqqOZF8ZAVMbvsMSx1CjfJCIQRmn7S+ej2NV132FtqslhaETuhPKb3k
kAkSmRg88oNSQcMEg40rM4pjhFvgDCouTgZkgjkQqmiIQatCOLSHe915iRWxa6VdfAembyH+QpDS
RM+VNZFA2Gbis6wiGjie89eize6WQcVElDiH3gn2demnp8IRxpUylX4taLVckePhvyRkWZUEJlGW
+vQ6hLW1ipOziMJ3RU34QAePch/Ld2rOD0mDjam2ipdQme2jBY7eKUq69MxDC73Rv1uo76tco2fc
GiTeDXRNj45PGjeVSutN9y3MogRA7ZqM5rXpIhcADJE/94VBqd6Xf5Ipf/UqZDrQrSeWr7La0dQG
HdzTSTbDizQ6/7nwiGLOii1FK+c0gLaG0jseEoeRbkXRg9mbHlk7k6rOfehg+Ukl310p7PvyEOBY
wh8FdmanEtQMuWrmiU4APd6Dtap6qprILC+j6fy2KWmtRau9F/U0nEKA92SeRMOD4VTRLsACSOem
RURENzklrmWfD3r+xorvhlUJzGbSZgf6Md5KIbw80H23qHxE7iU167uHBEL5kNN67FpPinoGjkbt
1WvVbpLQ87CmAb3ULJi/bXJG4Fw9uQ4nU6mR96QRXmoGOU2RkeJkSVH14M+0QbyN5kbLxas55Zx8
E0RunClb24ZBnvvGq5sk9SGKMNH3hkDLAI2HrhhixCYJt4JQjStEwv9swAgSzYENu2Ccqr4LwPnn
ZaPBfYMPVHWUXEinR45NGUHUz4j9jUevFdlBT/B+V1FOTG7DOhQBBJzBafDtR8KlYrdRj+m8mcmJ
ZIGdNQ/gqqKrujGMc9zr2adRIm0cR6PbuuNknBSzFUrdVoqKE6C7csnXtYqUSGG7Nbbk8DjrZqjM
ewIvaY3bTx06jbLh2Gv9Xo4D9E0qqRh4Sv9UgqbaGUn9TEiOj9l/9M9BFKcbmU6kDbmiWE2ZJI5d
K6dnmb7Y87gbgUzfd0XfvCANYSEvQVloSv4pXGQm9hhPm6ofKuKGEGu4viwOqNRPQTWrYMpvGRbR
dQTPgRh0bO99wokZ6q9W16prmCG9ympTO2pG9DROmncbROu+jIrzPcEo9rOu7uJxWtORpkaNBk41
X0HdTZ+D+z/sndly21iarV+l4twjAxvYwAYiTp+Iw3kQaYqSJdk3CFm2MM8znr4/0FmVTld2ZlVf
dvRFKiQrJVIkhn9Y61v0oJZnEgg1f4lA5M7OJzTijAgWep4FB2MQ8kNhjiXy0kkuM6t4MevGvPT9
174X7WWqfawMOWqglhHsiV5yE2Pdxk41AnNMXOJlUJdYMvCeIzl0G5J49b0RthdONDb5ht6tvBa9
qF15aivmQzXIC1BhYI/6roTN1M0L7BkiNdw+DGemPiT+sVrNFwFynh1624MdG8Qb9WGzgojxRMYS
5AvA1p9s0DnpZNr3AEgdRFL7PDftr9L30RW30XDtVXlHdeDuoLcht83j6CPrQPccznJyx6wOVkVt
7UD7u2aei1KbmV5sBoeUcVSFnV95EVpIs2i32Tiw4zeyr2Hp0/KE9Rneu1xwXHR7wUDloKAvmNJw
r+imSUeLA7m7fYnYq1sprLmXyRF3Q5GhWesqcxk7nCumpp9QM+drJqU2OaKJfsr1Dvpwb3BFj7gl
CtOvH4b2E/DH8Gqoun4APbfVfONTZuv6x9DmpfC17NfPbv+mdYBWptTcqkZDPonp6sFM3BNjlO7T
NDLiKsYOYZOoZmII2EA/55Ih0CBhRm1ZIfrjZwajD2ZfDQ9hCdm4S2IMADaC5bZPqw9WbRALnUwm
oRad9VE6iDXHmSfDn8RiLIzy17ZxPkJOvw851bcBiW7VpDeXdsJ+wpqFtr3x5hjXYHC+zC5ZI1Io
tAPAxImO5kmH+bpnGuc9yhrttAHbXxFtdTZ1zGZBWM/OgTzZY7IFaaEL7xBvElP2xFJ32cppWu+1
sSK08YX90kUWxMvG/torJr+iTVC+GAiwykTXroyQYXlPWfwJ4eKzz3LymE38ip5ufG83yBNyV/Pv
uX4itwdfiAA1tJhRsiogIjWYc1KDB23Msd9MrjoYfVquJuVOq75Q4d3tQ9iy4CgD8/U2wQ3QWQrN
h+bYkt/KJXJf+peGq9cu1oZ2FzF/ZZ/eOWvPZs1sato6Z9OGvFrgggxLwJqTSLcosXBbeSlL3a7p
2GfFZLwLyWC7Uc1WjzTmT1Kztja7r53F2HcZV6zxysClBWIzuXO+4EFz7xsGXMs6cSBH5ISBcUkD
xGYxUIa/Ys3j4VL2xuJmmf3fmKR/ISYJrAEuwf86Jmn1LXntX6tvP8Ykff+ZX5kLyvpFl2QdCdu2
MByjEf4Hc4FvKUfZFjcuIXXbAHfw95Qk9xcH9qqFPEVaCvDuD8gF5xcphbB0fh+loAGN4d9ALmAc
/b3nUSIvs0ldkrpwCF7S7Z9s9HHUBZGY3HLXxTmJNIibJtGV2FCcQz/vwcMURZAvSSCFhDxvprXO
XsPvz3aiA1+VUi4v/Jr8ckukJMgSfThG7CNzIHarMVblkXFVstjAJMUqUDf+sSMbWnfyblHEnbHq
c6NhrEZSYRzctTXaIM3/7NjIvxurgYBt2y2UAp9ZCuXISpQE0IPe3tZqVmyO6T7EIhTa0jpCKs4C
nYjuyZnL/PxbnGNMkLUVbVjnRtxm3XWX1S9ysM55wZ8lYBG3yWepwb3yZLsdhrJZjSN+NTdQT6Op
+4x6vDM3HM5ouvV1hcl77VVcfiZvnqBYWy+1rIc8So66X0Gva62G9LSApN/Rh7UCjJbz/1QJy1uP
jrtw0mHvtPoEih8xuqzji+H7n20vEQ9wCOe4hTsWP5BjplEsUamQnMZOhckU5FgkUeDcaJ0jIGED
dnm4xmROcn90MkDrk2E99L1RrAcZxw+erz6FxYb5hVlxUe6bOlhXUnybMtUvI1Wcydsgt3V0l8OI
ANpIRx3uS/i5ZaDnawaT/ooOMBXDcgwZ9Nr9OnVBJRAYyrKx2XAMvcd9ni/NwgIdGzUPBXu4hS14
7ze60XCr92GwDujrLHwmgc1N0vG/wlYl/81LUUMGxj2us3srbuul68YB3PsAWxdR4ZsP5AGc0Q30
K25n76NEz62AI+om2RA5EL8wIlCdjYTHwFfVdrmsK/QfRcgMICq/irmfsoByrWJsP0srSi8BDwRo
GMo4fV2DzQ8stHEPo2IxmgrJd3sSnkvS6ZA9dGFDiCAEuCU6kyVjeBqemBhq9iB7fF/3hpPe5SNN
nP6lKtILqPoDhGhuJB6K1yjiTWFl8tm1vf0sKMY/OOXxPjFNppHx59LqUEXm+UNLf6MgWj3Fnbck
EjVtMDyZAQmJsT5jFrUdAWId6d24c7wPflt+GExv7SnIYrHHX9616JQsKtWa+r4gX3eTdgYzjHLC
aar7lNdwM32tWKdswtmJFLQyJGmknOOLAotM3vdyY5dq1xboI12tJ9ZUBxk9G+QF44+tmZEcpkp2
iAWKRZC3j0xEwbQ1TTlL198j58qw70hOEowxV2CB0w6Nj0W1hR6KO/2hrer+g12ld6kOKXIqHpC7
NVc0gsxpGDLQpD+ZBZy2PnwnPshLWcckvbXzHCJeHaspP9S2u4vGB7jl9ToZRAO903kkTEQleELJ
IFliSQy3TVIA7HaLfIlv+o6hq1r7ZqwjFiLMEc8VU8oavnvMpSauunBffKlIR7tYZ9aD4ElN7ay4
6GyK+dqGBk2D7+lHK088j/2Qb3y9u6ahYv0MFqpTjPPa0XAWCJwyeH2qqlaeDZpSaj0NgF3el2My
3JF9BJYcpPWibEZ/HZhZtc7CQm7THAOmIJGX8JKrUwKdSUOizWKCQbzYBMvfNtNGBvoHt5vcDVVt
XxIi7oXBQx6UxFIG2QOVR7mImvQdQzgxQhMKlDEQbyo8aCmtVP9A4OmuA9GuQ1EGQ+674qIwVRPj
2p+78d4wo2Mzu6JMM7CXQPNWjqe/4adEKmmgzzKyh9An+KEzpFparWcfIZ+rYzR0Yp/ZDGKc1IeQ
gM4uoZc5FsaUbnqewG3Aehu1Ip4hI0ybviIeWiGP2pjj8BQJRmG2YLvTWc7W9JsG5Hl4zwAAJJ6A
lp97DvcNVdlHw7D8fdH6jFfBvHHhN8TQHnUxwPlPMkDRCBx2Ux4eJXvHZeyRcc/REt9ZJG4Kfwz2
CbS5PO4tNgX9wEWH6+johtMKQh11swfONDXrdwryefUxaUcQX9oxTGoLnrFx0cArHLMuLJaxNscK
JWV6JIxWX8YRD6fZKkIKMZ2bSGQ7rcrBgo46aREpmMApRaFPvGVQuihNMvPZbadoa0rlHseuLHYm
6kmiYLCgZSPmz4pk07CZXcrzs6jmD7fPyuk9UJE63L5Im37YcaB9f5YZZnQcxjMoEMDeBEETjqeF
Fvf2aRmSftM8WS6aXN82H3OdZZTWBrtRIBWqpHE/mEgQUWx2AapAzDFIA+fPMngTB6mN9aKJLDB9
U/ee4rfe5GNZUuG/dAn/6tnJFtUHYfRkaaGflBcmVdiv3Ol0Q9f5YHr3IvGXbavAImrTqRx0879R
hG6/5efX9Fv9f+fS9S0vIJvidriVP799tXr4/49/A4T1t9PD5vHn//N3P1j/v9u3/W/56rV5/d0X
awaEzXjffqvG67e6Tb4/yK//57/6zX+N66XIuvyzChMtcvbtrQnf2ubHIvP7j/29yBRUkq4ubMUm
3DScuV78FeylzF8UhaSug+eSAroX3JAfwF6WJQBe0NTCbZEge+q8bYL/+D9S/4VqkNKUgZgSuNL/
LbCXM6d6/kjWkKhkEH3ohpzhYwB5f6oySSsmLpQ0v12V6CCvPI4Vv7yD4RQugcfM53Hz0mjvcWVe
HZ0bJZbTBps++4Q4smvyChNJfmDNWM7JngsGfnrjPDqdEx/8rPCOXfk+tMld58h6oTT7HOYc6npI
Z8ruWzGvRjiMTMBlUrRQHWUVyR9MB5xwmdmIVrKJcC0kgCBnziit7lFjh9yT1SuyiY8Qj+4TQVic
7vcnqsV0oS762vL6Zl4oLESpBhStPMkqZfrWAx0Tr1wiCpLTCIUbPnJbA/cVynt3vMI7fqx6a6VN
IEKn4D2o7LNtRV/a3uWmF5x6vG9DA4lSr86xwEIGPnZatC2I7aKrXqageAQfce288lOdVNtRH9Y1
1EuS49STNINLq+J3AszIYGQkhIrhPfcbczHkvMzKpg4qrCOL8Tsj43WKfZ6zr6oX1A10xxszNbae
x6K7z84Mrte6kFvHkmcUvC9EcG59Aa0xntgP+tlXk4jNqnL2oc7L5tUoTPCdriPPIivT9WBwpeaC
u+vatMeTQZ+M0oB3VcY70tDQVqflEo9gvUg6Ckc9SnY6jktSBedIQGdd6M5eDvZnTzVvXsXPhR21
TRJhQ+pTlFMpyaAeaiX7dqRoNfXQ9FnYE3EpFZOuAIM6e5+9zQCYdDN5j82VgDhyIedfHEkP+dP8
brP8/iqLZ5+ou0WBnXJdDs5z1AKwrCPmRsi87mtyNa1yADJNDvGcDRoXmbW3+nLVdwMyZW4kYd2f
22xmzRPH0JZzeCADwhXcoo8xy5uFp1pnvgG91yYbm4TZJuvUc4gcccF/28bBedCqWiybXD1XjdMd
2Y68eQmpW03lPnJjzEhuOPlmvqgTVENBC4dUh/wQkJuwkQ1aUaHGi9aJN6MiIznUrgapYahrAyzO
hY5wc1VSky4t7yAnUqUrxaaCzVrvVCauCZ5rb6k9Ltx9QFTk7WTxYNUu9aBbT6WQy0l/L1RH8zWa
98gIQgKZ3Mdy8J8Z6Z/jkPeXFBAwKfesIVlRCp/NSRZu4hE9hmSGEZUZf2ax8SO84aNXDPuZMkzx
WxSED9mZQTnZVAv/qveEU0AoPBt5ypKKPLI2cb8hrwnC9FoYs5Nj3CZSfyc1h8LZmE+8kgo7YMlH
J3Yexvh9YBS4MAxeFbiYz1Y/i3nIsoo5E/RnAWidY3RYdALNKktk2XOIsBlBEpTyXvkZ2nC0Ti/I
M5xVk9sdh2lNAlVdvfSRDattBqeAnWYPstQ46YAQb8sivUN3PSxC81G5NAFdEe98MR2m+EvMrTR2
UqR2vNYtz0IX/rusxKrtN0ygH5GLbEQsQLzRVTqKk6bqCmyUKbyUPN2XctD4wiMdQcUUgXzfdqIv
plBM9WbkXl96L1kVjLuWt1BJ9WhUJgo7KHh8h/odN9cCOQRBdTbXU8xuRDwGPZgHtuuuql9UzOPa
iqaIa+02qMc7BpxITRS4m+KSFVyBUkb0m5IZOf16+oWBJrlGTbknI5IfQsG3pG1IjNmE4JcI+bjv
FzpZYVUiri2bbEKQynaX1lHB8hrBYF/R27jGfM62BXCOkMl4xMUyr6pXI3ffUW/GoLYSUnDKgaTw
ESNS4W1zqR3hkg9bcpMvcTAdKswPa/ZWId36U838YR0r1EZjb96FCD34e/J6VdZEHLgNS6kopMfQ
45PJC8Fiyzn5HikIEFHc0HxgZboeGk0SwCEXcs5l1aP43cxTDw9Ylm8A1Z57jXewk1a9zBB0LzoM
SotgdD6iUN/lrGiWggDfk54yB8hbklH1lM7aJbSOz3p2fD5gQoIqtz1wh+UQd+tOIC3rYgdUsnQv
wgSvYX7QZoGj5mV3RuG9xYZa+kLEq6CISClKHuCBUJtaL33Ts81Q8bTJaeG25Vh8KWJ2NVltoQnQ
jaVtQpiXCfAuzWByIjlc5muJXxv3YxVHK99trswVHvSq/QqE4GNlwxtyGgYspu1fVDxTneaY0h0o
pAAFGAIde9vLHplNTbOEkuRDyL7PSXsut5ms9qVJg3i7YTEygqag8USJh/BwJNIfe65JTJAVfsHz
/gHn/qsicykgFSqa2k95yWEgRPIVtDsJMug2log0timM0nUIQB2rNXI0V7MWqCmOZeSW5CyQyjFY
25Kr/Yh4WfPDcTYWnadenfpenzOzuQJ7nbEsA2/dhtaa4ogL/qR/w5/75Exs14NkvJ9M6AhTVn4K
20mx1+JmpAlCIM0BWbWy5ylLV1XcnBBk1ITAThlBNrSCr2RJPleFfpgZdiEeaYdVeqHr31ipREvH
w+mLpm4RS2pivMJSym7ZFXdWj2gkx0JYWfXCE9iKqqHRl73NxcaN7b2LrWGpmibbCDILfDpENidk
wyS4vJVPG9wWvC0Muh/rbuJS4cwqq9a479pqWbbDsJnmC6Q9kFXcsdtd6CbWNCLuysFblD5wSngJ
4bJnuo1lBMHsKBXK8jPsnmXKDH+TKuw+t9shJ4+5YOPxkszVV0QS3qCJLbYz8hV87RHg5gsLM8Yf
mLuXGYSaypL3OiG4IWaZjdtypwzMk4XXgfqNskGzigcNRdoycE9mLdCW5om+CmDAsfdd+zlu/7l0
YZh3YluiwckU53HSX25Hjmsya3IwSmEZPgQZYnw1aAQrcIvbyAy7UzyBwam0GsKK94zwhvQ1C1zb
2VVmzIEks6U1qGY1BGRBTT3ZbxEuyAANUERu7Tpnvl+F2TenF+UBKE2xKXWWEa1lrbsuwD7pMbdZ
5KV6SnNKpVijzLLjjeWyacqbaGEj6ds0Ql55ybOdYdvNsWFV9v1DCc3kWPUdmRwjPpKqWtukVR5M
FgxOQ742FfinoIStgTl+VdfprTgmxKByBdHOyXOi00mzl+W3Xa1AvfpqnmcWBWYLr6Lr92s+fP9a
J0djlXWMiYxZYR+gUicneQCxoj/85n68mSFzRWSFH61ZdHSLmwPKmtnRN3/Xb66om9PL2zD9Ypcn
v/T/CH+xSaxe2mNP/EMIvRNbxwdpE10fz9Bn1yEppUJpv9TM+ugaFXmQDYb73thNKiTGV55FGoit
HhLLGcReANChBCkToY7cpkaGD7XBYZPNFOmbjWxIk49W5SaIdOdvIMmSSyj4GpU3GoepEcAG2tng
Or+frGnc2Jv2Yc28dfY+BtkZMy0cR8MnlmUU/p2ymzuSadtllQCHZMni36HYuNNyQ9+aAULjW3aS
K01yNyRqQKQfyP4fPOsbSnDvoZ4Y19Ru95bnVXcXKL27m+6TgHlfaaLkTRzrwKN8tIPPuKfsg+mx
8MVKtk9gkK/LigPGqfXh0HRAsJa3T2NlUOLY5AvO3wiLhAS2Vk0LMUUPN+NbJKCo3z5LEGlnyj8q
G7N1lIe4pAz1KdNQRGEnRxHa2i9Kt+tNPvf1NwcgCknQPb99jTbTWNtZ8PVmBiSnDl/E908l+fGj
iqkdkaIvtIoZg9A8Vv1JgG2gr8MVZQ7cpsHBFp0ad2XeMbyIJDE2FhEN81dGH9JOuT5a4oFVwqpz
sNvfPtTzt79/2RdPBJx5Gztv1JpGBZ09sw74Fo1YGz3+YV3ZHT6Fjt6QmNBVnIU9471ALUwDM/dY
+WdkuNaRhYZ1LNPM/v4ZJC61ko0GEnH+t9v/0mKmxMt0QJUu17d/MecfglPFyVsR4NjW+kmY1snr
o46IDeYwg159wvrMTpIVzLn3vJSOpu2Ofdkz3NS0u2iiCp9k/xA2tXZuUmZGPeaR0uyTYzkzlrU6
g7+Aw3J7+5LM+bOZBsVa9dRmRa8bj+SIibt6YmDUdwnsK5ECInYdH2CZ2RNI4G8xRsX3KGliAG/D
p7RlIla0rrVOMgqEOLMoz238IC2vdqDsxx/mC5fvwMsfcdVi7sZ/4GDO3bq0yduzbQ4WxzWN33Mw
E1czsKdX7a5J62xrzCETwXsYj6SHZQxiK6oaE1RU2I05dCfuXv+dx5fC0Q0bA6Wp/zQtcEcJT6wp
2l2tho/WVJ4rRTFJI2iG8VeKfaMmSqe1CQcR0/bPH/snyur3Px3/lW1IBDyu89NDU/xrMpyydpeM
9Ilzw1i37uOQjGLBEmw5SX0HQMRf3h7139qw/o8cbgGDtpkq/df702uQf/32t32dvGZffxxv/fqD
v823BNMjYZuMiZhG6VCd/z7fEr84UEt1d55t3QZPP0y3DCHALjvC/nW9+vfplvhFSEsXrmUKtq7/
xv6UE+Lnc8Vh3atLk+fA8zLVT+dKWfkItl033xGLlpFcFnymSLH1x9FpjK3u5ZeKCQ0BzhUlYDaH
ASHoRPmOPcxlddMmcESZhaUXp+wenXw6hob1wo0DeV94R8pIvERJV8fxa+rFJwVitNckRMUTDKA9
EaSmFd6XmTr3kcu6i5SZTnD9dcncKnNiWJU3XcOBVa4o7hvWPukE7GDKe3gBnk+FmZwTgjxWjYMX
BF9rStAOIajMvJ/a6aQqGLPhwAAcMReUzoR81YjGTTe5JArrvSn1Y6Z9zuOAeVqgP2mRfXYzbKgl
Su6MVQOFI3vEDqF5ZkTvsPV77n3qXCTcRZAwXZBGkz+hvnbs6yo3ncGO1IosbXaumZ4MBLgEE61M
tF5l1RKxw2NHc1OVfkM7f9XKak0297fRWgFPocug5rMYjqhQe+Ae79ERdKfYQ7PJZA1ijrbKsu4e
xsqJOKVTnsldm2GvstjhlPoe8wESSAWMQEeRPB1zV7+4nv5EjPPOzMaLhxkWoEaVCvi59QYdJ97A
cRvayalq2GOhImZo+OzV4zV02kcjsF6ApK3TQ81IbTZcKHPYpkN8suPoVVjTcez5M+Ps1IvuSi26
x4ODh3cjuadLIz7NOB0ZjcfIJmOqIn7SDQ8VITrdBMDVAW4vwhOyWQlkT3XtpkH1ix9nB5QBpG58
EKl77g0d/In9UrJkUtp40Sf71IzPwA7IepbBu4kjF6BrfsT0vveAm3rAmfvMX4+YpReaRHNpOoJg
9vCAEQ4GAsjDsClWojFf4i559a3kzic90BEX6Hq7ogkOEVsaYfg4jeLT/A6Ta0XMFsxBZiHEpr0D
L3ovm+E6v4yEtz2VDge1nPB7batYfxt1+nUxS3aG7Qg4v3LECkTrnppv6Zv91c1YSlZ5f5zswlsQ
tbqoTfcwiP4yTPauHcMDE5JYsOBHs2wEvILFcBSIunx/PAIkfHdYPy30oV2i895ghDxhc3yaj8mp
tAg5I00U2gYDojeHTsQh7igeHu1gvMIofQnM+DD1SOGL+FSV0evtMUbII8NoXuqQhqMHUNGW/rtX
O0D/MzIrBvh6+sAirV5L3pVAZSuyhTPJ8deMl45KMtTDF6uN3qu45iIx92ARGNDkhHzyYHKepzBf
PAbJmBeeBgQADOBWQzRdwik+xX2DDJ1jVase4hwI6rCtyu4qk/ax0tIT8oxth2womJ7cqb32dHT+
cDV4S+j3X+vukzviZ++nJ1VOT/M7yN75qCXxiYDL1/mFmY9H4fdXFfYrLZ+e6hHhPUvMDoXR/Cd5
mDMHq1qYs5jQ4K1hB33pa/3SGP029zfGkO59s+L3gdHk74ldtY7ow4lWfoFytnYnaxdK54sLbTTg
moAK46GFADkf2zHrrvm5EU8HGAkXcYgcIZqMbRRlpyjkUtDOQgurJZuZc71N201aJ++DlOswfKHh
WotweDREs5kPJhfLexkaT14D+yR9anilzE69kDbP8aJPT7rc15r7AEZqU1nRQYuqTW5Cvs2mC3Le
S2ANBItYK4IJCgT8Wjs+qajfOhmubi8PXx1fe+5c//6uRlwiK/0tqAqEBHBdDFp3kzrSVMOba3kf
M6tfuFb03mTj0WgFVXN/ZHyxbka4NPaZXrjAINLndyabUbuH82E0u5JOO3HsM1iPx6nUL4VcMJPm
U2tnmdPR/AIH8l7Po0NTmbvSSE4paKscZ/oCJNi24pW2cZlVSO6rDy2IFbdoHrGUbSbK/MgbjhMn
wvyfFoabvDxoJofXQHCn5UPlttq32hsuA8dmJdvHEgfHgpqfSNRpXSlrN1+sUNyjBwWJQ1RxMsdE
Pc4XbDlUDNGjD6hYH5toehIMTpoSVpr31KbDI+SsYBHK4c0IvtXwQP3BPs+n5HxNmIfAQcR7x0lU
G5xjQsDB7nznpZ2nhiLjTuNiwWX4xj2RcYfeXBEBMTiumS10l6CJXhseI8m4urkt8ZDKxlJpc6ql
r5Hbc34EdxAq5sdKDXW+nXFiOAuDqFNPk58bDbMhYpU10BWSopkE2VEPWmPEQGmQAekXRoT4gxko
CJNdMvjeUreaZycqX6lcu50VibfIt/09sacLBbv0zmxJuzZ6+xBxib2Dp5+gUhp15gGk1CoCDf3m
I1mD4y7qYBIGZY09Pn5Jh+HiztadkUDJRtSfTY0WyPSI5IvZUi+8rB8z7rMNSHhrIGbVEBODzseh
D0CJRT2oFlu23z+7/ds4hUA702bfKixDQQTUI7LNA7x7ebh9dvugyerXL6U5P200BbBH4LrX39PO
XAWtV47DqjObO9UiE9NdBCCJhndYYdAwl+48nbh96MdSoM2VqFcn61kQooJcGu6Sk20GJhxBaKAv
ayCjOG7h71NAZG2CAG3UwyehRLAf037tBNNM4tV3wBQ2wtHWcClX3RSvM6mt+xair2Duqr049btd
2Zt4SNYjWWPRyNQHbGG5woqwHhvjTivIu6WpyRZlq9UENzKeuX1o55ENT25iSlGfVVANG4oinIZ0
isEYbhLGPtk8/6H+enIWbmK9gtnaBdwF1mXgvFaZcNZl2zmHMGs/0yMvM2LDcOjg45vHTa09cDdO
5JM9j6KKos+W6O7ZxuB+F0jd2D1wYE+R8ZZo8aEjC8WRRbMIOuQHFTioYnxpUQlh2I4OEZIng1MA
huM1daerX41LTjZ4qBQ6kolSoqfNBz1akz6HxKJeO1z+BqP0FgjyXub9qJVieKnGR2xN58RmOug5
28kKX0O50/rqKO348ENR/y+1lOT0sOi2pWPYipXyHMvyQ3oFhELZRn2c7+Y5H0sbmDGPyNEePQfx
OIMLbTyW1FFQXv8i1kH8FOognTkhiO7BtCQuKOdngaML7Bf5isp2ni8uo0m4OSL4fbKyU64vFDoh
mK4BBoTm2ue5VPqLP5xu5/e9NP2ziRGGZ6ATOfFzL9srNZgRJrOd0VDEc63JgmajlQW2oSu2vqtt
hq91vm+G+xCEZyW5qlHYYkL+i8ZW/FNnOz8Rh76Koo2cdfXTO4BIww2c2st285tvDd3VojJh4uEo
/cNYUBgkLAVURqS5RdAzuqWkBfmAe0hw90koWBEthZlcF+r5z1+ifxYHzM8MsYFOMo8llJyf+Q/H
RhH7/RSNTrZzW1ooPSNcyrzX6hCqa99ThFo2AjDcOPPhXdTU58n4RiXGPuOSWxGC0OHNDLgA3MpD
x5ou/tawtecimZ4ISrmYOK7tkTKE2s5Oxy0zpe1cgthuv40jErg4AeYqXW84U5LhSijkwUn1y2Ra
u4r3ovcdfIw4fYPuGrXkCsqXxNE3JTc/z8Fk0I7byqmv5djj9rOWMb5JsJ+cuiDxbLy1hFmXZrUe
Uv9J88e3eNKf7QFG72gSL19dHNFevSJ9L92WXx+9VjkrE6pEZFhwdjlqWHx41MT0f2kOLIBQ8Meg
Qr/+5+/CHx0e0GIMS9hCB1jy0+DDSEIicgyZkSRVQ3rXL+Qlk5H95VZZD0+iqfZ//oCM0f7g1JDC
nLt2R3KO/PS+uz2yQr7JqsMej3UyTzs3dmQ+RXl/rbnxbRwZv47zOmOCcqW33SPt7qGU6cGkrk86
ay+mh6DO9ll+mtLu6rrElBHzZoL8XEDLy9AXjBcTBHlF2mptHMMGc6idjbyI3Dr6jIga9dJSis2/
t2dFDXXc6uydpACdu4KEI8GFICKM4eiyVxrV9NTRVcFLWsM1W47pZ5vNvdb2W/r7rYySUxZ2m7D+
4sxbVhG3K5dJ7WpgiWeoYheOho3s0bH2qOK0lSxQ6S1ICCgwfSctR5E3R7a1cJziNwEsV6eSMkqU
nK3/IYuHp155j2HYLjtaMCpwGCwJ1TGZ5YllfqpoR/MkfJ2LVsxu28hKzulYP1ft+NYZlGNZSMse
XMtqT+KmBZei4zX2regU6+kpcOSLkVu7vjukcrwbtIgU1mJnANiHWL4Zi+RVJHB7jBU+o4Fct2C0
diNX7a5xXuxOXOZ2j4rlOGK2AkCnvvdJON6NduKyGxzK7H5gRzf/HVpP/Wb7Z0yISCnblRLMVx39
zXPkWeEz/YtD+6dksvkOwI7TIe8Hcoph/dNMTwEslJqZ7eb2bW7pBt528aS84nn+kzGu7LK/uNr+
0VWf+TA3WwehlvVzGFplsNhO5MjFNqYhq2lM87++pf7BKcuk0pAzL8pwDWd+Ej9cN0PcsA149Wwn
nY69oFUzxEmm2cu2hR+wVIyC7gn1uUJnR4AOX10ArwgQIVBlV+50jBqb4DF37VqoKQ3GEZpxjml7
OkO+KC6EKksOUcDPkBkIGuSLY/MwZRefHCo6iRNwvhDH6fDU+sZTF3GprggzgHO1Lsb0hIh3Maj2
avL+k13warjjsWmaY57xNOnLCCp9Clx5jgu5G0xK8jo7WYBvUD1aNDrzk7SoQ0rbPo+m/QjjkkNm
3TnFx4IJA3r6KRwusRmd3L59RHX24qdAzOzoBK/yFBj+WqvH49w24Xk96aBpYqu64/A4Tv4Hx2P0
wSr7YFR0SUz38OPnz6JVpIUFyHgGSi9yLN4tbhfaSE8Swqkf4oNhuHMSDSsiczfPFeaH0ysuNFiW
XjK7fUxJ6I1LRfwAMeQ0Je5AJArPBTDb43wFB+Zz/IvLqP4HBQ6HmCsduiJdSuunCWRGmsmALB1D
RsLtM0sBj5dRRSgMfRM5FoTRx0QsJVqzFAHvkTaEUPuLPcDuB8NdIhSYunNFm9fRGrbSPrfSOdSI
SXOyhOjQ59at6y7klF8Dzb8jTQi8XPSJ+fyiyJCER/o5MsPn0YlfISHh0zV4Sfus3cvQYw8VvQOL
XrQG1zz08nHHmU81OhcVbTVcW886z1fVcmKh5tULTa+Pode/Ka78KRczZYKXIWKoGJ0D3liKj2Er
GC4wvSNN4uo64OlBr7bWAEvm89ykqjg6QPHYWlOzKRiO1Ga7TS2qHeYvdjE8lYF+ocEbermECb2d
qzEv7ogGYs/nW+esIZanPciqvqZd/wZSAJ1gubbqeWRhvrgRUrb/ZO/MltvGsm37RahA3zweEmBP
SZZkSdYLQpbtDWz0ffP1dwDKPHa6sqqiXm+cigomKVI0RYIba68155ikAtkYI7tieLIt/uJO8JUw
wk8lLbrW/ZpYyj21e+v/+w/6b1YxCrflfxo2Il377WMeROWk7dDnh8HNfQaQGxM6x8YZhv1ykBvt
eGfap7AU/+H40i20o79XsC7lM2doDSXoPy2flWlMhm52gB4i6ymrQbZwnkMI0afIjFQ+jDRjftb6
S/8MOxFTQvNQU/CUE40XOpz64qpcVG6go3Jc0EuRndDWrFUI7tRimv0VEC8hBwgxqZdcGqXOeLd0
N/LEfQEksBvIVV6WjCG+doqyb3p7j3SHeRqePo8qLJveRWjfRLrhmzT3MI1vqjK9WpnKzD45SQ46
CBtbQTJfTdZjB6RQZnjkOx+nyb2g6KGeKKqZxApORoA5XGnCAJqDvoW3Y7Afl/M9M6Bz5rBuLN9h
jAZvy99szOrTrKlPciZ7veNzSb7i2CGegG0fv5vETHadOsCHGcATQZsNhGNUCTOxbhp2rjMJKFV6
0xIFaoUv9AP5xvbuy9KhECQntbhCWsO8Kefsx9IOcXsyaqnMvxUVlvBsvGpt4WvDjzpFgTBkV9uk
6pjm+T1TARewEiVgiGFuxePN3PKtXMq6GevyrDJTGCZ4CsRTE2WC/aXSYFJ5u4btrkzS04STKiKi
vQRYPEkSx8fkrZucm6VrrdGvW7pNE+I2YCeMcJeYP7q3/NEofR51BG2VEp9Uh26a7ADZdX7Md2Po
rRsRTnfL7VKfgFMwGU/B7cbXnHZyP9pX8nfg1s5o6ZJmW4TRtG1T87CsvktnrWC/aLb9rTYE6yZ2
6h7daXjXCvkw05whZ/5BOS2rLuL7qxrKq87ogCn6m0mOkJZ3bDYjxDi8KsVihab7mvWACkOJdEGc
Lct6WTptWc4D+PbmqvXCKfwsU04fVJdl9CAr+7IUTFo6PZmp+SIF8pFQJ2l8fu8jTnVUE32eYZGT
p8ijj0iAjI5nVjgnPGy7pdfWtintRVLkC6Swyaksp/N6wDP0WMrImNPwOPB+snqZdAXMPA+W3Xha
OjdeSiCqFcJQGY7LySc3W3aQFtSj3s/Fu6rQ118OuKX7KjmpliN7h6aqT96I46igvdA4/VM6M+Eh
/yfoKxb/ud/3FV1nluOlTziX4fd/v2qhJv+75QNe52I0ZBFRf6vy08mQFVHP2aFxpve84Y2chyPg
JfpcNDw6iGrLZtTtsgttTGY0wybhi7T0npcDq4kwO7ste4AWLOSmGNL7NLHWZXt9Akf/SsLHe1+j
dfamd+kqjHRG4s9iAJGez3hbAG9O6gv9oCFoPiUKLhAVvtsYK/rJ7DnnELlsBiqOdm/spoOBnpPB
eneXOWzShY7u2yopmV2S/Yr4RVu6SODGoI/Z5JBqevWGBi/yhSyRjNHUqAt6oS3JJMzJ8Cfd5Aze
t3bUbUa92A8yohPePch2ekIyHPX9D7U20MrxBV/Wl2g2jgXa3qFUt8uqbpvtOdBZnJY150Eo6o1a
1ZuixgWJ9B0O1BMJbvejNA9tmWwi7dQTyrWcw1Nc96GBDsRufeK8zssSSJ7A1eOIXL5/jeM9aMZD
z1wjlerd8mxLmST0ZWscn5JbpXaCgpnAclQkjnmzPIlHv7+mvbx0BhTGCTAzT8tOw4RjoyX2wSqm
94nkIeRfT9maKaHtDnVJFVR092Q2VI6KiHjY98nMslSCG2l+pG33aNjj3fKFbp0/S///G6zrOICp
AP71YJ2me7P8vyzjv8zVP37vj7m66/5DoymmQSCkJfdhDvljru5p/7ApJtcB+Z+GEQMv82IkwbPM
v05bje/6HyN1Q/0HA3iHAkU3oXuyo/9vxuq6/k/tKm9Jrl9emU1vyKQj8dvmBuuslZTksaV9gV59
aF+X49rLlmS4fAxPLtZBT+nnZajqHhZ9r0D/jZEkUg+1rmNWLuUSQ3GHp6Q9e95864VtcbSVknDP
grQLrfs+ZjjtCrKqT0mWMJoXA5GgOprEicRZh4w4GKEz50Spbgy5ncS0n5wao77S3xjyRZ2KXaLr
xYfVVa2ddD9EZrppjR98S+bdaAmgc/DRrLtOTOCPyuY1qwQmh45Ms0l2hr8sxd27iMBIta75YMOt
3daxmYBKZFAfzimZVeF8yPp2P3ZlQs+wjjaFGytA6grvVib9SOs0z3cyyrByhujxFSu5Gy0C2ynr
yTkf0W6S+jMxERbvSq15JzNrjce2NeJDW5ElZMj4BpZ7dOOEMFVbTY19ZwynC3SHIYB8p8KOzI7Q
sM04yJtSD5hCAzHw0MoyBVAPydiwKhDxsQzZSH83ogMtDGRiU9piDVjKrBbsdtIDlkrrA2ruPcOG
4S6N5gfXdhRcZliWXfUrOzCAs3n/vWYBnJvwy2AiPaC/DaVcCzvKkEpjLfMrwjl2Q9EQXTK6AMVt
/SmnceCDAHrUSgSwXlPzRIz2K/iLVBF96EurP7vDQFW5qKbpo9MqGZPiOFfT1pqV9OJBZyhqnthw
FSOIoYwZUbFdHw1M9Ia9kAfr5D4jytoNTWZkJYAklSeUGe1Sdma4KMK4ATqK9tsoFe+A0Br6rV7v
XYM/Eov/ibYzWdl42XcEhFAvgDanopbnNRpivWiiOPnl5nrv+rj13r+7ud4RmsARR8u8rLcUmySY
DPDbluILW/lv/8b6fOV6z3p1zkw4bsK+X395vVhfhinBd3J+fq6MJsMs+JcXuj4nLSRk14RL+Otv
/cuXt/7uei/B0lrgqqA41t/4ecd6U0iBA3y9+svr+3gkWgHLTrFai2Ta/PLAX66uD1z/mbkpAwUr
Es3ArNhGbqFe1otG01s/nUG/28OkXgaRsInqM8/vJ/JWLM9KdmQoPOZUIgtA/OcFVS62zoUibivk
WYrUZBq1/IxdpLYzQlrKw5f14etPO3eekE7QB+mFebIGenCQGYNK18kepBpqDhPKUaW6AtDOg8jj
UNIAAyJDHRSSOblmRJkLl1WFp7zMpVIHu443zMeaHXaA7maTYw/ZqOiHAelcPBRKF2W58KxYv6DI
FmC7fGyNzwtcYr/er7e6fXCa/hKiBUG3Y/FW27qAEzyYFxh25mW91qaUNg3yGjaYXkNqQMjA8TID
bbyIXCEzBYO///Nn2JECoyNXYFweMdXhO8UQ7fLEOMTDYJ/LRYoZLaJOLUqKnbm87+geDYJSSre+
wPYlT3IXSrJmysaatzOddVw5PGq9UO1U+7hmuJHcl0PyotsQ3ScJlSOssr2ReegGvCk/zU53QDlm
nRtaPM2kVgeGqBvUwcYuNPN3aMeocys6zLmqgTRzkqe8xNVQV0O2ayp8gUxY9UDt1AEnVzEiE3bG
yyQjd09f/DEDJXQplotR6tjFNPiB1vIIvb4bEOOfM1b602BFNyAbB+y9SthqG7UvrOMYF8doyqOL
XC76URqg0qOtOloQrgzFdxsDU7zDEzJnTjZ2nGAtzl9txPuXOdyrgymgM1j1bkDne1HwKF5UtN8X
trDJkYL9FM38aP056sWK/Zwr2ZfxM7kc+es1QPEnw3OLy5QeB8WNdrEgTdGo+Ahy2meAN4Fs5aba
HzEc2lvVpUqM0RP3fU0snscrEbOCu1yHetE+9MjtE9aNyzRCqWQ+ezCL1i59C+9VkJcDB78irH1p
WE/rgYUnadzZS44HHW6gmiYgByhEDQa6iXz05aapNM1uMpGz9iq9Q/yHBUQfcpCVutnaTbiM6cSn
FJ0czA54y44b+kUCvzcR8AQNWabkeE8M8vBpbLpCaLeOle0Lw0ifIX4BRAjlrW5HGgIpd8mSWvKg
oiWsZZzmnF4mP2QfCEqsHgi4pvwOqtYgZkgujxmWLJT12scPf95ef1GqRfTHI397+HpT5+PZUTrf
rv80Ax2cJjEQ9fXOn7/wy1N/XM3RvTehHkFC+t9Xsv576z8/Z0sKUj2E5VbYcbX95UX88vg6ZzxB
9rPYClVrUwQ6TX1aL0AU/XFtvZkssSC//Wy9o+tJ3DJNUPnuXlc0iBKhau9y4dwYtFEUoAfsgCVf
OPtrlYuvOHsrX82qr/bsvGpj3V87KVtET3GK2+eFNkEw8tcc0xFopmUSRmDSPUfRZO6RLmAPhuLg
l6PNbxDjo7QmmIgZlkmTphOeM+2ZLfXRppURNzONS40s52hJDnTK+x4UaZRP96024Locev5mtBtw
MLQuMWn+GrFfQqUBk5wRjgXUxBYZAjqXTFvikeUxS62LFYftgcZ244Q0VhAwSEhaM6CLI44/XwWM
6zctT1/gXcA2VwaW0F+GXBbgtKWDeCsgkEO9Ojp766ptHolfTvLwOeo7SC623ZLfaUz+YFYjphX3
Rhb1Lkkg2EWZ8pqVKCDxKuF/Gt1DBQeFiDUt84tmhnXfx92lyzjVshBuVNUWvlZgu5QoF2t3iQtv
vGPB5ZY0UODlRXhM2mgpUaw4CKvxiCaDBDc0cL5eYQY1BGHhhWscI6ufNqaKkVirMN4UM65LEJ2o
Jryx8hFkPqcaFViYIjlPDOeTwudQE81wCB1CA7MEaJu01q5NxJswpG9lDyxlAsEgomaTGN9iq4h2
mfpgk0/uC7NEQ2+oez1rXmyBT9UOiY2JmcglE4FXYZrVx7JOUj9WFG9LNstjic1zO86y3LWz/UpM
FEQZtaYnyOFJLWbfTWh6LnlSv+ZPTpfa/pyWMAiKBktq99IsLGZvdL4OjkobDvhnQvDnvlxUN15D
buqQD74+KBQV0O0dFfOXC6ZVJ77Mh77mDncl0MogZBh61OBWz0Ny6IekJCfEwi/YPs9z+D3qPGRI
TeU7obFVY1LcvBlRkDUa1zoX40Y9Y+VOry2HYxt7qj8MBJrOiIbYexSb1CpPNObqz+RSRh6ChLb4
4eARJRegU88TcJwhZ6gXxn6jkrdh9dtoyggdlfZFxcdyzUmS9mreQbbR2xY/FJ5GxDFG7Z2NuD+a
NKCIUgasO08TJBx86lFSX+OBY8m1w4ODQmRjtRygbqne1kr/kHUnpyc10OMER2cCgZ+1QFBtc1mT
vc9eBKsMZyryGmB7bmik+5i0aEQQJORa5NdEMkNry6LjJ4JcpsFBMGZ7EOX4r+fSMhGfMc0/mbLm
K4UMmURY49DhD4o6Oz45hbLF43IVU14RPXyq9TYNCq24dejFM50lKwQKOEAr1MxCdofOGA5aEnQG
+iM1NbEoqIdehvRXrPbzIq5Ykv1AxSfCz+B0EoZ9U+F+2Cgty4oV4xbOSXv0bTsFwT9ZDoov7/PY
MIVOmpZgttQjfb5K9kSC0Z/aeDMoEaqwvZUbxpbOM4heIcyzTG5teiAA2yJ3G6s5hnMYIqPZF2yO
UJh44oV8IfKqmvFlqIoqcIf2Jood98Kw6Yvb5reW6qpBCy+Yjm6rH+zRU97GqE53edxiXZQQhCde
tywbY2tVWQyUacCXTnqBJZInK3WUgBRSstfLiAgW5Oq7bprQlEpl76V1vFMB5/m0IfUgD5vrUuKk
YgAUAJ86Z7KwKdrGRi0WbUE9p9tRJaKyK5Ur2TRxyLKfLOHNbaH47SDuQ9tzz0XXB2XqcDwqQLP6
CVKIDWVykwv3TqGSz/GwbEfEkaitbMX1GOuxlZN6TCGFOV2DfrNheHWC8+8dXfWHHjrhIXay2p8E
tBwzqfjbO3mr9W3KJpy3VifNtEmz3eSUBMrzaUhrwN8al98EqQjtV9coCHccsbTn8fjKjnWE9qBJ
wrtYq9yo0JbSLjzM+KKBUBccwUZ/rTE760Rm+Qr59b7SqMZV6zL44HZPGOlMCCkzgmjGZtUTC4xe
1cVszorX9KI4tZV80fK6DdIwPbnUTzOOdOpvMwpwFWcs7Clod9cILPDVu14xv4nuBNIdHxlv+kbc
ZXYensNJQGMk3yOihbHR27g7GLLbDjAUWakGPMxfjLo+1mnENp3hla7UtN+1gA1yxNJcfalzTkpm
2/4oQfggT7A4A5rQ1WhCL0DO4RopUc+SEz/WTsvOIsvujB43Nkji91DjDOjBt9DqvNvAlJGIwJkh
In92pPWJkPOjkTBYSQeAE33nF56GnA03I2ZgojKxMaPody6GmxHs6t4vaUFCvRdDd1X9MUXLokRk
DtQwmVOWE9X8IvT0abD4GGxN0nONfZmKJ8BI9j63B/rR+X3JzrOySCWBbFqQPddsReLuJGaPLRII
ibbPfjUJOtgWBIBLrYFzG73rsij8zhzAS1fxOXQIiVIx7cJBxdVgbAmDvmtgmnYKU6Naus7GnLRy
d1e6hYFAzn7IXfVTkvP1U6JowHTWfEtzcRji1Ny3o/Vuz5F6byrf3aw/dI3w7scKHejMbsjGimxU
xANa/UuNXj9wp7sB4cQRxc9b3nF4KUkFeigSlMjztmBwqpeAj8GhbCadAK+5jL8PlfnFXia2LCII
nUuIYrPk4WF4Tgv6WoSK8SEqzsFz0cJwYsx9u2fZLa0Cpas7bgtowttCRl+c2HozyHTBxUxjSzfy
RybatRSfy2z+Fs0lflmT8OfOdl+Q0WuHIlIOoT7fFgWfayS0rWDbsI0tTMx5lmwgkZJ5SUs7Gu/j
ihmyyN/tfPZruXerkmdVDpOav7YV7l8L9x3hQBDmZX3TQ9k+NlE/+1mC0bgyJxJywhpydlK85vRo
cjW5n4b8FXOwPCzGgqmfapIVaotOnPjsymzariWXDkJhY9acoDXJ7jRd9r6z5VW72HNPTiWg4Lq7
fLCuhterkIqUYudZ/Q7lQLXzRLzDEcr6odZblLRxUDfzMxoZQCU2W6ARVnnalqRz4JZv0NGceyc5
xEZib80Bi2+FUGIPrIK82zq889Lxdhp+WEZb78ZMIcCxTcwdYD6iH7LoueuE6Zu1+ZDjoJmi2ti7
EVt4CWMuLQyGhifLUIfja5LM4RK4zNtcA3w23TOBnPl51AE6TWb1gnE5ZWjtfFfa4rvQWTZDG+VB
GcWk0gJbCaJML3ZpeFOgbrydMlodihduCYdn9xm58dF0j2bpugdXoMcAdz7j8xjaS/1JNrPqx7HE
V4HZCLgrQe3VgKm9cifiVWf7XJXR54OhFq+lHYg5NXDGyIWNrQUqiAxyNpYtu2PtmbaYm4y8Y2J1
2pD6OjzojiluB8Pwk7LfwnS0H+LO/KHj5NyMsSBlnEx47PYxAAipNhfquiLRvkYUTV04kjzk1NZO
Vo6Ld8Ibdos2fCaEGT8n3/5TbDb0HfjTJ8T7Q+c8J6FHda1nvd/NDfW0cdHSxM9cyzoVcz0GOejh
I6Skq6qIzzh9jAUNiU/cSyPfsbMvijU9tKQJcqat4Pl49Rea4fbRbuBb7MxEf+/ozPiWPsfH1tCf
kDGf63nyfK023K2l3qYkNUMMyjnrdmePOWdoK+LainIZyE3EO9UU1lZhBkZZXZirHzoZFgt01kfS
RsBPMXUbK5Ech9Vdr0f3qmdmvit1Tlcj+bniYmt5fyKsrNs24xxkwNC2ma7AskUIDa6PKawJpiZU
AJfQKn1eJIwaWQd8FOxwQsu+cRo6gVAMb+0MVPmckoAkrDvL9AjMbK8aJCH6492V98kEmnzLnF7f
2a37PI0NgXRF81R6wz3ynKfK6Kh4GcD5uZLcp1pHtGQ54UbFZIG6LnpNkZtvUTz15DtW+8IGAZQa
ewxf97EM3UOpRFfVrZzz3EnbJz0yk6fG3U/EKKgG+r3O0YedobGPsWvrWGm9vOm6/CZFBBgsqwVT
UnZzRmgcGrr80W7o9RdPgNYNhywKSkO/GXMVqstCNDML4QYomb6VtuKc2QRtzJDmf1lTJc9Wsc0I
6B55Oicqz0rC6IAIS3DKlvfU07t+tqO2PI2wNvG2b3Ja69+M9KGrkomWvHD3rZvcx3oZB1PtuEHG
ycEvxfes7IZLJTCfoTLoJPFXqoPOwC1dNl91GgeDlpOuNOYZlpL4MGacFG0ZUxUtLaz24NInD9j1
2Gi9Y5g58FMrYOfokIpDSPgDkYsGsY1I4/tI7yldboVjXhPp9juOZOsYjsi5ZX+HDNXdhhMkdSy8
wGhE49sqVNekORYio3btqI7a4wAiYY4YPBdEyfdmmHFq1S9zauP6bhY+e1MvETIAOCqTFqlwZ2fP
tvJotnib1D5FBuz4rOQgYfMOAYFDuWHO3qnqiAY1bdbgnnNh4BEluCX5EoBV0T7KptFPzYrqkbp2
zvqaNBS0jKaqsC90FIPwdKQh8hETaM4pvL0fnVgEoh+w26Oevywu6Q2vtXcW/UvI6b1zCABuCNKL
J4rgfJn0ckBpRnlwdLJchWdNEJjNLJgGosDqUlbbifl57836tuNsWaWQolzN+u4wLj6Xg/gSy4Pb
Jh4nO+KJos56bdOC9SPt2WLggIsd520SJSj6tKMOdoZDV083Hv3mrWgk7nkg4sBCPEAyDlsbw0aM
MRwQNjxiKFd89GUpRC9V31ks/aWafRFipFTJ3ScR1h3vcU63xlPgpHdsntVcPyXYXfZQ5z+V+Dqo
3xgeqWpF3vQr8YQnrXmqU0B9JuDc6xwrEx/RSzJF7GZr5WtNk0JTRwPERoWMewaCLWC2VM69klrg
GCPr1OaEPRrVFNKGML97s3giKoJE0YiUab5DsCyN4a0om2xHBPUTRmwhW3Gto7wgmIY0UlDBYNrq
pxwwA+cTGjmOkmJGrHZWqnL+GDGBJpl0/WpWw30/ZI8GMavAdihLdTV/xpF0Qe5BBlkyf2MrOFs6
qAaGRuWUfsJEJelxS87ziHgpoVuVHsSIa77z7E9mJX8ko3nbZz1unsEJHJuRh9YSbcO3UrLh6gMD
SP+Y7ZXKVuirsiGdDbvewvt8TNmZHTXTQyqin3JEZbGrX8kDlXvmfyWVPHvV+ImmUbZjOPlEVxSn
O3qLdvmS0o/0J/aL2zw1T0Mr4vPgbJKvsGKWQ21JHR0mxnREh5DoAwGpgxbVReZ+VOYDROdu0yrO
tINLlAUeI9W96gy7QZpPgy0sjlACWuxo/jEP0E+hEvHFx+9ZvYeC7LNoeGDqj+Js/GbNaNOiSTnV
bvUSjgCG8qL0thHRDcjZvR9AA8ZdWVmvBONqyHWBIjVpMwFkQkGjjm3AiB4rsZGXmzgjXLJZzo7u
pNypDGY3XvU1hYxRu+Wj0atke4QEPHalRisar5lqPg7pyOHVNBk9e+e50hOGkGY+bTItcFTBHnj+
qpmFFgArPkd4nanY2CqK2tRJSSBR17TlZUIWgd6Xnc5Q3JYcInyvPWebDiKie5y+1IZRBlGpEcuq
QYvTiKzhRAVFoco975B1SC7ULDwJZzoaNVz0QvWlMCENO4/oqW9TRQdEnYxvuYvrQ5vg1dpo7mXb
XGlP+opo0oOSPfTNV1lFw7kyjNdssfiNzF5JLceCrTbq0R6/UWNKPMVMGy1IELNbHLuePCrebjbl
QwBeOkgsi00bQBW6jmiRWkJPl6nod3I3N85qTSPr3aga4rAGMrA8Bs/w3ic/qlFfaazYJTTDG1A3
2sFCVrRPVXLsRAcKqE6/tQkj8KjqQt+xbIaMXcjgivJy47B4guYhxSBlQSOxA0ySLXJ/SQbdJaR+
qBgfjgVuREUb3D1Ekj1fIMLiMYZ5aRwflSjfuYTOH5I05tCops9TC7aJeX26m2r3SIyORCUjfS8z
mUEVbrWPOl5xYc0WECwtvhD718ieqUqd3ZqyQWdD87B2EuLxaB2fjJ7uS2M8F+FgBWNuMX+w6xsy
2lkhGI93ULdaZbgjV8Y58I2ha9Amn6Dzcc4coOV0A3TDJlPwuaLpNw2v3Read4fs+Qt+kh5FK3iu
vvAuJF3jYJgI+lu2RxIcVa7iDdX6PTTgN3ZWV8LCyRF2CS32IMWVIW1B5RXZTH3t6RTsJ5fAZyNt
roodie3oodGaLLvfFRFiOSu/6UmRmGCVWMNRbzhv4jyGHNfpnE7M99juMj8qiGy4G7oJr2WoUM+G
AuS54jiBkpvhtrLIV1foMijKvWschgblU601KUUgEZhYURFQ3pGREO1zxcs5oAaK+tS4xuCuHafe
W4Qk7Osprf2yn51tFUPS7MBzeSNwFNqdfWcVsAe1T7kLEVum06Ycnf4Yp+NVdwnfK0HB+1ZcbFUV
xJzSU6KPcWDE+ac50d+YTekb56gXE0ra2izYh8Z0oQcLlTe468gT96zNP5wopIniMeiXUu93KRul
oNZQRznpXZwVl0LD7N2K/JJ3pPOESoZFI6kPutHfMflvmOLkxPBKjaoBssxuSmlU91XCdzH3rurY
P0dAfYK5TXiDk85FgDmS6dlGT1QiBtZdBBeoTKMqjY9zQ0t1UqBEwlBuzP7Fmey9ovYk+TRmujXt
VsFEWEzbsceEG9ZOty/wEZ4GRdBG6EW35yxO+7MZ34ADvDKQOLQwDzk+GvQOK7pLv1jGAPhjKj7j
x89PLbTvU9fE+QkPFYPHn7fXa/Vy98+frb+CNdjFbrL8znp7vfbbY2Km2FvsdypfBZ4h14mR3Gaz
THeKqz/88jQf/+rfPiWKdKxTU6P7Hw9a/x3Ohgyhf/7jH79JQPG5LQaivdCnlRFJa2DoCPf+7fV9
PA+RYBcVUMrul6etayKSKzXe//7M6+2PB65/SeNab9EQEkOzvHsRrSfeiuXqxy8ub8r6uPWNW38W
kehHOmc4Qebh3p/vqGppOXFr2hny0+ewt2g2ePQqSSsiI5akwUi1Cx9xTU3zrscQnCrsXHrOmKOu
s5NMOOnqmuZjnz8QyZB9ugE1ovruqJOJbci9rZqaL1o6YRNRjikrnGx139TEO1t+sYkKWW04xZJx
ZyMRjLN0M3iM73Xk9GEn/XFqqObz/LPXVYfJQM9iyfu0/0qIGagGEO8AtZMbrBqMTEAsbcgPx2gn
LvDazn0l35cRRj2BD5BdeSX06y0hEXvTVdZl0M29h5YE7NvGsXaAqYEJjaz3MwpDQ4rBb/pWEjsA
MjwL71QyY4FpoxDA0sRRP4iNO5fOli9sPnu3tmCJzAmMmQvQSdI71VWU4QExW/CmezCmcpOn0XWM
AT/aNuzOMtPPQ5t9nWve3oIRl1FCWVfHnI5h87nNicQTCeMah4MW+NV45MR2UEp3TyNN20T29GbQ
yyOv6QWdjgLZb7wgzdka9Gw3vQuezorrPRmQQxBFxs5qpi/Ictg5IMp3G1heityZ4P6CeMAkqprl
U5ba34rBwHlcTd9I2GrZIJos3PjlNxJ8OUU2sd39/BIJ/bFIKW9LVjK/B8rpF88dyUbzOEcAyQMs
cKBMlRjPU9KF2BwlyLCaAbqMZ3ignruvVCI3teQchjGpwxOdARM2/rZrWU37lO1G52ikNA7onmel
e6kAbmwwLjwOIXWFXYKM9choAK1II81hHFV/nXzRpV8nTmqBgsRj1xLbrAGWvTi17sem9bDwVqux
hp3gMJXP5vyGZSwgJDRhRqMoW5lZvHjyVtUZv0ETWszI5gKqmv20mKlGN7cxHqfVrp123MuYCQ/2
xuuK23b2npqZMKukfctGwksnppZm1H0Bh2EHlgZgOWwdZ7dqnuwSZOQv6sO/cQDri2DvV6gU4yK8
BYaJ1Y9SCV3fXwV9UWhOadzRnJomhi5Zr3gnYGOkd2jpHWhHwhTN8NGCyBAoWa4zn4nCnSvoCmdd
gcfOODY1gOIOFHsnRHfWMsX7ZI4k0UVOdptwIBRO88BSIP7DC/8nGtbywm2Vw8FwLcOm7//XFz7H
eU1YWckZZ3CTo2LDmclp52FuYnLWyZbWoAQVRWD5rSWj+DQZXvGfXsPfvHn0P2xDW6SQ+CV/ew1x
hYF6jLL4iFhjui3J9000GR2p/AjymMmMAHjt7kJ2B0pFydCpJ/t2jvLyy7//EP/Jssl7gVTU9Ezs
zGCV7N/E3AQcTmadOOLYlfD9I5eE5o5okAYMtD808OJnUWAIsR81V1RXN9FGTI8C+KV5XMOGe9KX
LxT0IPXc4SoQzHC+Ak4RYU0KTMEyjSJUu4Yw7kLTOrnt0FxLpdG3pcM8HF9P5edpWBDPq73Zbt8f
xqLaJ17hXNaLeLnWpvPLv/+z/+bYdXQ8hBoGZVfF0bd8PL847Tpo41FLvPvR1vRsi3uqCKSXTIEm
nF1p6VsCnOtLXw3sLfsZFkp5zMac+X46U7aPlzwT/SFTF++ElfXH0IyIWRARnMQy7PfpHOmHTh8e
urAwdusr/6/0zzdvffu9+p2E/xeC/v+X7DG+KziO/7VC+n/Qcxb526/q6I9f+UMcrake0U1gzvnC
mapumPgr/xBHM2n6h6uZtvoBx19Dnf6MbnLQSLv4ClT3Q1P9i0Za+4cBeRqbHhZ8y0Py/F+Qx2h7
/eafhk5nOawILu4sXpD5+4pKJ6dpRpxUFzjLCwGTeL71YoTNetJifT7pMz0RokPpuC96n3CR/4Sq
9+e15SYQ7+e8hUDKKIPOwbSAQxDU9af1GmebrMmiP6ra/62B16ptWCu55YKgyz+rYQVW097To6M6
SrkTxfQYFT3FpaeRP6HmmqhfVH2+6GQA7CTNh9PPC5oJ7O/X24TVcLU3s2dTn52PCnatBT9qSHst
qq3KRhCqKdRpSy7VeqFX7YiKcKy5/fOqnnrvcbJwRhoixwms5O6+nwGYrlcl6r6ZACo5+RKW7sbW
ZaV+vGPulFaHhJg2ifmVnLzlXfy4eyAdpEFKBpEto2NkTSHTYJv4rJ830xTZFE1kXOQVNGCMIad8
TixccstVoAd6+vHT9bbiae3JHSsTfjHzI0o0BHjFUgX/vNBoz8Ps0lxqyGR55615kVZmpeN32lic
ohLCudPjRQncJo7ZWwqmCIf1x+sDfj5qqPUnCyJlMJMIsSPu436aODCMBfSyXltJseu1uDPoV/52
N+TQUPt/7J3HduNYlkV/pVbNkQveDHpC0FOGshHSBCskheCB9+CBr+8NKDMVqaqs1TXvCUXC0Qjm
4d5z9tkYBopKZdCwVrX1MW0EP9Ky4PJa7+Yf8pdZn1v/ZZuFMf+0I2igVTbmGioMPsfnu4uP2X9O
XLbx8U7L088llxVzscN9TISCkpKRQjbqxzO68frRsDJu8peny+zlQU7ZM/FoAWRf1vh8yP98aSEk
3xe03ZaZn9M/l7VqLT+WKNsVDUlh4fLL12HF48fzZfLngzPvKx/zl4n/9vUvm1qexrJPthQk7z9X
WZ59bOfrJn553395mnhvoN/Kw9d3+GVLmT3aK60DQP7L2r/M/w8f/pcVfnn6+aF/WfXfzl+W/PrR
vi4Z2xSQzczYOugzfd3l8P/cvZdnfzvt47j4Ojvm9hn58F+2o5QcTMuhAz2I9Jsv7yCwxasbZSJI
dm5O2zudU9rnOp9Lf9nsMsOebqJYWAekIOWR3n45i0JK9npOJZ8vv0wrzSChFzQv+C9Pl0WXWcuz
5WHZ0LLJz5cW0gFq9fM28mVzy1NczGz5P7/7suDysLyNZUb3OBYzut9sS0+l3X1fnnYJ0KINjWYK
272zMzJVHG3LFcdx8rhvJg1QHpeJy4Ob6ebkf8xallqmNnGPUsKZJBphmfRrsL5Jd1pmTWpiTxTa
2KpqEVp2/ctmdBs54sANH5KDECnQx7YUw1wlp4ok5G0al9Z6zLRLT0GIgLbmhQb8UzBh98+hJRT0
1f2hal/SuYNQNbQfu+xthPxBOFq0yRWq3aModJ8A8JPISkE6Gbf0NjBamCRO+GpMHaVQLkGIhrSc
opNET/b5KT++xmgi4RzjKtq0c7mnm8/j9KGpiizlpb+bVv8592O1eY1l3b99SZmO+8Yvm/4/bIb7
oBbNr7tftuwtF9vlnT6eLlOXzRAAwHV/eYO//SS5Gh+hGZXYcj4/TU3AGhbgW7FcyVTLyo9ePhAc
Pz9r5m/2Oe3rMp+zP5f5nCZQfVCY++smvmxW76hPo1XkvT438d+9zfJpP9/lczPLNC9Jn/J01pRj
2PogpunzdXWYL2LLtOUlV/Czlqjj9nN6F9V0D5ZFPp4us5Llurqs82WLy8t8uUIusz+WXFZCq/D7
e3/M/3z9sc3IRPCoWCQ1aviEkV1ecd8CVVt9hgxB8tlE2GGPdEPLxxDLGjDJWsX0SdKpR5p0vS7d
VAW+aLQ+vRzhJ5F4ge4wrV0i13yuzwRHRg6ZKlbq7SqikeoZkts12s4TFO7pvCPQC1PUXce0fkYf
eNBSkR/QWut4tvTIN53bscCAEqpKRF9aviZTZyLI7ADnGVeuHcJ5ksGuFoN7TKtMW2WxvFeRx+2i
sv6excoroj7q+lrrbVCxXoU9wY6Jjhvb+lZ7hbfzYg8Nek/YXYrEnbg99JkEpGUkPtrNuKllhGuk
BJrW2/ALwGeQ+URIb7rNBabYbsj6beFgs07lOVDi97RACsEdB4JoG2muC5Yw6DEvz/DekSjzlUVK
xClmRL7G93bMdPVbbqTDVR6LCwq33NLO+aO2c9f1ZXKwkC7R4QEQKT2UnsqwMRtkYF0f39rapKzt
EEz8j64o6Tu0ZcR/UtXANsUJ8SfT95kD5DSTsdH6J7W+a0NxlgiNQrkvczVHaTOf56xoN1UGGZIj
xuo0JjLDcqGdk3cAshDNt3Nj2tle2nNgM5wUn0oePXe3fC77meTbhAqnxcAAMmkQLviWdd7MEYy6
h8xxVi6Ew9u8sS+KWD5ZVkAOgQumc7wJ8/CY6NDrxfBOemWBHQHzD3Wflv+FADhK/wmc8EhaRREh
vcFTxFC3uoTaRK+Vk6pUjWJr1ui7Ww9gV663UCS810Qro5Ve6+7FaORgl2RIhbiMD5GjP3XRTVBV
uY/vovWlSeCrEM1OC9SdGaL4NXysZYz9LRTBbczXsnGog2l6oieSXHetmG7a7+4dhbJuh9agX1m1
8lOJ9mgQ4LZDPi69qdxVmFeyMELnMRlnI0OcWGxDSzjkqNCWbazB9DUqr52IJmz9yCcbF1pDYRrb
qMjqg0wIeo2TOFrjynHIxujW8DjRWQThprdyuaf39USB5B2L47AmdBFMVHoN7YCe81hb15Z2orDa
pV5wJYzGPrkgKUd6fP4g3hQ7DLY9EQpZDktFlmrrNy3uhlq8F9I8E/aobYVgdyCaEFoZyUTg6dKz
TGgSWXhZ6XgjtrVw8PhGLjzixmLU6PQA+eG4szHtXKOaTV+6m7TZ3l+TogPxwgzidpX0T8003NgN
0Z11PHGp1MGrzGuMArxFpI746utzEYTIoC20Jdp0muuQOcdHnSIGJryJQK7kpmW0j0ksc082xaJ1
gCYwVdv8jCH5KMtRO+no0X2+T0ghSXsdrCrbBD2dICscxXko7MM4eOO+ymiDCdfwhyFrbwRHFUof
mDlVQ5AR5Nn8PFLJm1uNpp8T8DP1HdfwSg190QYztSjUdtIy7/V2kBcyae4qI3L300Rsb5zM6QRi
9Imh5YaMIbTEnoTy6ZhHkbUb6A4OPbd/ZJKNm7K0HlDSF1tEZbOloDwMxKajZyEJLKzqjXAb0Jzd
D1T34C1hhq5qDnxSdapyaxCC2+jVxlKCXWuFw5buOwyiVjwoLb5YC2bIBXIhRBDjMypQiDV1wfkU
4YoyBy/bFRuIUTNvwrDDhCVBap5S9saDRbG4tbr1aHFKsCpBAkObfSvV0Td6rKSCT7Y2zPpS9mjv
7A76jxqpIZo+YkXJ6fzeNF1O6m6/F/xzV3oX0f8OfhZldEmE295OhrugkOc6EBbxJx70QYzQQlPk
GuGoQk5dc1/qAIBRpuElULJo1xjGXWdo5nqCEFvEboG0a0Bem5C8ZsQKKIFZfxZBwSaIgSIsCkjy
rPCKBDoIXAKgQ9xiUg5XiHG+5x45Iya99FU+R2KU09N6JH1MOuKRo49GeoWwrfdINsh41Xjgi/B3
kmJNFG9IknGiy91Q1dBQRwTSqHsfYg7TXWv8wIszUEAZpI+zoVxReLobAjzBTocbAAPxoUsahza/
fZGG2r0GDmvGWVyo1rOXBcVO6NEeOQjK7SDDC1rld0ZA7l8ITctXihT0IB4PBGHWHXLLrnP1U3tt
S7JLew4wjjRjJxMikCCg+YRBtas69076iFvPclBxh/ZNN83sbsEx2Qc1xAup6IfBOrttc0U6WLWW
QLgZsrYuUd4pzqFvxK+maK19NeB01zTpMzcIBFXg2fMaz9uWs8Pbsump0JZFs1vRr2ckfajUZN3q
Y31OUb6NiZncoDhcc7YjSYnK8Skuo2DNgbduQ4fgI+lSMYXNYhAoMmHsb/FJoeoy0ZkHj5M9ligc
vcdRV6eNmUlAiG3mN2Pwo2qtU6cXxbpPMfgWqf0TLJGydoaReCOcJ+iZUViGQr8rBowsaRATG+yc
MACqK1PSKmsGT9s28NM2iQa5W7H1J+mi3fAq/DeOy6SK6If96CgkHxXlExW1/DB1jIiwqGwVy34Y
unFra/lDMQ3mqoFdmYX8h52a3MnImyBkwbtNrfq+aDFLtgaKM8+Iroj7Qi4yor6SWhz4tVu4K0yb
G6NIrqtbFbPvFa7rrZMMzZHEIWBWQY+NA4hH0/3o2ngTBiT6xHZwNpwMuRvaYHZo9QgIDoEb5Ys+
jcc9qtt0V6NfCvIkg+pL0HFrvpjdsI20CTi7S6uf6PmVqavVdhrtq7JSsh2xF6vSHi/wE6Q0zbqr
snC4WRKc+dDUa6LpN4VL1JPhxm9Ci+EhmAwU6jjDZaua2FxKgX5I8TCfdGLXJsW9S4Go5Xx8pO24
jWqtvyyIG0aaqrcboENXLU1bIptJcKdPf4dU/EFKu1o3TXP2DDgnYYfwp9HFNQ2aR70CYhbsBrsF
Pm6kjFhxwqxb8AQyJVNbu2Ah/m3GDb7azJ/y8CLWuxfR81Zqgjwct4nvWM6xIjzzQkNvaw5Zxz4K
VSqJ3oAS2n16HPXhPcMN5ktHwesaaocaZ4VvmCmkbBwHm9yuK394N0ZOIKokWlB3zAfXi8AdqtFV
0LnkBruKtpIOtrqioKXYFqi/YlyAB8kQWq3KCyFIiqThXO/Lzs8cHFOoHw9tlIFJw2bOO/pTW9E9
hOe2NqWhHogY3U6laew5x21yzQsu7SK5dc3utSXZ00w1cAsuP1yUxVvUZhUjn/YkIxsemJwV3fsi
G+MDHo/1nGRu9RphOxNJSygJM4BmgoROtPHC2HH7AHf0uUctfV1r86kT/P7OHoZ13navhdpzMiEs
TBISNIXuPXdsgtu6XVmLHfYV5I5efjuYhbtWCkFkpXqr93mLI6u4s9r2LaxRsKqItgCXgZ3xxMod
Iv1CMeVGjfV2H+UDiZMDp+YoiU7ISq9SytDDpKxItv1exTRMOBna5NOLC66DDLfwHUUujda2RLJG
lx9pMclzplGbO4kFU7NqQQGhL9eh+tw1I1aDbhsadFY1o7ylxRvvsoYgbBxl+zabxrWqI5WCuOFg
xEwgdnT6dWJX5yzkYhwZCh5jJ7kUSXdlxW8wRa+qXre/GQWStfhInoFBYAC17in5OU50Y5uuYnDk
WdEGKC37KJ4oxTGpmNBrZYimrHo3iHxsSaQ3ITMpbbpCSoxnarjR9L70k0C/UgTbKBsQg2FQ4v5S
bGIIk2DTaBmVhh75eKumgE1b3IvVBKt2vAwqPGFFCFq7JUmoqMBCtXMeAvWKh6Y8mbqZ+hxejA60
1lpnPeWOoZlAl0UgvmKU5yiGi6B/15F+OF6nYXzs3u3wgXJ8uu3r8b3PB+PRQo9GULaYB5aDgcKZ
xKqkrNtLe42a2NuHZnBSUBCKppto6KvhzlUusay9eGMNap4AzNgyzKM21Jd1ioG5msJDSFV4T43+
h1XW46pvZo0ZArwomHaI3n8KV4zrLNhEKvgMPQXyZtoUbTzk65jYD1HWvFUQXbZyAAQ5krsldfr3
NhcF4XivtoKXNpkd5R6cyXpnVoClYGohlgxv3Cp9LPVg32vuAzgjb9Vxk0ywwYhyV/JfbR80pLok
Y3UC0V161c3+hWRAQ4w13K2STaaXj6Wp/4jKnigxB5pAl/kwjUnNjKerUskwwzZahIXe1HeVx79M
0W6qJkVumRBKL/DdnmVwMhVvpoXMk/qhQ6k+xzEs0zQnhORCAO7hc61QJz4tr1DEi3lLywxgBD+a
yRnWsunIfp3uanlXZ2Z/7uEmNugMcCTjKOsnlN29nSR8kPBBEV2oYDKcjolsnU2H7ArLxgmrwCqm
RHDVaUN408wPYxbcVISzFnl5cujfnpcHypET2D3STPXS+X0a0G25m9qIQ/7Pae1E/INuxvpOupiN
gd5dY9gIrlt2RuHIMweFzil/cdfo+nnKeaA0K/bu6JDUOL+sm8g4J5UTX/dt/THpc3ptm99ihr/H
ZRK9cP2ciQEHUl+XuN7+2KShB/qhDvGRLov8MsNAEMvw5XOKRRYtLJuyOCxvvMwIon7FaMxYc3Mq
1sukZWZMCOfJsse7ZZKVi/jKcZQ1atbkhlph6aTjuSHJ4KaXw/sQywAKOvYUYBYXw2CZ5+UBM1GL
R8y2tp/TsrErdkFNmmqK4FNZke9nXBhKe0yt1DrH88OycBvbtHOwjo0RzJ0CYyv/1Cy00d7Okpzl
dYXFe1tBosegOs+P6F8zMoJkU7vXs1oE8Ywkl0S25tnzUuXaik9EuJpng9ubjwdurZ7aBCndaGZs
IQunej2A0wPo9cdyJJx6+2xS5ceGHFwIJwItz5jc2ytRjuSIzHsUqgq0lqgpvSyvr0tGXzem4oY3
ePnukE8Op2Wx5cGWJcphtxD75eWyrOYWzdqSvbpZ1lqm6aOekVaSXmYkYvqeGnrnrDC8czinxhpG
+4zU3jsv03Un765tbJBB4qp8j3mxoB0PwtGjy2UJ7gLPaqwZlG3Y/8oxbvZK6NlnKUrnLIpIbrTI
ndbcYznnZYbWJPVBFagml5fLjDBV4adlqPqTtFEY+IMcrXPcw108MnLrrIvPZSMpnZWX1s4u0yVJ
j2OCaF0J0P8XFsEv5kikthPAc3CAN20NsBJ+LWV8084PZlM3B2pK4ByHQf2QoPy/kqCJm/F+FD//
558/3vKY1LoaAsBr86sswCPe/T8pCf5Y5x/l+z8IcWjzl/gvsoKP9X+XFTj2b+glMUiTTGboYMpo
6/8uK3Cc3zRtBlWrhmF7GqFl//wTveb+RqKJ54Gy1lyUBTaz/kCvub+hKTB0ZtqWo+vM+i90BfPb
/1WnpaqWahqaBZRxhq99AcHjaEu1aBzUveLpK8pFefhOXBWaq63KTbeW9yvVTNaJi/VM+2nVZDB1
d/iQV+r0ppNIUtNJjZFMhrOPmKuO2KvxdSO/ayb3CfH5l5/534nK3H/3aQ3b1oDEeSY5D18ESaVl
2xgd4ZApg3rkYKRhlIuz6ujUD83voycuGHRiZMy540Hsr946NNDFdDW63V4qzYuOyLEzySYFmRr2
KfeZwWVculvCYg6jaZJVxOmfymJboLS+doyftRhXKWPUKMCxcCUJvAItBFqWCiubG226PvM0lkgr
Qr5l+Tovg8J21YgEBXONdt7bYy31VQa281s1ITVY48KlODhPmheZNymFRkIvDg3Rb+dN9XAiarfd
qOLVZOt/fChp4obiM80fcPnAst+WqrWxndyfl4nZXEiMdtDb6wDbfF1yTfCqlR7r/vxc8rzuA59c
at46hWaQbggYu56XiXJ7U5GzHLEqs00KcCHMejkvGjIt4c4NLaTbXJspqe4txVnqPxJE3ry2GXt7
7Bkg8iXJp2wjLou1jMQxQKMnWZeSNNrqneRT9bl3OW9OT05tV+9NA/suL9O4v5EsTVpWylCLf0cD
JwCfCoVQ7squrfpkAmBgjRT9eMB7LJ+LN5eas/3jq87vR3b4CtTFrlFXsgAiwTc3QdXNf+GNqy81
fnudGvTyBdiOSRmFqv5u/nnm7z6/+fwdTCyoski38/P5Jwzm58yrGSZA9UjSe5WPNhrFo4kjUa/w
cemZ6fB7qbvcQDIKzSkkLtTmeVeeE/0eHfxapRigNscYw7FtIWnl5bxwrWEyqalDAAKjHLaSFGBN
zBZtkmNgK07z9ADPXTcj7qbnmPeYt1unZBCA1qEWvGwCd6HvUZ0o8LzNn8rWNe64P1Z19caX1C3T
njhgBtLBXMNknpw3uxEm34ytpSYMilhr7lTuOnCiYnLk/8yi9H9t70lDRpLCEkGTu+08XEVJV/7I
ExAi+G1MKCK5pOYiLvQw9FUjWv/ohtyv2vR2UIJ7morNijHec1rnmwxnAMEY5yCHESDsZM1NAoAO
Cw+cA2TIuZQVYWEwDhqSEZ1Iv2yHuF0X1G5WjDZ76LorFFj3afFdJ1BipcSBhEntjnyn/rUwYYBE
BVlOIQeMokXnTDM2cBzYz8CY9c0NXWV/rpK15cQvaFxzEvv/qE+un4e3//mnbtg6Crm/19tRRmqi
f6x/oGb6y9Xx9xV/vzx69m9oTD0uZBrEccu04aD/obpTTQR5BNKSUuJymfzl8mgi1YN65DFb1bl+
OVwHfr88mtZvXDOhlrIa7jpIi//N5VFzvgCNSfl0ZgWzofMJyS3Rvqbjmp4rantw9AvCv9hhjstD
RnTv5DdUMmMuPjt9VqQpsxqrA63FTvnn62Vio2LH7ZQCnNRMERkrA3umVR273NQOsCYRv2UV14C0
H7Gtmy3+76zMuHI5s4yuSuNhO0TK9aeNoic+Iwdb0HnAl3xj5pnRRJDFnpuDErkFry09OBmDjCAz
5XMuGS5CP78tiKgjfS9/zEr3ORqNWzXEV1R0V8gopiO18g2h2TiMu2vixoZ1kXBesKV4qMOJSLy+
veACCSJA33h0EFf2mApYpMQ2OqFL0dx0b/o4OZlBhNGPksgqFeVJkju4DvjvbYYAcLEG4yocwSqW
OcXBqJCvBndKKxizZ6Rf34lou60lN55q8y2zpLPWLSn4hglREBPj4FyrdzTKKApawQWXWkE4uPdu
U7GqUJtAeqMOE7vaCtrfJb6yNZqFS7OxFJQ71jeZj9dWWtxoRvxsCTujGpLfFKjpCh0N/6Te2iow
Cbd97jxuFg1T79cDANecBMbdvMEmqr/RRz2aMZ6OgSuwlc9X7x5ZOoiQcUtv19thj4bAVHacLYvb
UkHMHpSITdpkZSbGRdQUzyLkVx2ckFO2TRKVQQssiqsnBjb3wSjvNFmd3dqBvKQ91q4zJ00mey+3
Lz0t4HdPMG7JG5gwdMkB85kdqkZxwj6XrKNQvsmGvILSKN5ckw7LHIoz4c63C4wL/Wvf169EF2SQ
HAg+SHdRUmymOjsGtXVsQWcMCqE4SP3WXkAb1rGp8JsDF5UI2UdhBZvSlO+MSD3Or9OENRDfa3jj
Ofp11jA4zPhvZeKeIAUckcWIISSy3uHW0SKySR8JCXF0qDTYvQDowZdWEmvtZVQzR4dat11Fz3HP
0MVxynFb6Q1yr5L7STAyELReuMnK1lVfXRfF914lk9YTceVr7A/c7pZ32rdU56dCd0oxx7S3ahdc
GIO3nfcnAUirVN2bUBvrVabWka9P+NeyQ9Er1ylQ/i63j4pjX+sdTEFjsrBb0mzqy5ELajq+TUQF
ZtyQrsImuW5dVd01KQjf1mJNLb+BLwBIR00fKy2gOuhdNa2t+K06bkKqKfh0Wvx3Qn8zG6IogG01
GvHpKc094SZ7yyD0G4VQOfsLtq4QD1Zvv7VlXa3THFtEF9BhqDKIuea0hR8Ba2y4NlyXqill27Vu
xODne59KOkXM2jwXxNwwcAiuLJSseZh+g3XZ+226r6iS+upo7DQ9vqzc5h7OEZwZL98AncdkomPc
L+wM73Porui229SVsxJGIuPYfXXXdy7/ZDr9Zqhu+tG6JKe7WLfpXNa0uLUfjBPc4VPUEkusXONl
V3031cUqE+M7b/CUx+ZZiWTDMDl+MfPhoHb5Jqiru8BOXngeMyq19y4YuNVAgTc9iLiDzxogcJDh
LW2krt31XUnPYv4+tRXyj9Jd4J0MRalh59K3LANkVgS4i+5KrbmEfMj3pFH2oXdVeNV9U6m3XihS
H0gorevEOLfRZQbGmVyb+sY24sfe7LYKlmRGfy3czB7XYtmfdSCDTrvLuEqweyXPHTmtq7y232vY
ASu8i2IVKoS+ZuodDUfOZJYBGq7pf6rWFcrq/RC613UW/wy0QVuJrL9tDKjOoIfuNUJHwRLpIOum
ItpEtb1xJy4pURvcdVH3WlO1VkX3PAg+pIE5iJz0DtOgt+Obr1GxnyOvAO/QFxuHoEtlqB40OG/U
HB9KVHe1Obl+ChdZK0p0LuptwEWARsW7phf3fS9pASXvQ1ickmHakv4EgALcrt80pu1Tu3Zib40Q
ci6eI9MGfqiXV4qMbb4gXtK2eFDZvO46yUYNNJTNgNiy+QYCdrOcfAqwCeeKNjonrvU6jeawGajd
b/Q4vvTcbNxYBee/aaIj1kCliTvzFGbFPk3Mb0Gs/nQC/ViWpD1GkwmB23QuAvyn3tCfnFGD6ZCT
WRq0pwHKn2l2ks9EIT8f/E7PsCACPwtv1SDNfMh5hnGgnXc2cxiPrqNwHRTWpmq9Y1yaPkXvXZYV
N1mX/QwT43Ki4bP1OjBmxjD7BctzJzU/no+ugUKaodBK1yL63BaFs96agchBBOeuWvdjRnY1dz+Y
g9La20skQE3Yg0hJoYQwXrlyi+C1g03m15pwV8X00ujh4zDEt6E7+mWX5CAxJCBdeyFSqt+LoHG3
QEowHbrjYZC0GBwcvrqsyOtKzyO3JPOdnOVwki+UYB0RsqJa062WtyM3XN2+ZDRc2dw8Qi26VAvo
MUmTEkpg7wVRs9Jyvg0DPrt5b/d0bj9r6H4kG4zbcNCfwp5aXVgbL7lR3XQYC8M4gY37vQC47ozD
Tw+kgJI7l1lvPAjNovUKwtAZ2qfECZrd5PZHhDHctiDaL5X6VoYjeotegbG212o3outR3hilfmtO
0cn14LZotPh1mW69yj5reoUrnYXc4t6T5JSI9IfZ64Dl4uRRTOyIamIg6ESTr+D7dizB+Q5AAaV4
eDRFCcdqQtxVWOw38OQxaDegwCacgG4mv1t9jpLBYrpQ2XOxnwYXDCn8vuRuU2cPMcxqF4KRtYV5
pHN37Gw+sIinB6I1TlVvCv7jT7HWxYdkst+iVN/ZjszWSa+8eCST+QJ9ThJ5hz41LpssQhQms+cG
LciuFHC0aOAjZHBxZqfYCUJJM9YriKuDjNq2OrqLuLinzNGv7Vz+MMzkvhg55VSV/EmxOt268sFI
VW+TCAr7RZbRc2E8FJQKh4PxUHYcrpFwH51yTRn4Ie5o4VFE/JamNrz2qHrS3ex6tEsxp/Xe2jmC
jWJWNnsMn5wE0tf4DdvBkYTYALJhzPmGzCNMqC+GQFHCjS2Co5cJuJ7ZZ/faDIZ3nvKrjttrnApd
t6oyzoi5Wd/DbIRMk6vfFEXl/AWwFRQEBOqaVdTS/TYIOlyG5qzUDkYaZ8yjCa5m1bZ9R3Ms55a4
u9Nc8Wp5ZxKSnnvLfasjNGl13V+k5FKRap5cjlG+1svyIfAigBWEPdUOHceEJphrRJQ9GpsCVm+u
lXTQV4Mbgj3atyb4YJW7X9p3T5mRwoMIf8h0uoKOf9voyRVSsUvs5Z5f5OrJqDUEpvkMWWBH1IHY
2dHwOBbebNiUd5NrPBeKfSoJOCAIEnpQZuOL5zvWQ1D6sbLNE+piZfjNKocR2kl0sqTBeRdAB6c/
WqfmvaKjVFBsc1NBoJ1hht+tZKIm0IhzwMCarwKdYrSrZt0nXISi8Lq0dNgwOdabvZWlb4WmEWc1
HcPc4aLlEoxCDpAa0luqSHWjrjytEI2dGJErZu6ugLRu5+Nc9gQM1k4D2VQFthORfONRnZpgdwI7
uCkNrPNJzQlujLJbKOC8d0N7QbWKicjK4Afcw3vbnRimFFC9AB5wOavLb6lGGrgtSX8xbxOaMiuc
MT8Gt//uRN3b2DY/9cleM9J+iT10TkLlt4qC5BY4BAFPSKsrDyyg2SR7cgBuceDtRqu/0KrghOMU
lVtYPbdh7TLuqLZxucMRIBCMkQnhfAfsSKy9fI8aLrGjlj33uru2NHcP0g/dkp7eALOC11O5r1Gj
wKYr+kvAlNee1qHmiOyXBt5LUDgthJr5ggdhtf9ZtihJsZqDM7Dzg0vPagdvnMt/e2eW7ouR0JUD
9rzjhDsg49E1J0GqRimFjhWdQXd45YRza0TWygtueuQPBKD6RZNsgjJK0YESg+Ok8qZPCs/HS1rt
I41gi+SBzvo9aEwu/4BHrcz38glbUQ8ILFIV9pfEpLnLSLm14EdZw5xZY/plq+MEda77QL3WBZKJ
UdaHRg7cBNW2H7sAlfT2ghxyvLN9hJ2YiF5APlScX81wvKXpRAhMK89jrz2qwn0KRHKhJDbnF5UD
DGjJ2ibQL6tpMk093kiURV3MMdWk9ttYawTuuLtqaBkPTPFFNLcepfeoa0G4pbKVwJ+A56A65nVl
zKph7TF1oo1NwUcGHUSvPt8nTn4agvukp1poz4yq1mznziUXwBgppkImWF1BNDfgyBjlsDdIjvY9
r3FXwVPQa82hRdOjIczcYFhQbW1dOCT01KMbkAZ7YfS5A1XKeTDM6NEN4F72Dnlbs3qIIlOZ/Wx1
dafJ7qLQ8aJ1P+MoeAunHkSf9dJG9mNoMt4GQ8j995lANqKNxU3gusPaQUM5RAKRDyOkyAM2qlmv
iV4cNG24qOLrQeN6SU9/55Yedv5gpxntXuoMFoacoIO2H8tNjMxjFZbivpbi2CTQ3FKo4ESbyops
iuwHOe8Iq5Brc8cXPUUVZdgala/gMu8RcN7E6a0+QRHyxuhn4gKEDe8trnuEkL62PY6lwYydfREQ
9ZUEOSp9HtKlzLA8TYB5ryi9x6QRMyfPYb8I9vVhysd8D+fdJ81r+jAJLB4AL7yOsCkdmqKTG0+I
t2U9+An0ESr0uF6jU8JYJpbz2xeBl2wsG4HD57RB6O0uUQaiv9Azfnwmdy56dJ2GLmcYAY6j0vgR
zNOWh54jrQV0DpxudgXlsrfhbxGW54+0AzaUAPNj6BFQskKq+NzNbPcPK4Jt4l1r0vpu8S7YKWiY
Fo0Umui5GNPH6cHq0enNBZrMGWcCJqFKi+9h+bbF/L0sC0qB+lfXwlcngRUhLDDYaYlZKY4eTfWU
ccn8dH4oQZ+sU2UnkUFy8e7JRlq+FiAbc9r88nRZ2hld2CDxbJz8eDohYrILO94vH2LAEOoH9Tys
+wZW67j8ch+/UoyUrbQyiEPzP3P5VdKGa37daFRd5mnL/2RZY3m2TPvYHZbXy4OReRlj/WgvTQ8C
Wnu7/BTxQvZYfppfzCizB6Maeu4+vWwCIPSHv+PDftGEJeX+hnLHaMmXBkW9W0NmXDZiFg6iEQVp
dO4FFnsdJZCiOYRGtC2mclo3WEcWmv7Cw88T29lN4bQN8QPg6+AeaE9LGjIdpZ3yX954+aF+sYA4
MzkFQRhxQvNH/PjvxZHKGLozIJrN9pwlKqCtlHKP2HI93GZZGn/8uAPlPtTzn0cNydvQS5Yf7+sv
aMjoqozRwUz11ogKbcJVGj0rLa2nz1+YQ+SoO27BNe4PV0ypdud8DiZYPgv6tevMntStUK1ugrPJ
gd7rynb59Mt2ljWXZ387zUPUDtUE0NWyJ3SwZigUBtR/2BH0wXb2ZqDDxvvjIJsXsCVxFDAi/V6E
437Zg4fW6vckqyFYgzDnUJYK3PlI+9v3tcvsEESm8L2CRsXy3stbLp+W1D6XoRtDw9KuDh970t+Z
o0rHBLkqd/A5nQ2w334bgSByPrxK85637JifR+svu+jH02X+RBl07811kPnH/liFCJmd8tjAFfz4
rxYyrHcktxw+7T7L1/s86peX4bwXqti/6iblZ3Li7bK8uXiNliU+1/+6Cy6vl//a8uxjneX1x9Mv
85eXX6Z97LYf7qdlVpkzirIy83+5O48lWZVs234RZUgHuqF1pFYdLNVGK0fz9XdAVlWeOlZ27d3u
68QOkTtFQODL15pzzL1fwEdO9J02BdGprRCL+e/UXWJZfZ3x1KBvogopzDTLnY94J3Sb+eE1G+tb
mzmLlzsnHXXiqJIm1MUApsBXyeZotWZxoNd4m6XHvOqRIrtTwE4eq3JnKKjsS6XZKQNa1vkmd/P6
IDUp1OX82E4cDNDoS7uVnds11ZinISzC9RyLklfmr//vdzPHKzYdcKQ4KcY9uAm0qMGxm27IlmIV
mB+jAs7FJFMNjo0u5S6U6hZ0TOeDBxb+cX7B91kohNNsRMoVOp2WpfnGnZaN34e/z/UGfPHF/PLP
3fklZz7tf7/+f3n99zuHvZ3vTKlH/cnq5bj5/e9/+XY/d+3p1/nLsz8/+i9P/P6Cv9/lvz33+9Pn
V3thvWWehAtHQuv6by/+/v+fH6dPl4O/ffuRhINNEdaPP9/u983529f95Vf9/TY1LbBFp7OX+v1R
+P8JMlZfMcUQRRFPbtG/3GXaVx70dHB3JAfD+//X+IWokQItITfzc/O9eS4zP4SSsGk8VdmqzWSK
d6e5TKnjl59vhvlJPzZoOfa+v6ZpzjIS/BtO8JfHcVoI0gl8itD5up/NZcx0g5aU654/XT5dWchN
bmi383jG+mUjqCxwa2vmvs0mzxG/CmMO4wcPhv8iOvQ/M51y9kXWcevvzNhZs19mIpRVQaCu54EO
prr8oDZI6MKMVKfJgZvMbt54shLPj9XJSjw/xAf4ljI7WGs2eAJ9+tDO96gkCKwbJZ3KkHwddQzh
NTTszGVG+muEJHCVlWMFDLOsDsW/7/3tOSlVm10oMomqZIJVa90/bzo/l4ef5yK1305KfXVEKz99
QQthZhuU1JLT8Qxp8xzmexqQh59783Nhp3MOYMqBKRChwJMV1a81eYn72Us8H+H5sZD6k5fn3noe
r83TtpDJCCPz6TD/Tt8GwkUI5CZyZR68lVNxN9+bsRN/ew5jT0VjEOfhvLz/TOB+7s8Hus3oqdWO
C0XqP8Fv0/rzw6j4mdBNi5hAXhyQl72bh3HhnBk03x3SKcmnrRCSooP9bsOiWM9H0Jyt2r9HdH4y
yhhNK9SqjaLyZoyBrLaCq7wSBSWgRo6t1wKpYjPIY3+AwVGSIwRYqzwkLdS3Y5FH9X4QrzMGZOZZ
/N78t+fowOyUsNK2gWZAhsBg9HNTZ7QBKhv+3+9zA/C+Q+TTXXZVz1xJv6gPY/hh+C5AnAZgdFe1
L5Y2Oebn4+TPh2i+23AJ8XQ/2PxQQH6PxHxgfo9OIDU2qfYwLOdD8HtjTxen34fzJ9OtRb6Oh/h7
Pgy/qLn53u/wdEbSdble7HzaXfNBKYS7MYtUbOdP2s8hmj95TtRay2zoGIkEdnlop4462tRd7GVg
jKB3Q1ThyrG3AHMaVKEME+LiEx9au+6m987XcOUS7QrxYn78c9f1YaMSYIe9fHoL1enm5/3+90PN
bNk7hgzApk9LGOnOuoqd5/kCOX92XOxtI7G2fKB+Pkvoyfcip3+G2w2n3hQSYHD0lxhn2FgpZDmp
CVDSQNXjXZ91a+aXNJrnV8fpSuFlvbIWY/E0n0ulWZRgB7j5fTjfm5+zFIXBAwXEfKZhmyRcavoe
s17g/6RB/P8TVQS18n/VTvBXS/8/RYUQuKb/80/ZhKP+A0gJ/CJY1drEWEMA8U/ZhGP9QwCP11Vy
Ww0BwYqX/gUrQk73LxWh+g/DspFbcL20ETbo/xeVBFqISXj3H7g3G40j342OimnqlpiEe39BZrl6
TpGWO8kOPd43+EQmvA0awfIPtdehVyAnNm78GKblSTX87RAE4dIhJ+sA2JCkUJQOATtbHwgg0/aY
NGSPxHdASCRyKBF4Po+qXyJQ1CoXdHGn3TqNcnG6yqBfYgDXdghhHdRiBc3sexTlQRWKe4yMNsSw
O3F1IvOicH1dAQ7F4t5r5DnYCmbMoLwYcVStkzQp8N3irh2rISDj0LmkRH0RJlNbSbSkv4gBMrdu
CkXBOB5b0QqT5VnBMbqRysgqVeMptSI0bJ1n7JM2RWkd618ZbUekWgZuix02ho5cHZ2IaPNNkwPD
jHzUeFWQb6i+o62+8RJIvxWYIQyLe1jiNWImqKhF7lxbFN5hjLbKJoKAGPSOWZClAdEzy1UUBPdw
sW9LGop4HIhClaHz6aYq4ok+wNbipau6MtVFW+LhtSLrLiKhZGkVj03ddqcxPhKQAe+dYVVa4Rek
4WOskwJeNe5nE7R2A5JjDG4VMXybiXKKEAMi1GKNB1yYIYHptQlojQ45Kcj6bmhnZewzkttYqHvm
xPsy1RDlD86Nmo9PDik1B3QOBwE/nnyRvF3LugwXnYobqZx4fzLAjS4Ym6SMvAawHIRpO19pG15k
rPzRUb/VyiFXo62hB1vIxJ8uHZcky56JIuJ84CreWJ9Q6yDq1gUBHi3RuvLGbupnLzVPhZstQ3pd
KxETLBc5OLzKXqzysLkdCbhbRalz19XmqwKUCTfuFnOtXjdfxdTVrZtn/PKnQaeyyWxnag9Ua8PV
12TjgEbuzHUJbNcj10QZwu86GTaOHdBvi+nMGcWX17qANsJ1W6bQPGmm5Tn8i4xYHUyS/mrQdf/Y
ucPacTTaLUkgNw7xam3p+xRt1b3FhslUh0/D+oYJTa8iYApkjADIfYL2Yo93PYnrcGNr9bkqzAJF
Kx8Zr0vOhZNHG33yfaeZpW8qCwmHkw93UUBPLKTDf27UaG/GQ3OPCY25drnjwpLiXDhiUqyPddg/
wNWFcxkhN5rgCINveXvL9V7GGjI69humK9UmKQN2lpFiHh29P7etQYISPhyLDedqtKNkzUQBdUoY
4vEK9KOqNPQcOZilF9jbqgHdoDacvoNXPdBeD/ZBUA6rrOneUDB6PpTkugTqUKLtDESOkUhl9OK7
ICa1x6g3tEVoiw1u5wPx5eRhKkRP5Zy7vSbGrdaOr0GL3CFoScGszQmY2S+F0jHxNs1rHjtyaXd0
AImF34EAVdYeV6lNY1e3rROqO+1LGQp3X08OV42WCVuCkjlVgCRniMUxq6c/uuhvnCzqNliomDeG
5c5PSw84qLO1ksDddpqmrNSG1AZKUh8nH9KmTDPGByPgrXGDj5BczGXRl/f94JAwpqoDveTkIBlw
3tpaW/KaQbsvio8dmiYMWF65EfZLDEzsYhXNKhERLoHQOknL/6Qz0W69nCwTGYrdJBdZBBgHyFdp
EH12LdMGk1RtpwIlmRqEJaS5s2ha3CBIQPJVrxevSQOE1lTM5pgUq17Swhv7T3NMwwerjyGJ4IQi
wyld9Fqt7kjiKteWo4GfTe1TpwAsF6PC3+PHNZlIR/I52rJIN+QSeTaw71ITSE5b9xzVLQ2oXp+c
GWRGd6q5jFuirmQsnmrTsFeUzJu21FFZ6fGmrwN5R+Tn3o9dmsMFViu3Q8vFWnhEAofpvQjKq5Da
rvKzRwMMzWZwARORF3DMh2oPjfGNBRTdy+jdhWxkGNj0tyo0jmA0XIStvTx1JpMbUE/kxo1Z+lRn
2but9ueoJ38HZUmwdFzvM6VvDSogXjmZDMhX+VCiDC431NW1sMgOczTtUa+ip1QqBoFEIaJ6VBCk
uIcEe3fJOlWLq8NpoAtKvQ4nomtY4ODDlp1Dm+nrynLcjT40R6f3Eza04AiUkjldGLwqDt6mIXIO
waCa6BVKus2ukyKb7V8Du8kv2Mee2qEmRji0MZbjwCloPgI8cAj91pU7a6yYKPvqVXPLuwBf+dIV
Vfdi6tV4MaV9R5ItsDtaWFtyY0CA2x05dY4c9wZQh8dcAV1epv2RLPZ45ffEmhTuiN1uDFZ12PYv
QPzPLGjVTmfOc4DHwDYmWQ+xqe2U0quOouEd0RkokYxUbZ02q65BvtdRV3MlBSCTefmFyMV34BHh
PnUS8v5qAnvQuC1ppKqryZC7piw/MQgMrp4/XHS/GNe1RWBZZeUfrDXiebTNx0F/SOq2P5KIl60z
3b1viVJGMyyf4zH5bMlsOAShZ684l3ajM25Et3L1EWCTm1pbtrpfUL/IphPiJQp05rtFdIEYAPXv
IOqx3ZK+gNbYVOKTT1cxL4bxWEzSYqVFaYnVFhLh1QkKnHluj3pCK+nqsBgnKXhoJzLPAUrpA5dq
nUpkuKiZ66zw8yoPKh9oCHw1Ygo7xlWgZluZx/WK0a7BG+v7rMfWJJ6zsTGMgbK08eVT+Q+gfYsM
YgdiugOeLcSJ7P4iSz/3stuKXMFWZjl7ObIGQuoPL2hNdmUr9+XoUmawnCDoEcc+9KhOXqFg4fnM
i1fVJUZRn24YfL6TL7XRvA3j+wKtEXNSiw9tkTLYFCZyEpi8GqbaCse4A+BF5invjKuTXF+kyTZB
QUW2IBcSesOsSwmCfKcRy8K18TrFgTyA0yHOe+RqiQR4y98QPPvyqQn+VPUb4fL5SnWrdivt8sGH
4noX1Uc3MOS6lzYJwDmFhE5ELO74sVqiyal3hfDjq8kQWdjOPiOrbyF6g2k3pYiqVpemjVrIH71C
nyk/a2YxLgnNk8c4t98DEifJHJiOMZ1HCNr3oUyOHg4vzPQCC4TPqWmrhbYWRfJNOeQeUDmaKzUG
fhNL3owx0lg0R/1Z6lm7rg2rRiSkNJu65qNigriVtY7CztoXeQgvs2z/6Bg8CEdoqyx4QSenbQXS
uQUZANRYk2XY81qF6qvt19SVBCia1Nm614Gy0Qs0g1n1ye7Z3xmFVez0xtp0KYQAaOIlvXvEOhcw
v8NR9VLndjplijixbvv2riuVdF3C7l8potYZMY3l2vOGgzuB8U2MhgdXlyzMbXLXGKIG302Yk/T9
c29T6uu9t0W+Dytbs5XtMCE3AvIPiyHLbmQWrWKnulXturpJdQmamqngqDXWjjDzB6QND7GgISWH
olqOWlkuTThS9ASR21kuUWY5SVT0soAj1fxuW0GmLiMpuu/SLj4YK8VHWP75ogv5MtSU6tpkqg61
Tb+64i0Napg6hZ7s7JQIoYA4TgaspyHVif/iSlB3EHyiFnNsTHyjMyWZkKCtoDYcaU57mblmho72
S00PmtNf8zRTiY+339oBu3mRxttxjK5+nSAEnfgbsjEYdex7ShcljdZZ6N7FWfsu8oroDQ9d4+Cd
lSL7VlNzV5ZPpeZ+2BKKeNZsGx3Ic+d8eF3+HaCStcJX12muA4CHkUAO8SRddHf5extae8Wvt71v
7EPLPVObXhXV3Hseqj2vvvZ9t5MB1n+74M+LlbNBEQGRAhEJJoyB2O0AY3DoLEsFJfUoN7VSb2sx
Pll9xZyS3FEsG+BdXHeljeMO0f6dQfzSAkzyh9XA+/LrU18V93whAPsWL7Je3DqpeGClxTQSfrcU
3pA9q2ccrIgTghqojHeMy26r18QwMlHwsaZo52JVWOXT9EV6ET86uKT6AaZq1N2VpndyUitcZaZ2
j3b6WOkoQ0LNnTzerLQGKJlB3OYDMXGd/aexyGz1Q6blxQasEc21mihztdkUSYixhcA+WdzXCHA6
SbxlseWMfaj9GytSN4pGOiaol9Iwv4V5Uxlop6YfWBrVTkOQQIvl2PO6RVQhRIjkiVyK3fRz2VAv
oKKdO5s1Xhn8VW7eQ/QH16JlZBUH+tphqobyCKmzbRBR4njrlCgUgEXq9AE5CxfxhI3EawiPNsks
eY4sJfAzgIPhbpjCCGTOBLSvURYjIR9Nd2vViC4Q76Ktqj9zcxE6jgUhgSQzEpXqTHtlHPyCTOXU
N5teK98r2T6iQ67iO9vT9EuBtnuw+k/FHfaj82ba9rMXBN6iSKGWhHcZWLbK7JF49pjIxlMgi63Z
B7uiyj/QWNy0un4WkoIFYq4jAnzd9oDoz3kQYNu2iq+/2H58FoOxi7Rmn7b3KVC1hhKHgn7t5Ph6
OmNYFpqN8jN5sIgVC66FZHEdme0oKTnZipwamdmeHVlCrA4dtSgvQF0UDp8GwB2evFH0FJwQZwoI
naVUCzYPNnz2qnev6cGiprTpaC/Y6R1hQrlLscyRHC6UOyhcfCD1m7LRD0JTFz6XiAbTcDCM6wIJ
IB24uyqFLVTU/X3qDA8OODy7Cg8ibjZRTYJXY126rD6YY3FVy+EqMRMvk1yhH1xeSoTndDkRJ4Yr
oVgnWgPPLWIpODOLoLMIlzBBpVXhaxOrt8i+kLCmK1vQO7XMO0GUAJ6rIxchWD/Vt2og61GysyvC
ZTT2F/7Sk8kqje8A5lL6NtjGRRmci2WW33H/ILX0plTpxhO35o+PtVptJ10P9d2C6Nqvgnx2w9Bu
XIAOil3tQ3vK9nEPecOZ1pJ10pebCAzRQmVNTciJlYSR+4a58rOYbDlzAKYWzZdMwq+IZa9eEVze
IYd8V0lC9ZDrWM1n7odrVRj3aV4dhy7/UA1rQ5d4JVtEgPo2iJOr6+AnpftokkhVp6iozPA2x0vH
hvGR3/WPZnm3ovHecJC7Tv+G3fnJ5wI3xmKNOZ54J/FVo+fg/Hce29R8VLXqy62VD78eyPMiq8JT
Sap1T2DhVqL79BGNqVHNhoGTxbei1zwq3muH4i0wL2mNeyANXizvIasQbBuq3MrWRGDkn828OBZt
R5RzhxNwtPjYD2mFEo74B234o3d85IjbeCazMVzE1lQBk1hra6CwnMc0ttaVQtwQxURWWC8dQnCu
aSh02ksTG6QnvzZK9J5xTKBF3cPxAyuvngYTSJfnZtsG0+LE9Uut5p4LBqIkRVspRY+4Bm4enn0R
yyXBo9vKKHdqPSCcMYCDadiNvPuIfIDI1La+Ppwbi1Nb9GurueldhA0jvyK5VBFbIpQDXBZ3NpKd
IC7pISjVkYhh+0Kj8Yo7EFCgJltWH5RbQ/gUlkiVi0kFHjfBl9T9Tdma1zBGRMSGdzWLbgeqpXLK
zHMyQTZdfFdydcUYA0HRxTGq9F9pgmo3IELWd1z4TFFGj6S7HQhSBpmmPEiWTURZxXmQ+gHe3ybX
7Kex4KweinSbhepGDsE+18Sldm+J9buFi4zxt8heUchDT5Js2sabEcUd0bGLblDvOpemk0GSnJDP
LkLj0pAYBCK0o6k5wImVBbr7EMNg1+18BdgzPKwBcXxDd0IFgwdVtqu3Sl29abm4RY4H8uyShck1
rdO9UJCI1d01a5VratHD16q1FrM1Iq3Aih/NLn/MRHEc7PbUGNFq0HxElNmLO4wPUardmxAsF+Vw
LkYlXXQekSoGOK9FGrElyq310DerdCr0SjAoOdtAU+xqLiYi8lYMuLe0c1b4KvGrncq0fgmMLSJu
9mDmnWV0N8g9X4L0qoSo+k1WXHZ/qtsDd8cA4splY7xoCcFIuXmsOEcMVSAD9w5RAKa9jR7I+ZTm
1uca0fb2mdbjhdkNH3uyQWvKcxlWb4A4zxTAVFq4R8gNzVpxayGvXk/fK1OHU0CXIhumbPpQudXF
KrXzL0laXWTMJ77d+TsKJ44KyVadZX6r7GgJCfxT6fYhQ20Tk2+iuwMi0u625a9rWCi0KSy3XTOZ
/PZjUS0GHQCdNT7LMjv3BmY58nUbo70RwuZ9U3B7onoHUYpfrCcui+NVNvlrK9onFAtvaZVc6tLa
FkShN/naDIs7vUB976j01AhQgz35lZj+H4SZoK6Sd8/WSH6WJjYNg9jXmK2wOUYhnjYdMoqXLbXI
YNbHV8M1XguTkLDaILNTse9hhML2gfMeoduN+nKkwsrva3mPuteqcUglCg5wu8lWeo+p2URzroWb
ik42hjI4w1bTjZusoD1J8OMEHvYnnAcNFUg0VnP2NFgY+GGsFRv0+8h8q6zuys6VgglWlWMPt8m4
t93sPoe5g2J3fJEtGmAbdLnK5NsS2VVVxGutI5jv4ceA0vyKq+HQN99+mU0X8KekFSYzMvBY5ZAg
p0C82KOeYjsxwt2ICMn16Cs0DsmPkl09RkB3ZQr90pjdQqvb/Cav2nPOuXxIsEzUMcw8O2ydg2l1
CyUN1TNdZ6q6fFh35TTaprud59RYEfURNqc/CUayRVDru8odCZZSPPVE5vpKIKckpq3aIDt3b2pT
pW/ncqmrxjBFgKaPm7jwCV22kDU1AwCNXhv27AAWzqqtXZudM4JRZo/3fQ5YsXP8aVIPFUpMU87A
f2BH8DEGwF/LKkKb1NIy9xNE0TLQIaIhlNaDgfDu0nyIBBQRjdl2Zxo3ojOvFbQV4pKUJ3RwANN8
/2FU+hvTy548yy447HEFQaQhw6ouzV1UxD0OlHwKM9WomzMQPBEeE9tFF6tJxo1d9dTEibtSB/tZ
B8C6CbN+L1m3pCleLMWg/GGrF1LLLTzpK2uzvLMwRSxlEdUrvWlxz6dyk/qkL8mK/ZSjM7BNC2SY
rePCzap4h8JhQ5u9viw80EkrNyj3krkyLqJPhgzvsruYExDdtB9lMeXkEhWX2RzC1EOcSUyRyRVt
iLdGaIkTSlkqoWmG4xPMPuGaMJ+Xk3vb7/Y4Dt6DAs/kkDZ7C68t9Vth7uNEs8g6KvdGUjorX1HX
tZcPp2hobI4GJEq3wurlRd6bBUsHJwqkSsyPSAVR8zQ9p5IREzSZi9akhkKYYUGk0FvsIVYe34MR
/I7gURaJW21cwa8nRc2iJm4C2f9JHYfl7jnNc3YAObkQxiPK6qc8wMEWWsp9NZ3JUjIWqZ1wEpUT
lod5Vl83Tk1GmKC5kakjOvtNQLzRQo6dtfBYntImWLFTDfp03SXyJoqMh17LnwJcgeaNHIujXWRX
mDzrWOOUtVoYMpXXvQ6a8zWaW+GkO5EEJd4Z5IWjuR8nbTJWl2RCqmou76Dl46/ts6cC/92CdOt9
o5vHoi4/WOLOajf0S5TtYPMlfFa/kudc0ynBPwEy6+bN6BQfqQ5QDyLSisYyp4UfbWOvumN/jVe5
Tp5gzdE6xBaM4cBd+RrI34J5WGKQZlMoxppsRMK0EjxdxF2t1ECBrkuqL4cg5QOcuiAnGTqYCkbK
3n5ozfbVAygSMNImlH5vCmsvfO3RC4ll1xVtz5KNQL4ML93k7mdguNOJEvO6/ottFaOrJnkXMdLZ
vGNUlGAWUuPsVXNbmPrdqlO1uy4Kv1RG6piL77FyfehyOEdeTK2V9Z9qb+1ip3syQjYlRDTSHXrE
FvJNOMqnkj8bZFcSq0zzsJ5iv/gk05KG3UPDbsPZGNQ+fVnyTx12F2UcHRDabaIp8DfSlQ/bVw9V
VNxZQH5pgiyCFqxj4D4LuoWLUfTfQSBvQ7p+nXPHDGVVqt5GnYD0wyjv/T550NPmqmG4VaPgNm+S
o1V7xamr1T0d5pZdInxK+tUkj/v1slDEYch7RiFC7mlOf4na28W9f2CXhAg9W0gXu04u9HPZJu8E
DtNP8axbzJ7E2pcbX+34Ztq+F913IuJXy6tfVNW61goUjyBN7slOjEX0NWTY4WhoZNSNZk073baO
eK/PiivWuqEsDAPNPL7Xi9RA8Q0wbRPZv4O46ZHa2yopZ82qUCO0dq1zX4UT3rt4N3q2Wq46Usck
nHQjMdJySoUiPj2V1dEFKbuFWPythGDTmSnKUb+YeXAb1var27qPnki2I3aXRZqTJ6d2FCOQc6GX
3zgK2M1U1k8+Unktarflo5/218huHSCfwU6MSB2I1/5OsnKv9dlNmw1rABdMZQF04MglftmtyAqJ
Sbk2RRWsPNVuyc7hxpVx93NvfqhMD//23N8e/u2/zf/j5/uF1TYeDEZPqUMpKu7DKNc26shbKMvW
/lGCz8Jv8jRNRszjXYbEjOgLDP2/Cuj54f/rc/2sN/Joi9iTxr2eAQQBBhxkAf/MgPiNepgjIVzb
rvf2+CjVpq2P0SQxS2b9koNnfWUF2JJVr0j+qUufhcFmnzoouCeBe5HayOnmu2OtXT3T6Qn3+7dK
eJbGzkLgn3vQv3PhQVxPyHpVi3JPGAH6qPnX/LkbT8q8+XExqfI7Whb2JOuihJOHflKdNZPGbL6Z
n5vvzS/YUKo57v9+GSapPNgJvlDWi26Zm06u0rPkySJ7Mvu2ZqIJyIEJGv4LkwBDUwWBD0qsPDBO
RWA13fu9mZ9LlVLZu82HU7Rw4bsvQsaLvZA5VGMnPjk+7TjbCD9GxjcXAyQcBUBQE3CIDcDcxe7A
VpTmW6JyiXMqelV69x2DCmeXyo3Dviep8vJYaMOwcl1lPYxcJg0r81ZpLyVcfc3bYxG7oiMbDtIc
dppUubgO7SWWPcoyy+7xGtmvvVWsNJ9FkN3yIu+tZ7UdkkPLJiDCPn+x0wGlUNUOAOXceOuLvZLE
f1QkT0bvmAcXf8rF6cc7JwKbqpteDX0ctOxQfkiUZ7s282L21ouogvOKe6W51GbpckUVR6YMeNul
vc6tdm+XrbfsK40fg/KbjxsHM09TkqOYXFKT2ixVjlJd8iHF/FildD50Fd6Eekswa3VpLfI+c1Qj
Yy72ZJ3me+rwxaPwkuSswrb2s9q4tLphXIba59Nv9MCHSMYzij92Godr/ktzSQkTTTPzLEMyMDmx
b8K6d/a2ZninWPeogIyVp/RvmksbxSn070qvU5jl1O8jwxeMeLXNv0QOe3QLBt5VcrRWbSC5UrvV
e9cDPyabMbsq1Zhdx/BPPvmzWjm2K2cyUrdqvK4FR8WqPEpctR7XcZxml8C204uqPDBd6jHXQ94O
yP1bguNn/w5uutVkh51Rx3FLR/pMjxR+Znan+2SO0GIbTmLnOuofgxbByIgNaocLSkcffTKniylp
gCwWmo7jKoZNxyCVfr+GERr/5HDRgBpjaBxOYISyC7Mnhekc5Y2mklvq2U4Dh9fnqDR9DbgxlaxE
bgKtVX9hvVN3tOkeKEDW6nQQmSihNGGgkjKT46uCjDMLjKtBADnP/bw8v2KldrDqm5w35jiGOIxI
lU+79Nlwna9GjKc8LaldQQMSt0MLTV4APh0ixXvs+yV8p3dRGt9qEz0MqX+Ocf6zjz52vfYQ1j6W
Z1N7yg3c74pbvNk6/mWN3D1GHHfd2DbHNDFgO6knq6ZS1ER3yhnA7BSA2mVyKIzwVGXUeVG5gdNL
69mAPmv7UNRV5IC53T6buU6Mbl2tElUvFrWH6YpE06XwqFNtxb0r/aRf5mFgLjMH4JCptQ8ua5XS
T4QUn3lSN9yUGrha8ujZ3i6MHrSBU1tPndednSF+7RSTMpWNpyqqGy1FOqMhJNwx2qYs6d21Z5VQ
PaPKXFhGccWHXTNGbTH/uzqzlDi8L0JvlTS0rVob6oKRxRhE3eKzI+54YafqW1MU29RO3XWXG2QP
aEeHvArwUsYfi70d0AAz3cCav/NClo6hz+n0wVwQ1A6auPFa3166FmxsPJJHTEwOfPT2pREGfu47
/IdogaR/0yh6copcNBtJP6WMg2Jr8yP4FiDEykVN654LIXjaERxM2SrPXsHkVQ8yZrtxvpPW+O55
fJziVt4Rz7fuojuLYI9cPrg1TrnIzh4Hma6UwTiVpZauG0vcOlqwL+ro09RuujYYaJIzs8id+i1D
8REDvN4MuJeoBb6zInd/4KoKmaKrAjMYuxn9qAHchxi1G32PiAz2eWhAous4qiaydd6GZNj2ln4C
2rqLKx1GsL7pMw0Ke00mb54VSw3XOobpamGEU2hvPiLNUMdlEHbn3D/aVHEABtUMa3RcrmlQELWR
lt+2b37YNir3hlmlSgTbVkbuPUHD/S6w9BSVNpEP+JTbQNOfG6hhhlUdUptszrDpDaj1yrOmXErq
M0SfkOhk+ZWUU0hES1JZ8EfTuO7D5aRATG5cirOWBN9m8NGKEca+sD11IUFrLBQArolkBQ6q8TCV
kpWhHgeyTGhThDmQFrDppF/xURiq98ip6dQXhBF4Ftsylwm5/+VUIjvaGZRkm83PwhdGfu1pJyz0
wdnZYix37HazO1kVjyimPloz+o6aL8O0LKypg7cSo7/jumvepLxZqUVTj9jhTc+On3lA/+gUIVRg
d7DpndX15h0zcgPlxd/UAgPdULoAgOr+qgU9dDcMlavSQxcYx4Z1Ip1aMaCosKPkcF8LX7NePUv7
LoPxKsJU32dCOuuoh6XKhH4hA1ddj53KZ7umVyh0ymaaHsFQ+Ew0G4VQBlTPgVG4yIAmk6pXgSEa
ObuEX94mbD3Xii5Zfj3mM9IeyDKoPnXQrr6SjA/KGO25IgVIhLOLldfh1le1+4Ak96WeZv0SbU+7
tMmXDmozAeuafQN96IjGGNgOc2WjpSvOkYVEJ/eInzEvpl+gfHMxk1qVNJmdof2yAmdt6/ilB9Xd
ikLe0pZ1d8RVXkOGUtIK7hJo+QuDScUaAuodM+sdnSHngnUcsFxdqHuCfjB7D026cwsKF8dSsOok
ebqs+m4CrP7BJ/aUdlnL9xYHqOynxhuip6S5Bmb15fftQ4n2gEJNrtoOWKQkhqWJvBu6LM6m9Eu6
z2RycLUxgSKAv/J87YPgV6hL2rRbKMV3Tgd4QVGKZFmvN73qfqk1msy2UTrqH/XTK3FyG3axMzMT
b3uNxjFNaE94bKlDUaqbMtvH/GVkfrhyPTgapGr/O6ts5HUOMfMMxoAvsO5u4p55UxwozjlwVOc8
EDKgdSaxCKNnruFVxdguAcPGtaHsVLtqVr5TkhwBKP1gZ/Rqiv8h70ya40aybP1X2t4eaQ7H3Ga9
iXlicB7EDUyiJEyO0TH/+v5AdXUps7vKrN7yvUVGiiFSJCMA9+v3nvMd3kRP30iESeji+yvdF7V3
OnQ6YmjCbV1n31TXGSdbhzAh4JZvegIdi13upg3IGH76zICflZVRfhrK19EAxvvrmeXpuVlOAfGT
ZfEbFqLr1iHisLPb1GxV2L7GXdfUr78+RHOyb2wTtx5a9B2HbIaLS/E3RUwsQBB8/mmBnh16J91O
ThyeEhUg4fz849zQcM5VlG+swnwpZo/EyOVTPh+8Pix3adG98VF7EEOMRkOos46QRuBYUefE5+jS
5tZxop/KLVgcBQj8c6V1uUnAcQPcmDnat64Lt8Vz8dl3k73yHObC3ji/TzD7WLZqeIcNuVQFgBne
oEvFb39ulofaICUhdozXz6ey2A/XKEtgKrWOnaFKJza5NiBiarDkfqTJ1pb6/PnQ44onIMdJYUN2
B+lqQiSaBUtRpOI0KBznxHynGzVKWlU94egTJELecfSABjKsgk9I03zYtHNUnVXflWe0JVCtWAK5
rvNvZtQYbF3ZoUv8a9eAcatyyLw26MRNJjJ9Ru4oNl2DVCBPuHwcgRIvgTR+tqIy4WdMPzi2cj2g
Ij0PHE/WxcjgIm38lTJHGiZknZwre6rO9Baqcys6FB2VxEtulZQSQVaf+0rUsBV4lXXU1WdJrtG+
bKNLm1IdYY1vzoVDvrKpCYn1uohByOeTXlpsuKRogsNk4OTuNVu/gHjlTTFRMTa9nc9vmNBxq51T
OVrlmezn6hyNDAywVtzUUdAdm0RsPn/2lPbT+fNPbcLe2i1hR3qC3RXmyX3Tc6eZzQcokfkYMPNV
Mmn2Ze8d21KMO1EP59gGRV5X1DPG3N22OT9AIkbwDjbtE7+5VIUmSQN347Jtv9cuHTCsRxmKFMq5
SbpfeaF389CpG8ba1cb3d9hgzpHhoJTy6Sa5YwTcPdIrZxhGpBLDBrNgsrPv7YdwoNabgnqfxO67
1euXNEcIbQhNDhiSy34uuGo1DXMvTX/+636H/2/Tmy3XgXH8j3GSh6/D1yT5HdNs/vqSv8U3O2Q0
4z5wpIUkFPvB3yiSrvhD2q5t2qZvO97Cg/ybHULKPyR8GayvECcYSviwJ//LHmHCXxaB4wtpCc/k
b/41iqSFU+M3ewSMSEIUiX5wpSvAOdufXOPf7BGgLGncOpF8FFVqHNSkcMqqclqlhXmTJdRuCjDU
qhqKs9l2RIzMEJZl0EwnLIjBvjfnF60ZBpMeRG56IsyNmO3x1AqE/RnBQALZNFWH2ez7QHPCbqmG
q7YlPp5Rd1E70cPgG8XFyvQTcoqdaJkA2+iuJw7gJxGqAdkXQVSBQcdAMszrTKaiIakHQJL1YTJH
953UE+gspkf4RYDG3fcHUFULNmYqBu9gFSFZTWhf74hYRj3klu2mjPFhUijd16yl61kgoyBAlJka
iKwbEiy2s3af6wJ4SqAfa1AethtW29lonXPEJH3sosOcWvMBtxQZRt4K7XN5Nm2s6VwYzRpqboQp
xMs2odeLVWwvs5d++NCsaUi1bernqqOfOACOM9xvrTO9soI31yHy7qXdVFgqlnUV7sZQZ/n95LQK
6YnnrJg92SsKMudhAOFs1177ChnrJ10NsrSyIN+NFtQ7YeMYSVAuYm7YZEOG1jXoOAObujiMKcEs
/dAh0ohu8jHsj6lHm125NlCz8WdZDhnwCePNSOAVlXJ+yJ2RXLJMR49FgiLLY3wa13Z10zcR0/0K
w19aiJ+IF4YzqIKPtA3cK+Q62pRjCsdJtO2hnmcqLY/csjYmYqr0agpo5oS/3XP/C4Hblf/zQnZd
H7hqIAgkN33upt99PjlTdo7g2n0sao71IuwgGHbONh5BuoVOjyfABCTH96WZnL5TnAOhyplFkrB6
goyhb3uSZwD2mx46jXI/ZL1572GT2ei5t+6Yd7hBBBivQn49+dHJq/r7JBP9fiZUdKtQNjH6TfZD
Z14BR1bHipjDwGhhmzDviIba2yNSLhnMeQlCy2q+9AFRK1AuBcr6a5nrfYwgYesq2Mhuy3gLsBjw
Cf2qKcCD2XvpVec8IF8mFmF4pxCPNr3mUg0iFyUVJ5nUBJJj++3a6hBVI3WTiFNQ1hcW0hWqnuDx
n7/gcqHc/nnpsIW3LEIkyQvbduzFefXb0lH5Ltl+oioePbLWOX203qllisTp1rqxIlDPoYPxBSYU
sRJZhZBoMu5GqIGtMIxNllREg0zAF6qu+XC6gj6G6ouDZebNZUoIV8rkTUK8E+ns6O+x6DNjrhkC
mBHSKA0n7pQSYgdArVsbXWrdmWlJdpFGeTd+iwo7O6mqf9VQfzgYJ3d1jDRWJPR1Zj9/aYxwNVDd
PMuqNM+8SsXFkNbeJw3spEgVsaJ6vCOEEqrOKPcM89FbVSZFfTFQnCSzuZq96gsHsItSVbHPu5k6
xL/oaqafVTbEFaGqXvd+9SUR2l+Gr6dgGZyJ2fpeuN1laKR58FjcJlTr+7w363VdpOXLFA0XG9Sd
kwtv29pGi0SqXHX+WO3itCLbKcV8YEdlcJ4myNsDUZlJXForlcf2KeUYyD50VRiokQQ5wcZqGURS
MeaJR+RjiQOl6gGHpsGbt4ij4CBlMc3Fyn7OdZk8OnZP5JrG46ahTUcWFNYyfmh9w0f+ijDaGNLF
BhMJZmiwcRbee1tgWREgQVNlXAmKZZZP1/ZcueYzSt1bJpQ1tP5s3EzjQtvSyUCaqJ8dkkSjp4q9
nKsZ0e9MqqdMuiUOsz7UKrOvXUQBPA1nI/bZSXpu6bmvpnPNgYucLqzlLsXTEHVHG9tbGJDf1itK
NOKy/FNhoSmITMDps2M7j77fHaq+m07TFOH8cWCTldX3FpPVqpG9QQ4kk2Ba4h9FrPUhV0h9qBYJ
fxE3XFdrn66slHN2oasPs0ZUgOHDo+TgcDMMU7GbTHMXYoRiID9nt+N0b8W5TXwHWX0FzJgxQV2A
5bgiN8+rUFfy4BXVqqrxx078ZvSGM4KxctR4gdOioQ+nzTwQSisTlGldk+3Myj1wE1C8FwSKTo7e
G+h/V8Ugx0MqrGDdp1F2gpuwHmRk7e3ZBq41e2xPWXSJB3ZH6Vd3zA8/MLANh3++DPzCTP9msBTC
lwHSRMR6xHxIGVh/XgZk1BMNylDyAYsMUNkYcros4KwHXhpsemc+zoHd3Ge1z+hs8DeN1wVgWtax
4SVHbha9FQwbUPYTsjQTZ+jlRf8S0YRZm2zvxz4av8+RcB6T/IQEouq68aIdklmd+uSDt9sbDc1i
hnPAPVpA0rFFlKBfvY0Bsph6HuGloqdGBrpE8rWTvASRAunr7eNbATWWhnFDW0maF2x26arUut3C
lUesYBU/XEKFz3FEGmEswdiVVdifZyjDazTz+L6LSx2jUiwbxbwwDvn3xwSOlJCkVq1x/n0bYecf
cmGDZtT2pitHRXgqR27lLUNQ1n7sGMnasZzpQpO3w6tpyCWtkHqoQiTaCjogaQdKvsRZv28NL9/Q
6IYVhTOUxqnhnOtJvPR5/N5XyTcXw9le0tOFVx6dlxhxyAkE3zkTshtvWMdoqXcFPc+tZzvEACbF
cGo0cUkV4V0zN/DZDaRcwu6g9oct0Ttma98MBZYEfwINlAcTdRmH4XMSLRj9kTx0d1QpCwApfw3v
qEwG1DBVdtOOLg6CkqNvSZYFs6bse+mZ7r6eHhIjiHe2x3lHWIZ+kKnoLqpGpF0g6izzi1lwLKyr
/NLNHn3a5eEw9t2vA83H+O/RD5Q7aorK4t8KQlfhTrT6P/6Pu1yUf75oLYpnT/iuKx2Mxt6fL9qB
FrcB7Dp8wGuHrqSPgnPoVsF5bqU+CFu+VE1+MIx5fOihpc3BdGM7O5Om8tpK5vqrCK29USj6aEJR
BaOR2iSylCgt5HjJB1raxvxgTBqQBlFS+6zx74mvmr74BeJDgPLxA9NI3J6BSPZ2u+iMyBxAut1D
6GyCdeA3PWmV+XhTl6xlFolquzkZFcEFXcBYbgiRtMzf3GRJ0HOyeTtqJEzauunH+4KxyGUMUQu4
BSoVAwnSgxOqhiKaN81txEsAtHhG0HQYrBkppB25F2fYEmfV3qWQp5CsKm/vOXpTJ52x++fLhf2X
nBRWC+jknG1MV4KWlc5fVotizjTkhMh7AB3VbscUgnVdsXq+IeQJ7wp07Xthx8jWfRwi8PHgx8H0
SbpL5Zg2DB0jfcjLa0GXZVsvNtYJ7/Gmy6oXEQoHGx+pyY3dB1cMtri8cfqVvulc4YiScRKrs0ll
cAxL0N8Qrdu1LLV3KKXiTOD0dE4mK3syUR2ozP/SFHF5mvs4XgNhLy5w2ehBCP3YRoDNZqGiHVXy
0aBl9osu8A8vTjNYom3+cnXanu2ZppQeope/vkhD3iTNbA/OAzUiO2aaydvEvNez6E5N3Is93/PN
lRCR3H7s4K/MI8cV3EJ1b9oo3FnqjMAp9pnuWmrfccCjihLGtWHfVV4FISsLzE2bmnSJghm0JnhM
gl4b1m3Sielj9yfcujdenb6iWrcPpb7EeX8RGDcA3sZIYuTC/oxwC7l5sA+0941pnXNgVZyfPCRA
zWgFx4r+/Ozr5NL3+Qaw8LRqBAatiopxI/18xLaXTldwMRQNSS+YvmgkLTTc4C2RpNwW/iUXGHYQ
H3XHCU8dWd7XNEriN8N0nEORvPZG11ySzt5NXRbfeESOEHYc20/CnCDzZ7N7zjXwKQoJFpITTox+
nSY55yuJrSbuB2SoIzogQfKINkmexIm4YlD/5g7clgNnnS15x86q8XFK2yUqvCEH25gWrnnGE2hC
qCGDyzgYFE13pj0koGobfEqtym+GZsJKGy/p1EBXO9U9JJDSjDbE79TW7pV0NG+TJiK+MKx66yzN
sgEyzyqzbxK921c/k3jBfcZdTugfcmrCgVKc8Zb1vddr5pXFigBatSlyWn9mR6/rcwey4+IOnE59
KUV9TSrjVg2mf9vUBh3lWCEplZuZkO8rIsdjLVDslNj5Sq80T7ipShiWK5l6xqmK3aMomujFynJg
l1h97vG3nJrFXZFM5MW3vvk8jGQ8qAYs7GhMnDox100y0YT2oX5sDfqhqe/dtdVzLvP0FjnftZRt
vJNOwORBs/JE+Z5oVOusxwJaIrPPgaSedaaGH57ZIdwq3YXohAtpIg/oCbtmnACTZKJS7ojfxsm1
fEgfde/l6YdV5uVxGqniuKU49koMr36AOwiSscGw/kK1BEd4aB8ta8p38YSnwmsjJEJjJG54cf1f
OWX/8C5mMfvrXRxYNsdR03ecz4bNX06kKE9zPC49qkeX4mAk9RljUeedNB2VK5vSw+yy9CPOsm+9
zHiUMTM2Wetqq4ax3k9hHaMYcqkoljmV5TRnKwU5noR3Rl7c25Jg20XQCB7/Xsg0JnSDpMjYjuVz
gF4DNiMJnX6PQROgzFML7HwvNPv25zprNS3JTUoPxziceCeibrj1s/B77/cPQlnBUxQVxFa3/rXP
Qhw1ZtrsQhooxE8ziHIwWK5l74/YYR2xoTtDmmVpqp0eNMhYgwSe0KyAZMcuGj0jBMs6eLsGc8jZ
mH3/GtYlitYcf17l1gXfOCpunc46gyZgFhEEM/KuqPvigVTDUT4/uXBPtyoS8bYeCRouqvu+aB0a
MmX8bM11fcgSvq8yxvQpDx/dYPlsEqxuxtBXx8DWQJUTZk51yOomvOi+N3NxEy56r1xYlzRE0z4Q
vHlLpfiqXVJ7Y9D3FxdJyLGP7SUVRKREh3of+TIfjDrhrnWcMAS0GDlV5aEIrOFsLuVMlKLiV7i6
GWOO9cqhZHpoCVTAkmvtNWRyCMfsXEnRHa2MA91ozlTziVHvlOr3BcXeitF3eJV1GeC4ALQa4xbZ
+3GDcKA1kLCMGX2NwXhJevAURViJfTOZrHEwK7YdRUdZSudcyCch4hqRaY/mM0QiG5aps+3ceJNY
aDdnHF8IF4NoFyKZRezv0paP65opWkUigwoixuRR+hqnCBZq4N0M7DXjkcj0GbEFnGF1eOlTd7rn
ddg4OvsYHGU+li4Udwc48ymhD36LogJFdwupZKjzD9O+ZccNvxpEqpLixR0ZmYM6YskkviYIzyGp
rtfET07k2qlndLffaNiYN/XyUVsH5yCaH9BAWMi1XbzTRUuaGsSXnZu85NqQt1po4ppiy1ujwYIs
zSAbNHDu8xYG2QM0TDzdJcdvO/sZNsM3t/bd+/QFyWB0ijVi9vHAJKK8T4zvSUtYestE5xwr+veR
h41s6ok9NIGDP9uzyjEst/XWSBWQ52Eh3Qbui4FsDuU0e2UWWWSS4ce0YvbfUefTSi5kAjVJQmHG
Ij1GTvFcRSXeSlGIUyWeequh5Cmt5Ivf54e6uWGQU6Ind0hlK9vvppX65yln2uy1SM3mDEKaGSf4
sltCPCPUYUbv7iLcWSyv1fSShVx2FEdx3M5v9YiUC+JCsckdAj4mVvELU6mMqeSXasy9NcFY3kGm
zgVqV3nnLYIPox/VXWU3j13LAFsFtbEjLU7dzB1oiQBO36pPRmoyA01+1KWvRSKdxUsHW8IP8n1e
DIKrpQfDJM34LTe9mqiU3rtLnYqeQ/OdPoW8xlEVbMaEyBrY4/Mu8JS7hxymMWiYuyRq/acDgy0L
A2BwNJAaXXw7fk7D1thW0UGlbXOopwFHiHbys4vDfNNxfloB6w4PueHrndkw2sWF1D+Y1S4Hq78V
LQJKVcQkjOdNeDc6NE7BWaljHvXtprOt8GRnecMLhe/XMxH0FjpBmzNCamnr4TEq0XNJfxr3Vj8B
Il4ix5eyeXK+tqpqjhzeMVAQETdNQbovjElecd6hCdhXXfqhUlLKhPLFRdZiNRsgqweP4OWy1OvI
BfVvDPV8HXrGjUFVE69s2xSzAkj4bFpfvMIjn0B/8cxZHgSSpWNgUiRk4JjXWeINVzOt32eaxVth
5Ytmb3hghhDwogV33CzY10U3XEmh1fSarJ+qjtB3YT54tafiNlrsA3ZVs6bZWcO03d0FwQtq7uIN
0AugW+WI1Rh3+uBSu/9fJHr+v0nTcm3/n+Z1nn8UbfeRTX8aHv36or/htMw/AuIAKYo8xlC/RXT6
wR+OxxDapD3g0n39bXpkBX+YNhGUUAhIpKQO/fv0yHL/YOQTEGvG1AlJFJOtfyGi8zNh7Ldzig3n
inMcDmjLogUk5V8iOkntjBs0utFpwPT/i5NZV+amc0fjSLeEPTY6Od6MPsyzn/KKjOvZL+KDGFlm
FYq5YTwWLaa+oElRnhPPsVJBSdVNKjxhTJDybSu3N22V05MkJCTO0seMKcx2GHO1ES6M1xAULCgR
Eozr4Ucjd4nZzYS+/fc073/pFUhb/KWS4/fklXIEQzei5UzxyRj7rdM9anoomfTdY9jgvi8dxB4I
Eg9hrRsE2ID0QO2xxjIP2nxCDLH4Nqeo9O21VyOlgOhxAA7yQhbBaXZEta8aBwxZlibndNl4XcQn
OLhOXUDbtPX02uzKx8IQ3+yllfj5QIfXXbnBKEi0DHe2G0HBGY4gjHaKA90a1Vmxzd0+L3fTnNE2
VRTDM9TbZM7r7eSN5DaGcjgHOov42e2vmVXVmyabAjoYzZNvxObJXR6wrtanHCvssjF9Puh2EIzj
Su84G/d/fzrw0L/NOeijlABqjbHpYCWSZOPlAUB5hGY8sNafWMDPhz6h4WmF4f2YIC0PnRZLgOmi
sMU59KU8VJ780cOB5ogfYXVv2hZqZP1WioQ8kRinWtzxmhWBF24iV7BpGhGZ8m5wTcoMmdfY+c7J
6mr2YkfNFBv5tG3Le5WN2WkeYn+X5OrBVX14qsqcVd61oIPAVV4Vy4dzK4LfHj6fM0hf0/bkARAp
4n1i6btx+SzN5aejAZHGGBu0vRE9lQpiayYnTN4YCEmVyabomDWo5ruAg6zqndPnn6Z5Nk/6NTPq
fteaHYwnTA474lzWmkgsstd89IxDjLo/mPqT5nbYDMbY03VAJWNbc0CmT/1VZp25FX8HM8J3FS1P
zULuUMZ0l8D1OMnHPfKV5aFysat+qjj6RbVDgNeIBa17+Xzq8wEvRnImuAh0t2PdM+AlPfdTDfT5
UPk/zTLv2TY52Ef2O2CO/ki4vOtwUdVi9DbJPDsnxFjNhpYFLtqIY0wznxMr6ACKWeembC4KrOja
TSTOiC9wpjIyl6jPPomdhoDnWSX0K0u8adiKEGMusQptZSP1oa22qgpYt3N6avrzsCBMI29O1mXv
m0iVg5fABRX2KZTR8O7afHaPOm3jM5Iid2FOPUUpiA7lqG493nW5mZyaZEnlzpN9HSBCHmufCSlW
Le6NA3ITbPlqHLDxBHzrxDU4TY5YmjnWXxT6lTU8cPwYDCeORfje2Z25m0OaG5BPMiINUf1bYFhP
45KsiPuOFig230+0aLVI4GLs0lu3fOXrvSNvlzxhxIF45HTjNq4VVSjSHtDfzHMoAjY5qsqVQEV9
kvXO71J7Z3N8prsHt6JMNrJqX5qk/YqNxDiBBxtn3zyGADZp/fXnbojVniSER2JG+zMpZBUV3s4Y
iuc6n5dhC/Yw3WJQcT17Q/zK1omGgGyL6os1xNAvAJkiqtH7MIob+vUw75goHLiK6TMzDVh+v+Kl
aF0Gzxl+zj76KGHZnOrlQQUPLBzTMXNm+FGKEudzoWTDrA923m/D2qn385jfa4+zfi4ycnpt5pl5
wdiS4ZCOHW/dlsSKZX5F85JceSBRvbGzKoWC3ZpOWN2sYxA9x4zfT2NWnDl9/GTmQberOHWUwNuM
nIy0JMlojogwl+kFm0W8M1TwFnvon00mN6RMvlgQyI7xQBOcMzeSHEDIn3oyPzEITUndr3RWMxhG
Vn9C5CzBvGVPQ0RXvLaeC6lOzIONfdvVyNBr8un88MfkPdpR8R62LL5oMj8v80kVJ5UslFw/fy/I
EN3WBNaTCGGTTASynpGtxq7VuG+GO/NTYitOkUJwPSB+6rUKN13M4AsOJRMIvYs0oGFEawfWiQfP
etFUu5teGRgJy0rBN1MPPR1LGowOM4upJlcZ5UXBGbqVhKAYojgGTXdImYuSqQg6ea4hSZgxaEH0
jTS5RLmBOTjy5gxO5hwSwMsEC3ZbZVjuughmuW4meai9pj3aHZdXYT2o0SaZ0xU3TGG+2PsgJSJY
J9UPd4qvto9KJNIphuGxpnQtnBuXaDTslvVatx1CWJ9ZWMVXWAySr5ymgV0mNGbDbJ5BNzX4MVB9
WJJaHrsPWSmZrPdiCr6NablLjCy8x5oA2TMS4QYgzW3lRWdLZMca0eMuddXWWejU+GQKWAPFoZlo
L1fTIc0RAZhBeKtClcFarF85sdCACBDVLw2VJqF8gcz3zWsAxliRRWAvYZTb3Egxy6h+PmYG4zlk
2bE1AEjEj7Qq4s4k42xe2FY0tGrgRU690RZGKgs1JI2LgPVoVntYoggkA0yjHLGGdUArs59zfozJ
eEbUPDEQM4x7Vy9/n7qoBOSJwePaN3A4ux+M3fh/RZMADM3Gcfl8s4U84vWgeTxy8TpcmFvl0Arz
Fou956v1UBfMpKnMhoeRmxnSJ3w9hIp3sPbrR2BRNzYZQ61SwKR9u9k2lrFblrKd1dKEkm7+TGYc
sLtXNyCWK4Oxt+Lo5277prmby6nelNkpnlG9FFl0M6NSgUOTc59390I0am905K4ijHMwFCQK9k9k
Z9CU6INuTTsDQdjSfYHYti8j0sCTbgCywdtfJSm2ztZFT00ipA04ANO3ZiRLxfaqylvkwkiuh9sh
8r8Qvdqg2ci7LYgMTJk7M/DeUAa1a7swmi1aCXuP4HtGb+e9pTJAqkMGzSqmtXs3aSXvcjBEdhm+
xUnu76tqeKqHNN1gxPypMPCWU8IJ3xe7NKAio6bpmPgTZEbDYtpojw5TWuXRRv+kK2yfO2KkiK/Z
t74DFrCztkVBwtuc2OXXUkO5GlrEnImbAo4psfo5WVjvI6WzdW5QAndhdQJl1V68oGYLebJlLg8u
szFzrG98yQuTpDXDVH30B/NgjgE0cVIM3qfFvO5PL34Jz2Ts7G2LqbtxNdepM296t/Lw+JYnM1Df
tQ/DFj/Qm+2A+qiyfIXXmGg4k/myoclgTfzyhBYZjThky6/eqqlJREMIX0r7VEjMx01Wj2skJ5cK
ex1jKUnaGbzzHL04cO0mv/FSBLDdW9nk3/wAS75P7Z7q77zpjxg8QGYwoA5UfmcbyLhUXuDwScW6
D+wcKM8zYzrqvCg9KGXCLClaboXp29yTo2Zm8b5wrF1dh2s3su+9mYSpwjMPsLBMBNig6jP4O1FY
HMrZ2vbdiII2RJTrFbgvMe/9wIdm1pF7P48+3YNC3hg+JhdgJrsSCda6jcEcht37qHxqqextUgi4
vPSr22rGqbZ17I12R7cf868LByrKGQOUAOrkAIpT+R0Bb5Xo9qFxLDpAVWUiGcw0uJRJr0RU0JSv
7YShlblzVLhXHAKo5IoF/drVz1KORDB6b0UVPjKgIlOu7b8xS/R23pw3h2B8wTC390bbP1hTiCbU
WNM+JLICp7jXHNuOOzixEBpIkD6MFzB9ZJipB9vxsVKQpZTgUXAmmW4Hk0DJUbfXnrZKxLu8K3yk
3xiRySkNtl1ISopDwL01Q5mqq6tn2dswkqQeYNvb2n1ysVH5rMdCohG0sZMEPslkXwctn9lv9lZA
X8x1up+V7KH5jVyvCd1HPc/NkZrzp9epYRflxZkELMgLbnATYEYxsvuZMvtBU46VVuOSPTeTuJY8
pE1ONr3AqhKT3kkHq2vzDePqF7TLKKEoTCOneiA+mCpOPOchsh88qkchVcS7kb7WAh2d2w+IEv35
yNAMOEbYAHIARdCJmS4xMLkYwg/SxjP7Pila2dV0jnWUpReXgMHBzB4a1xJ7nFqc5JzkJpz8idQa
90629rAdBpKCzdqCsET9JGaaSHV0HNOiPsxu0O0GD37UXANXQLdHT9Ipu1VopukaxivdpOQoM7r0
ExYZRClweiwBOSiJSFfqGWfIKOWlFhSSkZ8+14qoSpTCx8a8GzLq8Ybf2Wksb09y0TVo4PfChj6j
Uv8+w1UOo+VU5WBTBJG4ou0d7z2NGS/iyA2tZGMBBdxWsX7zyuh2hMsbluGqJt1m28T80mNu70TJ
WtgKmJmBCt5ttDg3mtzueUA4XkLaVOq2GOsXmUf4uxxjXDeRw0pOhAY75o/OOExWgEOExK19B82G
7GoTvQJwmyIwCNMV+Gnqyd8zSMt3JItV66axn7J6eUlZC10/WeuwmkDhthuvoCWNQxH9V+Helga5
baOiJiaF7ep3DLzHDiu7TOTXqMBBhR6AIBlWLz/DrmQ4z8q1bgR5e2E0kC5DM95VrBKMihS+x4/U
9JwNSLsvjo3hRMQ5+Z8log9zLE8F9a5ogDDMxaEjGzayonWNqXylbLfccTZbGZHdX1kc54jKka75
xk/aqypwQyEAXRvjz25KvuB6Hki+MV+YGvarSZ+6ePioaCQejenAbAnd34DSJQMSsm3TpDyHw1KU
0PReZYP66DTDwzz4KJHFWIAQ15hfaCJ3x24YUrSHNfhZlj9pWmevS49m+XNQenoyDGoO2O1YvY5W
1FJxw+TcIxX8cEJkAJk73RmugGkonC0iCb0ic7HembO7d0ckOuCTV1Mnk00VzuAnugQ3IKCVTZIm
RyRLYFBFD0SJ3uSKptVI1jIlPIjDEm8wRtdszvYtPuN9PzIfcYPm3gAAVlhg/9Kg3Gp41FVR/bDc
7ofkLGLnjdwK9CLTez9qgXbN46Yf3vEPQrw0V72RXWVKonmjEPdaZRCuDffdo4IXg8UWNnoCGaLx
pvR80DYHB4XqAgfaI/8wZVPKAqb97E3oYVtlGnLi2IywTCny2jKLd/i1yM9svyRqKOgRTydzQqHD
bYxFmrVKRKgC0BCR0wpaWEbXjrPcOh1QnhUKJ1cMiiClPTsJQrnLGvifzepOKja7rJqAPEUDYZhU
2E5Q9Svp+ummHDuQPnP1JKIi3bm53MZm6qy7GFmoCufr8l9+VEES4BTMSIcpqmzXOl/oIHK5jsm6
nSqcExQkUzcfYxG/lQYWh8Aoz8qvUTCwx1YKKtsICoMyolpRFnSrVi1YhNzj9l9eyKySr/6lr2Ze
DA8zjIWSx5GhXousSjl0jywBMCaMQL7bc4YJLGMcO5QVvjxR808EP1WcYfTcAT38YdALqEesLakl
yQK2nTtHBOWq6Bc/mjOjFsvFkdr+JS0RyTrhc2C503YM/KeCInJtNeSGx2V4b9RsZGNIAiXHojV3
+G09+99DRBjr+QEKw7pLTfDtBEvUQ+GuRYrFFJNFuEoYHqxthXEDV5Dsy7Wm8cjm+IG8NNyUEp6n
7QEq1pnkLM8+EY3jeIDpALcG5DNFJMA5HYZQW+2JvlvNibzCBzZi79jNnYU9I2XsNDhxBMUWXO3S
fw/c6htyqnBjxAnWjf8k7zy2G9eybPsrNaqPGvCmUR04eiNKlBTqYEgKBrz3+Po3oZv5blb2ql2N
ZEaIoSuRBM7ZZ++15uKODAc0PmgMDlHQM1AKItonMhsSBLJQBWckpZvJqo/VKHyPY8se233E0eLG
FQqVbjg1GvDp+cQagr/sWUNUgp41J4fzUpHPOuUdkOrB4p+N0FWDczMFNOxGP4BS8JGm1K/+ks7j
H0qLSGAknfRr0tbEZLAmDTnADFSnpuW2gsI55NAwEJtXtBxV/n2Sij2R3RD82SjZ9cjk0fnsmlDJ
3I5FFFIyCaScBLIaebVZzpI7okoP9YF48/lWg7Tf4uZLCQ+wXKQI+75p0YmVR4iyXI7lMG0tabkr
9fQctDEUVlUkMjp6VCq4GQBRgNO0G6nxr2qkPiXEq2v9a6mhqRdhnecwvqkpjCk7qEb63CncLQNV
PzCIG5OcNDBKMDCB5QahcbCwtDaY8ArM+XJGLCenG6GPaVVNB60QnDjqHrjZObWI2HiVfNeX/RYV
90Vc7zWlfNRN8VYanCWWiRPX0H0vpYCKG5IWJmL92vVM7were2kK+R5Iz4IOxEMtBQjB88kMzZhr
sSfkrZomF6YhO28zfadLBV4KffywYi8a4XNCkWIbGMm5M5QvCjZnjKF19m34XhOlQkyUwSG6F2FR
xFfMWnqi/5GH9GyUUHUqKfyMFMhPnDjjsrrohfpHEPLncn3NBCbf9TJx856F3BSRCWMxWYFeLNE4
mHhPiKIqzJNsEUVBWvmgMntUp13Gu3iuxNMUxvJOSapdSpnqYCwM/KawJB8EeehwDvazCoXv1NA4
o7/PCYToa8hEEAbaOaaFmJjLfqaSrMc1TWkmcx22V5R2wi4ULBSeJ0OpRXbp5FUIpGUlt6BSQG3d
EMJKcMzc74gnA/vXVvBiUvESYmoejFy3kQ66wGlqx4zJ5pTBq2WUzAgL1izihuf7jgyARfpVzgC5
hiqtNynowtLI0U3IKd10sUUAiNOFEpsW5jJ+58glmZGn61hzNcBwNtdzs6FFkFC9ipzpzqNav67y
3Ljh4C3JPsnNr6ZGRSMMSASmKjvXKTxrRVi+mLuByOAysuMB7a7EUYIIBZDpcQ0mfUnfoHmZLgqC
OgAAoOdR9jyJexYi3SOAE1QI3adtXZYfZZffraYsUbCUv1VqXUd4ynTYs1XCO100MTPoYTqiGPjd
RaHlqLEqbcp5AoympMYpoMin1lo+kaNMO6j22HMXLoTanK9YKJaDNYYuQNLkVOE47RqclvLMHsIK
ihrkAl2ZI0ZPKLqBHGlTVnrsZQp5FsEizdtmm+WwuuIF7R0jS6D+BjQXAPwAjU4yIr2NlP1RohIV
c1eoTjbTqCQPmezHVqFpiximr6aEepp2s7Woa+75iyz2qBXVTEd9CVsnH5LrLFgBJ5DpZcTz55YS
/CO6417A/IN05BmGYcH3VeMIKxQI3qIPRAQkFhZoU3u25DxCwAr/Kkn2FQy3A1Uyy9fcq5vWaL7i
fPpNbDkK80LbG1V2zQqCtYcFa2CFwnBj6ProBYnx1Wi11xp4BEghPBth/zXR+znU5UIOBZxVfxoF
6GANm6M89Cz3SmKbYM5ONTWSLk+sgiU+9XQObOSjwLzpFx1bM38ks5Z5gUJXSjY5EaiBqREckD3h
slJPOvQylfa1n4Lv3vBStt2UVTfw87E96couHuoRVkf0GhRCvCf14bNL6vrYFCZ1b1hVrjppEF67
wCYXUbxE44xmam1Wqr0jQtNH/eqJcgTuraGKU8iYIvFMucS1UWwKObG4a0Fg9wZi/jyyPHWUe4cE
mvk2lxdhiEoHfXz/FBeiJzbyjm0C8KS4ixjj74rmTxMK45EP7zcJc9UmKReGGZbAzE44GuIAbth8
x0AVbNqUEt8Q6uXUt9p9lNE/WdW5IARV5eDsIzAQRcYJuIgIs8JDioW4JYptaLhDL7WZdXvyali/
gb7RmiXj1MSE1or1b6Ofb2SR3ao5QmGhv4vsHqnaE1MxaZt65BM1OINa3QTNO37U2DufKrm/c1wO
9oH5Z1gYUE4JZIsqrimAa/DbMJdCAVjjDJoY0W9/U8vwSuto3LAU2prQmc/gOANfW8wXUKpQ6DFZ
PbVj/IjTYttxRkLSzxY/puXrGEc0vLglGbx/FqliApUCERCPk+bFovUOkexF6oruEkxVa2dQl3tl
Dt9D7AdAx9SnBT8CQ5ZoYAgmq3YQx28VUwI/nN9CsnS6kCbqUhm/ekm5tUnkRsAAqe3mwBt7TTlR
QfQmtWFYGLMTF/VToogjZ6B83SeGrWyq845UHgMCGe3LRCDcaCRCJmj3Bs5tr5HniBCg6DSN81bT
QhMxUVs7cbmkHvleyGdycmVSzQcFF4KNHM+jjAILTLG2F1QLqXtQgxztOHPKhnGsToQKqbdWJdvd
oAWur6fJCCsJ7l4VV4ZhIvZvH6rA74k5xi8HOKS6CD5Hohs6mMs3phY77c1oqwTlAeH7uzoqUFgD
+iu57pdCSjo5bPCt2utXjZhrhksqCDA0dwzy0IMmmJYosFMA5Q5yHPi6zWznYvAnKHExGszspF6d
6del52DJvzlc4TjHtGHo1udUyQrTmVKmldi7qFaTndE8shFgOpQRwoFlC/aJoBpnLbg2OVE+Yl3c
0pQDHqwBbs9kuJhW/xGuPqJ2FqHVmm91PnyWGDqOKdNu10qYdgLI9BXerQEkDXOPiuZOJ5Ks3ZSX
lGOzV7cB6jEdLRI2gkHp5l2llaU9DFR/ozq9GNoH2ptznKuZz/it30uamttsJXJa1L5hzTBARE0n
LoaxtNKi0J2gJXYLGt6sKp97IX6teqJrVXS7NBbhDVUsAjntmaRf+/YLfI6sjVQ/DRjX61ORur9K
WtVv0aDy3W3vNeJgYVfMwzOxI+Oh61Q3aRAkR6POTj9C+0/LYy6NaK5jaPWo1CQXo8FtTGFBpS9d
hvw9ATmjj0p+CLhI/E6M8FIg1n+aMSzps3VPM7XdTnGD61+MCKify40si0xuxPibsgF9ixmXjmwo
2FQQd8e0m3E/UIFAheEIZ+S3VBgp7jULHdPSk8dTg3BoyvR3qBYSGKtVbtVhE1/tCgYKVs8cJJqN
CeLh7GnJVVBPMTEUAAtuWs5uYMWkmXAgZNHunUE1gEIY8ncxUqhPExE3gSyHb2l3afo/AbX50yIX
1rkVFq9QAqIMET3MKaCWXu653J5KY3pGkFRvu4C23Bgq7aUXJbJG5syLU+HS9kMPZLg/CsBJz0PW
Rae6SrdoL11RHevXRl+w1WXyZiykC66GTSMbxwz1VtxbjzT6HI10l4vcTZVaK15IcLlRqlschvBV
wVBsZhn3HistxX+SGxspwnappgRFlYnpqugvDybw6P4tWao/RdNTIkNnyRrll6WVxW9Fh5AOI2du
ylMSGSukqt9gT6g3DaihqILesOBkrYDh+ItmcCgKKL3H2eadIq+I5SJHQeMIi6i7Q2nSkSbEKRvH
Wxmw/HRTYIckCDhzi04iVsIvY0Y43w2STPLMckrBdXLAsFI/nocjcbyRn0y4T/q0t00ODow3oBjP
obDLqn44gFPe9FCsj/30TtZ7uxOpjch/iL1Jj8Qj4aIhIGz6elWJha3Cj3kYByHiSGrwSc3CBy1j
dT/my5M+prM7jMsX1YYAx/Mz6/VVKrlOhQp9H4pI0Dh3jwB41U2qJmx+s5Q/KWt9o3foOdoGbtiY
GGeddnkws+Elg5JdpmDB9TF0m1r15BREc199J01XekYDJDMJwPrGHD+kYMEpZMp7o1V3o8okmB/f
+lWR3eIWszSc2Usv0KRQDT7OpF6+GFeeDDLnHosh7jjjsZmFULp4FRQ47W2eo6NYtUicNeMraREB
9Ga608UyxGzcs/dBVeTIKHlJqvgiraITu4bNrK276MQPCAugTJYs6Gf8TOKb9VY0gTh3mp3LfXmV
IdLYRgzeExJrvB2CiohvJjyqTFe7mCCWWdy5glT8shLUxKjB3RaCddIlx2yS0mdDJAEUB83PAwj/
/KgRPmDTNQZnxrXQouGgiG2ZSqaZq1p0CIo46fekxIh2nMsxkyOzPCwGuKjMGHyj0j9igFt2QzjT
1RIRMyfMFVENMIloa/HQTdp72BUHi5w/gvDCS6El+VtOrEzTMXwv9BgsXKehI1knnUjFPXnQ5Xva
7ZX50jAiJMqXgmu2zJSVuQX/bZXFodd1Mp/rF6WfDVywluDSqct7ay+0NL1MTd7Umq4441B2Tgwt
HvWJgX8ona6pvDjKBNFGK6eLbq7S1VbwF6TLXk0ZSBH3mBBZbomvs8e+HzzFYnqgV7AoTB3tJLzV
wEM275VrNgIElwO6lGVjFYQ7yUNyDgXzloo5XetlECiTyZ4TO5Xml96h7pmG0SfLqZVXQ0eVwjrV
5R1EgPr88yDCUoljzRs0Jd6pgERo+kfipppYZunJqejCkuYNUBVmBDhFYkAXp44ILCbb8dyvyt8p
6+VjBPknVWi5Kj+2ndXEZhoYEDV0kErOUaAomms4QP+dsD7o1E5TxwRkhutUFLIvoSeYw+XQJRm8
Tk07yqi8ia4iAxx8zCcghdrLswqpuRmiYZ4t2ZVHPDIMNucsFb16kI/TxMJUVvVOeE1UtBuVkA8+
fedxG7ds7rIScJPhKiJvaGLyVgXXcKLyhjUK9tkalpsCANqRFuUY9qnxDBfv27StXlZfK4WytsI3
V1SjPet9fkw6c99DHQffZ21iPc/3amxcCQHCoGjWngW9yxHqTNhqUwV/L/5NQIDp14DbvMpoVE+L
gVX1OaaQaIG8vXA1lbL2leUWQps8oYuJ/EwUjCPkgtolbXpnpvqvIibuEIneqc+X8Dlh8JgUuUNZ
zMqY3THWjWfEX3ICLV0LL0xCONEV5o6zP7sMCz9jWK9ZCBRhI6FZWM5+aRDC1ObJtpL50AHcgbsZ
1mCVhm/poTHJk+6jiL72DMho382tsGlr5IFFzoCjLs7NqM+cNttDuMh+QLPQ7sUhcpuIHkrVwZyi
3Z0ppkz4oZH5cj/xm6p03/J5xxiQYTXlgcBkl0yoWxgHaJHjWN2KhMHAcCt+6eaLgurWFof0WGYa
85qC7gZ9dSvZaUqRf+SZzGmbHpDVzTeO/MGuS5jGSBYChyaQnSpompthksubtDu6LTBekpH3TNag
KWHFihlHcEbGQpmK82WJMstOsqeyLTgpTREZudytFo5UWyG4mCkoh14dvR/xI4suwbBLxBmIQ/dL
T034Txr1Qx8Ll1qDkhZorLtLTttMNImsUKvoZdBHwzGr5Umd2thTlAAVZrkaobWW0m2xDnkfE1tJ
y3uqkngTd+pva+Zsn1nFdhhLaQOsYo9Ybd4DCXlNJbgXHODnPZzamXWIB1XEbt3pq2thEYfWngIG
phImyZ8Q6Z+HHzUG0oQBsLU4MYSO0Bg1SkKWtIxKac+Jg4FPXFKwRpynUIeRWZ2RvlkzF+Kpn+d/
HlriMXz8Rnd+dUa+PxHNFjnCfiC117/T00Pa0TXQhW3SA7qKVYRDmVH6arYwpGLNoBGfdj5V5woa
JX0iavfL+oCmEAFIgs8lHkGagxYe9nS4+78eXrOO12uumKZCSF6Mpu8AbOjLX1+yLKABP2rU/1X0
8P9ZFA/qMCAT/1+86352n/+BhDru5vNn/vjv/9xlWVyUcfs/9NR/fdM/9dQGAmhdUQxMtv8qp7ak
/9Kw0+h82dQtSV1hF//IJlbl9Sm+jmLa4D+m4hX+B4wHOTVqSsPkW1ZIj4jN+H8hpyZx8t9syaop
cciA+kNMsqEphvVvtuRYj6HISG20V/t7S2wMpLIBmWS7JM77rDZ42tbVWl/XbZRXKocn1nJzXdVV
lnedZX6pO9b7CDgXbqrGA9BB99hC2TKQ8Je1jF0x1Q5UF4Bo8qMpt/DssPk6WQjKN9FewZCZ0neo
jMbzVGtHEgIgaKLhvo0tnVci88C+SGJw1frZoZ0ebfI663y9JhqgQdO4zZYOCVebkSDxzkSo3o1s
iNW6Ma47ZMFWKbFlWuvema67KAANLGPrzkoOwKfQsNfibAk3AnXksWUjNtcdWVR2gBvhWeLBXHfs
Yt27R30v9OzlhLk1V8SKzrzu8wYbfr7u/MaYRU6yVgOgjoGoUR8QQqRcMZYG54riYVmrCG2tJ0IK
i3StMMS11gBCjC54rT+UtRKhNRLvIooTcmI9cy1Zfh46ChiTwbTHKJjfgXcjk0ecqFK5TXOLyDMB
zVKeKMKGFE7icWPhBocpOWv8PPbTZaNRQlVrLUWWsVev1RURAJTpa8WlrrXXtFZh61h5XuuylAKt
oVAT14qNnrCPnKtkPjJd1LWqyyjvGIBM12at+JI1KGitAetBIJQuUTdLKij2lCjonN02iMkhlFXD
q6r2JR8NmwZYcVCLcWLPZTmPdNIelLFEGU1MpLSXm0K5LyKn9byEnqDSEEjQBNv1WslmlLSoffK3
mCLXXKvdEv7aJBjvYiAdUkZZT8KaNRWpeA4H1N5XXSZNmpTij0BjyFAogoMksYJ0aMRevdbb+Vp5
K2sNrq89BXkW2lNaAjRU4AoUhHl0UyzbBtKPYzHp2V8PvDRtpm8+xNkxXftj5F24VVhdQrn4FXA4
KNdTgraeF4T15DByhMjXswQ6T8VT1vNFsZ40yvXMYaynD41jSMtxhOFPfQKCeTM4qMjricVcjy7r
GQZ8p9+upxq5VyaSh1CLGTOtjDrfCSkNpkwpza+04DhTJMe80jkntRUxqlYeeoxxlFomRVlKHgRX
nYpAQvFP0k6AHoS8sWG41Ag7BML47LJg11/EFfIsVow6dSaX4nQOR93aF6DrwOYlgKmY1Q6d9G3m
9O0FSC5iqgWnlTshWBYgR6GfCfyMc2dRMZcdOBWXKhluY4Cku8qT0onRVXlLR1igiuMznXXtaEop
psQMS1yt4S4IYZRHJMRZw34cYjLq5G+tSV9KvFe+JRKTujTwhubKfEvAhvNxMrCNVHNnJqgq1Xp5
KxOowiiGOFTjNhPHxLeKNY6qxPtbpoItlZR/4WwYmzCnqYv7ah5dKUbizXRbV3M+d1oaOEs5as7j
fShRCC1NRbpuy0vU48YxZcAUslK5OLi+aB6/yuRD4DDutlrNiI1ZUW/rwqQTgYEpORSas5I/TeCV
IzobcI4KZ0TYaNcluYSR+dVEvwxVn/wH03hGEmSnCzllxmyr164rLhmJTE7a1u9oChMvMyF6ZEuK
JFWV1izPaLIHKlo/6jHyFtFyFYuM2ej4XOtMXFViiJjq2PUSuGYw7WOlnw5p3SS7Xom+0NOSUaim
X2Ts7ELOULbcjX/gEsQEeZbfKEWIXQBbyso7IR6JQ3BBGsZOsgARWRHbZRmpQ418DcsARm2EqC8M
nvMw+zMMCt+lzpobS3pkL2VzJWh9gwHtmlkvkdmFyD6WNwtTN3kkgTs3SH253ua2P+tVe4+z+qOY
mD5mAe5hyCNbdPLo9hckOYHZf+TBHO8r2l+cSJmHDOiVBt1gq5IDJ2bUGU9QeNVoETnh7ztGJjm8
376pfhePaAyvWZRNe3kWz3qncSNPyiHJmUoa046xLiqKWQHtqcmuSZ69I1diuDHWvp5uKm9ykH1k
GX5rI5x/VwAaqnH+NVdKRfGnvIcoG7D4x2+cuc4RlpKN9F6JY+rVTUgPQKWDncci4V8xURGa3r7F
ZXII+mB0xpB8E0KOoXG0yzOgmj99gaOYMNnV06JJ6AQEuPyR/KdcmIN0o2Vuqy5hctGGBlivZY/2
3IBG8S4DIz+WBgIp7nXLnyIATlY0XkTrbHac/XQ5Hi4cO7yhan4vpkojIkkagmcIRu7wfwMvcIbY
hEkYn3AyE8kT0KFibbkLTfuMakZ2g6R7qFpzMJtEgO2PhNcKLyE2lHolfxas3EmsBYdIWLYjNn/4
RkxyMxgMMO54jvsDJSgwqJlfMv4Tt9qnCoQKw716r9cktrRswcEM8q7Nh8ax3hNRvUFsVoHQG1QX
pGXOAjyp4ERiIlpYvU7dkX2jyyb68Mt9NsjrtqbZa2f9Yo3mJ/bVVzpFjL3Uh8kO5MugVUiPQYs+
OrE8/6pHRXBpG0BXkKUd6BAyaRTpgzIC6FfyZsQJn1nDrlbUYPdmQ/6VM+k88+tBASHB0TLYOAC5
HhlbTrtYYhxG2CvKgn6+q9wY7kinMMxhKxQLgagje7Ha+zofMa5bShnwbVYzws9bSbG9cCD/FSLp
UDxGBYd5Pfd2H69Wa118bwPtJqKDaBhTfNfTU1DjBl50aKL9yoyOqaLCVosOvcGZZtEZdPTIhMAG
StFlXiDUdyjY2TdYuhLp0edspeC0bKBJihR5VRyx8PSGE9X5F8HHl47BjdgUX3KnfYTt6zQEBznm
iGbInkYYGE24lyDdYii5D0STer2VOAX0IxyhDhe6n1J/LCmD96bYJ2PzuczoAerpamXqDWksZtfy
t1wznF0dKJ3ETJ+sWK16k2ZT8YAdHsQa+EMtQPRC7SMu0WYQFaB41OmHuDC/iv5PF7UEu629sXzk
QBiiNJsg9qbfSr8QwUi3WwqN97YIUBJqv3VDJvsvMB5xdq5onTKnY1ZR0pMF+WT94nQXIInkHcMq
VoF+2o6aEBLoXFxnOvCOENAgLircCHrvUiCcwkoj8jS1TId3qUQIL18iZXFaSj8uWCgGX4uV+Yu+
PBlN+IUN+K4nwt5c60qxVvbFb1UJr0w9ce63uV9H8WVCxsFravzQYCNNZBVmLXZHVvBS0GxBiPCa
vQtVel2W/pgXgQeCriQ6XYK7gr4FBsVy0Nrs2Ug0nAeheO+keSLWm6VlysUX+uA7vOm7dEyYjk9v
qH37tTgNtiaTAdsw5O0UySq/siaBCLE2ElnEvmwhJUNtwKfKSYDuM/CHhYYDuSkM5yPpLWsEaxMM
kldb6veUDhtiRD6stDslIUFBkXnTpAVYoKQ7AfK0JlxQMCvqbkAPZrclFuT0WWYIYjOgfZEadBdj
gjdjaE9ym0gb9GOxP+gNhu1i16QsdGpczD6ECVtX2AfzKhm9VkQlRmd4wyVDs7VYNxkxYRAu6DXO
mpFZ+c8fNbMnqg2Lp52sT5shPay/nvn5e1zXkYv8i+7f+o0/Dz9PEPiFfeXvL/79zN9fM+SIvsAc
A07750/+efJffvxff1+f/rd/k6bJQZF7uDp90QHWWn86O2z7jz+y7rf/+D1/nqo1aWtipKJYD/ao
fJ9Lgxzgn1f884CCi8bC+nP+fkDu9K9/7RslInfS0Ui8BkBhfuY/P+PnXwGk+dd/+tfX1L1Incox
GSB3q6blvl8fMENIZMAGkasFIi2Sny/+/JufB43pwH7SG8jp+kuJaNH5t+//+69DKoED7QwGGhl1
BHr9f/4gqdTTDQlUK6yp2E+alvORIncBimm6P18zhil1RvolTkqMu08X72laNelOFGNGiPKJOIef
P/ZCiGM9R6W0qRl2CqdWZUp6WDRiBQ9JcoeEj+Wd1hYNZpsEQ2f6NT4pz0w1L3SFIQEeqFzgLt+J
6ITA/ba8UZGCjyy/Cbz1UNNSSe/jFwlCupo/m8QwbhJ9j6WIm8eOH8nFOjNMWd7601QZT9mLeVWm
xf5WyKEp/WY+goIjYhcaBEIitxr9/sH9y1mlJ4oAVcJHQ+v9UCKPNLbx58jCk3siyIhNLu2hi/PH
7rsgE5pZ8uzA3y6HDzIosJohou1d5as9BfQ4nXajvLGUgPnzM7SJDqLa1+olPaCaliJ3hIq4athc
4blmns2Wdso2ZudLL6pKbsdmkiZX9XRzOOehc80u5hXjMnFdqG97X5SgDnKYjcgmpuHZ+eVNKJlU
HnnUjmCvUKBGO1l+Rw81IQ4yaWkLhH8gA7BNwW4f9KoXzDgm/5lh2nHu0fdgLMmssVthS7oxR9bR
YUsumnTPOopYMBW2igyMi7IO4RoevdhRXxB1qS/TLRHvwue1Lf0Opc+WJqRyyJ7zDxbo7Ir0YFs6
2XPxXD9FjmBr/hoJTBTf1rBlilwbHPyn5b8b1gXhV0Xjeca/GewzP+9dS993ZOWFEe5cn+jwQXU4
YqJzdZNPxMFbmPvvUEm8bw6m4dE6dQA53wuC1j+wNh1DUgqe3iZHvkDrPzJxm/YV7HG0Ri7HQzsL
nGuNAnprulcCkvkyAIX1EX0d+UzX4DfoEVIdu636K3gxd5BENvo1Puk7/Xfxxf8D2Hs0b/ou+4rv
DDuD3wI8rTc1cblUmQp4i409yl7fAGVr4Sv8QDsS7CWUEO5DvBZvuaNf2RVLZiI7wZvsksOoG38E
v76tu3kll2XA4ezk3kQEe7i3SjeVbVm70kQi7phQwMrN7A3pEAaCV6+8E9r80QmOD1NUcT/K8yW8
vWtEaqLUcA6GZEsXcjpApbraFpEzYxy67EQbmrIrOZOT2ctGujEujO/BUTs/lNstHnaC8+gqr2HE
CQjGTS4QsvjpktPfXxK311zpsNgVR1puvKeJkcivRnFz7qUCiaZDy9jy0oHDkfAIn4oLhu5jdSmx
T23TO8qo4RCz4mwwGtPg5tVjVoQh5u9KcDFe+CEt7j+/SkPDD/f4W4eOXsqtR6Mv+cwlXHRfdrhf
Fre+898FUrWpH/izuJadbktuO9PXyale2yMnFNl6ZdLtsIURe/jNxfZ9So6TT3iEz9A9Pven5tKh
P2UJmS/maSLGi5Ti7bTDX+c/1F2zrRXGWG6Mc8H760p5pM7GcjLOqLYxu83bN5P3reCYL/R82L8L
Mk4SfpXcMcHKAuo/CefAVQV7QuzAEsTtzIfJVXYQUBfv1zezfewknh7vqZcGAHvIcSQUd2fQ49iH
+UHca99k+05OuluekJQG257kdn2LIzM+R1esg5bhlCcSUz5oksBcfYs98j/99APl/r6mO7TnnIOt
3l9458oNcpMhf/LH2mbkS5XiiSdE59HBX1mzspufP8rqKj/1fzAN8q40gt87xKygTtdzkAe8a4TL
kwd/jm8zA2juXndsPuTf+CJE6ZVKl1YWMKd4Q39yccEBOdzIlb6ZFqQMjqV+Dr/BFBbdqe58rKeW
/bG4BNqYf2LxgoTji7ma7qAGEs5a7af3wJ3e8OuZMV9Z2TTFjlE5najOji4RzU2HeyJ/lOgOsBo7
WH0ehbZbZA8bIksYlim7PnGxlBveFQ+yBVfTPXrvn8bNYFx4d5ZD7ZROihvhy3TJJ+RshP9bMf2M
YzxilsiO5iNxk+VJ4iNi2PKeDm6hbRab03i+5y4EwjbZ2XLkHok9sbgp23bT3xkQFXv4wp3sQVml
XyNB9iEX117FBhtiiSc++vGRuJRX647xrHyxWbIF1s50IJSZxWEMd+UH2J5U46+8B9gMn2I2en/6
mqlUMYBVLu0fFmhn/exp1ZSf+X6xp61ka+Jv0o9TLpRT5A9bdb32qtYR+td8MwTrxx5T4iXyjcZl
9vLRsgt+hk/Z88IddeNXFB/NMy94fdEnlh6E6XG05X5jJGgHu9ZHcbqcu+2APH/9H/qi5Yvsq0Po
+e0db1oMctulz3p2CVUNnopreS/vJE1H6jYYbd4J+A9j6cxABchN+xZ7lBuPRb1oFLsb+BJIk5lT
ExqGYLN0xJktiUj7RNjILR9D/mBnYBl562sb0Rf7+Qiq/MJ1zvYW7GsbLaMXgm52kt/mH5zXGh6x
hj3K5xJquVfqDRuUz07KC5zs/En6wsKIa8CTvuRHvjdYzjPr21jHfYjt7SEb7eS5s9CyXOL9DjNP
4ft4KAhN4nGv1xs37+yEMTq2fHiHXke6PObmXfzQgLonKMxL41wZyLnE12gNnFqvgTNKKBuD4Jt4
50Z9RC6mpXCvHOoPcoYcFk/WjBqMraN9GYeR3JzQ9sND/6nvqx23wXv4GXwIB2VXH8BaYiKyTQeN
gy3vy/Zak1RCqXfFSHXA5oEuFDO/4f0sTC6LkzsBd8MB+3rtbBO1BoNVwj6HMx9OezelDW+hM3vr
h4iwjdebuC/rZVpvBrpGdnUwEVslHqsjolkNrOEu+ywo0VjrkCr77QZbDHe+ea0OAmshhwZBollB
ObSUH8j0KXh4FPPtjId0wAbA/iWkcARdHUgZQ1nFl/Kt0T8b2HnH54jWb4z3QhR3IR8toAlNPYDF
l25EATuPjak7wvbgihvNpvZ8tix7xg6ae51l4w7hI1d8vMn9R3NBKWRd0e57m8Cnm+UGfmfrDlf5
TSG1wwbf/zRdgvES1l+Z4eTftfDSgFmcfiucJkEznQTSbsR9VDigL7H/X6W+2i81mR6vyVKedYdr
Od+an2HCBDWbNsK2Mz4z0u+o9yq3wy8cLC9qlXniDnsV2xVtKsS8tDi14Ai3UvVSAUrtt/zSAHTR
7ZxjIi5AU5fpfZ+CrTV8qC6dBJyre5YdaZv5xSVBbL1Vvljb2E8opCVjJcDhs+PUYCf5U4Hxw/Ip
V+p7yvY70RjbUahy411YeSL4z/v+Ac78jodeclAcU5RQglJQVwOLB3pOV7vV+pF+PAJrYpVwNn4v
B7jkRKWbKiYcV9I2MC5TWsnynZk3lXXq6dxjblc8Ie1vHVLKq23lqw/1IVRbQLePcaOYlBG/qgv3
ufFGkOFObO1hR8dENh3oBzT96a7Y+U2CmYh5t/NoEjfdnlYJbl/ixSZa0KGrz6wVTtn6MasYdzwm
L0d/JtCIekceDxqzCDpBJbAjbJpMqqf9pF5oqSwZuiVfuAXoYJAynNIP450ILsKvpsHn7Rt+Qz/4
6/1g7cvYUlJP5XfesCdU5Y53G28aB49Dm+yqZ0oX2o8iiM7/x9559Laurln6rzRqzgJzGNREYlKy
LEu2bE8IR+ac+evroe/FvdU9aKDnDRzsY+9tSyL5pXe9K0CqRHswbJHcpgKcGWqMl3SfJC7zeYaB
yLXUm5s6+lp4RNhLKuNp3otInR0SBsr0cTrAxozWJ9Zh60MMkvgjqMckxmbDfkc4JWAlw7FIdgJ8
QjYYsbE/vyZYyz80j/NziZoVVUP5NEAkxdwktQFVxOc29oUO+RkkFA5pO0U/Ke11Fl6C6Q19JoRJ
Fpcs2eTvHdadyeYOEWDDETzaYAIiPy3nKd5YUEvdrHY4YECg7c8cUJdD7pWMee0M0Gjse3YBkSMG
YhWKuhOUv1XSbZfP2VVIbzR19jPmnuNO+0R/Go2PmTuX9A8YPxu5h4VqS/5Q+U1+0SPUrlCAb1ni
oh6nQitsDEfZ6hRWMxkHN8LZy08MmDZERBlUW8pjL505zrA/dmSuttvxx/whjQc5/IDT/YxTHeQ6
N4WUnJW3aPVKFNxK2yJDFytH5dacadKGg5cYrG2IGDZK4xbpPm18Iycpz84TfDV+qRNG1tkrWIgK
YQXZOMxUBdY6SjLAb5uEOKyistQNLGcWjkXLSd5pDXg43nkdfr51LuiGWR7tmDS3ta8qekp2q0uc
q0v7KjnOOO5yCGMfIcRiW86XEJvJ6AgcXVjUrcc0phnSoo+en3IkMMjVMaIkSHHYckbkPygoULfS
Zx7A8slpEP2Qvk9T9uU6fcxTbyb0O6KXTLvkELEOqh+m8diQaibu2bIlaC/q5/iOttf6rHDXpZb5
YVfCwPNHDnwFynzvi4/EYdH8OqohezmH2Knag3zPPyw2ZIqDBI/40LQbWsdi5qmxP3NeFp41Fxf0
yPL1alPcG8nJI3SAG87u23zNp9vF040PzZqTmRul2odgIWxFHJhY65bsMgn2cGN7YH/adGfmjblX
aGG7ZPNtOL/W4OEu547umvvgV9t6Uz+EH+lHd3yvduXmvfpW/On+tVCJvVnCtvuGj45zLvYm1Psx
C9N84iHcDc40DNEXYAE4qY/Usn58yi+YrQtg7CCzlHcfwjVBfHTVuUkfKPvO6H2SL45dOIWwjRnH
G7ITwc5SFlRz13wOd9bSwq4vMWNPYhBPjdcOlEZ0k+gic0rlz+Kcn9I9F7TpruSgAx54DbmLLN+g
7p+J4LLcUOml++JcVD5GIN8wmjnSYMa7Idwh1jcaYASjGrZb+44yELsTktUsGdzDdKaF9oLN6soN
BZXgO2Tr6i42jyn93MfIrsfTupFMV+YW70Tl7tXPLGPlpfeYcCmfr0aywZp1LK5MXmZk5tIrBy9g
TUcJ3m/kVeHsR1sCc6addMR1mFE2/8B3/c7Z/8nVcfABy/c1YVcuWNSv+CxdmO68C2abwyNejuk3
Yrj8J77kF+NQekTRIjc+/X2ecDgnXwQoHi2Xba88ccivKj87B/25SN4WDHohkaHMJp1lk+e2mTyU
QAgci9eGaf+scKCy7skrNbnhShj4+vIPAJPwmSJBIrfF7i+yw0mHBbJwTdZMYNXpkaHVnalUpTvH
S33bvSmijau04p5JMvxaDK85g5WgNQB5it2idkROtNycmIbUVvoCOIpRWYrI7l06+gjyNhw/KS1K
lY7wJn7X3xDFMWswT5OFTXri0KRZtx+YqqEjP0+jS9E+KE5Z2OZb6Um26Rkl2cJ0iB0lPTf6Oc5/
pY115807LMcZ0WzH9UoLwedGRKUXOuINF1BxRQ8W7dg9hnAHn3CUxNIZX7xow2lWVR7LwBffdLAP
/dFkfv0wgHaBxzXIW2xsWLJ6RAG7wU4/mmMjb6qbFnnCV1DB1NjmEBcGJ3Stx4EmjrrFlGdT24is
C/def2neeBxv0SG4N88jGyZF57gZsc40N9FlSwL9tTHupWhL5faDlMNmA5y4yV3MdOyBI4RNrmlq
s9nX2MJ8BL/DtbSOJcOLQFUUz/F1TDc1ThWMCP0WW4ikQO2P1fA6frCf8TbvuadxFure7tVv3tH8
AG+iZlOF36qlqbpN37PrjXyA8NheOI307/rqR4Eu9NABvOJdV/owLoAZO86xoAPtz4y4fsucHTV7
GTbij3LwrCfO5ofcocKkL2r3YJjym/yWuDxIMX0IH7Ad62V3lg8pHV0UY2AwLsUE23Nx5SyQv8uz
dzPohjFS6y0ICAAGSA/r9CYGfXZXsOMnabzMzez2NKcefyvKB4ExNO0EGhrtSVzAmp3k2KY40vi5
8VwFzqg+Ygtb3cF8KwM2zGbiHGq2h/zF7M5T88RTP6GsrPpDOnCpZ6vhJJB9lmwENRgc/kioNg+5
cRTnVxA6CO6icQwKZFGf/AciY0HBWf/3oASHXEHFUD1bxmVqCRTkHKrHj8NG8fFaxgwCudd3ltuD
cOA9ehB/L/gtzoz6L7ARS/Umvx12pkHwoc2Cdlzp8OAjG33wAxebBFK0bV6ofTKCA9o6EogCwj3f
wOk4wsMRvnPipVoCsKz2QrDdcaMRatTP2PFpwba7d3f+tyJuvna3nlDtlCDOgbbV37C3oPB6YNyj
AU0JR9tSvd0Hlp+lwsSQ2ZWcqTTM4kMchw1blYk7XG9P2YkVlbcBvqZqYzJHrOocf+Gj+uQfoQDT
bGt84cU+KS4RL0Dh6c8h9TqArnzQkm1OtbmZ7sID2xDEd1YYGCc0fjhEYQNICAmojSfjr5zazYDV
8XpD3vlE+B5AaA8pdMmULFZYCXYYUpjUdP5WwPzEcnulVq+uOVWNnjxMn9yt4c5Zi2UNSXiywSSH
/m5/4VwavCGW+6J04VwMlssCGbssS6u78IHC4vCTVXbwFqtXjpiIMGJ6Qi39x09WtwmXYG/gZ3Ri
ew4jTacTIsDkCqjB1Hrg1J7t2vA0wxwffYld+i6Fm+mTHGEBUy2gmUByU29Hab+ZYrgiHqnIw10c
mWkXKBUGjNqbSJuSyI743JqO8MBNjomwBCtUNxY9nNP4rDrzHv8XztUuk0z57K5wyY4AHjVoDQdQ
843TPcJivgT9pxTiSCGBWXFG0HkGL0Q8IupnH4DGosCLPvewpja4LfxmlsuJKtW3QO7oP0ZHC8Bg
OJbAjEgG9KV2+TMSl0UNpTyH+2T3KlzBRFkyvDTaAynxsXhARNGOPyFwzq/KpljPHh0JDH84Vo2J
xx2FmJJSIqV7iqTgbR5Pyr04I78782RGX0zuSPEZazcThCZF+GAL4ue0Md/i9zTcsTTwafLn6ZNX
YlnBKwpcih1+7M8Z7KmbTlGLvt81yyO6dPkgs8C9R9fxIYbKDuL4EiQUCU5wStKzoXm8WNZeWbVk
7gy1xVXxh2v+QieZwBuEVC8Rg5Cfr8JjxaD+xOzBuk4HJjJgNUywB/PEAAdpMtl8ygpE0VnTvhsv
54iFLlvfruUI3I3RscxNYtFS8sT0RWvu+Yy826UZSv2a3vhZgJ2aw0UKJd3lufM0hlXw6UxAQpTV
NVysx4gTX+3weyOCPXtCqgipyx65TY3HS1nFjmjxUrvTnTF3hfWGrL+DHYOAF4Qp3oO1E0ZYWK4e
+pVKYqjfKodcuwss/XxmIbCLxkNpkDXeJM7r4InXyoMlm9Ia8gsUCUZlQe/X4TlgEtCdF3xCaweb
UYGdgKFy5WCi4ogBWFH6fHo+K6/MF4rEeAZP5+nWAKT1em+43k555g1ZybgfFUvKdONf82bbanYh
O6CJfE3JVT6LE0Hwt0SDnD/4NNZLpnf0XU3f3NR+fOPXeZ+1XLG50YSKcc5SDtxWrojrqjjuDDwR
W1B8PpJEv54WGP+8QK9Z+znG8MheyB3nfqkCdvluIto4sHEMqjZ8GMOE0gDYQ11c8RSBKN8Znbym
Pl3Y9wIBUcorV50BNtbpC7A/3/DxQda79ThC3Hsmg1uzUrLzUVJLFRvuepmUKNiO9jbPjGulGgzS
9eTIQ2Wf567KfGgADZTPzHg63lBbKvQBJI5tuSrGVsORGVmpvuUz8ohYFRhKgcYKdxHaa2bTony3
0B65yVfkwk8YSl8UflVge/wefAkMbXDBSYAqe9NZB63p6NIrY4VvgVxlbX3tf7wz72B1Oz4Cohkw
DZXoc/rjNuVJpeCA4LBW80G5VgIFKWR51QmnIMwOYeOxOFznhYb1egl0xtcHGm75Ja49iW0eI5fD
oFccPhWTiH/hR3gcozchnYzXy+ZqkWHw0bLW5tZxC/iMaOu5/gXheLjlyvklPi+DYH1IZED0dgGz
bbM+QGpQjMXW9o04t8eAODr6d+w9nJIAWvBrsefT+M4bD1e6BAIVk8v7cjn8t7RXXlAH5tEeeDzg
wilVs6peDe3MrNAItcHBXSHriIi/GUB6o9IEFm34bzxEXmydGCQ7Mhk0u69p1t2Mg0r9Y7o8WCYI
78EP8ti5Qi5TRQaND55XX0KZlCfQIWfJLzU0ybV/AA2U0689rFN5K1l+Xm2XwJ3o6lq2dNOzA+CJ
kAImXBnzvHkA6xkd1uqz/JjgTyfapfHI9YwMJc6DmHsceQz8LP5Y61iEmAL8LK9DaqW+grhz3GGs
Qut8Hn+0xoM3yl3mU/BzPAaJTEOy0YAUsN8zThGMSeWZX0BvOFpH+nWMDx7lhMFX7tWSxzvRc4+w
FY7x2Gaq0wS0DuM6+wzKPj4VH3s50thgWqREEvQHBln32D/RICUObZ2LKBFvGRTPiXuMLy3HFlg6
Hi02EzAbz2KyDT6IFuHTMY+1yOHkSARmmziiRea1hMXe7mmxbJYTq78M3VsCTQwBaYnVvnqC0oZZ
sYmNhnzqeHm8ZkgpEXe0xi3FgTGWSk6ouaJ25xnzMYfgxtwz2ivfcrkrgwthTexzLg/IUUSDRxz6
wLilzbXe2PCAmpz1geIJhuNS7f5u/yZ3QHAK0iaoPutnbE3+cYdZS4XOh1PJ/UkLm1o4bbZj4Zgv
0w6uG1c2YyULGiza3B/scJlwxdp12jaP6gsYHneD+K3VTwmNJn3t/GogDBMcbljR+hFGZvI6m+ha
K5EDVyeD8MmNZQXi+0Zz1kKqcJAHc9f5/bTYc08Ju2Iq/2NCths8nVwwuW+uj+fKsAzo26krPjlm
B+uzvgRcE4UTgxHbBx268PqRuP6VEISAHiKr7gSA+ZuwXGtT+JGxum/y52U58PbrIBiAMrcDz3Pa
gp7jwqCCclKVbehcyAV+TJ7RAKlt+mHejFa99Vg9yU0C74cL9BTrr0xG6xB9wVLNn9bxKmx55cHc
zTqh7O9UDwwyClxqYJWqrRxvKe4k01GcyHwR7iIcz79pZ+KzMqx3WuEO4MTLBnlhz+RoobRQ4RDt
0hjbxRoKMBgVZA6zXmJejGvoVnuJqB1Yy6F30WGEPWVjPhbMh0G5QOmvb+BsMDks8yAh2iULI0gu
RhZ4TIN1/qjbGgsWZMHQ7x6bfl/2GIzaPOq6PjQ1RQVGuZCPt+ND8MIdFVe7SD8BuZdtZkDJGoJL
Y+tjCqW0fmN+ruNaufAsAVpFGqK0PWsMugDqIb0IGT4IaEpdCJcguaxABTApdK7cWu/bPJt71mFZ
tlj9KfHrBwN+v2xb1pYsqHzwNdXLO/RUDsszcVkMQ65iCD0KaIGDOhO0cbBC0t8pd+tkZ0UPHZGa
Ar45TB6nSzykFMw0GJlmgp33h/AFY4VlTP2p94LlTyYxaw6OaBjQleSFNpeqteEgriOp38EsV+if
ckg5oRlsuT3LQQkf6OyFBL1Hh5lw3eF16G5r1wsoIXIihGbM0GbPWiUDOZE7BzVZAdjbqh/ACBZt
Gq+qfQYmj4IhC+MfSIpE3fmBGaiB9XHIMjZMkSJ8ZjMySyzu1ibeaJJiBgS5bjJztGsvwiffm9GO
lwqjm84lVDueGjs5kSzEgwrpE3ZmSP+4Cn6SKKP12zWwndXVK6JDBNna2EyWv56kmfcC3M83EBHe
3mhtZh6vTMeJfTtjO92WMqORpv+8LiDrnp2BpOGQhHwAywK7KFyGTa9dmJaQ04P2BctWnns17GVe
ity+2Gm7LwY8PZBAuTB1u5jFzmZARcnTxAVBdmBWCDgg1DhceBJRl8zLZeCBwYHpD4pG09QXZlcE
Okd1LpBBysLgVMNBXXyAHG63UFwCTlwsLH+LEZO1eszeGDNMKT4ZK9EyrA+bH2IwsxixcvCIQtET
sx0PjZUnh7SCrxoTmYsk2ewDQggLFPudoO34ceKsqZs5L2dbAhs4gJXSmWWsj0+NCc+YszmB0Kg+
GTvr2Ye9D7CMb7mHHM6YLeJEjfpIB0ezgO3XJgOPld/KQ4Q5cMZPuAraqySH5F80my8CXDLtcz3v
8VIcQVKPJSRbWvQdEISx78BkjtGPPZHYE4vng6dlyscTnABaMpzEuHrji0X+EWyUYp16dd2+YZ4A
f64mrVttpRl0Lay/HUwLwGQ25waECVe3BU9yQTJdc0Kiu21VlfhWkcVDs2JQoVov90rdTdzM9Xuh
KegWDRoC/6xgga3rpcUFrcaNLCRqd9LHB/SUCUohMpQ1EnBC/D/sPIXJOa9ZdJWuXuLV5pxgCGVv
1RI0sgQSVaFi8Cuq70mHjCIn3XSPCRepR3W6E8eIRreAqCXWm8IRGoxqsPkeiOsJQhKfZJmZNCoY
7Yos4pMFcNbo0rifycGqcL3H8ZEn0o7q86iP2ZbMQwNhxcTK1al46Ua3WjUppEIsyUkAwS5p0b6b
PPwYAzaZSmF3jpbc6w0n4VwThliwppCmMTy2sNc0pOtkKqWrr7/59+uBrs+rV93576+aVMk55IjX
v3/L83TGvYMT0SoLKuSp2+et3u1HrJTIbB6OsQyJMv3XH3K4QMT8+77DIWrfyxWK6pqJ26hVvQ/x
AP/nH0rraVrJVjLO5BRr4tO/f4DgtS8TlbWjFAVNoPWPZphJtPr3939fDS3DLy/y3dzCoowNDRbj
35cZTuA4IJcVQUDFchBq6JpC2mAgqCINLgyDOYIHLwSxAOe1v09rksWxb+oUq5a/L//+8h+/uP42
zE7+5d9/WaXkkzXUYF0L1tMYMCH/3vnvj2R9Munfx/n78u8vtaq+WyKdxElBrRTmYk1dyU6Hv/Y/
/xjXb/+Pv/v717+/k3vMdBI99hRjPOZGJrnFENZQXTAbHxMKuSgUWAHql0aU2w2uLIbd0d+Qw3a0
xUHDrkaHZW4d+8TUHQ35rdcK1fMIMrNAFtPMFd5OQAaK6bfN8IINhOAzxI+BE0G9LwOrc8ZaozGC
+94uAUJLDGTL1VBgriBAlFHUhdJvFdLhB4U/jYm032hRNhnw+GviGtO5xyBnHh+rjg15EDHWLPB0
xm+SkihD1b6qCU2Cg1v8g/BYNj/z9tpoAIJaIxU3kVZITLmO7yKWxWadeJpc0QgBJFEb/TLL0mMt
4i2jqBBf6zHYdBPHE9LgYk9r9BI71l6nJACfQ/SuRBmeBypbWjn0Ty28ygrUykyz4FTl/U4bdmKM
h1qSNbUdTJiJ5Ca1lqUNfpuN4FCV6liI+5x84k6Hs9sWXWc3fQFhzyCCTGqoyOvvqSdrvQ05Bumg
bWFFMz0RUrr1bEJoD40tXYUINTpVoUBXZsmq1q1JhKuGgXSqAXzUEhW3GmGE5BIVRl7GL6XY7eDT
x8RkQnakfi4NopylBQ5SCcpsAhBibhLQJurfh5Kb1tSjCvL6oljUDgVZ8FvR0jlJTfaQo2ib3tEH
9lAzBxj/uMYp0Ws9BwKFZYSRX1+qXlYmn8QauJpEEsGkCGxe2FsTdkkDpges0gP6UQvYjhgvI5y2
JETS1BenvJav8lp1IYXYmUCIUL1Q0Bowj6wzdunMmkEwPDEa30oSI2xBSCEFCuaxx73jQWTvMvpo
X0zhwsEesmcVpW9Gx2lU1D6txNLwaGCDyzWEplUc3iWdyhAec78T5PnQRwMJ92KBBYgyIJQQG+hs
aPMzaT3e4/fmYP+anZCDjeU44LEwKKdCrnDx6mFI0ehFgrIcsCF+rWUFKgGuGlWPMV1CiHZtepkc
hpexOGOdZ93xEhkWzbEwuDrkU7HDLbjb9ZW2SQMM9zWhORmGNvpp3b3roSa5mFTDVWHybmvBuPRS
zL4Xz0SV4VG5DiLqnBjLLyIKv4tqGTfLiLYtUdXvWuA4F+YKya+cR4ShKLBcNCAz5G1ByqJ4iAzM
skeYtMky5zCVcOGTkv4tjQW6QEuXuonE/jur30ZojP7YIOxD9vGgDKm8J7KV1KSM0/8cfGiKjpwj
HU/tgAP8fMtrAz9KyTo2VX1ET9Md0K0cskD6VeYWAU0FcMYWQK8BQlKnHTRNSjwhGbBtQHmUSzVe
3E/Yla6YcyPvC8gRyPx2Jv6R3iDPFElVkm2bTG/3KKSwwwu0bzEvCbMrdS+QMnaCpn0em+J91DMk
bb3kLUr2sI50lLqW6GgCmYZGNH+aaUUySxw5ZoTkbUSigimGN3H+Vi1fUMhdjiskzTpSG8wzF7vB
I/yQsI9g8R7bS4DYe6QqXkmL0ECMGgVsrRk7oee8pcnkmcihsc+rgY3FICw+7aN6i2h4J4nCshuV
Yr6oUeQnlXZgiOSfWSCfMCjYyl05PUvk9eKCBwFzpLM2tsCGUfOmtpOPVZFwWGJoGsIqkKymJcQ4
r32exWzaKaJyrHk0QI6wv8PIwl5Y+cE0TbmguMIu0OJUJEnzw0R/F5dqCiHcsc+aqtwbS2pBPpZ4
18QKZ8ISIKqZcUlYPQn1ijwqoRmmHY4W8AYjusiCixBWsUsFmY5Y69cZ/et+DtXRiwMLX2NCivcL
Bxk9K499XCmXvk5uhE3VLotxupOTZz0sxYcuqMh6X5SDTD9LT2P51s0DTR2oWG0jSIfReJ9m6xs/
h9jPx/h3johJkpXoubRDJKe70nwX4mU4WlV5Cuo58xJEx6gHxI9spUiIAf0skmnwPKriYypFL4U+
UOfRyZgz6SQJC8umieuNkBqEW+TVC6N0W9VCddLzjvJ8GDk3W3g9xi3+UF2oXVXiKbKFMA0kpT/J
FByTloSbKMqz7VJx7CzHuDtiMQ4dgLZLrdIGwstcP/TBcOsSGWcRFDo0HlaIBO1wiCnkKU5rVzXy
39bALxJhf4BIHRHoOO4wPEodTZfvXR6O+HVpkzcOle7mBjb92sxWq8q6q42UR0ajkp+YvUgD5sBh
O18EI6QppgwLHiSYeZZlgfDR6o7ypHC2ZWnp1UF2R1Huj3KVP47j8jaVuJnlLRhBOik+riBHNa5C
r1vdCkt9vKqghufE2HLzSk+Q8RzMO+LUDF0rgDpnKC6CgjJaDnbyNGSUFvgIdxqCpFYHVKg7OcPZ
PDqP83QU8MIVEt1ySEpABcGBvq7qmh0V7ryUgKAkQvFd4E+DP5vD+V39CES0zwz2p0KVgMoNcxdz
QvfzEFqHHuGbNltPEjLksGgsWiZmAYHbJsgUx5qhfSYaj6VdAFWUdIqtJTS/4oXTZmmSZ4Rjr582
cogTFpBmWhjarhud2XLTieJQGqCaEDdKOEQHNmfWzBlR6j3VwGt+SYYTqkeijX4R7m8wU9U+KvI8
G9IrcKkpqG64fh3Fy7JY8WmOzqaWw23o32Z1gsw6Uw3Ih3lJDl3dTMdGmER4w9+hpnMwD5vuJRKe
Rg0+emq1tRskw3c8q8HVorNE7naPnYBpnsJw+ApbI/CEnaJVfl3RupW7CRhgKXc1mcabVMoPOL2o
Fy1tv6RuwD2O40ZtAoITDvga49/H86Hum2em8bvRto4aLp1DmhPtZilgC1qIWJhOsxJHx76ihWom
ijtKBFiMBkUOZXhXahS8aaRsp7IkFjky3prYIoe8f2PDedJNmWSW1VGi8kbmqVMFgXasrOxAwG6H
2nzFmMTyOllxucNi5jBj44kHIwJfDYBesVTag62C/lkn66A+aoTYnY24r3GtzYD1Zw4sIARmNLSO
NFVnRer0Y2rReiUozE6jBCVpsgSsTemnWQbJsQl62EFJ6unYVqJ30nB4GMXSHw07knHHJpRBmnAm
NWbprujpeelH/SRlDXm0FfukCXszQZBOCAjGcjPg3lxYj6nOo8QoAlaTrGzwOqDPKY6VrUsXELMu
y1sKCkzSF7E44WiUgIB3YHV6pRGe3O6TYahfWmiLbkV/HXeHJ3zXgC/UikeWcaAbRLr0tVQADTdq
gXivvHZJTzmsIbhD0bWLe1neqZb1iL9Z7PdJu54TC5Azox1ulKaV1yLDhg7Mtzk2rE6Wau+zBd0t
UpvDiMgY0FJ6b9T6nJcKDvbL0m3XyaNjCEbxyM3V8DKHk8uRlGjDQp9mV+0afDpjjhECK1PWN/ZY
goMEifpecvZ1MFv/yZuCnr045lBCGux9a9+wmKSVHLKMKQzwgHZtNvZkow25Scp6jt6NZZKYWmxi
TbSyQXtTiGY91QPIbimXPmEtyBAgfBaSJh0w1XsQxUHyZcwhfOppZVzWUwHU9TQU3UldoDNCCKOg
3ktpk14InE48/I+DbbrKIsvSwNZfn5WjSEiOlA86qFkcbC1t2ukj8iOTGJSNiRvCniDoiP0qBZMi
CU+VFoXjiWdi04r0ew5fTG2Ab5oWaMdK6TV8xVq1w1dKoKVlLOmxtYBTMMBnz5PF4GE20lUvQPsk
0LJnkeAOAn4k6bEyEcOqHG02apgvhBSbKOUVvCBUfAqhASYe+Q6FT57xAR3jTz0b8d5ayhjkpH3v
9QpveVLe847slqXEdr+BuW0ZbbFvgNGKkIsVzfDcKTzclqiemjhuaIgieLUpQiPDFcsWElFzy6J9
JZFiZusdLM4sSbNrZujoVBFr7iGs/27B8BL9CwE1ZKKFJ1NMzrI6CjfKXYW982tpsHlU28OgxyA2
Jr3GXngqC2OHBzLtwZ6uphiwfWcdXXRiUSiGbMx1v8Y00uE1x+ImUfOCtsNqId29DsH0AuygUT6Z
rHJa65dGUyOgsKojxv0jDQlSqynu90bVsLbU0b6l0y80WIIT9YULPha6JpJmT1gIg+xGba1CxQHj
cwXiJJFdPb6ndpHBDJUU1CfSmO+MvFMe1XHYDcAjQxjEp2gmJka16vqB8clympDPggkVa6dJ8rWq
C98yyoKDKcWvU8y2KkbMRkYLE5ojLPKhqXAbqXRbaK+txDI666G+IWnA5Aeat1IZFaebm3dxJJ9F
I6U4UityfqLlVYrF5wgrSQBB2vKmNQbQ/2n1B/O80KCu30kUlBxlCmlSwjVvK+j/UU33I4oGyi5S
vKdYuQrGOHiiRTCGaC4b83MMoV/PUQVVQ9DJSlWajFSZS7bML8syIyGzAID7Mn/AVPN5iQpfyMLw
mmn3dhi+JrJBgCgpJStgDpuPS64R2K3civt2ylGHwCCRygm+grkfzPQUNUdFEt+bBUuGXLEOBm4D
G0vTTbi3w1Nr5eROieOPMiIjMTVUIUNsaZsWR8qrFmev+vhSlaX2vajXIk4v+dTUu75YaAMl09p0
phPUWsCtqXqa2JAc0KjfobYGv7Po5eFbM7DTL5aHgxJu8xKMRvxbPoSFzoKEffgwoz0T4PA5Unpn
wRrcnlhr+B2s79UQf8Vl9l0ZYQ2qWz82UtAfC7iUA7uqQeKF1YqSo6/WIHG3vHz0pjQ9iL3gWDk3
Cd+K0quVAB6A0xCe+Sg1g2+kOTXN2LkFK/i2l6Yj/r/KTg4VDvzRacmJkrcGg9ZFtfgT7hrbaZ6R
HfQYR8T6LpdXzGUVJo4NIMbcVQDifW1HIzGckVyd0fjSuqiZu1GtvhaW9aPkQukmfftZ6DxxOQ4q
b170s5JJINKJ4bYCpyKD2q4ykdKoAmrAvqiR6EMYn1ScQCx0Wzx1po8a2e1kwPUgKIweJznVCtNz
I+Cc/jBY1TcZfPuuy3810nFgyKNBbSAws9IElvgh5NCJiKmanZkMLy2mGSeoOGi2zWchoYIKTHdu
63LXqCXLq0opFwzRvW/b12lYlnOmPVo5SuO0FzIPz48C7iKmSgLBLTzzZWvxGkLWXojXjrCOa/v/
n4yNfOf7v/5DIoUab7P/i5MbLaf/3cXt7xf+6eJmif8paYYhqaaqGNp//K/xp+3+6z8ES/9PnaKE
SGqDUD9ZJ936XyZuymriJpmGqpiWzu+p/zJxU8X/BEqwQBd101Q5RP8/ZWJLhsVLVf8jFRsDLoXC
Foch1RJlQ1FWk7f/kRY95103FEZs7klcuE80hcg4IDSYfJG+thCgBcmLKc/xEWv6YxsvLeR5jak9
yx+0dZDIrsUmsM0pTCg/K/M9WstRhcy8NH4mz5mQhOx3XstWUua/J+O9W8tZlbqWGE6ByU6pi0MG
LRZTOVRic4wHnHT68TloiMPMCyiw/ZjdZFFULrNRHYV2wgxuLPZxGOOwVAijp5PPtU9H86pWYFVN
Z6D/g4gaNuYxbIxNsBbs2lq6K71Q0Q5SiTFuFEcgT4PMPsDAIqWBlWX6PbIS8VzKiMIyhYYUgUsP
mkG8qA69MKhU5VIX+o+hg+a10fATa12GgZR2jPHg36mgDxjW4JucMbOUII9QJSrCQVVnvx878rMU
CI8cCIfViVobaeQW0vScQm6sFPUkq33+SW756kjgh+QyXKagEHdS32H6mdVbI08hr5dy4hHgtqdw
Ed1wAGIB78XYDdAlE7BWkqrzSG8WX75tbU0xxvLQrmeClJvKoP6mj7Ipq3k50LLw1Ww3g/JMf3CP
5lsr/ENN41grIGSCDOkrRDSvYJGxwkbs0Q/qCiThYbadQJZUEKZZjvs1dM9rsyj3JFCoeoWj2hWY
ClaIavwDq1bYal4BLFQ+3Qpo9Su0JS1PJBzX+xaJ0oovSZqZeFlsHGi5yTL4hDXBpzE6KFqVqv4q
CrF7wdgdSMY8JpNgHYPRdPWXtENksljTKcPGDVA4+lTHerAbWdyrK1AHWvGg4rHsFlo8+XH5I/Dx
cGoVCaaYcsETqUGJtB2JhgYEHEADpSLQcBQAdgER3bUG1KBEaYotpg+dvWiI6mII1cMA3lhyYDJU
YAoxDL4lYGtfSVvoRSs0ma4gZbfClRW4pbYCmMMKZWorqGnqA8G60eRnandKw4XAtIBCpxy7HdvR
TjNCiyhc3UEXY5ZlcC/nM7BZeNETXxmg9kQNHRMGGBwaRGqV+aoJynKYyWWhuA/YBqtLs4K0xAsN
x0T6VRuYu5HQB6uxF567QgC0X9D9Mqh26KUVB2bcZINJHnK1QrNnNfR2u/jO+RkTKzIjt5GR60ex
/BKmFpLhkL+Fc4dzoYnaWW7w/qABL1sGULQcUL8TpxrGNU5h/83emTW3jaRd+q90zD0qsCS2iG++
iOFOarEkS95uELItY98SQGL59fMkVF0qu3uqpud6OqoRAEhTIAkCme97znNAWjkB6aRFb41bwzXe
jbqoXVLd1hHiWWKey8DcDSD2q0JQBrdwTQSeNyK98w5eI9B1z+iIGUpSQI+ZhuT5QHJY557cvj1M
fsF9W1F2H7ArpmMRE+Wbf+oLIiWo0ccTxfr5S1qkaPVIRwiBx8iRC5c1z6hSWnNjBymEG+3IiThr
EH9Yi5uexoyiUVKiXrCJ2DPr7h5m4Q8RIQWkkBunCjjRFKB1Nl8Cj3oJNB2ABw19BMj2U1Z+47gB
P+T+uamZMFS0xMAxMBH2a7jcLrY9ij9YV7uEqtJn0lAofnfGvivpZKgFuZ2ZPJVctEFI9ygKipqy
ZQ90RwLk2z7IGr3YEqEzcr2J+tFDjKcc5mR6tpvinehGBmmu900lCcBa+iX7CPDwwdU19jkfIGH1
6HD7gn6rl8FYIIomLHLcYMQGkJBNkLdLjJOnBSPiHbF3TNmoGZJURUd8iHKmCHCDQjBw0Lw/EaWe
kyLhttsyS0GKM5yEnHfd2fAIinphFD5/d2M67VMeYfqL40Mp5mA3e/KLN3H+iIl32fZ+Qyfb/1i+
0Okojnkll7MEq5Kb5KkB1r0OU2YzQ1p9qydkZJGf3zLOmZGS9QTxKlIFI7giyUovGomxknV4rkob
Qb/tYjUxXpaQAmE6JRSvJlPunPGFIR2V4Ymg+A7S/gfuuQeKpneLDCHW9ZY2z83XGXEdaIPLr0xi
ngwzutLZDlaM58gDJE5XXX1sp2FvoCSDWA/KQ1rasWZfJUUXA8RWD62qCF6bULg4ws1xO7YOGDUF
nAT760wvCIUyQ0q/M+13yBnVB6LMosuQ9Tqlz59244xxrGso9UWdKG9NHw+1Y1MmER2akJhgSUDJ
y12Uyx4nRHttRQjGJ9ekBJX58x0Fr5qTndpJigOjB324IVwsvAQCVxaT/34zNYyYoXPpoAgUBEzj
7GNi4zDAt0pljXxH+IxmGODF6FAokBet5XFZf1HUdD3lLreOB3FbQRzEqjBcpdHIPSGY0DQbxVMw
B9AOVct0Hgx/EHfJ3lcU/Lp5UrvBpA7p2dQh+4XPTS4EMbqqLm4Z4XLxjfrD6MmbdGiuSy8WV46U
chvb3bVHy3PnTnX2DkTP0Yud26UJx4vNVLVL0vyqSiFW2hq8j/PcM+AfTSFMM+7sZN0j7hANXW1G
LcYhsKBmZKPHHVmXd+rkPjV9Ct6CmFwDKZXfl6eQgg46fZiIgfRBWA0gHgryI8IKRiHhQP2ZPvqu
SHHxUZ/VWdQ4fhI7uBkaYZ/ke6Kg8Fo4TrOZ0/gx8hOEJFSFjl7UqO2YaIXroLjlEj7ieta1G7XY
2bLMvaHYhRWwObSNMV3TuKMspBCV5lA3vVGSUyaq8l2XMgwIQSUYYBLiwngfgDY9g7FBlkRc5cYb
luJ6QG0+t3G8c4vZpCzS+lyALKhHWaRJu0U2vO8RifhxY5/ixbeWrSqk3MQxksSo8RASJf3yqkgY
ZPDd7mdcifZ5VSe8yRBEN7cgBIatb+os7069n/wIuvSAAbilu8ZZhimzsT2c/ZQhwWjb/cVrnC8k
S5F+QPApBkjkw1zETmZvnlxzmC/rYikGC2Vt+JyXY4fcUn0zFrIAEQLG9YVgJL7tAvYPVfr6UrrL
cCJbBc0i0mqRxIC40xD4zJBXyPaouvZdACOAnoRDl93nPpC7gDDJwN6asTHvrb7/2jMGx55WMyPX
BwmhGyW67fXbOkKLOA0uwbaKuF6ne5Lk80Qxk3vgnE9RrruGQ9FeAjcA/B1211k9x0RFshU3wbVN
4AAGQk7EmZLtZV2zpfH72rq5Lkrkf06ThqfBGqGO6UX3x9psO8ZZY3FVlF4lASmvdfjg0Bi4aqMo
P0PzBTwbWFu3yhHOZB6OBNekjsH49WCJ5m493NFHh5fkaO61sGUVx6wLZyRSYPO2TcqID5rZ+zjN
C2QPDdFSTUySbKR/9gTVIGllLsO9VaozaTgSnUTLE5Vk37raCT7enNYc3QzON9P6aCmrPQdIUS5K
Wca8XVcLFz90uyBjXL/WHNo9n+KAi+t1ue6wRH23eGZBpX36vEqXOD/rVxHTurku4MYigbH5YIRZ
wlddaihRI1wcTWN3NLLd1Yt1U875i0n40/5tV95IqpkhZDeQdM3rZ+OuH8v6WXW2e+1SJzjYjxX5
GJfEleISLczVoaoiyk3t5GpddHqtC360AxK8ZMTcl5vQdPKYOUpdtahYMfsB7PZOq9rpbRFqBZSp
ke85CMrSaIxLkyTGpRj1OZfy+2wNRATGoLnvLGgMS0rR3UthLiMRo2MLrbDzT6seJ9JKnXWxCnVe
1ypBDZcIadI4jf7zKj1aF76lcXEBBmMGjlz7ho7wMMKSKfHzTr10uCUeID5SRKZpEHXyIfTH+bA+
qPSP3WknGoTthDNgVTYNBbYjE/7ybr1OePoSIbXQaV2DzNhABtDbqo8/pMEYH9YvZf0u1i9KaXmV
V/nvu5W3H2UIoloPTz4w2FdJ1y/nb6fzS5sOIOHbAz5Cb4bNZ3toCQdcT+SJq0axEXOL/JUBQbB+
INzHf/+o1k8pnBpFOnw2JGemE68fwfou1/craLxc3t45l20stDI5l9RsGyVpJJjO9xrI7iaZKnHy
e+veYkbsC9qQri218izESbmIz52u7JGosu97aAlz/WRUROhmAe0KeyESIQz6F+poQYCrdirG+ZOk
5A6+Nw6pwwF5ygEC7OhT5zdviykE5O1b6VXnUk0ki27vLVBvJZ4PH5+lnboPKiELeQhvWqO9tWOi
vTydT51woxfDJc4sPPS2dxadeKj7+j0UAe6YNNsF0mE/Z/BukTO9hNXNpG6yqvpm+dYHM8ZkXBhw
l8cx/ViaHzIyd+gBNZ9iVX2y/QgojMNPABTsrUyq4lSL6d6U5Ly02OfJMkopI5JbhojEUw7FLWae
ktH7htHOYfDByJmLmx/iYjiN0czQx1ePWWM3V7QIb3pnDE5xkTy11uzv9EDVFHQUAJz66A24v8aI
gYaAeEDLsbeALCmYBY8ZTRnMC+lV8NWgTrCfS+gsQzA+uAOqojlQFwSTN4X8Ntnoox8asP7Edhhw
eMr8OnGnr0xI4FsZxq0x4ByzBZTbWDBbD4KWSgSILi+iTxFLg29MYqF3ia26m4P8O9xhbKozlWhQ
K8/dwGDFIHZThztcE3cLyx5Zi5s1D4E8k353bG0sn1YAXsSt+7vcp2KfEIW+ESUhjGN5M9QEA+tG
rDl9iHzcRX0MYoNBRi8lPwlIkptOErlpQfVqmidCMfaWQ98GrCMg6jw9Lz1xl1htRP7cueqx84Iv
ig9hIcdsM4wIdkPPfS+L/BKU5gMo/ZbqgrNv5PItt5lTqww2STZ29wLHd+YhEadVZwNRTT8Mk7Ob
lP00R1G9iUOMlKX7IqUjd4NDudpOUJF3wx1CkX1SHxYxXfX0pOh+/ui08yzsw2SHei23J/e6zYp9
5+L6GhJwptCP0Y4DsGrM7qFskJTOODhpLRDF8HWx84cs1DXi3LspZgByQV5d+9F0Qnly6cv5ikTF
Q64wZygxfSND5TYp5dMi/fe5FX4OvYEEJX5HS724Z9PRkbVtcFc0wBrN4nbMETszJj1Kb/hU1+UD
R7mxVDiTop4FqLOZeIkCbJVTUfUHlEulBGlarbWO6bIz+BrikTAgwcARHBkOLJA9DuzpQ4qn1BFq
3rrCha5Qhnfp1H1a5ujiu9GMLrv7JOMkwlGeY/vwAO4FATQUiRS8n3J1ZadteqQH8BktL2nCVs2t
AEr3+OLXnX+IAuwcSaue0Txw8TOGvWuHaCQWLgfeAKrHLzDYdAFJ0gaJt6BOk5ixslGkV15lPXZB
hfOCWNxdkkEntCVNSgk+jE+tZZwMTbhU4xV16XkHm/s005HddKInuWQ02yNhc4RfVz+K1k23yms+
BQJTRkOuXm1ZL/0cdrukRlzHEIu+XASlqwiL7dAAe4tVu6PEDvYGBFueoForFUw8dXTyiRoRIZ8n
M/cqsLMGwrPWuDbt+Doxcf7G9E7vmiGft6F0jp3rP4QJqMBa2WrnOxj9CvpC2ez9YGQR751BgaEq
7nw7ti5TiRgmvWdevFxbIr2uQ5z/hjf8cAaMJSEcFV7yeXKleYQmT+AQWo1lESCTbQvDLgA8Aj85
y7+LQvr7JVsmdPgjpKEGtwFoFye4cRsawhHsE7F4eMOydoNeD5mUCS3ej6onWot3XUU1tszBFZu9
AG1sFx+4a3ScUhQC5+q6i0emaihdMZk/ANn96plOdUPQOrIF3/Bue1g1ZqidyQa60bQk7K9XJ5Wr
+FwmlAV6vCgRsaFZVkx7piEEzhspfjyfPmUJnCxxm08dFetrLmu7dOLbdGP5g7LHfJBaHy/y5mRG
0fuWa9CF/MofSTFuewcAZlnKl4QqCiLTH0E21zujug5MGu6xKO5R1MA5UB4YqNLECgeNpqWfJCgg
cCE7lAzvvbT/NKjghVs6bKEJOVjoCtCSoCiy77lL/Doph+O1N3JvzBiTDcKh1xZ0VK8OWYdcueCW
xg+p8/YGvvXGx0qe14vchMqILyWOlCC8s9SQ7lyDqwyjWrDp5mhzGUSF2S4Qhwfpwu8PHJwxECFk
+iBzt7z1KlS9XulF22EgpIi/ZBX+XcHEGk4CHANDjFBSyD0ZbkDaY5ISX+TkV4wzh/FYly6YthdE
J3AfrPAQ1iW8Yqt38ajhXO4xLtnUz7f0aS5tnXyuidzc0loOydFMFFJKZ0HbFLlId+IyXXSLE0pI
iuVNOO/QYuItb33esA1007SKg7I9YlQbn552np1a9+Q4Lfm2Hs6f0L0xmIXtPFFiQhCPVU6rrMpy
iLA1F7R4UHeRcrYQ7xEDRmjzStj6sRI3Dmc1Gtbjko2gAp0RoPRsDwcs4GUhd1NXIG5Ajm94+Kms
otUN1/gj2SRl34krCt7IbIaNcK2HmFMffTZyt4Prj99yR2c03HRV4G4UnYRdMSDiU4PNnCkctvRQ
qcABBquCHpmdkd7N6oh2xrxQJgOcapJkZbou9Ep0ziltxYQwblzKH3Pq2xsUmvVlXfgKb0VeRSer
ah6Jxnwcd6M/Q63ubSpeFIeaAQMateAUR3FEaG7OzT/+UU5RcxWNwjz6pCVvOkBXXAzBFDjFDbe5
bZ4M4S0dWgwvU/U+U1/T/iqyW3ffMyTa+A30hchxniQdfr+BUN77+XNIugvA2lSe5kJ9Xixc7QlG
8Lj4QmYvxpIiuI+yeucoxi0yvXcKjqfzx+9TgrY8RkVWBmJf+ggmIvHsunNz6avGY6J8XkymV2lf
vAzCf6jbCmhhBxvCyb42tvi6UPHANIn0YBJMNbVdLgiMG6D+2Z5sW5CMA35xvhMuwznBafR5L9IY
PL7OhAwBqA7jbAUbSqYPTttmWwkQzi1p1lvhOfJItreRyIPx0KWksfwgLbveD37XUMx0zp5Tak76
cDVP6LQST7zzLY3xCTKD7J4Q1YnOhCczld415HdmA+DSFDCNSebtdeKFGLJKGA1+AgLNfSaChIhQ
81vbgOYN+R7LJrEPg2ehsDLD57Gp9hla61ab4cRCUiwKHKJVgt1gzdd+ezsuFC1IK38s0RAyv5pJ
OLOc7tLPBWr8Jm76y7pttnFPqYlZ14dCOzvkWkdYU2DW7bdF2iRcLlyu9EblX6bZao6JhWi8pvC/
m/UrGCZ/IF3nbAHnW5JmF1D8PSru6p6eyHRgwMNf0LveFgqJIkxDJCXEuw+XjASg7qQEXggzu8mW
8nNAKWO/xn4FPg3nNQWs6isEM1WwuNssxYjg13lMRSCOx8tA1+Ey6gUHcL1YMVZZvd/0PgOMn89p
6Y0Xsj5GTZqn7jy7RBDEtbyQSDLQcKMzsm76Xh9ujbrxdLGsJR6EIkditiX4O4YzMQaYM+0uMLbV
MpJvQEHE1QsqN39eFL2JrtheLEhOTOyFnslPkfOAnYSRWlo8uqMtD+4UjZd1gchvupAAytsCHhDp
iXOGxYjSFot17W1fbY53NOlpm/kWRXk9A4+jWV0QRYakKOntt52VTHa1W1iQKMbhQlTUXuZeczJc
JkfL1CTc3Ulu2kmyaje17PtLoStFbRXYm4iEKUptGTT/ge4W+s4GsoGPWFt7qdY1oTfXNf2M1g76
kxP6Ytf1QoJwuQscPwPaOmh6AQ6Ui2lbvEVPii0DNvtSerZ9afSaylqYuXQ+VRegbcpHgQFkJKnc
xxy17stirpzrmjUBQTYHDJddNbxY+Gr2FTEzl8BIrIsAuH/O26/rxrpb9FV/zvnGehP047qQf6z9
ssmAt0NwDaBmPT6jxgCGZdPqeMOmNoKti3X33PfReYKw1S3gJpgm5MemyG4tkbBZ6INdjzhnkECE
ngOYUR+jmBfr4unFurkuvLaHGCof8oY7cYlm7oJ5Zv37fzoI/SF5RHCXm1kfx/rIzImQkv0CjC9H
qBs8ila+C9XcbIekiZlzberWBF/GZGXxAfrD4PQw8ukELt+jx4FmJSDxVjbidilDizE9JW1DUc3u
ov7asqHcTEH2nE/FV8ZAGPlmUjBtVJlWDRnVrZ7qnrMkJwE9qS3IR7lJys88mMhG+bimChtENGur
IM1DlXbl3qJQcXBmcdUzo+knOLygi7ydBGLwAxEj883jEuHfsWWMw3Qj2YOE3XqqLfViFLwDj4Aj
DKlwXUgrgpBONVYq/xL3HlgyZb43DGKcWg8S0qqE+P8RgDrI73FuCPJ7/l6m1Q7dmky/9T/pQDzL
tv5KOHL1XHXPPwcAvv6Tf0pHxG9uEOJ2MQNXiNC2wj/kI5Zp/2a6wkYHQhCfEC7CjX9mAJq/mfp/
xMSEqIFdh2PoaOwk//N/6AxAwgGtgAKKF1ioJ/+TDEDLNP9VPoKz0Q8cy3OdwPY882f5CC0arKDx
5F1ZUXR2sgLKgxjMa78fuShzUSIZ2jtWc3O05qEFgq4r4xg46mKz3gAGP0gshq21VsYX53Vfrp+z
ril9G3nbRJmxVQhsT+uDVfQljURzHnVV2tJV6XXN0WtyGByiyk5vu98eW/eh5KPu8fZwX3dchJz8
Svp2QcgDAzoyseK92xb70kg/q7IG4xtuVNQaJPS65SU3aRc4Ooci6BJea9BJEpWtUkCsNf5kr21O
MjQLE3vxYxVPsKmFsRsTI7kqyLTee573Q/VDe/QtlYhr3AanYCD8dSldwp/1oou0EzAoPjLVEZvZ
mfilmnze5yberZ8jU8OD0QfGkdDh3++g/D2aDj9vTjRYlo7ZQbdM7/yCXF83gRFWLMPNOlSxSPxo
PEw/6510XRTkijG6LplMCFwckU/GXOiG4Cp00IhekICNvXNdpUEDkJD3XCOKJmUFe9fbYazHsugD
WtfWBcfRHzpzvA/1Db7VVfq3xbqvh9w/0do7VVmLOpDWk6s7OxmVTK8mXizYetjYoNnROnYC7Z9e
76TrwqRPbNWZOk10tDZ92RBO0BeER6tES+on6MFuelnMAzGtE5NLSs9UGuYxUZcogoRst421G3BL
AY9MqTu6Kj8GtHHWUUCKmYy+SX2a3sWGCnE3k1rkWHAMCPoju7pGVWF2CtKZSWpHi/i/xIiPuhIt
SqNTPdoQqoduIY0WwoSmtbAKBtdrDGxUq+qyLuyhNE9mAA1C70rrOjgEQ3KTUUumhqlbKOsiSv+5
Vs84MK3igR7ER3+mN+fxq0qXhBpta3kB1NszIbCHIInSU+VzZobZAIsB83PmFfPrUHRsUGTmtYBH
rQelSaBjvOzwR9iWDmMrumjlom++r89uyhgQxPpM0b1M3edo2qSd6ZxUJghiNId7QbHrYPm+ucc3
8s3QSbt2IdE8WP4AUZTBWast3OQyz7umQYlSNhlE+0hCSdedH28O+C21era2fgxuboH9aZqHX957
pfuYMZOAYx9JMkFG5iO9bkDRVKsu69r623TLkfL3ukpzkFFQ5Z4GSNe6LSBS47tUbQL2jN4ygk27
Zzg+ktG3aZMwRP4+MbOazWq/IKMH6goTJFFIebwhoUE6NI/eBGp3UT7RLFI9FQYG8XwI0VlW7RHZ
9knW02GyIxit/WheRt0p8YpjZ5JWZesWEx6xhuGg0pzmuLa3wdyBTnFBJoxaPBtUQLOjOZJ7VN0g
J7JE7lqFSdKnvSV1X1AI1MNFxZUCmQ3kinKyqGTHz+UfEwhbahznRG7UzAlaq3DZFz2GH5UGp1yl
TLdc9BuG6kBfAfC2dFPS0Yt1IL+urfuC0VL7HMf5+usPtNm7XW3gzO7RT3mg7pKGQOsIjSPnBAPY
FmX93rSEooFOjs3rIeXFdGpVv1uvQesuP3SQqBsoL1TxbOn5xjrpoNOgLqDiBHHP26rp6pMPOMld
Kr7O9Vx4XRW6pz3ATQx1W9HK6y9hlTr73In6S06m7Bzb1JnRw8MPGMWudxdk2XkIfDNWt0nDFcLW
7WbMyDtqcnehBYRq/SgFqugZgNyYEuQ1u/GTZ98vpbFPazobPUXHnVlIqjV/XHrRV11Nwster8tB
wuw6onu/8WVanUyrMY55PN5jzoY/noPJa5qbtLY6XLkD/twoBd/m+wQRyhpv3EJQIlUjkkwyeU07
Br1jlA5MHJnurWtORsqRDxSoHEIiXXTQ0ltY07oZ2cN3DEXDPkHRvp31n8LJxmXPd17mHBxbneIy
GhMzv2oONTWPixtz450yPW5cV9eFr3e+rhGjhaSIy6aMa8iizPsIi0jp5AkGuzH17DPmxPJqMYvy
araG8grHEEkARk3Zv8dehCEWWv7MZWZqh+wcweEK0RoUmz5KMp0htVDyvuBhCS8xZxEsvPKh6pBA
95CY2yC4px1/kkth43dl4uVkHXhYuiehre8F6z5UMwBoCli3BLlNF0qX89EyXZJ5zenitiqElcEv
/hiFDe2Y0T+nXnGjJnM6jeO0XAZDbcaZSqyKBIyvDj9A5Lgx4WzWObCRGUYiPrY864ruk7oK2xDw
/B6X1Q7LVXTwqJcDbNHfVCnN37+pdTNhIASRYGJiuy17imddPDxMwFUzT9z2qYpPQysSZuaIEwgp
3xUtv4N1gQU1OzhN9WFNxEr1sGdNtFoXlR72BMSinl3Ii36kk7NeH0CcjqmwL4sXOY3vSh+Wtm2l
XL96gDE2QXedtB6yerRxRqlnmy6ZREC+aQr1MY3r57lj8OaMEpKQMcBqm016v7QiZ/992YTWkXqG
uetm/4Jsfh9N44fCTSyyBYdsm48f57zo9u6w6gEVjnREcIg6sfpxfUkc4yTd9iP+osc8mnLYNd1y
1MpTt2j2HTXxkR8j5Yb0pscPdLQTrJo0C45FA5rGTcMPpZVe9+MynzwH/+rs/EChcVvPtGqGCPyi
Iq0P+eXyQYZxT0tOHZwFiZYv2w+eAmyUFh98zIG3dM9KR3Ne0wL5UZY4hA/4t11uXptprQ5EMn3x
a3pdSxbuHcZPe3JniYOpylPmLwqZick0LmhPRUunuvAhGxBiu6s78O+G99zUWGmNpsVKWdsg0tq9
dZry3r5rE++ppAvFX/aTsnkXpVTZ3F7ffUJuLZqYU0WTuQ3ICD8wXB32fo7hC6Uq1gJRPqZ2CGAm
HZfDtEzWh457UqDMH1RxoUYVxrfedMBGFO2O5p9m93gzkkFGf5P3Heoh4Udh/2hRliWnExRT3NAA
qhRq54VBRjgt3r5c0n1d98cYI2GLSQig1TnKSEUsYposqVl+mTrn0zyP1r1KSqgC9maYtE/aBsQ8
T1+I4E2ubJfe5ZwSj+SDVEMn/87unOosxpmPN4yeg9q9iJ6SvO9jTKzLtNiRuVwO2UOeluQaOAXy
vdI/O8GM7Ng1e3JTwBm5gAan7GbyaLYiNG4Ohuuir+rjJ7sFEcNJAFGuotPRQ4zirnqohIK6WHnO
gaDaXbKAuUiTCgSicUjTjFteluwrH2ah9PHRlYlZEF6kvgRDLw5hYn4YXa2B8PCgNuVJ1MFnbL6w
BF1xWyXQ+Lsbz1a4UB2azv5UjzcDMsoKWRclXotUT512toSfi2C8wUfdbNTjEN/nHuodr0dlbyr6
MYnELjInT4JGA2gLE9Qz/e40re+wpsG5zGksipGnTxNJbG7affH5/4gAbTvLvdskk5b8PaF6ADy2
ZNc90BIESnhUG1TmeKiWU22r+zlOkBvOdGqlTWaWG37vYsmFUCCbEMT+HT0VmUfDnLxdPZ6myHun
sjrkVzygQS2xZBn05HufBmMzgPMYgClFpGAUc50wPyEbKkFKEOMfzhBijiXo6tL9bhjNsbF442YH
5hCYSBzWH+Op+honA4c9Uoqh06JdlngPbT/5Wvuw3H01fLZMUXzFwvqsCFcamS6j2Rs+YdRnDuVT
Z+krJBOx6+8o4SVzU54tVPJA5CZsRK3HnGnW0zU1kUNBZrhkiuViuD2sT3hbrE9626zWf7lK5Nad
vzz8/7ivTCUIsibVPazeYXQU61mNo++41qTlbOv2ukj1I2+b45o9uG57jBlJ0PRvZFQBEloY7K1r
vWc255j4HaqUN0bJnGHdvS5K/ay3p77tW9c8r9Oonj9e6ZeH1811kdXu739sfp9jUH/9w+uLm4Yb
n+cEP5M+qrcnrpuvf+DtdVQe8QfRSwFUW//1+hDORXWMiv5M4y/cL9B/Mn2Pw99ZXYaoQ08vBQrI
dba97lwXb89521fPenb/tv3Lc3wVpRvslp/JNsaEpl//bfH2XKSGjDDfttfnJPqQ3vZVQ5MtwET1
M//tkQ0hgL88qCB5vr1cEegw2zG7b4R0gDGO/p1FT/hQWVTMVUf5423h6VHXutnO4AXHCNEtvgLG
WqrRZZS3x1+3//1j4o9XWZ+PA0wDB2vmsmDEGZNzdB5QdWXSI1inwgX9v/HduroIn0nF1BrbSVOj
XK0WXNfeFqnmN71tmgjpCy6mJBDzD94WlRGDv+mmEX/ET/9g/ff/bh+/mJTq6x/PfnuOGYb3TVPD
YQNSQiCnYiGrF+yaQLcbIzj+52XM40t9+1y+dP+li5/fMMpIbv39f//XT1u79//r8R8/avmPm/eH
x1+f+dM/7P57fTh+qXfP/fNPG3su7P18P7zI+eGlG4rXP/L7M/9vH/zHy/oqf1ejZExM6fD/bG5D
MJB26XP1s8Pt9V/9XqYMgt+oJdphKJxXTxov+E+Xm/jNFIHNf6FlYoi3McD9XqZ0nN9MO7ChJwV4
4EIuWX+UKW1eMBSBiS/ODrF2hf9hmdL+2eQGzMURmCWw4bmW8F1bVzH/ZHJLZzkONfWec+UygkqT
LjwGcn5sFyxAlBm2nu0Z+yrJw+MsETZMELNsNGtUH3Zm0i43CUl+s8+4NvRQZlnufKzam6mHkyij
8snKil1IGWJXiwBna9Fr6UEA47JpyUWcEARaTOtFz3yhZipgy8+FaCEJSQwESMPBmkl0d/Jj8K7D
mgy5tKOrTKxaU38qvHQ5VBk0SqRJ50wZIWMg7sMkR18v4Tgw9BNbhv3dLm8RagWDCZavDpHichBt
+dwWYjh5Qj7KtuuZrfFeAWLRSxeM04RlM7YjCLylCWpVxvDS0wk4DzHlvAR1sc94v2ggNWYlWjLE
es9NyQvIZmbaNpeHWRsE56mdrqwALEJ9acJgfCfnjkku0RsTkrV9qsZT5k3fu+BzYsmGbHODoPTM
Ax9Sk3WW674JrVNP28vjXUxMSCg8eSgt5UPQA5QRg0cEkhUhmvGZJAXiy5y7zulPZ/Tdq93xH9VQ
3tVp1Xc4Ov/1BBHCswX1dJpstqO9mH8+QbI5kKpWTQNWIHzE/AEyRy+KoKu2rke/OsYIh7dseGcO
HJRAir+k/u8f5l8fCyX9PxsyOVep9IMoEoLSvm+Zwc+HYhuWOcWog86jIcmaa6rPdMAEVAZjuIvt
8skIq5dUFH/3CfxSyNd/1ndsy6c34IYW3YGf/+xCn3zpEo/cAiO9hslI4O+TFSGjS3QdsLfBwRsa
zj1SBGl0FcfoMFJgx6NNTAB4Wy8f/vpz0J2SXz8IX4S+SWuB64dpcuX46Tsx7W4sq644i4QPIquA
eXUhbbN57I/42J2NMUhmAqLw9sBLrsCTLUjUchq/CxoRLK/beAxf1ARr1/MWiyQ0Qpn0S3lw1SfH
JuMlyt7/9UE7+qD+ZKddP0ZXUFMVViA8mDM/H3TML4CJYcZBh3I5pN186rOAMFhl+BumYdbO9N10
54ztZ88CzNTG/A7TiKEg9tx6L+3vrQde2gl7g8Dw+t4rNb20fSoicAyTPW+Qa0RUrbZFmxFE0RAa
ZXf5hbZEt5uM+Sty7dvW1R+EnX6fDOrskYt1zE3sBztoQfgW4ePfvGN9YvzyjjH18U59xwwFLuef
3/EEJCIpcxMbbY/x18B3J9u0PMbjUxIs9rUTBvuwEhpgI7KLJRZy3AwLaPHikfw+IoxtoDtKpUpM
ZAgFTeke0oFMwglTpT2FjwooEZ32W4xnau81XATCZmhAUkTPYWMNG3doc/IMLBN/5/Dc1tNykgaS
xZpqbRvBDIzFXqjo734v3Jx+eduuaQa+L0yfahxO7J/fdmF1PhNAJzv3MnyswwF2FhgeGRVf8VgC
2v9RoXSrbAt8JeHhGH5cuZd7v4uXA4Z+fLfeVd8BlystppB/85X8u2OzLNe2cZUEFH5/acrJNiyc
XhIW2c4nU+b+ZSnqT3UguSV03iNmVLxhhgtEhKs5PlsA7g3BnjEkDqcYsCRBZe71z3ywv3RMxcRC
FgBS4ntOS5SMqoXK0TPzshb5wxVmAIL+cQlx6lRXQeDeteAcT4Y9mvuaYsEuKMq7LlOk2MYpGuSm
vKRZ+iUVkXfz12/b+tdLmEvP07JCy/NC31t7lX+6y+dxNqax12TnxaMNg/ziTnRLiGavxz+9IOFs
nZ2o+uPYO1dhxMbCCI+g1eQhK0V5gjeRvSIRGPAxFrv7+/uKQOVlwhiiccpvhJnqLwMP+goUy5Mw
PScR8CnMGe9MdE5HWVbnqvDFOemD/BQr88oOA1IMfHmb+iMJAaX1d0eif4Z/+pmuR+JaNqdD4Jto
6n45X7MSBqI0+Jn2kHxc8b1LJuNcorY4pNk4brFFARxNSDbEnR7/b8LObDlSZMuiX4QZ4IDDa8yj
5jFfMCmVyehMzvz1vVC2WVVnm937ElZKRYUiCMCPn7P32hX8tpKUPKZn2O0HpN2ilc+QnMJt3M2A
1mx3WyLA+89foFjOy//3HplLBx4rH3eTZZX+1xcID0NDHh25lWj3JkBDxgwn2zhB+WLYvv4h6s0c
meossRUfqvhT9rTwUQOZBO6oGwrKL7QqBMBXqEKD9HG04D8zTepTX93ZEFo2YQKdqwwccPmzonNr
G8/dwiMsJ1vjHqfa83FtGLL6r0f/r2VhOfpW4LOmWx6oB/PvK7KfrCyp3TY5mg7tvpoWIfLr6Zz4
frRpNdZE0RLAZrMrbhG0A73BbBiKSZ1cXRr0Q9BnFcASUuO/XDPuX9XG8sZsVlnPEz7ze9P/6wTt
I68v5xAIwpDCWmxJwNRpmbLWT08AkFCxsA1cJ9n8ACjVWg5gvGKIiEi5YZzVKYpQJOeNLAhtHEPj
CEB6U1ZCHh17sg5zrndzYa09OeS3Zq/qHZLLaMPAyYIZ7B3wdXRPYjQt2j6p8VGq6ugK0lTzqf0a
MwdD8mx1azTziAqIgS1dBT6xjHdTiSGzLTOyMGzU4EE5NJfYb7/gZc3nrOtuCjuzboue77HN0LpW
7QfGrOtonzjU27KN80MAHLkLomBvZHO6aUuP/v4yToVnadz/59NaLqftX6e1y8kcBJIdUmD+rZGg
XA0HNNjGwaH8OAx44fIaPMQ888FzfNp3AsJPGKAj9sO+2NW1T2S5IhLHsxBCWpG91w3hArAIGV8w
n3VjleIfMckLKKtjUxa/SuHUO8+JXsMcpj/XM8y9AM2yTZm5GoIhOfotGPqQmHUCL6tb3EnOexU+
EV+i2TldkLnlu2YO3tIo9mAA2CigCwQdUy/K06zJ44qxP+UoSamdlvvDeB7o3VTd8HvQEjnpQFZh
RJ8A4ntgEvPqsH/SzUesp9sZvxKWWPYLAqNqpIPo0GaC3HojhrNHFt8B9vjB8pfENgagmyEPfriR
Yd8XIA94xy0B1jhCjDI9OfPIjAMdwn/+gqy/1ksuAp8OLLglNqiY7f7+gsygQP+Rc5SQW4EWKPRt
BnzjUEFKXU0Yr1O3pUnDRKX2WwqZsSBXhYxh6Zf3sWuJbS7ta2aUgFYzR69gQrXb//IO/yqyvt8h
6zj1hu3z+PemADQ6J5Ghkz+1cD30jyqMcHWarO2+zxHnMqNTPO2g9ZHZ0VD/RHX5Y0ookyVzNrAf
EYZuOa3kzAbsv7w7tvd/neC+KaVvs3VwAz/w/6o3Jl+72hlTzrLGdvZJghk+6oYfeSrJg7UrSKLj
MJ0Np53OhUrA4KcHNYNd/bPoxYTM/uc3JP7s6P/vNecLhEk4GthK8db+qkrzpjLsHr8UAOYczr3Q
2QNgLPSIpGH1hfHGr0BZJsUFjExMRtevILerD1G+W+kAKFqI5mfnL6VqrA4DvpizU/6inOnOoRzQ
goVevosTcYdpY9wOce3vXG6LuPe5KnprFtinX2DXl6ee8OYed8pdIxO2VFzVR77Kazrqr7Iq0ysd
yOqgW/z7dsl1HvXMpziSuxgK/XoOerFHkvfZpHF8GV2iyrOyAdaQUgW7gcfgU951VBinOOB9kvc7
acf/SWCXzdTdQXTjiDE41EV07nJeCjCZ3rkOLp3UjB4Cb/aPZczir3BirBAnJKcqJdhWlPO4hx75
m69bA3PrSbWd/C/UjngOc7gjvaLt7uO3LuK5P5hw+W3lu+cySiyo6k76ZPvvHOz4KorhITQdEscH
XIVRm9H+YwPNIudbF69qkV7m0YBXLd9hF3KOQdFsEvz89sa3q4Y8YucHQsX5XgDscyQtCXdmCqSG
2MWTS+cimtJkb5X5u7SM8ZxgE1gNi7WFbRPY3d55V4XjUuvROw7kpiJv4DqP/nhWPubXmtUXf6vH
ioVJFTJIGO/LJvTeZnufMWZs4n46tsr+Pc2Z/dDl6Yecp4E+0GTsfU2wAyAc1hDP33uDcDZv3ARv
lGUEVyt1j3pow5t8GaUxVEMSNg58k35P4z61yXdGtt7EISJtGZDrRnN17cxGfFfZqsZKg7Xadizm
JZ29b22u6rnokJ056GMEmB/8UfIlskxvM1XFjR5GRlieAPljEvlqut673zL9SqOiPC1+CbIV/Z+x
wxwNyk12oeiHLFvnDb7WsXli24y9tstA34FZQXHK4CCkQb6OC6jcXjN8DUxh9pHhkSjoVg0V9BRt
NMJ8mhdXx9WI0aQ+izHDLDwNz868eAWXa9qbibaurXal2TUT2y2JLKu8sxPAOWHUiXhVy73tNFcz
zeNr5tFCt9MMwX5BQJLVEufheuyLUbIcvMS5t0W/ME5G6tQOPt5cdsYmHQkzyUNFFLOq7+Zu+ROe
vMi8NO/NmrjFnm0j2Up/iu6mCHdp0GFvtUA8+R462Kyw9mxx7GOJp49OOFFOBgzWqnGpEWUHlk6K
EZ9H5iMHzF9Dq5BbrcMMUGaQ3OV5S3SQZvkS/kvZ18l9Y8Gy6DK8LGFp9kSATNYLvvxpFdvPthGN
L7ZGgOJoRrQ2BdPGiGPm7n1k70pP77MwCi/dgvGtfI9ob+QW2fjYF5N3pQaqUhUeAsOd9/D0biEp
RFdT/ezNYUlXCl34KkEEOZ03nejgFiuSv4iLYR5KixKMXfIuEzMUl5gQhACAInflfS3i6MaefnrK
2kx1bV2zfjZWTlqqdeMwPTXSwr2YRQk7tSMhCsT0k6PsQ1ym6aUfCXqn+45bzYwPrfbRGXjmpbfG
awgmdGujg7k3xg4WKh+8bNSwt3q/2TppB7SyAgwZpvNzZtkX6kcAGapobn2bN5fBC36FN/FizGZA
ClhgXWe/Rqtt9ih4CFNSwyxeFh8XboO4P/eCXS6rYRJjO+ay2lXaLS6egHkik8x5hcnrbYRIi/ME
RXBdGtp8r8GAEbri3elgdkA4IxvRPv0Jy9HEbnp6a1n2sLZG/2c5CBCcEWmtRko4LE2fhyaygkfP
IIilmVL7bLnpjypvmaFzuVJKwjFNthQabP3r+c1puPXUTILz3KI1Ef5SPV0Ddo1fdlmTX+CK7ii0
0d8mM0bKXAX3fYZVzZdk3bHNZodToAkJRmtTTA48x+LgyvhJDWNzazKdh/UvCGZtRbUHPy/DW77K
/IgE7BOMpEu316rg0HIf6o1e3NAmebMoZJTb6tMQJ/FVFfkZ9OJ+zut7N+YaLBtBPhysV+71JFM1
qdZgB8ZunaBbaYaPonRe0LAV1wzlywbIQ72rHERiWbpiwDvdfL/qqGW6NuGibrNxQPvli3gHTNcZ
G+5VA5TsODf39oQHvi/M6jpr+yiEQpUl7MVzzujWDk65wwlt9syYobQUuyo+z2na3NeTX5LmK07g
mK094oXHRnnpLo8ECKKgQSthpeNmLr0HJjjWbUw7XHbMl5lS5KdhRkyaiAa0GikyhwhtAyrGYWsM
OeW3F6DVJzOP+Ro5hzRdwxKZDrDH6TqUzXMOpCjEgvmWdx+AyAmjVAuuxAciGoPNTBu+4AQz+aBc
b00PqtlxvxgwQcPxZkx9WzbupfC89DJgMqZcG4juFgQoltmSQsQiWEMafox/U0ZaZyOYtoFZN8fU
KLdDofyL7g+FJeTBqUs0InN+xHDyNgeSzHFAmvjOiCle5CWKElAAMiZlrGzZRnbtISjQdvlPQczu
ASbmSRka02vCcmuaHvjm1IdZ145y21fIJITqiIDwCmI4MK2HsW0h1qrEwdJLdmsmrV0w+8/ZGHyR
OFFcAydGsUyTq0urjhRpYoEzcszmAUyYgZHMxBHHLtz12Md08NOj8RbQV7APUKyo/rdu8eZms/GQ
O00MAYsZCubeGnD8tK5kn50a7dorNZI0INP56OQBCenMcEhg7uKdr0qE3JClj0HavPjJ8GMwXkfl
YQhOPFrEE3Dv0H3MloEH9/EjVwHJbgGVoduEzxWhGhaGVCkPWvBcO3Ksi60gLSSPSUebkUtOs+gm
KEqgIDHWmRFDVXsvaz8QB51GVuJxUrcG/e8VOz/aTs2uxHCxm/zCowvNgER7L9Ewo1vTOP+sObyX
NbxChXrOa4lzDEdm1dMY7bq2uhESPlND7bRryOpIHfeRknpjk15y6TADR4mCAdrPSPm6/HPahkX3
WQE5XPc0Y0D2vkeyYs8e5gdyYZ4aWiMr3N1v3eAgXWcZOA4wI1Y9HBhK4gKFzIR13Agp22yk7ybg
P5RP+yyZMVDOiN8aSN6rMQMax1QAy6htJiAltuaIabUnZ716HcDusp5myaYiCGCZ1D4N85vdtWqb
RVhqHUHKipVhyR3BBm+HevqqBjHSvkWF5FQv6dBAQxx1SAxxujN8yomwa8EZA7z3zfckFuQ162Gb
N3qfJtCR6bBW6CZLWK7E8QWjAezEeHOWyHlv+mBvb7Hz8YGfsN0mC8JHkr+KswyQcWHDfBL6OWYD
R1kB04ayve8NIhTi6tPyxFl6KI5gMgD5pyLpC1p2qbdPBQJcXcdq26QB1mbv3JQM7mZMq+lo3ALi
COaK9A/ULuQkMe2XNYe9yxBGqvBuCOHC9m26TsFPb7LZilcpnf8Vq9etgKMCoJIUq9XIxqmL5SVf
mkFBZX8AvbrWk5Gv26yEppf/tIvpHESXyVuk+RNoHcskgJnKjaw8CG2NQ5pIHH6iln3wpHqsAHl7
ffXc0m9A90WTow7YpDvFTZMhHihQmAcRNz44fgRq51wuQ53+RJe2UXho55ls7LZMVvQSrQ2MCLYm
RnD0FnXsD12q4l75wSHmVrDxMgI40qUbaOKm3zdV/Fg1eJem0EXtIji8bj0am2luflAcsWT3LvTv
OHj2CGCxXKvYd4sC4xsU1C8mCr+AcJCoglJl+fH7F99P+f7xz8O3METSPEWau2hEhrDftr778f08
71tp8f3EgPHh/z7n++epJqCMu9D5+6c/T0Qti/16NC9/fvzXn1peesj8CBl6HGITRhPalWRXV7Xi
q/i/r2y3lT1v//2yk14EqAJD8vIxvt/n93/9+T///LF/vUoU2I8wlfMdGi2E799vw3STJY6e1LV/
/ve/3t+/XvKv5/x14P4+NH9eZ/mIUVc8L5zm1RRdI5ftutOa6uhq3d8yFUbRjzpgkONHAHSFWrXb
j0bkrCs/nk9GI7v91NPZn01CIFzuaN+e+3Vk9cMdMPC9narhTcW4wrPko88KQCq0QXXlIv1pd42T
Aa5p45ehHQlYzgjxNVuYdAkeW8IL+tcoLoKrVITKmEMItzAulgAEdOWqVquCgBciRPo7c87QA4eG
OjZhjNa3Ki4ls3cPYKznK3UnguPo+URAC7ZgbECWtJvQWnm2+VvHQfSQmp8N+Hz04GjhC/jK8Jid
cecf54L63BjnD2Qo99kYk4JExK2JVtJLynVNt28jfO6mQBOuuZsORwJBphWci3PaiPtmWuYQ2CzI
Kb20cbyqktw8lP0s12Bz2Ur5bbf3ZLOPHe8p5Fy5msQlI2oD0u308d437jq7qzd86k0hIBENlWRA
Lg6Ra8B8JI4VA2FUOksqhZRMuzhokCyZbnZQ3pz8LjcfE1rdhPbInz7+eVRnwVpohLTecPQ4dVbS
/sqp2WxMBV4bDzskevU2xSW0mFuvCCfEWtpGsh+LrrnSmKDu6SEmKONGjXVwa/jHWg1X+hofptUT
i0sab+aPK6XZB8UDfh3ZPqci9C9xoHZJw9ETwfReWcGdyzRp36QWnVxl7Pqh7bD8NIvBIUV22mb3
lcB9CQZVokGc7hziGfhI0TkmRb73mpuhcPNjEQ7MscSr3SNZhgIan2qZlbxb2umowolfstWtjw89
IpPUDJMLvHB3ZXHWr8bSr/ehcsZTBGFgnCeE5xJCFDfQHfGF4VpM5jP4BOBkMwBwuOOLmYNJjof/
N8unFeksS6gCnJeGzGVvao6LSUfETDKnoNhIuGsr1bEG4vTuiUsAkf9dL3qG1wNKIGgot8sQI0OU
HCor+cpG+FEKZFQIFHU/Iqs9IHv0b2KRrSHDsDdPF9KqTEKMrNUdH01f1SJbZq5MhIxJQ0P+0jkC
FyMcOJeTDoey63aHLk63+bAtKtTpoYHcEqv+0UrGcxFwYvl1lD7K8csxtXnkfwKOPipiLLtyO5Xe
j76vB1xxn+n82MxzfqhnAKWJ0NfJB9qSNNs5gs/j2POH61BJFslwmxfhUxY5X0yRnIYk2FhOx8w1
TjAEeZMqDw+99I117CDtqiJsqUHoijUmKaJes/Jt7ApOfZH41MxeSNeovhUpUEE6RxBZs+wCzmYb
N0wETFeyECMFJTCvOdtOaZFY/OmbtM4KoP8kMcISzIodILVXW2viXXMaSYzpnrTO7pfxwNQNI6u2
lxC9rZ8yHV1c99MUkHXo8tw1M7qWWEXxWooCZsFUOCvTHNttEvW3Ta4nUo9hMPlmZR3q2v1RdJKb
hhNFoIwx15PJEqztQRHGVbVvVhafW2mN+07MX2aK6FVNj3ZFUNRvQi7JFBi9U98FGlWr9ZsTcMD5
k1NDpM6LJYddSJ2/D1tHbTtDTuRN2h3AnukQCpsTEClKnMPEEzT42SbHq3qC3lXYudrmn9QY5Hkl
5zJ3TrOXG+AgAugc7F8iG34b4UJkgk0I95GvZ8lLYIpVZeNJ0sC/90lqXdHi7vvZPtlOQBfV6Y/u
lDwZidGsmSkS1FtDz/UNR+2bL5fgPq8ETYBMad4UKZnihhJy26n+KaVtIer0tzL8e781OdFCZyQO
yNkmD1rV9S6vNdfIlN+rTF0n1yZhMToIaX21Qthb3bYXFdWvwaTQFkeoAbpBPVUwguBEkaNmDPTA
g7D1MO5VKBsJLZYladYKymPj0Eyw2q1n8WeySZd3KNaiq2HeJGb6UlWa6YQYPkJkExh5EFtP3cTo
eo5e0sz5ZZPwBz2Y+naeyYQsKCl0bssH0cY7CRRmHIAH1lJcNFdA3BifOuX+MMg3olTZsDR2ee1b
DASu+yItKA31j8k0ayiuITQOsn0jbdyZdQIbycL7mYW05nCdg3hgdhaHTbc3Cv8ljsbkXJvq3aPQ
q1syyW2AYWhYaJcNo/cE3/BghYKccq7QbCYy0UP1XSYl4OaAYCw8hTdumY7gDPAs5C3Bv134ETto
djMBCqjLS0ir7g+gWmS2tzgcJrmnKfrWW21yxtnyyxt5bidiaFhsEsk3W+uKAMx5IWv4CWcmJJlp
69sFcU6WqA7KhtvHfsNPJnM3dLrYYThvweThnonLDWV+DSZnlSXZdBnCeVhZQwkxq24fbI+eRu3k
T7rbGZ5BSjZ3T7aqSUeLvTnmKWzuJl62eFrbp7Zsn6qAfb3fZSOkKLffCuLN9olDxc9SdTI1dKs0
AfRpNFg600JuDLPP4UdHv0M5HxGqyD2lCLflgcn2jCNmFbUOsXp0E1dLh2pwQjJeSxZOE+wUfOdD
GfXHCpqKM6oVN04v7zyCWhDiuVnyHNLIXACVPpi98Q6GxlNRQG7VIhl2pUk3j9v34JH8UMOtkJE4
GTpG0LuQYD1yQ13lEIaIha5fLlJcEvDHYdKFqdozb03ot5Ge4keHLCUiYgCmRUwGsdU+NPatCZx4
q1w6IDQrGsYwq4IxHXl4v7C3YC9upL9N7SrZ0hN6IDDJ33dWNW3k+DiXoviiL57X8MGRWWBKZED7
GmXRa+e04A9STXFk1WdjZIxe4AWZgbDVTb53w4D4CTzFNQ7cMxfRl1tGPnORTJwm/FYYAO0bY1Dx
NozQGsOBe4usZOefolk5B3Y7NOp09UPpcdzaZbXAc9KbWnrHBm8e/q1g2GkJid0Dneynh5Y0wROY
85KQK2XKc2Cn5Imp4DCZ08MY7lHPQdIGy+alQHKZFrBI/LDZI6zUNqkmDo/VVauSaG3VBv2mER2x
cZXzUgfDw1TqlzpmnI0757WrRntnzLedE+J8sturGVOSOKq9IuE7m5G4MzSkmGaQq6GNbz0uf9hU
3k3q9jA43AV+vvQ7tX4NO4hrJVBCB/PUmjuJSU574HKOWOD2xnnrakRrsDf7kxVdyrF9Yk6Qrn0j
ICHLSR9m665toDORhtQhHwggXE/hpk95O10lDzNEfPSBzrYfIfjIYF5K8fomNKv4iu/1obN6ep8l
/Ugm75ZxO7bBo1rYNd8hxbRuaUoXCZjYtKKb8ucfu57xeoM4yJYlg6WcFGtlGBVLbCWeI5sZVRcZ
xkprYqzVMGCFnEkD75wSUXrAZv7ggY0tF+fz94OM8Hw5MaXTYv39fvDCudzEEoCh2+GRk8uDRhcu
Z3zEJFAUq7JbuHoiXFWFtE8Dvlt8cdiz20En58F7xsbInMDI53fUuVg9O3mwFksneGcUaKK8fFM8
vx/+IXuyXOGsoiFE8Aq0T/hK7linfyKZvxGo3wnNoF0YolpD1O5Lyz06C7f0G3cMPoZP+M/PolNy
M0VYrSMlRXd2icdBm98KOj+o378ZpMW3jP0PWLf1o1dyzcItLaEprcLj998sREwM9D9/PqH7plVI
ytQC36FlnapVUMykYczGo7N4Y/U7g+YG5Tu//37SiA9tO9oGygIRcoNuyYZdI98AsVK4aw9+7CqS
ZrXNF9+7X8SQUhy6EU0/TSsjJvtHJMW6qLEWFQknY2H2+IoKygrOAMzJxHFXp0yr/DTf/Em6dsIU
Fweu8aQKk2OA9WdPO+jwvzHY7N/5IhkUjp+zLypmYG6G0b8VUFdbxSdh2H3/h8S6bEJTlorNSNtq
9U1D/oYjKyg6qH1vUk+hQa1gvVDFWSss4bCHlofMWJwrjMvbQ5POm+9Q8WSi2h4M337P3Lk9+kl2
QMvtnmQWfdRebZCRzfnbtmrXTVl7+n6gn72xOkmpPOAinnJA9eliLP3+5fd/5cuPjV8xSQHyiBqb
oWdsTCziS29N9uOLzvG/oWaOrKWDY8e40brn0hPE8c3tO2vcO3fAnwWQN49UjrjPYSpIG7lABk4Q
315U8s9zP9zn/jkLzRcnd5hmhqTI4T6b2deSOmbf2aN4tWzrBWA1Lt6wXxP19xAm/W6aR8JQbbKY
Zf+rjKibf0Ru91YrxqEwMWLGCMWtNIZ7FJgvugdoHhrPo0cFgusToy1/26rbjVF/Ssf5QHx5PzYA
PIMKHimaJTIairNBk3/tD7TMbRt7r2gXAj7Jp1wNjPoUJSN3JVjUcrpk8cymbvmnfx40/SiGDsB0
i2mJNuaXuaxrcm/Zsy+/++upSb6cfN8v+f1rs2vlthmd17+e1weLbf77H7+fN2tQ/mbtXMsMMDhy
3OIQTSJfM2r4XbvDFSQnrfYgeQsZ4m0auk2qmoxnSQWwkioAbE9+qW+cVRr65waP75agpiuARm/N
XPDe0P5tCA4IkYW90jWe9SHiCyGWFQNN+OCIZRLmGrsow6FCts3KFfxK+4w2+qRmbNxW8pFLzjJ/
dz1Bo9W4Topx2LplcyUgOrx48uQM+CD9DEpY0KcPQpWweSaKm6LM0hOsgfOogfC5MZdVs/TuwHEz
x6jazxqZ575E8lnbCoxRaR+Msn5i2y+p6WoC5B1udy2pvGiUN2BtSN7rrEcrrcnU7SKKbuIbpU+N
MbFc74V3I5rgQGqCvhvnfF9rEwhaaB8bl7R0vHjNPvXHQ8yWhVIRxXWMyHxPJ5K9fmv9lnLkGnWm
jc6YJKUifcOyRIvGmbegNTEavZoWeF1QZB9Wkrc7+DI/NbmG0tP3bZ3feW305biFeTZjYxNFl4ql
/HnI7L2ZaZdYbELpTIrfSe9bovSObGefVQN+ay4Z1Flq+iq1/0IedbSrl0GALuUNV8dzEsToDSw8
wUr4O7+NP1M9vHG35yOWR0fY7CXi+MkJxjvpInJi3j/n47xWGddZO1S7vgSdGMu52yP5+mV8sc8a
YHh4T5ZH1hYiVKJgO/GE46Q9uXCr1kZL6LYXyd9VSfCPnq9hoZGtNeLEHFMFBrrgJty52fzosFlR
ro2vWr0Kz/lJqAdx0fQFCQogYHDRQsPoXY2S9yPCZNFSVcm6Y4jU9eSWJY26o9VLlcvmnBidwbAP
nSaSbZzLnWtAQjWcfu2YyR2uqR9SxHdD1N8R274CNdGtBgeaQRhGDaKxmtY1+SKGuTWwfxFKVmfe
eaq821kwvMpQktgYu2kgjU+RxRAYXNoXETRYWGvjTN4JwqTuOqrx3YHSR076cJeV8r7x6FW07oM5
9K9x3r8VcXyV7nhI6dm7aUWy6aR++BL92dyTdW9wWThDeSmL4oNvH2OyE917efyTWgumZxEf7Sm7
cKM3mSt9eZqQZW/4NVrOr46RPDfojzFH0KZdcoST7m4uVLO2ACBC7rEvUk2fCjp7hdC8QkgQNI3J
1WndCf2FBuazt7wf9lPbaSIslxvlXJc/J5M8wDH+NYJLZp7kEjE8pjCDxXu2BCgisXwHefEyBTaY
1yRFLEDCZZO3dCjgwyBwf+e8TLYpIROcpgKOpvnS+l68SdEJ04c3d/XyOuhFGop6XNrTmJ0F2GjL
x/UA8hHVmUEgTKjBkYfDIgOU1HpkJZkF4U4NfgGCai5CCob0vPFMm9XGdIantCYJr5gLRv31Oe5A
vudmwej/NfGzDEodDDML0AveyODcQG/PmmrVGu5tPIp6bxUkRxnQIEc05FYxBJuBHD/RYylHYJBO
Xbbvm/rijQw22FzfxpENdfC2WmxDTv3c0OQlyf3STvSu5HLPsl1gZGF8NKFIesykaK05PwcSApCA
1JvJt+KNHXVLOmz35Ov0YdDDqqbzCnZvlXZgJAqD1i9OHu5WnICpRQHLBzsYDSyTpF90wscFRN0J
4yMM/AeO8EQlwtre303A1idVkUvjbbo4PBlde9tl4amM3AMOfTYMNiij4YUGk5Dmb8TPRRcwIZDZ
Q1lOj6SevFYDdILAyk99oi5NzgDE4OvpXfSPFg0sC04YG7hc3IsMi4psg0+LNMx10ncxxDmx04mJ
osbt11WR6H0hSlSuGinJR4SWDi5t+GMezH4LmUPlXJWxcUcoyMIUQlDDvLITn7QmiBHCouSE1c+2
HV8d+jpppQlynn4BOibhyQuZXUl3b7T6JU68Z6YWNNE6OshJPvwCscSaafn3ZhLtu/o9NEHUssu6
MZVxTa35pw9gYQTo4jMpRBC3DSGmUDQUL0bDalsG1c/FR95T+7HwNPWu90Nrp2nsrwnRhRul3xgm
Oesh9asDVgVsXn2Prs02qR7GiXit/its2b9k3Qx4npzVMFYmEWcAD8bit0lblMW1v48acs1G1ATA
OHZsk59m/dNIsB11WcPZ0rZnC0THisk9/SP1qMjfoYhF1FbGeYeVgRJY9R9TJIkXD5rXqABv7Wkz
uI3opq6YJX9aDAUOuJ+SLQku6hhzL3EMBhEIE9TGwOm2mQ2OZxoSZjxZtEBnW1zKmT6rKSdyb2Lz
Jlhk9GYVniLfvfFHz3msp0fRZyj1SuQVFmo8N2xT5hTelk+J7mdpL3XS+xlS1JzrGR46ZnNj24XQ
dDvCNAUbMXgP8GpzAQQjBDy7KclnBhVgWoyf9e/MGg55gOwpgTGPvsiuNhIt42pukFbhhWtPSes7
O4AM9dq1gqfQzysiksnOyh3d7yk3E/KCOhrQLez7wp3ua+Z5l8Bp5cVLanuHtwQCIRCHi6UCImss
+xrY+WfUy/kS4qM4jszEhkDWl2558MsENoPF14t3j9jtxXcyjfm5JMRtb1ZzcU4EG8QsWzpLqCVP
Td7h5W+A7OXKOtA/u/VS1HPfD343U8yqjardYJ+5cjolWqAJoq0feXCGp45F1AIhjBxB0x9jKbn5
frAmlHtGgNKcTCSfwT35mcPiSkT0ubJaMuPyEK2INy7sIBUfelS/dl06l5HFcF2FXQNCZ5zg3mrz
kVq1f5THKjbnR98F1ZObrn32uhJ2Y8v0qwct89Rao9rhiqBKTFOyj1NOuah1jXtRPkddKe++f/Ai
a9pZywwfCs6qd9zB4TJAUuDYKLozreebeI5ZVz2qmQrSPMh7Do9nF84l7otf2mmTvbAb75LPOKus
Jjl4TOjWXq1n4nQR/8hQ3ARyRDbXhQaZzNgicjrBZCQPznYe7HZPoh0913T2VkMPBmEKDIbrquXV
egbDc8mUfzLpubTBzejvB1Hh8rfNjZ22h4lF/TZLa2vj9OT0SqJ61t7g8Zr7MEmsC+wedH52hpjR
Niq+5JEEZadjyxDPxxmw5QGC9JFMTA3lxVnlqZWeu7FnwfIOoM4f2lkA5U6sXbz4LDHRMcSYjevY
uB3BSNTuXofyDnlMu+EyA5zchgdjTGdO0npCMLpta1amRPM/CzPaeRyyfeXRiDcq+opatyQ59Kgv
EA9goiSsJUFQqYWmVoSBmTt3ZZ8eLRp/VFCGxr30AnyUu9xi6O0quJpmpNfDzM5vEB3+PBbQreOn
YDmj6Yj94BoRqXSN05Hk1ba5rWbnMmtVkE7XvGe98RU4g4OWlAyiaJG3lARaaMWBQK/D1jXMzjmc
fgbTIUjikTvM3H0603Qz98VjWfQZM88xXAGS8TcxNZwoWTYLTC2JNLZuEyVbX/0Pe+eV5LiSZdup
vAmgDMIh/JcEtQyZGfkDy0gBreFQo+8F3nqvqrOsunoA7+PSLhnMCBLCxTl7rz2FhEOJ32kAGamj
mofEaby6SXBa/puJHDwn7rAOall/iRCJ0daMmiE7eYH5Wk3xdPMGjd0n479VeSsAFR9aVj6XrbYa
l8y90UpReAFoYnIl2JLemQ+XhIGyFKaPAGqtTeSqiE4Jv/fCzyxpEdRaMJjjqZwvSfwjK2x5YJ9P
AdUhxGRuoAqRXmVifsSEpjn2JS1qdsQNluxQUgRr0iOFV2DBVkJ2cECPxw50emTOF1wyyb0Lh691
wPIjUmpfhGzY5iE5ywRUap8L6DNqsUzLEcPxsHKMrtyHqRWymumivTWys05yUDIqD7dmPQRHy8m4
K4HSP1uGSerdzyCVEWtwFNegUqlpJtFd2b12COhJdyHIVnr6+JQi49QmowdCHhR2mvX5JqdGuFzj
+kZZlIaJXKlPU2ds64IJYxq9Q6Sq5qBjvkpA0m+cfn7KjOwe1blD4GELVJbMlnNhV9oqHd0b8+Gb
PlYf3EL6IdLQeoKHlwd3gayVVPJMs3w36ULtHNV9FkkCUM+On1EVL26T8Twl4uKo2GMXzPqiLYb3
Jm1Ws0Oe6UTPg1x5OtkhEXsA59dOQodknr/VfaMoK9rnVsc+ICp2VCaMghVd5AArZXLk+oqp5VV3
u5nXY60w/7gV7vNCHNSMlCZ8Kiq4966yT16lrW1Ey3Ql7C8ZigjLJrqNuiyG7kJ8GrOhbQuyy2mo
kKYakyQQyO7zYY1/HDFiIoHNxbcIY1LQYgud3yrA+QsVvfLcU8uh9YumbP2S1MNVZlQh6UqajcIc
92fs0g9vKFJ4IiFr3n7qCZ1dPzzAD7OfPnT2iZQwnDH2uMB87Hlvo+i/VuL58S7Y1ig0JZ5WMAWI
vcFRbvuoRQEV1ZKTDkeEDMp8ZXo7d3DkDhsGq4LEu8INL0H1Ew8niuTikgWuaoBwVUool0Qcdyll
Sxgko1lEhuXDmkn0GGS+/JW9Pj2zOSKRNTilZG5XA26aMv2MhpCIEIdicDsbm9SOPwvonGwsdLLI
Fq+90YvtMNDALXIkTAF3AKAs9p1zV+yiDaNDREQjKAEM4Jg0kelpggiO7JtVDdi8kY1uymlBjNLg
9ArMc6H7kVGMW7PDfE0EvzKzyJIJ6+CQWRxxdFHHHKMVADH5qhw0s8C5RT3yp1OsxtRM9qLq7/AK
gce3/PMoQC0ZNLC9ZAD3f3mnCwLpryE1tQGzhyL4SPrgNexIiAS2Di5IY7erpsyHaP3b6nugaSTM
rvuZDk2KgbrBGoLOaj0jMdJq8yfj6WJhS+9GRS3OHIjcNDz+RloTxxQhhRjM0o+T/hzb1neXrCtW
1c21jFhR6xU2XZNxPqJ/jJyRe8G+aYPgJJn2c81FMvGpvFZ7HTM85VUyfXSKvZhT0fXRYk62qPRN
NCUsjDRUZi1hhBwZmpHJivNOS2IkNHBE4QFUceciLrTybKHPR5+P+WSu3UMWFocpufem/SOq2DpU
kn/yKN8BimFDGH2OrCXHov8akVK6NkpNw6lZYIdGhEJMZno1k5swrGLnVGN+SmRi7BsMBK3qxm0e
scn1TJbzXjZob07UjcfBEPta169z67SXplbdpaTnntMzPbhpMR6WNbCTDfU9sxg040l8qHAQ955l
pD6aDYa/bKNZZn9Pu6XDM/v02gofhF6yL5TzAVkqOz0etF59iyICNyaN7MqsjM9aqHRogRPyaoNN
yKmY3S/RADYP2Yh5mUY93gczTnDG0Wea7f1uNvXnyu6cLWOJfbJUcEKMwnpobP2KLf6+9upvMjPM
dd0aT5HiEu0mbTM4TJLLRaUvRIdIia+aSzMx6ZbjR3ntSIKJ5S7QUkERlG95HuWBZo8EtMhuduxI
JurZTnYe3MlM7ijyOyu0CDTuat3PBr05TCmOp4fs1lAEZRjwpzTF2WNh0K8ky4Rh2amZjRluYLTj
XKT1x40YHko9/pr0KEFTFzcD68cnwgKu7hhiKZv9BndPC7BvsQBxLQ3atWQlg8SBRVPmpC+iswtk
OL9w2Hm+A3mM2XDE74V2iM9GTmzZ1Jt6cN67iuB6euTzNkTdU7T1e8PKeF2PjEGPgYjySglcwZKr
qmU6DjLSbDPrcy6W3ahy2fvH8a2ruftd+hL07lnc1qt6jNncAnPLXbr+VNb6jZvfch1kCdlc9V6H
EsFKEb2IKVB0xBPrPclorNr+i6FhuAZmzPpXUv9me2h01brLIJeSrwmdlEn1cZwc56s2oE0TBp55
E8fQ4wNX8zivQlZb+hC+zSwEfZauzPUwUIwcYBBN9G3EJYAwxfg1TdHoc0/6WilwYynEEt4QsGgd
KWTiqqOiwL0a6zb2xCKhZsCAZRLjxKCBXbrrFasemg5RRc/UJcKaNh7JDsfGjT4X83/XZp852dKL
kBaxt6H55rTYzr3+JTS694nLCo8SJJW/X4J6Q9M7wfMdCvVq+H3KiJVOjI/FtinqK5Q35kfvEBvR
V1z0rV8MGNGgQrAs4U1l5+6m3GbrGzSSXGb9l46BnWqZ54MEZey9AtRlTHaGC6VryKDgYNYxyk87
RGSCPqBdLWXvtYfVxcif2cdftRCDoGsgmFvGq77d9ogi0OwzPrcTG76UtxOo69GyZBRzzeRTttPl
UVLHRgItkV08MgkCuZxkIvXGIU1jGXIXdk1QLZSLNL9XrrrEDDIrLf/sDFVjI+bbVHq+mQtBr3/e
50Eb+Tbl85W2nMe/xkQ1HDUjHbZySD5BXEbr2sIsk8FoNXvrlCUIKAg7WGcjd7s33diTRNeaLhQ0
YTV96fuoxi1ShmAZw+lLjudQH7ylnKF+xRR09jVEwbtX6r/G8SWUpfmNQgWK52Kez7Egatu2SEUN
Mav7GgWqUtezY1mXh9g21cUa+0Pes/mThjAvPWucPJvRWZdTsJOO5D4JIKQUyDfR9nM5VyAPVrVL
zm5IdFbctDX93eLTLgwAHkue7HKFNIb60cnpDTDnBabAdSjBgQRND66ReVdvxIHaN5scZdDWo848
LFePrdcMUqwS9WUkGGXKNMugYmWaxS3FHSdC79sM3NbN8Dk7Iv2yjIfcJ6gO3A2hH5+RG7yWaf1U
zOJrN0U/s8zZR0PBqJbYakVVY41opueUui81y2troEJoxUtlP2O5K5abqB75Q21JYW+2FyskRMuQ
5HCsvlzeFcsOfLdQLSeKbzojMnnDsZ+5+8eEHbC31c0Tpjmi80L4iwkND5Wc+pPZeJ+V7h1SIXEH
moeIOPVV1VU/SDnmmuXi0pX9Onr0yQXxNIFfyJxkj5ohesLMMhdMvl7PpS1opDD5JZ8OZupVOMv9
cu+aSTtvcz7OqHmvY8dw1+hgKDWtuyqdtaJalhOkPWxFjVvZK29Bxc2gF7ilW0rddiiuJTq81eOT
Nz0u7cSZbrWnvaheaLTjsb+xiqhmeTUXbzDxFSggXeybnWSQi/Baje61Trn8HyCqx+0SJnK1JKFr
aKepLXJ+Q0wISiXJ2q4YlgLE8Rg23p3lZe6HcdU3lo+xhNEBf60PBLYuDbKtJ3HVapims3AbBjA9
+B2Ludgtr+sTUiuWrp6f9UiFkAw1Qc2ZFHRMp4sYAgUmkb+1vLdlgAOPtCpJB14/tjuVq5tr0+JO
UvEFR9RSpWfSiQoCXD0LaKVJOaTQ6JY4DLaV4qLw8DRlTsPJy5nDVJ59mrl1bFIP+9jCySI7fJ+5
VBSDcBHYwY9l75RMMKxPtgefKlr29rk2X0g//mFX7FSCnPk5ogRNoLLcZZrubFj5vPcy2GgNmzuu
fhC4WAYe1lyvC2igL3HTkpifgMC/umUrnmcsEVxP+i7wI5o7GDK0wXqpTZLSkLc5zOLNUq6IELix
FVimTS6OEk/6vMOioW3mGvdZimujqL+VnLlNksq3FmONEWtPcQtAKc4lXVOh2DJC3gqAGO4MsnB8
QvxexKDeu2WXRTbcqeutCQcF07Sn0y6PhnuCt9vP5vhzMLnpG+HslCQO1ElZ1ta4ODAgNfsQiT8a
yxlJySwpGS/X4/DgI5W94NP+fozdeOkoNBgo2Mdy33fFxLqRUzZa1otXV8nVncSvLP8EYzZ+pQ2q
T+4ZFx1C/AxNL07mg5XG07E2mhT3s5C+7SbVGllDekuoPayzBM4+Zxt0US7pgZfeC+2cdTFEps+v
2GIURh6E+87gDjoIEhwHOb6laop8sm4R4UwtLX69IxLQdQYfSc9GH4zgos2MWKY7vXoWmihuftwa
Pa2VWs77vm3vBp/xlLgI2SZAsyIe6m0z3VoqXjO6JS8J3knpbg4Vthx0OM4O8C36tQqeBswII45T
rKay2XaWYo4NWQBhbijXXlRA1a27O9gjTC1QjJ8NC+VNyfCNkaZH1Geq5NKyg19bFPEKTS/uI7vF
5xkBp0JP8hfS5/+nqPwvUlTQnjuwwf49ofD6a/g/H2WT/nP0yt//0d8Bha7xN882TM8Fy+XiyHbh
s/wdUOjKvy2oIN0RC7xKd0x+9H9zVOy/gSz0bCxwLk0AyC3/D1Ao9L+B9bEgpUGNsKXFL3xwIP+B
BYLu+O8xQX+gzoRnOxZcQsuydQAK/wKgMHqn7nU9LA+THma3Rx0KHgDrUhQgBCT4OB1n2ipircLg
t40LB7QKM/0/HbT7X3CE/wbBW1gv/8xMWD6FB6uIw8SxMP5kl/Wtrs0IxBY0EQX0yg5eeplfZuA1
V5um73bKm0vjYDajeEg9W9uEdvebZUe0i2xiMFBbNv+BCGT+SebgIwldmKaru2wErD/JEg1bSypL
SP9MYmzpqBGZqqvZWGeZ+zPvEv2ejWpfl223s6zwU9huiW/TIWaJmlVha88Bzr6NKgasq7Yd8AvA
RSOPQ5zJnn7t6tpA6ktNTnLZwXYnms+HQrvXhnY/mAatwXB8+w8H+U+SB99ooVQJSay3S3DPH2CK
WtNb1qpNcdDlrJ8AwcNSj8pmU4Flsiop9qzrsSilo7k3KrFLgUy31topu+pMX+w1Ll3zVpjelwCw
5n+ijHCp/3kBgCthJHWs5SZ5gGz+ib9EXzxpBs/ND1RXn4PB8QdLz9ikOtMuBOO5aiW+O1oBH7ZU
xJ3ZZEuaQ33InGhEjJDOt1y7hfr0Hz/Xv1yYxI0SPcQ94iA+t/+FzqhrI5MaQhSRHuquIBBXp5Fq
a1OD5biAc00VLOpgBhtFsjPDAU3FUC4B6yOLr9m45Mw9//NptP/EaTGE6Ai1TFtKziVYLQ7lPx2q
qTX0OaQYvCd+YdjaSaCdyALa6CbpiTKLm5csuKS0p58IwExeqaZtJptgdJjH8TZv+pEyWzVeC1G6
LAM11FOkAB8nKzwU5ax/aRYvYR80F2JoaFJ6Gj3+VLwSCAg2o9ePQglgwQl6ofGWQOk4jFpJ+xgH
Gtw8+gveaG36YPos1ZLUq8lx25blWbQuSdNVC2Sp/KCXRm27RW7C6mZvae0VyL+2Lctmuja4Qqbp
d5zUD3QCxhy3gmQuChDxCo2uI1m7z5LOykAEqj+Z3uv/fHhNuFh/Xovw0gxe574HGWT+SU4rcunR
oOvU3hyIRjPz8mqFwakupDyZiYUrGtvKKq29/j4G43UsxHya06K4J1Fxx+PyMNemfgF74CT75leT
Y5qYag7QpH5iH+W7TzX11WAOTlHg/qhq3DwAdCTHF16MIwafulH1EaAvjSLCYLLRbHdlYLrHwRT3
1DNf5RT1h6ilZYILTr8+/g8EQ3jsHHXvpYM2MJqcTasZ0e3xkEXyagReeRhKI9gopzy5bfHMaVTX
rBtHMDC28drD13iiQ4MtRd2LLjcQO80GXW+FlqOJbjKpoEBPOrxaUVL2gLNhQh6yu5zysm4jb6EG
Tj54W8OQKQs06slBiDm9dLJKyQP+nJRZ+CNF74uJspBsTpURLu76OkvuLTc32xt6t/sIlAyZuqGf
nFOj7PDR8ekRZcWXJTwiN8PwKU++TFqr9kxttPWMGbpP0xtXXKmmRvPKcdla27Xm99XClzULie+9
ZpFml+4x00d3ZZSVcWBiB8Cl54g2xVSCklWEPEVxe1YxgVMIj45aRCcDeSX9fWXt0zb4TtTnm1eV
3vFxjtADocKO4JO5Q9th5NA/7Egax7CmhTcONq2vjvUrnrWw6ooNxhD3zKx6kLUbP7mdd8q73DpH
mJifAq2Pn/SEQiB5u2jfStSJWm280H0MGJk9LPEjqUamg1Go4jvWXoF7jqBf3xTTuFLZdDbdxBXA
sOon6ZB4WdKI26mq+xZ3ISnNo1HQeFXtWrmCToANXs/1QO5MzPKJtsgtemHyR7LkLJYHylrWPhii
a0rzhUpDh4Bk6fuE3vicDEVx1Gwjvo16FG6THqbHrBYsj9Nkhz6y5ntZxPqdRGNgA+CZ6kl9H5t6
uqtcG+99l78TXX+aVWftZ2O0noVOlzcmHOfxzBIEl4HLOaJpkbcJOIxTtfIIXRREsHRvjwdCoJH+
ellEZ5PXZll4f/0gtfkeXT94m8drURKjkp9BjuRmOZ8fb7YkSZ82baCNzGOPbTi7+Spsw6dmechy
8ETcJEvIDE/RT/EDKxovonF2j5cEyd4h4OBja+UDNgkvosWdhi9pEbmYAAQaQFNoz48HPbGPUTbN
V315R+Tpap8tW0Krurit5dwfDx1RTMdJTD8ez5ASzle+no9kn7G5pajUx1H28ngY++AD10ixnRi0
V0t5HRlMQp3S7cSmyfKciNC6ustsoPI2yu4lpH/NBDuftQqxs7LkuxHrLuaGdnjBI09kWfheFbm7
j1A77JWddCuQMGrTQZhf6TBzrqpNacvNOKrICqg+vBpbg/NziPGb0C455TrkPJHZ74bNXtErycww
RBTTeBLwR8zxB6UEeW+8FbSybx6xV3fMKwG+L+V0J+GonRtBp3OQdCM57Pc01rDLS9tPlETCEtDV
4L7YaMDgAFBnBzuz6w1lDxvVjH1WDTb32MVzkRLkvAndeVjDVC5Xsh6mXZanlJ4Heo19Qn4OnIHf
JkPbVtLaYuSi2EeHQfMb03PWxm6Gn7COrMLPmzF4irL8G7sz8CEMvvs8QfrVKO9aal20+Bzx3vQ5
8pKEne5kviUd9QCGrvruRMVTrA+vwag5mwEuL440RCfSQINCojxWFC+8gLkGFbwczUzMEJaKBuee
aR2qFJlsnHyxlerueoeCsKax+Bif5syzXieu5ab9iqezemKmuubWPJxkTM3P8MYXNrDxjt7nyCIC
5SivsnR3sKmOyJ+H8ZtoxbwVcXtVJo03NTBIOB6V8Fkujqohh4897yPPI78QTUrPL/gIs/kFOYM4
xwD0NgWKsV2K4hfnmdzoMtZI4CKsGDOKjIz8xPm7o+EdTl3o3tHbjTS5AuQTE8REL3L3dlY26I+9
NdWEdFcEJAYJj+IkXw3WVO4Rvkf0D6YAYgsazfjUtYKWtVSbKklIJC9UeQIKlvCujm6JZZy6yBvO
xCVaRjFfDdWfijLRvszzHimYoOUWTXuPcJ29FVfXWXk4MoWe7dy6iLdCAx4yTNjDyRsqKbl5I3Vy
LK+098B2hJMvFLYzLkftPUQ94UdjuZOqx3Nhh0h86qfGTsi9beNw61ZjxZ83QXF0HhNrP588sqIP
ETokJgIDCGXuOUeZzZeYYhoCxIHA29w+Vh4Gg4rmyGqqSnlGaSvPmJLHjrwLJxQ2DER45DrdgfKH
7i2xXEOV7PENXWo8vFdd/kLV15MfaH1lUWMfUrv5FSclBhrdQfbSgWMiHpBO09xsCie3N2GWDHsF
W+rZEbNxKlzBdOwtGUNm6u70bmzujUIM0heO+I6KufqI3ei9Twf7aLVgggYBq0NluYZRy7IOSLcb
MjKOjdNUsMmwFnhxnx5ICrkSmuJWMWlbLcZ0raXrkjp3I8lLVFJ+VVXloZYV5h2X+r6bJNRI3aA5
PD681oXtU6XkhcIfJroa65w9IfroVKxfZJ7u5jBHsUPLAFUiw0AfH6xuZPb3RLS34+Sjjibt0qXt
SvDNJq3pbiKJKJaKOD+NESVxYgiDLQKXdU3fbC+t+pY1/RIbsW1brTpAZO/3/fgL1X0JgMcb/Dlo
flezZyG5ZwJP7Ir8ELzMSa1tUWA0xFBa1pFJrdgITt5aGljcnRBDItI2129bhkIVjNjFK2sdTXwF
QoZyH3ajdjATrqbld3RBgA8Go9uOK+hAxj3K4Dmhgmxir7eCYhUOZAaPIflZjCtyCx73nBf1Jggq
7Zz1XYbJDsSFal1KWCCSOvQrifMrE/F8j8Bixa57oL3oYX5HCSUm76gqhRwn9nDbUqtY9QQctbLP
XtXgQ2nwNiH6ytNAZjZ96tdGAU9FoZ0Tzf4F12S17WIK2QrXaDwHPg6Wcs3HoaQITW/rOV7yBg3g
d2OHhEBNbvLcoKtV7WR9h30yr2cjr7YGJc11pOEKSbq+ggfF38lwIfqdojZndMnVaV3Wplae7LVo
hN+xPCUufjwzs3CIe+8U4Te6wvYYX1SeE/QtNzjHnQs9m+FUOXaPfdoJLixTTd810/yrEQV3bUj6
X5bbHqg9XLwGJwQW43QNHtk5mZ4E3dcqtdF71MRs4x6vxMPgnPCrTat6ttJNksVVwxXHe6vHv1LV
qeklvfjcjQCSxcO5IdDAVzop7EXeDSfHRSoVR2yTMObyVAt+wsPPtsNQkQlq59+gu2gnkBbh+fF/
jwc3wo056K5a2yS7kQqpC+0k8WTVZi+Oj7e0cUosQqftxln+dsH2+b0+XTU7sch1dIigXh6KjLNX
9zgDY2SUNE8z9NLIvX1bL7ObN8cfNE2nLb5kgy3dk6jv6NedO+E6lHSD6lnPTPrcVHCwDE3V8+M1
yo20lJre27UV6K5O10jUnaLmGawUvdoOMN7yLMA2dARBSF19eUrIdRF2Wy7jwq+dfAGW2RWk9sYi
lsq0nqYUwEVKk2Ydod9bNVRbDjXpVOvRQfqNcuas9LB+wRK3Ztp4dgmwOZZTnS+yo2bdNAaKUJm+
GcHgng1Caz0x4H7Uq3Crh5Hx3KWG/hzBFBQtHzDopNiWA5ZdCM2g1zwU+Wq5fbxiY+JvZLtRnvH1
E8Yg6dJCv7gZLc7CadZ1kF7lDNFwee5WgtAoUdW+V2JYZYN00iYPFy5l/nVLEe0otPDZUnhkZmv0
TkRmDceehR0YADL/lgcyVlGV/uN5RPeY+w2LpslxZsqcnF+x0U5YyfeOW2Pzqu2nrFLYWLiJTqzL
MQqkEajPiiL52CQnNwobpPv11SROYQu/7qumz9wOOFp91g2HsXCSTRF72UaF+Rml1demdD6DRg9P
WtbsdblwJPL43KMW4MSGT3CZr3KOr03DdqQzX1nh7RNDXceYjzoZgt+dGwyRVnbumAU8G2lfsuSx
ZVG6rs3ki0ZKqIHJcp0k8atTsPVqLOr787YPHEIW4P5wC8of9ixAXrr7wevfsI4oVDcfue7MvlPE
aHVeI2x/wKSScleMNAAjD73l0E5royXzQ3RPLE6+kDhZHjIx7KZy2+pm7Vf13jSSQ5gdzCa6pxAe
dl3ACtdE+mYUUBOCAXl/NoVnTUyHwUX4UPc4uPXvpcIINQCKqklLpP8/rozGJRTFCsy13Y/7Xoh0
l/WagTiCe6o24lOsl81a99QvQUt569jp9zGdERW53hezdLoDUIeRCAvOb+YcKLVhD6D3SE3p6C7D
5eMht32niZy9kchf7fyXWgBuonPAkaFvhLCfnHiE8URColka1UorKo92D473HllbaqHQqWB+Jo72
rGHy3JZ1725IbvocpWIRv5R3co8WufeumziBAseLaU2N0ndQEaxQd2JVjhHtMXViIGA7VObGb+C/
hCcEBdJ05m3NYCHQpfX39MNKKnrtel6j06I1vVSQi2rufjJw3BiBQNBYprx5WgiqY3DRmefl78Ee
xTpIbHNrjNJ+Dx3rKokrRM8tqYA6BqNWJNhfRdabI6uvjYqzY4y69ixkkC9wgeRs1u2prSv3KXWX
1VfRfIuLsvrCKbloWfDe1ECo4qb+jkoRDL5Tz7t2QDHh9FD3wDbqK5sxhE17ehKuMaJPsiiYoci+
apn0u9hsrl2audu20957hp8CafspmXpvU1VMX14Al9Q0rIbuWhDtSXuWu1l/lvNVVXEJ4LOqnpDG
r20cA7lKgYo6rsum3DF3vTGRsxPk5x77JpulN93oCCZE/OxzCePOLGoOotmcRN01p6oRGcECTb02
AAgcAGp9wzAbrwavPZbmGG0Z9xi/bP1mZYZ7jyhQF5pz94ggFJP+vdIHcAmhK05JJqd9ohffatZS
u7THhjHDpg1MZBM2YXoYYGCD99ImJqynlfk6UFTeawjXfKrU9a2s4xdXpIikQetw1tAT2dSTAiQD
GyJKNx4ETzxoM7jVlLv/gC683qLLx+C5zBvgtd/kZFsHFgrnkjRaFOh8+kwkT54zBG9lUmzJv3on
kXeAfUkShz6pmkJ1U67nOCl8Y0ifDE0ybo0h4XV4HA1sPbE5AKRog2CtluxwK6xvfdleUy2viJHh
5+nEmjbWg2DBTe6HtjbXQbGYbePD0KXjSivnwQ+r0ToaqmTezN1yC6DhjZyL6riUrmfEi/xvaywB
aG1APk5XffNUFqxG/bUs5FZLB4EpAJnVscoz8xhBUoUiKMhRxTOTfSYUKI4za0CwXKbtHR/PF0bc
CAzz4Cype5VJIHmzPDyePh4E9hAcRv/ux8ESZP6Pdw+ubLdkp73AwtgZMAbr3vlwUxCmrchMZwM6
dJtPRbrva6gFzfIGKlPHGW4KswnQGtlkQJ9IJn889MlkbKefEXtwXMcjizVcDCo+ZFrO0uumKro1
Ku6fiqA6pzLxjgXyPdQk+fcpxxuqWUglABFpZDvc2hwgMHtdD3NJgyPCgfkU0nJ+DmpsZ8RS51s8
70/gMNogf4nd/q3RPWv3oIzpNkGKY4g+pmlMcn1n39pVcnBfVENbRfbeF33My1cZTOXr7FYkipAJ
3g8HQA3pcSDA80pIMEHGrkZcVUmmEmI9Dk12DPQIFGenAfZrFZWMqQB2HKDincEvg9/S8uPinqW4
Kl4A+BRVlR5lOf/kZC+OLg17/lB4i7qjQ5k1fTUHLAwQp61dJh0Yjjb55TOzcYM1Tc8nNOolkvUo
o7KisrC82Ul78ZBRnmq0/ZIrGTxIIXkXdjVrjIy13m5Mb06/OnnenIKCYkMQt4Xf0i87p1lxtRBi
vi/pV1uXNcIBFmz/JDUCQ2k/dD/GNNq5M/6wuRMvrhuVO24BGM9RVLyXRXAqCsIPSEuv1sIz+uuY
R9mVKZqNkuw3FYvx72FFjUeRC+GO4gMl2hNRwu6vPBr8vmvWJmPMjYSg/lyECdBGfdrXonUQpVke
Wy+b86pTSIeO/QzmjsqgosjLhtr1S9BXBxPBg+/mSFAUHI/dDO3Xxy5NPArOMUpzM4kOQO/0etxR
4mjJUFikI5FyrmEdZtQDSwiajtLObqOFEMil8Nns/7bqds+G0lmoHah63OKWGr3xSrHtGFJQYI0i
p5PNDm7CzvDSdIHaLM8whBtr3EvutaPHuxrzmZRgsdgtpuI1Yo+wThS74LDJSQXy+nIn9I5Uginx
idHUnkY8zIntXpJmAXJqzo/Ga6cDaKaxQ9JD2ss4aqvYRmxUEaVML9AQhwGM47apevcyNPnFS4r4
bGQyoz04nuhOljBDp0tvJOrJzJ3vKW4QaNo5ivNpvCd6q61NXLPYgDz4J+pZtUzGbagvNIP5Z1vn
/V4EAkUoxVWwkADsHJ0GbtNE2wRG+gotfXuxvHTwk4F0OHQaeJqmZq/U9BFFHUv0oTGuj7KUtC1C
5Ubn2dC/15YA6F0Cje8776tTpZUfVZF1zOIZe1RFaC4Ssn0wNnQ9w/k9nupib07DC2drOjiFZA8E
63lbmAoXijcNK8STcM9Dfd4aXGAMEZhuEpRBKdXhtuT9kdV8kR3IIQQQq3rSgShm3Zkyp30ejQ9X
5bfCbpunCFg5FeiwI4S0XeWCKa0Z2nFnTx+THK6ykPo5TIHccHjhkxdfoaQPp95xyGMBZFbgCg8L
rbyrOji7EQ5ja3BSxMa0bNLJuUmS2tep6ZBXGra3mdJ26NKxQUgTb+eyhrEVq+fZSRfj4s/aGjeF
bSb+EGosthMxbQgfXnbqHZVJzWN9DE9rsNyd49joS4fuhz5McIY1QrrahcfT70t4hcSMj+oS1VA1
spBKGjKkofbsnQUfD0NSBXtnqRy0ee74QVeDTQiLfUNSANHDpALHXm3sJ+BA6KvEFYar+9G8TQzK
mAJvk9k3x6lPX5CjxtdkqsxTiqnBqbGQjJPERxpV5SXQ1oZkAylN09lrAiPlxMYzoqA3KKXv5pbt
P6Xi6gujPatwPdnOAK+/dfNhiuOjskR8dTR6zSyS8IjqmCpvcchKyKXzdI9ahkOr6bRz0mj8UjO8
DzbFgLGZL54IjD0W8nRrsAnZhHQlcBRw/FjYOqeo9NRJlfJtGGW9q80mWBsNfA33v9g7k+22ubQ7
30vmqIXu4ACDTEiCraiWlGxPsCRLRo+Dvrv6PKCr8tXvSqqSlWkG5qJoiQ0InOZ993420kAGHv4I
yP8mCjoP7a8OK3sMkq/eypxtmSXaseie49HtvvWT/q1rmWElDuVdZPAVg78wdmU9R4eww7tLWjlS
MFpjRuJYOwWLBO+/3t87Iz3gkoVf0mK5Ckt58Eb1ahtJdCcaswJgYno+wkpoLHkTchJq6ZPLU2xi
FwWxaSXBTo92HTKtfpT7mP3/CcgkqC5vck6KNWPQUjhKe7PdscOtzvjhu+MYUTUVyjjHkfOq53a3
Z6x6pVUBhLBYoN7jsrQwahq+pttQXzI5+0y3zNcQ8m0s5kPsMzto5JmHKYUTMNY9U+/Rjs35WMKh
2tnxdGewoLizlpsYJ+QEy+kUDKwIkUNC2KctdYwdms1lbFyGPGt3QaLFeCBOVFLzU2jBDkMy/isL
qor+RFBeLNvtH7Q03Qn3O6x/cWm0GmwYRf92SL/Het+eJWyYO1z9ezkYOltE0tI5IjN1uvjSTqW4
rwhpxuHVpkQB5fkpz+z8FIUZvL0aJGhlVMVp1Ew2iPl41hKWfJGOvTETTjdi6I6/nKQCvRAJ++jo
mXvw2tc8hM8dG0mwdiR0GeR5aqbcanK3zsIZ11lJrjwli8W1Ox5v8JoC3Sr+68bYgiOl6CeTyV6D
1+8PC3etHqqg3pddU22CHqG0QkuxEjHzy2wGocmMWA73kXCNbZLRiO+L9moC5toXQ5BAbStoMWWF
NZyBYCwRmzBv5EONvRABPDe3YSfjCkaHku7l+EDTkrV61brFvVza1PZoNGcxPpihiPYugTrwxhD1
TERAPUTLPRlrX6li0120g7Mf0DIbJhiqvs54LCjOjuqbOxRyO1yQ8EecUfjlnGaHCPwXULCILqts
dpVnXYs6Y5q09QXRAKpvJsLtPLRYL4ZcP6dje/SaAlLtkEaHSs/6PePe7BO26lCMzZtdpub3SGKh
193ce+mM+Fy0tf49sOZiEw1O4etgp7qGjX+eg8hyOJBoGKsCwIfSjqWe/RgMM9qkg3cqCwFS2rEl
crsMiXd5lLoVXurWOMXDOJ1C0ZmbKJEdrkD35xTZxEkGCux6ZJ4i+kbfRz3czA6UsZol6b1RhsGZ
RBlEmsDcbAoox56lniGV8ZEi8ZsJGJQVi9DCpfqXd1pNb9OksrPrLTLN86rxLslCGEe0C64mvhsz
6gl9bgL4r6uHSlcPlOj9NCXzZez1LxF2P4Uq1D5A2X4pKU9TWrjEpRXvh5bi0u18uJ0ZILV2NksO
v2wztTHzHDNU6HCdhzFnfJNe7brCwU45Y9cUdo0RDnZWZAYr3ZradUWpjD7Ujz5qjbXBvLGiGV/f
hYlxoQGO1BO0gt+zdwPnsyhYaXeuSed97tPcRtNLpSIZZ3jGtRpfC098ac3MQxksfdaZ5nXuWLUW
sznvboOwpegqxS5rOjG2PwdkKee8bnR4vZXaTAWdzToxNfDLUkDgl68RcQKXgpDHc2SZr6jBHfr/
Lw5Os4tXG1Soi9jYRXiKtpOn10d7KEudsgB3bz/jCfv7vXmCq3X7MZpsZFZx7DHXtUwJceIdLEI/
yczuiLm+3RTF8IasNNuAl93ZXlweO1nSudcz/R93U9rah2E6U2wGIbXciGUr5i3brts9vYuZPVRL
AZxLHmy3awGSFhSTKZeAfV/9vg/jLF6FtZVANdOywy3xC8VrfrzdeG4MVtupTkZb6biDu8+0zaHh
zkua+LBAqtqFVH27Z6TKYQx33hIpFnTfgvr6fXdc7t4SqxGL0oxsRL6hr1wejQWgNS83tx//uiHP
IYauQq82XhBZtye4PeHvp/qfj9XIbmcZqn3OBmxeZwtETIzD6+3X0ttjtydIddgHv0Oz/3jCtESc
hZjxtaJGelTOwBcBfak6/v55eTCMtJlaMzLforcAF2cFIDKIW0d6d+p4u/fXj0GksVANW9ZK/MZf
j98O/x+P/fXjX79n0eZZuGP/eOYM7T+1g6Jjac8XGP31Ld5+Bj/HNxE3IRR2odO4jHFy27VNPkXk
YHUQOYIML90Ng+tROny5/YJmf3hmUx5GOZbNyTPyvz+vnAvOjttLBKov6AzzP7d7RuQ2vp60P/96
6Pa4u/za7V7juc1ukurw19PdHv/9nGqk8GeX6Odyk0GYCl57TBpoe7d7t5vbf3R4zVdZ2tnruHzx
aH4e2gXSNvVO5nsalxUxcc2RddGK2JLscPuao9vp9tfXmqW4dbioblfSGHfV8XbTL/dsBztnNceR
r4XDeKzKYjyalOcp6vHjXze3x/KIQIleo2qetgHolyxX/u2DhAmxeLebSdahH4LdQC7iFlcv6ZE6
oRfIQIthqUH9ueiaonEF9WQrHVxOU0y5z9OBguaLMlwsRsiL5gJZoN28S/JiZIp2trBfP/M4uhpF
8WyllGCHETQekwGlc1zpoYHsYNqxQDNPLp7Z2EhJqWeHt6J1eCW85CE3E5eMqvQTIhXua6O5OooX
zDE1Vx3XtFaoN3eyDn3R2OsiiMJdY1lwwKiCogI7p2GF+kiQzlOJh9ZMwrvQBkkzL8XmOLgLUic6
QvZHjLuSU/NBLY5eOY3RFQKwFIIfLN1dg4pgAQ2Q9QuqLZ8qm+pm60MwyxG1pM4hcKxzYNv1ygKL
tPSGuxbXs5M86NI72VMTABk69cCOyceZNqLpQLrUj1TMdl1wNXTA+9Hk/izFW+sAIlOtd2jC9Cej
9YYmIJ8njHeJRpxkUk0/55nuvZ3zddOYdSfPXYWluJqDfNf0nd4QDTLK9qfb0meZPEnApEG/IGhS
GFcTHZzIZLPANE7k0SoSXQEpNrXJHMfTTg3oHAbxD2i1GVuPDJykOR4UYouEzk0PzNYJgsfYpZ8Y
4lyKCnsh/oAi9TYWWeRrujkUZFzX3A4UUO1WGxc9yszWzWiROrgvOI9WIN0xbrMTOwZmf8Anmix9
hWhbRhn9c8/4rpyd6bHNsnKW+CXorKYPnuL2nshAy1d5urY9CJ8k6RHZQRYbe9qMdB/YCSGNQIfm
oAVLGbENvL6qo2NFVdI047NXWy9Ta2LScNpujTbimRLVmc/erGAkoCjGF7eVMUdvYU4nAgdQ6RSv
XJ2/jHbTztRJk4YGNwv8AxRo/ArABILZpodhRbsZ+pvvdPoHG4iGS9Y0ajhFBlbUIlQb6vKrcRu0
5dvU4tAtVfwRl1A10URvUEiCixTktlm58TxJ8Rlg0hXDsUy1Yl23HOOu1k0/MPE+GUUe7KDk7W1E
XhBswZ3oGuFPLXbfq5l15nbUtMlnlQw4Oir0TV2pfp+EI27CqLUv44R5jnyf0+xhuoeeLy6ECzZP
dNW387JtuD2EKXBVEz33rBcYaMQoPL+p5u9mYIpzPrfyIJM0Xyc25YI5NOUhFKO8aOSC0UEP9C19
RQSdIriMqIsPHptEvBUFF6gVS4oHwkDuA1ki4BM0dlk82U4xv0RRuVH14o6fAlY8OqeNh8YPXQt6
JYs2GpWJpr+M45Tc92VyZaLoL7cbjM7j2OgvibqLA54pqazPyrU89ljBcJEk5W1IxGMqnL+yOO6O
wGLjx9jS3NUAGLoMTMaqzNtLOS+XiRY/h5E8RjYYIBqzbi96ED6CHgF+8FUu4UJb8hkK1HbK5v5R
78yXqqh/Rnru8V8TterJKh4cuwWzphvDwTVSi1GjRmyjjBEDKxZ5gox2IA2se4OdXa+K9oTw+531
TrpNKCNS9xuxzxX2cCeT17xMXFb/BC0FzchZMFwQerQrsx9gKrseSycM4jMMw4rc8rMwJ/tcmMgV
R3QNWwcOFldyItZUsUmfIMokDiPjzjbsp6rHVkrQ2OhTriJEUnvD9Oicrda9A/WVwympsJvl2Gtx
ShBpR3wmanU4v+jDv6bMfEFZEb20lOcJu8uvznCa5sZ7EZHDuJK+5cY03AXeVJ4TzXi+qW6qmqok
ZBHQwPW+d3j5f68sNv7MGHZdVFfSErg5DIJ4nT+yKufeTLxYQqdODaKXgcIAnc/hl6MZvLqIFl/G
vKkJTJi2YhF3jE4b/4e38Gewvc1bcBlQdUMYBO7q1h9RzB4c/C5B0L/PNeROQWc+yJARQIPwB2zH
/Z4BJFoEASXE6T66JwVr7Zm5sdZKcmeaygKLROHwtIhN9d7IHyCuXFqaywe2q/r9ogK9VaP+/YEz
F0X7f3GHLEdO13FPoMMnMXj5/39SvONmyKxEjRw4D8R6JkjSJK0S0sWM7B20/E70rtqMvXEACxft
2Dal32cyo+z0Ix6mu6CxvffRLw03+nBM/ZUMmYnij/hCoCJsxi+WwFRjHnGQxqs8jufjf3j//2Ju
4P17Ji4C4qX5GH8GYON3xDNjOIqhrmDpbmOujNuGD4E1LEVQfUCVUayRPPXbOZPfeidmeLDPSQuQ
W5mKqDvTvRvcD5Em9X523G/eUgGpkvI7V95jMpblbgTvuG7ySOzaxL63WwBktw/x/21g/wc2MPKz
bS7W/70N7PweF1//7AH7+1/83QPmOH/zLEfgIjGF42Ld4gT+hwfM+JvOYsBwDemYDlV0/Fn/8IDJ
v9nClVjHMCHQZNLJvm1U10b//b/Z1t8ImJA0XnXDw6Tkyf8rD9i/Gh7oprJbxhmE+8b48/pqZaJr
7ajRhZlWgpomMVHg7bA7rcyfxrH+0V20AzUS3MAH3CH/dKAe/xfWr38xoGFFcgQ1L0Kql3Hpj4tb
Uc2sHBxJTKNYU0jzaU/ZcE/kCYgvBOXkk7rOF1Et/48vu1yz/zSmwFUXfR3zsvW3DgFr/tBpO7/L
1hOAteYkSMDO/8NL/qtv579+0D/GXlJG68DteUXWhd38ZEi2k35Iokq8aZPXf//xYNv+y8sx0Ls2
TioTAxurvT+Oa5NpJQj76mbSDY4R/lhpWwt+nbVr4VYQEdLIp04Dk9BjGz0B8UBZObAvlSJfQaMk
+whGb6IF7G8c9MHFBKRzqEr68DXKFMO1CO5r9G47S/0tkL2xUomhY9UjHg+MFd7u1cgXTxNFFvsC
Bha4+7xFPMwRTit2a8nwEGgVKRnJgJPbgDMwN8jRRtqbzi0fre835BtErdIPtjKf6bLZhD2xeBgn
EohmCqyWk98HoNjZG9cbil5vqYcPXIvHq+WCDNEm+TLKLHg5d7EJt6KkqDbMuh9Ian4LhsiAqLR3
6vdmGjnzLKy8pHGqYrqyz1rUxu0iaz82DhJcw2rOclBrU4gjiqQDWLuflsJcH1AW8wrrS+RgJsrq
B0ia6zCVSD6bsyaGt4nNz1pS6F7NCYTIhvVzaoBYxbtBYXkM1zOFxsz5oNpGpXOycI71dkWixHBl
sU5Waln/QO/GF4P+vog1dP8aOCXFmtwhUXhjqX2V/oST+mVp/B1qYK5eUvGQ0vGRQ8SHrpuvkUc/
KUPtyiFjBd6xv+Sw7bVq+lZoR9Z2ud+2M1TSEpoMWyvqbeOyE0BlpH5Q+KGNDRSym77SebxS8diI
EHZ0PV6ngU5FBv8XvTBibzl/WVZ+DcvPIm/eKYRny5YLo31Cs7LT1lOa5L4cyh+LDEKTztYsIEVa
Tn8VZf6lD8qPW2Ssy/Pk1njVJ/EwqUenArKQNjZwEaQcpYCFhBHedaLnUDBclTWhm4XGryjl22Zz
N7PUXhPdtYhYUVYTyZgCs4T2kzccNRdl7OCQv2XyGQ8joupVruwvjSzvHYEjazvX01WqkYs9YKpI
4l/NggrIG+B/EQKI1DIIELMof5pZ/Q0U1Qixvfn0FBx+LZKj36XpMU/5bW22vnRUoqss5JwzZ2ft
oa818B6tK5c3UtkOW+9iztd6TwACTapzRuYUqHgkAhXvGZPWk2fUz/bMaZIZxp1KWJH1GuQji4XP
KtOiAzBdnywH+FsV50+VtsMqyiiKAKWJA6oFUVrVnDL8QV/tbl+05zLoVME7ceqPPFfIjp4xPuBg
DGa9KwHI8ertxohoRJTmE5Gyv09f+lmgUiER0wjraTFnT+GEarsPm3nV2u5zSkAiOUd8ukBDjaZm
5NeWoIYtnfSwnDcjffQ0H+4nU4SgpdofRuWEawJofaWAt9rSI+nWqyf0MSQ8jmzdC9F9ZRpd3QmZ
Rt8ROTLMJ4nP6dDpeABLtFp9Wj8CMTd2TYeUomzRC9bEinYcvtuZp6d0jFzQVU5YwljhMsziKt8l
SeDHdRD6YrniFIrINer3Ktp6PfFARGARlGabyb5H9NmZJZGS5IGQbs3VmbK9rjX9KzfaFxNBZGoa
uCu5Uo3lxiLLaN10jPF2XW89Z7j2kmPciPqHjIEzSK97qicnXCXetHOLcJGn02XsX4O+NjHw4+/A
FFYuIjrqOAJyJA4Mkinzw3I6uUpbXI8MZiG7A+T118xC42baW90t05XInSehCMJzuCCjlBqTmmAw
gZkOdC5xwDcEejPk34YjyLKYSQkcIlWkE12KIoW01DzgQ3nVSnd4kSS0v9qGgYo2KTHCGN/WI7Is
M3h2F29Hwpdqz+ZXTUrvyvK8/Ww5z5EFFnNRjYw8WHjqKbbjp7ofdl1dXDWTAl0dTyTJxPXt78e5
3WKefvPM4Vr107X2FqZZ8ACskSjQGHBymIzXBZcISPelmyufQZWkkIFwJMX7RHXOGFMjno7FtSr8
nk4sPG3rSyWwbARnI2MZ1EPrabCzJ0PPn3Kv+uXNknK9uQrN5Tq2+UbnkcNFTXhr96pbUb8hyKTK
Qa/JaWcjAwrm5tzpHIp85Nvp8MdFHNZxGdxH5EOlJBpYthHIdNKJEeo71Spm/lnX03iuM41Z00M6
D4nrK5bUFjDFXbL2gXzzaobUlO7Z3aJCo2MG8yahkKNNh8arfyyHZKqYYkzwh8Bj8lVOAhwh4PPt
Axoajouqi/B1ccILzH4EWVGjBt3lzX7Da64ng3k0VmInm/Y7M3KIhTLy64QvHL1U4FOUe5J2g6yg
/BFZ4bc6pakYS5t4wDm9m5jGO0kotRfDFhoj1GGm5Xd19jEbDoqYZVQDj6lWg5Ei6qrnapXBIV1R
xvCDhYU8oNdzh3raqxJobFsG8ORl85RMeC8UzR3fxVRnRILAvIJLKKpR8Q75U11wUZjj8GiriCT1
5lxhql8twSjZMvNFbXYGz/nEXgrxDjt95ugTX2GwSXokdOgIAG1dS5Jft7ZAF5omih3W6P3CCrmj
ykFLMAdPbhQ68Qh8hDaKCYRhR67NEIc0rtijS3wDIufp6iHnT4gM9RlltR2yTxOVUUT4PNFcU3Oq
hwtuFF+XKQVcMskWjenGHd1vdSUtxg7PouKwMivZk/5DkqKcULaz2ct8XfBUTKqfjZj9Mrcfofga
TIDjXco/1dLPnIJ2X5q9+TaQQ+CKHJUxy5og6U5D0nanBKuvqMS2h2d6N2sOmRUdbY04Jq57EN8d
yalM846XGk1apkS3KAAEUdmsVT13bJcrX+EkeZjrEfVMROJmRwJH0C7AAyTv/UBtOKMPA1qHDxUV
LoczcxD3eumlR/OyMgmZQauffWgKi6DrzMwVNGRWUafhnIpIEK5scoFVbhFxENpHQnYIZB5aTNSF
tfagisJ6fOqc4MOeMrLtW+2H1pqsdbSJozH1+1iuVVg1gBYHd8XA96z17qH2wLcltFtdoN+rQhu3
MmEBx0cpKVBQuqRD7qJVqe/MuXpAxVOcmjl9DTUGn340CWKZE7+E3ih6fQ+XIt861JAgosOZl5bO
siwgOcpA42jAOtz37vATVSHmSYv2QS8MvxcuMrb+4rZomFxziYjoFSeR7q74h5ueOb22Bxg9zSej
HV4P/CqhBTyzHcm5cofugmxeQUcL3hVSodXvNxFXmO4msbenB1Ob77wx/gEAO14SSIlGtTJi4SOE
9HRLgb+QJE3GGuZbTX/TwgCrD3Udxxr1PRqZbO3piMxGkL1IEynosQlFzmNfJit+tiKJRLftQ7Sm
drGhVW7Qm0fSjdv6lt6AaWB0722YUkUMKYm5N6ng8MQJIDohD0RPfwSuLTbIQE2UMhtjHj97yUUV
REaJwQ1bN9DIVdsGLSEXmLeisNRRqqjngtYhOP/mZ8OlCTDoE/A52Yp99NMmLhFIlZzoKutLYDba
D1a8m2RqAx84K4blz5mikz8WGWlpkWLcnlOuFobcSvNiFni8+dsZxUARSzfmegnOMWS4DRSCQNaY
Vhk9QuQtQ+ng8qC96Noo1TgSxLwRXk/7ZsoIvQ3o2mvBYyY+Q4pNfuOoxKfRdCYlI/PtjjOtwZQx
Ui6CdxBQV47jj7TtM3/MY3YgCS04z4EzJvBasLllZeOmAfqK1lrNlUODKmyY6Q2YspqpXyn2IsYx
Uz9j97X2sooY7EG853m/YbF1mN26f8zjiWFAkL4QBruAKXxLV4/V1dD+QinFwm1MP9gVEVNgwmcq
K5u1cE4EugW5qixDZnSiQDiNsbujPWTrI7ZgSF6FSROjNUCB1iHwRUPdyxhdlxWBCotvkLwofS51
UjYXahtpyxEa1QpLDpz4ldlUxKEmjEetifkzZVTM+2SjhHVnxzBjCxB0FYZtpCnrbkHBjSjQHCU+
OzasiC0BWoJQXYCvTPo2UJXQ/AVLgdB1wdK2VIjbK5Pv1bEbbzc61QHqeLpudOyTUK/eMqd/liX2
f0PJJZUCtZZbcxaYQftUR9Oml8bgRzKBMdj9Qn5Pw7pE2aOm5ApaJNoCOBwOrFHvBUg1E98GWjlL
YbDvq1PD0gJwMrrJls1mmvisKbGwlQ2xpg16otnilHY6Ymz0dOtMcbMLschb9QiotnG/4TASm9rW
XuJSPptlj2LwJnqxFv65DLc21p0+BPWIqodF7FQ2KKj2Xi/iM42JlwARkBDPTYqDJApI4iGaLUH4
a+uKSjlRgZCkCABXUpDg2hYHfvpA5BttDM3ZDh7445DAHXp2CaNNv7PsN+TBLXEk3guZUO2BlRVM
yNEJ4FpHGIw9yRA+iDsWwjmtTq5rb/AehhnKRUzJIOqGaQ26rgCo57rbVjcvwrTJ3x0/7DqbNhLs
KVrm+4SwvENB9z7InGGXl+MHeBCPQZHrzIDn7GMaYe/uglrk6HK6t4OvUOlC9wi9QzsQrenaNXg6
Z2QX17R3Y7tcbnBh9g4Jh3PeuytzwVuy2+T09AiEGsN6O0ih7fphOdMymywtuvMW8BBeeztE7Bhr
wwNKxmgJe4sMg1izjuDfD7PGWj+qXIrtmzpS4YYKxL5wdeLKJNnsDfWGIvW1XjHWJJI8WH3ee256
UkN5bjPUFR5oGhP8pIyJoY/suQaovC1JQkOCZn0vjNKvjR68Irg5qUU/hgSW9M9aR2rHqmZViupd
4QhjJDGgjdvHSg/uOhMkpTvutB6oYpDmODOqr3SaDvYihfBqPEP4OlAkkhG/pV64x2z0XZ8IiVWF
cZhU+aRi7b0kDA6sKZuvXK+YTmg790jqHJY5NH295zYCB/5gKAf4bF1/6kNKnHW55J8UJKLLGI1T
KquN6mjLKfXcCXayQasQGkGCTqwQ7zfNn/VkY7vgZV4Km8phuuTBBn7vugSRgDG9CyQCskLf9eJV
G2Wxmx0RbQMjv8cwOe/RBCPNBLudF7HwiXdRHcROu+y+8qZ87vPoRRbB6w1g6WSoCKGiOSRNMahK
7WTpQtvkkY1XWKg3Gngm7SgHu4brm9SjVtUAgdKTmDlTdz6Vs4VylnfA0b0b8Rg2sX22wFSsa10l
OyxX2y6zRkglvJvMcfe2sO881PPkbCZnLaCSkvC1saq1Hkvy/rZw9xd2IiLBSbORS45ELqX5Ns+q
q15QPxnpXQZLQADJUzaWkvzRacDdGVST/Klke9f2aKU6FvZEYTMI4t31gXA9thbuxcZZ0I+68+qw
SNqSgb7O665eS7tzyOLRD6Qn6WSGTHRUV3nS/XIip9okuxtqtSjhfWJmY40kF7DB7IJ0z5IdmyNY
lRVQqQzA9orcDagIxd5RSiISlVcazN522d8Bwq79qXozqWCgwIb3gYwWNLC7C0Ar0aPlE1TlfSe5
HKMpi+6yhOXPZGtHpZvP2dB8k0VL8vJEZhT9+PtU1h4DCuHfVuwgWsHmFwkb7LRRrIemmTZTzBAW
gexMCzrVVoQEKh378wiShl1bRO4MJcH9lE/DdjLUuNfwWcH2J8k0K623LgGmQt7KdibsFmncrE7o
BMnCwLxm6aV26EXyLEOi2ZUpnqzKshDtrdJgGepTXR71QG1Jcmi45sghhkOKbHWi8muFYb6u8Knt
LR3A8zRbH1FTX4amfDAl4WPWgr/1pol0laHemhLmSim880Cy4GHhU/Sm+ZBVCgoDEcB2WA27Mmd2
zQlGr/uIghNCWRJ/fs/VDoyL9cA2LYnYNXkeE7ZoIpa6gfQop+l4f+fqDZvpLu9s1poRI/s4s4U3
FuSu6aAzkDJ49CxFehC4rhsDuTQzsoGoZJIt/jAOw1uQ4Emg9+Wusyk6lgvaW0lQRtVwGxeTa7+8
ec8gj8BpqLrWKtwRAIguAv+qX9uUWivxFqjZ8k3yyTH7f5a59h0FkUvC2kgwY8qskNGKH5YDaAJE
NIhTY0HpbksYlGGK9WXAw7ErZFKve8ZeTNhi2xTeqyuIehA2x7QgjMQXbrrN3XpDZPMxm+qTI/Kn
SKNq2GCpZ6GjWLGkAGv4Ioa52N4Y25w1K2NKgVIubHsb8wWmL6BLfdds7OX8ajsr3um2i0Yhp20/
cOZkGlTNqfnpBDblOmG+kqRzjrPCb8IYZWkdsjX67tTGcBdu2HGPO1RuBwyQ+rEdKD6Si8a1YmS/
bvDTNEq6rRAsy4OuRUACCWLNyT2eqPh+iq6iKJjxzmrNPmeW9tAn9dYZxzus/gs/3kwf7VL7KOBb
hqlEc1G+e7WOLgiEOahJBU/oh6P9MmdgozJjAA4bUgwjFXkEl+FbtXqaChKBZmzuMkzDZ6MmJXjB
afNRWGV1w1NsFbha2UB4syHWlZd+FiPj++RVya64qnn0oX0H617oOMwlPv4bUzfFIDdi8l5bC5O6
kfmd8CLKc4Lzz9UcIu0w+ydmoV1kQb88tgaxbvUo8ufAZmbETL+qHSpBNJMZgPD6AVz+TeuFknFp
3InYnorDa6Y/h2HcwJ/On+LpnUZ9sqOKcnY0UmsieLLLLBqTSLv2SLFEekpkWCc86JxLEXCmNq6G
6mFA575YNto1DLbr0NoagkvaAYHBLGFATfdwwG1R+T4MGgXoVj+QwbTO+/yifYqAqBLEI2tAyhi7
IvFUTfG2LS2w2ljmRB9tq7I8dHb1jj91qlNiCyq25I0IPnBEbYPEvWdxtfVsYuk9QaJDbAAjdVxk
C9bJyRrYndOM7tq40xzK2Cj1afYTEMSncFX9ntYmam2P4ZTaKEoGX9X9J/A3xJRGdu9gdRdpyMI9
wf6tnkcHdf4Ett2EJYD2kCUi4rxVixypdJq7sAwAiXbGRUMla7qAuvplkxFpxkYX0VNIdp1A70Fl
AKienlpvAQB3u6reXXOiadNpT6xQ30tY8mSRvyWhe0ef4KkxGOwG1NcxJNLZrDE0T1ghSrV3Yj5a
Pap3CoNv8WhdZs2+DGlGEuNw1ug54kX2IB+XCWIQI38nQO/F1orvds0DqVYvrAUdr5zGWssr8SiW
zxmCK0wERGDPAqrciERrMr61CxO5pDuecy6g+1M/LQ3wUVsznt248tNrbhg/qsnlsNimT1eTXeIi
opKKkRzy1rpCPCaQsf9G89Yxe+BMrjP2VzrJUju7SqB550MO4j06L0Bfg21tRn9okwPyXgv7WUHl
e7GCllg/NoGQ15H1VQSF4WTZ1SVrbkGbxUlqNEELigFGP5fk2guCfqfrQJAGFIlEOCTDk+orhD3j
DzMBHh1bDw31JT+xXXtdOuMjG0lJ/RxWfU6tyXTOaUOgzdTIt1k433SnR7KRs3SKItTsdnEftcB4
b9khfcLOXQ87Fp14VW/I3mihGt82eVlIFQGjPud/so20+KNOp/G+EQz7MSmrqzxMeA8A0ucJxnMr
cVMGnnoxesslIoCK3hSOCcjnqTyYZlltHQgKTwMgpPxr6L2PwiWamuiolfCq72PPaNES59ejvaxH
Xi+BaowBeQFLY+VjYTRTmcbEQXIl3URQAcjY2Nhi/BJBDVqByyqzUAjK/MnNWr7ChAFyjNTRXeI7
vI5liTTkpTfC57rqKKD2A8mlJb5O/qeCpbwyhj47kYnVFEmNR0U+jkmh7qAUl08OygtLf80H9FJN
rTtHMcZvSVeFR83Imm06WVtN6dFJ0avDuORcRTXY+8x+pCwQ72qUcCesgCna5VVVlea+ztNnHGrV
veN2B9VmoB6aMNnhJkrcWQMfbV3gAX02GoEdGkX/E4u9+iQgLWljjnxeowUTsJvvxpnZpFFMuiFf
hBk4jFQcM1cqaNN9fanFNdfiED27CPfaW4XQn5yhw1y7R4JOdOohrFNvc2Go8QSJ+Swl8PBwxDgp
mLJJq7+3NArAhAdoCGrOleWSDCfIQdZKebmR8LEQkdyLDikGcMQkRRtR58u7DfQoFopVMwRPrcDI
WkFxv526WrJmi69nQgePuKxAI8p+ixEISv3GRvMGA+lRJ/lkk6f9fQySApVxSzswgLNY9j9sgORu
D4rtdp2zX/ll1XzvkNPr2KCuXJW/uhDDW8DTek2UrMkMtzYBkp/b2QCu6uIt71Ety60qnTetS+mi
UmwtGLTWVaIWNKeiJzZRCIWI7ZS0exFu7MdY8ZQls1lEkiH5MvO2I7xlHWN+PJqJ9+4NtEmhT2OK
dbHPp6wAEplHK93oloEIX3qAEZgvJ3jq7BeLwiLZsjMFusxn+IEqnhErR3U4wvHiezOzMlhFWt/1
wJZd+5X0KE6NKe42RQHkQkquQSufWZ/wJk32G+ZMrFKLd9Vb8NPsvSyCQDTfHfVfsUEyuhd58tjL
o9E6n3MTebCaQmxUJhaoSLbj/e1e9z8IO68lx5Fsy/7LfYcZtHglABKUQQaDoV5gIaG1xtfPQvbY
TFdU3syHSsuu7MqgcLj7OWfvtZteclioEgP9MVpbPkm/SN4LCJMENYgcEbiHB09VyJ8cuB3bJZx1
R5jKG0F9yVZaTEcXWeCZjdtMWwVhg9N6nIrdZLJbB9KTHPnI3Ot0J/Woa2OM90t6kXRX4sghq6xH
TQYnP4wDqh7OR6+GBaiZokHDIovuWjEFVcQpM+p1R0uBZBFfTp+rWNnUorVBxPsCV2a8IAWllIzO
IZ2ZdTDHn7loMCaVTaY2kgK0y3/VesFg3K+Ydpm9TkMAQGRIuTUaxzx04E5aK0EHLWQt0UrV3IMU
iaqnPPHpRlFMQZyKiOUIpfgZBmLAM0kggFZT25WB5UQJRSuHNgpMOgtypcCUr8poYxT6x8AAXpNT
nlnoD7ZGumg+xOmLUVTnYTnQZu1OKWuRAw+DUajEvcsYLAcuPn13bb+PW7Lo0EWce+oIjGMErefV
htb/p19GR6HNJSdVRFpv4aJUs5hrRIgVbSPwn/CwC69GvzaUljSX+QHWR7cajebLYi7vCNgpVPq9
ZWugAoe8AdOj54LMaNVR4wj8vKG9yosHUEyKmRdFuZ/TOpei6lAuqMMp65ttVSanrFzEuzJAAS2B
KKIwwJL8/k0ACPkwdrRirYSw5rq55RP4lSEC1s+NFdh7omDYYf4ZKSLItApnQdmfjGRaki6CCfsv
zSHTGvuDWqohzlg3J7XiJlOelT38dcEPHyS19oGFknJo5ZO69fmnqPMT0/Gdr4t4T43Y2gW5eQQQ
0AJlkt7StqODl6bSZmA1OimLdw2Af3axcdabTGD4qebJQUmmb5mBiNP104wEFyOHmuTP+PEWHvxI
c4gp/zocF0rNsJerRQBf+Btda7kdyfJmRP6+Eue5YU4EEVUKesa7AtGDw4BkuwwW7YREUIFBo3TK
h2spToWjaxyhXGyg6zPrM425ujdUN+wqUPuFdR5kGp36PFKEm+SzCQo66ri/S9QBvgSkPJuOq5vP
Ps0U6qGgInhcSg2CbwOJssMKGwAT/AIYqdkpUh7KpJ3M/++3ssgCk4h2FOkPq/q6ypvTf/5T5of8
0a//L9yRWXn+9TdE4kPsy7jR5qWyiPAjqXBVar5H+vH8tfByozUiypuI3B+a4fEBrFB9lw5KwJAt
UDZUNpnt97KFAmW2LhZPANBpECgjEQqeZK3Rkwf2GAd3VlgLb/f6DCiwaSz/NBksllx+z1vjK7lM
gSBtIzwi63Ly78pm2CehNZ95D9FOLMn2ijXXMKNuVYq9dSfKJfp/EwNvIEeXPGJ6DIsgQQDzpWns
Y5kIlm2OE+b7/LyrxIE+k6AB3FFJUutABNc219piHZflSxImLZ2E4SVGEJuNfn8UCXvcDKaaoQ7A
opFayjGo1RbtNd+hQl7cWA7dmrl+TmpKlOyzbOEY8IlkJUkFcqb1xwreCYqW0SsLaj2ZKxOcyXVk
Kfs68hNu1sl9lhU1cJHiNsoIMxZLzIzui7155BvMuqe2ILc9Ka9TIjCmlduzXicEw+sDmpOm3tOT
ytGbkZDUpr22E2SBLUZKVIB5RNtq4rhUWAUbQmsnRvFNa5FLupY+WbAYsshYD5pf8vXiICJsr65W
BfmZYrY86WR546kco3uYkKd+MIxVSOfQleBE7pjiY/xkukzo2Zq4E0qfBeibAdUIkFaZ+sQpTCjG
aogGc20YCkjKmRtU0LQnRZSzzTxbQEDHmGhKxmp0H7TuhkonpvCG2BjJ5ZYGIOF8ooWPFf+VyVIX
pq8pNxPQwOGKGLldHwbjNm/QfkThQvrLCUCbNHp5eU+0n27J3TrJWeyotVZVSjg1jlNGX2USuCQY
yzidef4xAX/OoWJgATHvy3KgM1Eyxa0mRtPxIkPqQy3eq6MGI7jWd5OsZ6SBDt9yPNgdIcrUeCRF
z8V3rGiP2jB94ERAVhSpB83Q9szeHBpDNCMlpVo6S0/I8kI36PIHFrF2UifJ5wYNjIvUV/UK0EeI
ugvkHsrugIaliIlDEXHNNoWvO7o0GNscj45gZJmbMt3a1ehReVR64+hb6rDRjIVATEHu1W1m7omi
jLZhI1i7nvRtKGtNuBs03gbLP9sGlq7sC7FoqEEs+aB3/rwZE1k5xn5prhOl106Fz4Q9Do9Npfon
9FCyW8ughwzJz11IgLmHfZKAIMKxydRqAvARBLlqktbf04HtnEGAlK8M5HQJXOfNIBuvLZ5bpxba
6KFSBdCqmFofOquaSOgzshuSHYDLRsEFONQZcjIo30o+BZXKE2bruV8/DpQxpA0m9aNV16xwXJqP
gc/ddBS7/LGtGCIBskgfSSFI6BQwFxbrEmjN0MSPJLGktjzV4SO9UERzUhI8Qi7M7JZL6m3MERGk
sWXe2JhoyDelcUNeVdjEH9ZncjtdMkdlOtzIoyDQctYt/zMOZ/mkkabpjtFzB1MPfBazdd8CltdU
AqgmKOqR3gwnP1D7U9tGw2nIS+XQhcwxl3/fVgOuXyvrmVNhmG2kdk9Amyd1uvnYJuathWXLhv2e
jgNozmQZL5Bc5WZm8IJjgzy1sGZ8HDSGA0Ja4lOKR5B3Ue02XUZvveeLEEZQKmjdPphXTuuorsmx
7HXVxaBD20qUpqPMvYTGCH4RrKlvwjQfRFEqzrEekxtdnoYBMGxaJcZ55hULsb4QYXYWpvv7TGM7
ZgIMksy32M964JDUtp6fkDyTDDiUpYaJoFqilFCJH11Eji0h2jUNcMGtIR2gCzD6o6b2TE8G39wh
2iF1qO7u2yDet/BWNlUzMK3RknMdRV5XD/FuXDRfOKDmVd8zTx6V9ODD8bTbeedXhk4OT8TNjusU
hwAsLbGYPYZsjZtN9afpxzTcSDRcdu0gJRBVz7ra6XJSuctaYza61LVMSewBOSibO5tI3jeHquZo
0MOKqZ8OohQhFkIw3GCyTJcnVEjoiQBfYE/mwp724EwNcz4omq4fYy6bFE2kUitTt5dUWA05LeA7
o4gPTL72DbZbmMlmsS7NiOy4tB49lp/GC7sT+rFCxEr0XR/RPF8gk/nUIAUxZm5paah5na5T04+5
I07cQwjEoXKIGSyq8a3RpeocTHAKFJpibNvzRikq4nYUtKPR4zz3831AG4FgNbQtuSL6xyYcQlsh
3rOzRGuHJM7OCwUvYAgogMBF/NUViNyRngBvct6mYTufjRkXdwnTQ5SSU2PqMKo69ZDCaHLJyTB3
KqYHEp1CDO8ifssAD6CuyXdMBRGqKsqTEJe4eupbiJCZlUXcWsmwfNQkZcnpycho6nv8P0nq4ayk
aVnQqyUH8SBiS2KAN+G3s4Y7hBajwXZsiXq24+z33QlYs03c1lMxMh+ZRIvYoQ4Wszqqwx6ygbKR
jbtW7QqnCRnYdKWcAYXvIaWG3QHWRkFm1cIuNYvqwM3sFMx+v+5Yb4zWAZuIYfFAWYeBMtP39WiN
u3ZUIT3XfbMp1c5lHNutqUxgGRlC7Q4TSrwieBFEC9k7LePN1FXnacw4GmpJhRMRPMsyZVComEvz
B9BLfbJkgivVJo3XeWWmG5/YM9fyl7g+PdhBQ+PwLOtLg73N7rkQOFmHNwuoIpSlcWQW64sHbjYT
i7E/GEa7Hsa03o+NfvercOSTXNWZLmzCavaMNCMfUkNB0IOXHgP9Iug1oZedBkGS97NOZeOoGchx
07zX3USkjq5EGWW4EJzmTC4PDcRMUjsn0op1lbaOb9ElRIxnDxm68T6OH8laSHfJnG8XC9Xe0luS
hLXWU+P4rBUTXRKgB7ZSqd2W6EdqoTZIpX1QdNJ+7pkPlsvh/+vf/fqlX/7UJzCCuqyeaFZnjeZk
uqF4td54ASSgPTI2E5hxHa9VSGRbZZzEfbT8wa/fyTljfjzfS0e89R3zaBLndOnbjSZjL3RQKui7
CAgdw+tL/zwgd38InGobOdI5fzZf+w+sPIwLwyfShgUav3hEHfWRcgGLGwtBdYcLqWf+G6Cqdrg0
1cZCSyislrYK3FAVxvFKegn6dbmJPdFLN7mrf/Av7oorbPELMnqJeqNYZY/yBaz3/GJgWE1g0tja
OccnSfv6ZhzgEx0FcS14j4tzmVBALvh3WHGtB0aE4jtQ4FOs2Mo1edcN7I/OAqrcjE6FE/+zfEho
tFVHo7wDRKtfgkc185rqvS+PbAgQfxTOEUaZ+V5q3CldKTI4rHUK3wyMBt1Egi1p2DlAh6OSiiFd
xyDkNkhh5PvqvSCd2MvSo4lDU/jgrSPOWyu3pAX+5NJjGj6rLcKSJXrgrQWkfVKRadV2uSs3VfIA
JY5EcGJrJVdErsjeccFD0m3zx/hReEVKQCsJ24NbbDrNVR7V91TeyyJcNXsOv9qjcrN2MUvV6+Ce
G17AMHGFnfKAvi2tVvFr/wYVRbmEjnnmzU22+jFuhqdy3PXP4UP3KK1rxUZqC22GnW01XTnVkBBt
qDglF7lIf1KNVWnXKSqMVX4TCwc1ifAQk2tOsF/v9i3AptN814DfOlg58xwGPrQrMbXbQ2w3u/k6
eNhfijXDHgHeoU1qR0iQwWra5YfsUbrTHvLBVvVLJ3spCt+jupPhQeDxZQ5xFS/Ggzw5MgtH2Iqs
68p57nZ4A2Z6w7EtHLK9eaRxTCH5EG/TcVkBARXH5AVPDOz6df5VH6sXuGa7FIX+JtvOrrq/IZx0
w2PGm3kijANBDd3kD0BD0Vvt0Ps7SZ8QSVGiOoCGk7uaM+4VO8QTG3CmbIvSlaLNoG5QYrQcqidr
i2efqZmxnbKVqGzjmylCYVhL486gycyj6nQP1To/UYejJZhsQdyFj+miq3b4RhpGLLXTHORVvAuu
403YxCdtE22NW52ftWirB2T6OU/SRT77W+6mSbXKn1qCl7/qPTR5EP40S+itrgNw2ChBXwjzfgaz
RxvwqVurjnAfgdBBx7ZqvZAcAL7e0/iW7uqjcS43b0CWmoOyKV1UuXB/nfEpecUQcjUuaFyKZ3VV
0IsOXDVZR4Ebmnb7HX8TZo54oqlWiBBPonJuPWlP02d4ZStT3pnzLYJ6FOAbut/EGSgnhQ8GpaaX
Xy0MgDZRfzfBZmQCDOah3WOjrwZPem9excRl0EpMwrHaip2NCtSyR9t8rrbmVQrt4UNfFU696e6y
6+LoQYoLpc5LrungCQ/0igAY0gLrHPGBzO+P5jl+Izm9co2NdpmJHHgqU8e8UifO31IKo8HLDuJV
uViXMN7SBvO38E+EE58QxXq8S8xV8y4A8d5w3chdxkT6LtwVd/oznMJX/1Dvg03uld/NOvTt+J2c
zgk+T7YnqIKLJ+ovbJniyi885nT7zrhPL4QRReseaMWNvv0zAGHS/1RnwTrgtPEwnyNGRlo3fAfi
kbTxuONIXBmf6DinCQPMaUBaA6eDHegBz0LFWcOikZGDEXSNNM/RuHtCAFa2fPKr8jF8Ewy8Rnbz
QcU6uu20Qp3IMBYqgdt40jlEfbyJoZHvu0NU82WzmMBeLUfTon1YmXflRYTuWxAqz2xnT9qXodkI
oJHXEcyz828Lc3GyxfoeQeQ4n4WrzNzxPr6h5xZoBa/SbEOWoHScPIx3ZHPRFbfZdT+Ck3ksY6d3
RLc9CNfxbB3mO+iHCTeGo3UItKP/NZh2fBDWVIn4MJQHTkQijPNn7YFMhpfgypHwYmyVT+HQeDx/
MUU9DYMMP5odevUj9A/omShFbfHOcjEz2OGL/h3skYmD9KTl+SLR6IffwFJlRupJJxB90YZBrrUD
RwHLGAGwqDiW5ZrXOnPqbzFwhV38Sha9fy9tpbuqe4sP2RPsA7p2C1dlWLU2VRsyGayxAy/nLmUr
m3yvYj8Uh426BakVbLNpHX9D7oITYzrawJGpArSwGfSSKBBooPjwa/FH3Uu2bUqPkRKaCmDn4lY4
MoJFZT0BDjXImOq8+RLmGxGyghs47WCHroE0+6JMK3ndPlpHSdyUe0yQmrGqNuNB31g8JtKd8Jy4
rcfVXT5HX8ExLhzzU+y3OnvqmexjtAsdQMsNOmEuQepH7rV7ZpwZb7G69WSFDbac2+MemW/oFqf8
xXrmji4dKmFlGDZjQOGNPj9yXP9TOyWgyM/QL2p/Rs+yat8tEZ0eAuNj7bMtOMJFv0L71MfdvE8d
qE92gAFoUx2DVf+eP8kP0zNwVPOd1k+4M/f5KVPd5iV8LEERfvDIScGq3Svvwj2f7poci9DhAzOG
Oz6IubLJ/Y4ektCzrEs8rDppKzNGA/kEH4+/L18pT2K000133GrJQVr1HvEpiDSeW69FuWuuIEzp
n366SkansXURQLBjHPvvVoR0BfKCXtAmf2wQDNogvl9mPuneHSjG7sx9pDBvcjFpk/6S733PovZf
VYfQU99V69LdIUwsxskmW/7D3yqCbUXr7j7WCM9bNzcBB0a2aol3x7PFh7fHoDgRfcD42RvutO6g
hxvcGPLB+C5Y2wRLaCvjyExeu3Qc98J14r4R2dpjfRmQyb/naC5dAafHWVgHSGpQ1hook1dq4fJg
5htSL7ys9er5jhXWnLNyS85SKNoMrJA/dPu0dUysSPlOvuf/b2D3x23Qu9P92O+NZL1oK5MVexVz
JD1cK/na1HbU7JF+4aYQFzddPbZQjswHCkmhO3JhK7/q+9a6trHncw19jbOtdGGDQv4kRzeagvl9
cxfd5Xgqd0PlBtfuKak2CYMXjT0K45BjbE0uLuWHaBB2YweP2t2o4FNZUxWjDNC9oCAXeEdzjusc
KqToFLyZr/KRTSL9ii/9q0Hvzutd5bU4VNtw1+3bF/W+TDcTE2E0pYQKQRfDNkXQBWkymVO6leFZ
r222MVEUZfsCJGJ+lxsOFkByAvy7YL4Wn+XrkmyOexPNg8nV/CvQiDNa5d94uzL1C2/Z9Ix3ERsW
nBZUcggHF8E3wKA1lDzitXe0SR/yTdTtmyvTTv9JgOBznL+Lg34tnmPT9j3zIeD6tQOcsiLzsLVH
vHnHUgMNj+/JiXW74mHlW2KxXYDB1ihQ7PTGPa7N38DpFbRGjyN9vSdeJ+ZQzAMcX7sEXTecr3sm
bn75pPUX4ZxdccqM8E15zKg6kIq+I/acvzjYKowR+4CrBCSivfiEbuXaUHXsyAzWmLWfTK9BME1f
cba1i3ZERx8/Tmtw5+o7C18gsHvHvRXDD3hsO38Fa1x/dYfGkXhkOJ5Q1SHIf8zZqne+x73FyS7J
XqkdbV3s0jXp7kfzUOIFM7kF28YxvOPmELzyzKT7HgQ1Fhh104qr8qrPuxKCCzUzVBvTJbPaxxrD
atN22snIVuOevjp9CtXzcfCVa7KhmXiWV8a/wavEhsWNiqQe9tl9Ym7SR19y5uLzRXgtx1exuABb
qp7pOgfC1if6hxMEiQJCaq5nY/0wqtXGvO8AMAZc60mKiLj7iCvrky+DUzXhGk9Bs4XRfMwexhvk
+v7VMhzYcOGKLvvnpK20BwwtTCclUsXONSO/dfUE7DnkEPKRFA2cd/uQi5+8phFsyl544wEtUI6v
1V12CTaIbE32z126TQ/FWw/JaJ8+BKeSEsrirgTfPv6iEXCvvjOfoRDlwmq62GQIm/Pw90GKinfR
Ob/nZUtn8VW8KA80M/ixuKOoEV7w+vQokpGz7wuHL1fYp6/07igU0q/G3yMgWabsD8Enu3Em7FBU
tSfzCcPue/xdezEjvW3pqh/+wcSs6VPzcUdeFUcLMI5NX688DLussTWnccPPLGaGRT3ktSsAzM/1
LnY5o1gv3TOtAs7r7pnWR1vZ5ExQNDjBnXovvGRr8UOc1gRQkWognBP2Q4SffOTtG/At9aP+5tQa
KvhDdtE4wzbsHcX1P/x98xTU+xgx71Y+CI6xy7C5hQ6oq87ciuvqhURPAp78Jz7sbyT0graydvhA
DLQSjj+utY11qS/tDTEn8CyHsEG6vjzplGXJejqEb9yq4292Pyl1dGA07xMNvmD11RPKw6mguuiz
OeXbp+4SKof0U3tmdd5Hb/4m8yzfgV9j7Y2ThL/wk9kCogtrfiRGqXANBSn8Sn0VDqK3QJ5ca1pB
Nh1W+p7RiRMeWVZj48bbZhdigT8Tz8dms4jEqOFIPTuXSxFrMmEgwWcVnKab9PxcSYzlHdo+DG3x
nHMwVq8pWnZ7XKsnFg5fUngBRvmF/dW8T4tV9B0/9B8cAsJVWucv+cOUbQrOiYu/GbfGlT2Kh8L4
ZOp2UA7TLsYo/JKAbgB4dOUvG19aYFMERYNrVLil2eGWG7H/hXL8V9KFHX+plBjcjFSXsyc8Yq8S
79nlg9WI3eIY44F5KE7FG3J067D0NwWmPq5/H1xDnqeV/5R+sYb7Z67Q0w49pniJ7tiOZLYcLGcr
xl3NU/OkvTRPbI/hvbjHSHCu1sMTtSv8n4O0Nvbb5CK6xnPN01YhKC3WbJ5sltoLd+tb/zp4TGOe
yhsCNcGZ0JHueq7S6+mZgp3oj+ZQopOsnGYtMvJj2Pdo7VhN7/WlEmjL2AmisNwZHsznadxbTn/y
P4bxKW7WQga9CbwRteUKVb9nnBJa/zw2OHwo4gZsjCvxZXmAxlNFetC3v9Zkbwaazw2gW4uVB8kX
xcdG20+n8o5dEM2htZt4sfWmvtd244ZPQDwobsNA8IbHOFwl9IPyR+jxBX0hDkqGW6fl+oyX8D3n
Wha6oysChdokjcsG/iSwkS/ChVXpGcfyrXnGTiFTeEoX4RZpdqC1PY9Sp24MRNCDlRIWzGhm9+t3
yaj3OFAJgGlmMXaMmkca8T6GptcggY7PXJPQGqZuRJTglQ3FZB/9+vcJIqwsaSuWClEYjUTABZg7
FEAJhV0UY5hS5vRZSJVmbbQa71tvBHknajm/Dcxkh+OQiV+MuyTi7oVKGYXo0J0TMa42ac7rCcse
q/PEwzAsv8TIbuDQVQMeb1g9hgF4Vhq5Lo3F//1lNOtjp5b6BgZeuhsHkuLAjeHgqsF3Wl/WVwGk
/mAJndktofM0YdEnuFlJ7Op/ftHnW2oI8PEMlSYmAmN4S3XE9SE0nxBZ1l5YcjFH94gFkcazivcU
JQct2mn+FLX4QUjOAR2LoQxMRAMS1uf6NKjyp5yIpHPEFHO6efF5v7uoYvxXZZ1DOAZ3AEDNtoW7
uwqmLxBeR78lJwauX4d57DnW5YZHRcR/zBfRqbKHXjlbCcPM8TheDHjXmxmrBZ0ZBmd++ag2T5OK
enX5PejoCrVI8wnh+MFKy2s9NvetMCfskapdjOnboJe0UKenqRSUTauKHp31tTQZ4PwCrxTkk0Lh
afX+fS6pV4OEi5UhA/rWJyqWWvHk1CeJdJrdoTUfy24mBSRADeSP820gw4GvgwtMofr0icpPUyDd
2Og7pxbHD1PWhB2AKRx9oecr9aHJx2bb4bJin0nTbW1wdTVGbxCn8FQLmE4wY0wbv+o2vRhEdqQu
U8zGOJqpNe77nEum1dMMrDLaQcKsbixL/phoGrumbPirCHGGE0g+/tGnudO+1aFWEInw1CVdutZS
rgsdvGwM7Ke4CqmGyRz8n/+P+PkduebfPC/ES4amWyruTH7oD6ALSaly3gtm7Q0qfIjCAlPQc17I
frRdGGhZVm1qNd6B1+Mwrqfbn3/8v/kuy0//lQKvMyFSf/BdjBGyLnG2tScmw7c/qo7YBLQOYroY
wiJQ8mudbpeIV/rPP1cCO1T+k8YlI6ZSDMvUGG6p8vLC/oucIzZ6OcqjBPw6yPxVjVOs1kmPG86T
jhd+FlHTk9aODe+oW+g5GSdT2RYkBVrDX8Ba0vIe//1SDFmBCkZQsPXjG5ASTZyQh9aeL4JFIIoP
LITwBRkeVeRdeBeUzCcXIAzLd2R61t80v5ptQOZFH0x/WQ7/yos3ZUuW0KIqpqrJZHP/82OB8i3J
QhExK69yDFUxB/yCFUin8i3Ei+YLpvqXb0L53QKUsXgYWExEHbzYP38kAU/lXJZwcPWcdp8xZDfo
c+gkuWl1M+Gvy8dvSO1rWfoAY/JNgxO1GrnaIwfAZZLuFBCNSIxjMrAoYBKZu76q8R/5oP4mIKhB
XT9CJl6XE8rUNuPrLTtG4BXkCAoixGEuuM3Ln9fX775TWVEMLLLmQr36sa6nQC05lYLGM4FIujp4
mJVeDX95eH4t0p8rR5EV0dRE+FuGIf/zoxtxOk+tJQP6q7UH2DSXPjP2A/G3QcsTU9KCJULhMpc9
OAaL3wzmdoy1I/4PsO1DetFDVlTalGcogqp54LvflKb6ZbULs6R8TSsC1CcAGqVeQT31ITGG30Wd
1es/f1jyv+hZrDpF1jWZjGGJxJAfTEFLg/keyArlAKFK5FEU0ApA5BE+tSLXGeRQHWVeZihbkmBc
cWkrm2vY7Y+BNCBwTCCM6ONXYMlfZlLfmoW5oATQCuYhOPuZWf/lGfnt3qGoDO44vAxZ//Xn/7V3
KI2lF0bEy2Vl2Z0E1QbDlT0v2Ckp628JI/XF0/86avtYoXcZIICjJ0NQGVErf/7opN89PRDnTVFF
UY8w9McSCBCWSIJJ3EmiMT0xqmQiwZ4ebEhPqJKrTaDxPLU9I/aAMcYQZp9/fgG/fXwhD8sEuWim
zkL85xq08Jv8Zw2OCIqcWpJpMvcRItHpZnZxTEREsWqWJw9fVgIQZPlyevkam/SVFpzMiE0OG/v4
5S9AlBmxv93G0ldrJDRcg2OZlrB7UqpsMIKKNT30of8OJ2KPjZKGadzvFspSu2Co/vzG/pdP1tQN
TmNZJefzn28sQYPKAhJJJSn2WkeLXVdwBaJaW4+gZtoYLfEsWduUxnkM+eXPP/135yIrbCGekXAr
/0RcqqOvdmrGmTAtnB6B1sQwM03tyRGSAuMWkxYw1UP7l/f8u11LFSEmqfB9INn9wMklY5f3UzqA
Zxz5LhHcvOpm8frnd/a3n/HjhIm0VsYnyoJF5Hec9XqjmtlfNt/frkkeBkmxeC4Ycv9ck2R4DbXc
8lBU0loZGAFM7CLWyAIjpeAy/sIEqZGrVR1I6fyCqYlhPPrhND2Q97GP6v7Yi/hDTVlyhillSmXQ
MQin8DUigLNtUAD3Ciu5E6YbHBI6owswKjDuy8h/X4Bjpo9K488fnLQ8yv/c7RVRJMfPZO+xkOz/
OFNUrewUAViQFyBOX7Uc4ys1zVwZEZQdZzxmRpPecHczcgB3EwgVU5OSq29p5c6fX4r1u1dimBaX
VU2WjJ+bTqUbojmVSuVV+bcQMGwPZfrXBpkMINMvY936ewVgRajs//xz/307QTVpIqwzdFNWzF+f
0H9tvFYgtTNBBxXc3JAQXJ7Jhg/bLsoePxqbbu3/7T60rPgfnznvz9QMjPOaov68HVsNINVpMnGH
qSb8CJTZkiI+l3X8+Od39tufo8qixBfMbq4u7/y/3plODadYtVF4Jr0bYgw3woCZofL/ctc0/33t
VSTjv37Oj01NIDnIRzhSeCApWgH2OZpvqnydkDhkAVKhMle8T6NiWzTxyL5dvqjx1qjiB94+vYa+
69eCtWiulMxV0GNJSiiuY25CqznMeMX5ZPJnkA8GFGyVCuCmC+gZqdaI/b4U8w38UMEdNRFFL3Sf
zjIRVfjBNcjwgck+ZX6sbLWqCdZzvy6yMDsMKhM6khcLm/Q6BPAFTPhi/sBnLmwHCko8kwPySGb5
ZffRmyLygiQMKIhzXDtj8kZqLuUpo7ZgbNGrmS+SgVIC7CPx2O3QOsUWGZL0gI9xZwbhy5DpIsJV
6DraqF6CMvwWYeI5ic8E29BMepizZKxrTXsW10viNUVztfHpsBYWA/Bex24TJ4gHzDF8jOb5IYju
/rxSpN8cTFwoDY3NAAqvov28LaXpLCiUaYB4M4AAcjhc+zS/KIN8NWvrnW5EvxKn5IKd58nK4nNj
hbB3tQGr/6GItN2Uq1fM68+aVLlSWN4IKnuVdIKUZaUlgSCVN4QF0dipdCcSg8e613O+XJ8QG0na
jL74SbLhTjeSC7Y2plRq+Fj0jE4FgKCK9Z4Ow1UjPXBuu6uc0HLt/bUa5wxEMutUVyExdKHdgmQG
kBPZytiRlIOXM75ksnrAS3KR2/6KZS6oP2NiDBVF+pwCYPOCcYIHQ9ZFLb91OclWI6PHiI/dJy1A
JbyEVpNbgZ0GQi509vI6ZXVInMborqEuff7673r90BTNBfXtEk62EWTkfG1q7UbF9zTGgkDg35qY
nJ+RPU1SnxU53+KzIBMuP86hfA409S5IYEOE9U2YiyNuF5g7YXgLCYCqw3I+tJC5CUkS7tu8Oaqd
8WlpOt18s34qsCOek97Cu5WfscYV99SgrCkfw9VfVshvDgrZgpZK80lDlWn82Ez8DGqpXE+oo8GQ
FUE97VrIpbZu0YfMam0dZdZnhIAdSQa5xYXI1540I0NQXxm8v7yW5Tj/sYEqskGKr2rB8rB+lih0
Wfp+KLPCAweCPH2XCEK0GNWIl0Mv1+lSv0N4L8LmHt5Go/2QCvHa1ChrwtBU3aIvmSaStrsd2vEv
h5j076pDoUITdV2WTKiYP/f2OiD5Muz03AuwDNDvKk2ksgxeEJcHe3+sX/xshk5oyKnXGHC2QmHY
dp3o/+VQW+DIPz8i+LacZ6ap8c/PWrGdEnPwpw68rHmDCJBt8P9lgvuLG4KpYzXG47TPU8SJSrGt
F5pGu3jO1d5CVpzGOBr1D2LXyPFAdBeOZ3h/87Eg8C7oMZb8H9LObDluZNmyv3Ks3nEuZiCu3bpm
nTOTM5kkJb7AKJHEDAQQmL++F7Kqu6QUW+y2fqFJHDITQAwe7tvXNm18lQXK2aBucIjSbqwu41ri
xoQ4B1sLj+9N0LoYRZIx/+Th/3o4sTgfWSAZHHIbpnkSh6m0kVlKTxWE1hY7SkHpvX6BQbXosvpQ
9cUhazFOrKwJWEz58vs3/zWCtufd1PBAQnvCcU7izLSTdDcZCe0oPuUm+pVWwzgeyNZtYre66M38
Dv+46bMY7ddnSdQO7trzCIws3T25YqnKsg27NtuVKZJPtIQyVS+T2wL9SK6dAJ10QY/c8JIn3i0q
6tffX/MxBPx5toHD57JNwzZc1zkNzMI4k4WdVdluchqb2mLH6HBNpHf6ktTqdZK5tx3NAZS3HWrS
GmiLnuxE1eGpp/tPdWsd2vnHfpxej4pefjn4ZEzKl3HE9P0SjN8+KWnR9+rPntavywQfnEMHQbvj
8PHnJe2H+KdyyFu7bc4Hp+k+sugGnvzXhCZ8EJS3v79JHw0Mi6Sfy20iEnJO3govMT3wG5Hu0hSu
gUeHR+htc6fFvK/DcBZMVdqIp9+/568BM5cHMd0Ccj4vNqdhly0Ba2r4JVSsd6mQL+VoHEAyrHRp
PBxveRrka9v0PhmPv4aVts6R3NLnYJ03PpkEjiKJ0QReutPadj/iYIfF+3Xs6he/vzzjo3vq6KS7
LB+yIH5HPz8+wq4hjnntXVg4t27HGb5kopFwY6ssv1aadZHa5ibRnY0PW8BWrLK1RadVO57FiAKB
VDlw4CbvSQs+G1kfhEvcA0MnfvdN3eVE+PNnGzRzKJKEtt+aPiDMnO4tZ2ANCC5g6p+33VcjSBD5
JDCijM+GmjPvtKfzcV76PAdIGDvNyXuzgTQCylG6Ew5wCZtGPzIgsBZ0D/vmoezPGphuCxo0wTVA
IinwEuQKUBXn4XVEE/yi7wIsu5v48gi89Q0aAX0mtWXQezzkKcQadgKMFpn2JMwMExt3DTGiJdti
E6jiLrNpIh9mgswROtZImwZ6uknoE8vmjrbDkWWgVf7a6YEXHX8dIJ6AnQT0iSZyUq3g4Pr+uVHO
vu5AMkwl1rxZhL+Tb1VL2McgOeJv5PVQvg3A/TTccABxiaVpVC8AnjdyPgZ8MuDmSfrLjcWIghmF
AQuurz8/1CmB4RrZLHRjrz0HydFnae2O+7xGjVYBRAmcdl8WkEhomnqlO2dtSXXz+w/x4eTCcoDy
hTDh/58sJLldETyEZbajpxNJFZetp8bB95pPDm0f5BsZwQLTHodF3SXX9/PF0u1mFbIqsl1vUXRC
m+i3IDtYp1XV7QmhDjAP0IPzbBrLuY1a86IOOqw2PrMA+SBimjP0BmUin+TnLxYmU6LTRgyadWco
uBctX1ZDvVXhS5qPX5y5lVOp7FtdOVdzI3zuf/t/v+HcBZsN3fZ1/TQjxzRwuzRiNRvT4HW+3zX6
srwOPlmszV8PySTBWBmpM5C+/8XiZlBpYeCnhYw8pcQg4PwvMpmhzvJu09GA8sCalVjNLu5csegb
Rjnk+UWHxsSsoYinNDxwcthNgpB3Lt/FtnjKYeaYAWYDA/JAZSBw+nwZ/mi1wZ3B5oRPEeeXtIzv
1j4Ivy5F2dnutb7Za1K+cCuXhWlejPqnq/6H98m0YN2BvfB/qdxk3CTPJfu1G4drzWhBIqfypSVt
ChLSR1mTxd/a7JsN+KXXwFX1RKQuprsFApjfDwxvngGnywEPiiKvbViYk5zsc6I1ATyFVbqjyZgu
HUD/PuAHCJQV1MoY7RdNUmWjbnBlvSUkuJ3tB3X/q+fbhxxtTfk2hLSuxFiNK8KlhA0S1HSElQNf
OmGgbB+cS0cEl2NjHvyBZIZkMOiWfLGb9FFYzX0uyxfM4S8koPqFQjlp119r31lXIT45tFG+kKom
BSkOk1HdWdCapIhn8PBbXFJsj/wc3zXTvaDH+K6zQMBIrz6PWgu8hb6hwr8KcFEOS/epiDnmMux1
FKeDDtbSvIgYDgtMRmHtPB//7bn5+niXZUVGJSq/Jfpnu6r94bP3yLCy/tHbdxra14GaUwo5O1tV
Y0Ot3fppt+8pcq7mCVH3PfqgaNw5Bl6FQ/LN5U4nwjgkdfGShPX3NlJnk24ftJgos+lZsKu6uofF
cTPZdU9YKpZpHX1PvhkC5EgbIUpwxxs6vHYlLLJ05kx5mYsyWnNfOwaXLx217Cx0j/NabHn8SIeA
D15K0q3T0UlQhneNop7laZ9sAx8FGIZuc4ykwVvMx7ifl+fMazFeBSCy0xrc/IbiLhyCvZ6sjbB6
KOvxRZdodYLsVpTjJ2cc84MtyGAxnINmirXWabxvGsxqm/bt3RQYr+DavgD7f/SMaF2J4j6Rz61h
7azd+ObOjWUOwp3oi156F2Vgvfhdc19UAPV8SdVPzpmqrRoQUJhBsSHfQ0uVaO6jOjv7/Vz9aHUl
p2W4xPvEY78cuztoq0MdluWuT1C0ecVZ1ZLfyfv7Oi3OJpnu9d7bWBEdWqg0sR/fSnQki15v77MG
dYQX0ToTXWfe9D0Z7C+5r79OsOAS/8HIx5dU6Z+cqT58vIZBWZJaDGe6093X1jDvrn1V7minu6rc
vkY09Bg28lzX49uQYKvIBtw2w+3oY2b3+5v1UWDNe8+ZZ9NwBGv1z2OLJa9vlF0xtjBPwaJbMsDs
C2bN1sHiTEvu6azfR5P+KjP9lTw17orGFiPuK8ds72nNX6SNj4wZ+LSlF5effLgPDrt8OI4zFjEY
J7eTVTcPahvgPE9yasov4MYwXXa+JA7LJfZ+C86nFzqG2IvQca7cUOztIXz85BN8cK7iyeh4Xrsc
sPzTMFB6dtzkBdmlauzu5+fTu2IXKiDmzRdbdPe6nj6WuXsxpP5VTD8ZOo8ysb4kanptvPBWK+wv
BZB93L/39BR/Mjs/2I4NPOGZlzZ70i/V+Q6+ZTGRh0YJ3XKuLt8cpzpkigEUh9Wt3xafFYM/OIWx
IOum6Rgm6pbThYiREZSmmgo842jrC1HDwzNZQF5dSTe6T6KRbw6fTOf5GZ/svNTrdceyqEDbpphX
qB8O7nLqh1oPSF7Rsfw0oWMc6A33msuwLD5LfHsfPe0f3+tkvAktSRPbnhNlAj6WigMaTA1IXZxw
jPilGkoAbD6yRtvaRnp1NcnSownHP8fAlUnrrmhZP8xE39z2NiH1vFqOZ3ppPwGqz6nk404Cbimb
ttJoYzA8+pnS5IGW2AiEvtWQrIUice6dy7Y+HMnHSDRzyo+w+eSbXRi70SIudDqwK8l0piLjrCq8
dVF212P8GpreGjd5lHTe3qcHm5SLOZS7phy3eoX/e91diRzoizZu60ldaX11SAH4tBqtpjSAZt1l
3o1nVkuXWtW+J0lz6BSfMiyuhgKCSR5M905GpcQUWBqVNGkvYw+ETTZMC/nNP4tSjmelLWC+BPoX
rGy+psrd1SDLtNEal4C0xbDqdExyLIg0m4p+tCM7U3ApGxuVJN149t5FE+QlYbXJB5TSev4ikWaR
WVT4YDXnUzhmsFAL9hG3wsmnZASCF9jaFj6vvgjjPTOYTlBKLdsk7BFuNj1sOkBR/ZhgENGmd21O
kGgJGzBIpme8xEzdR5YIK8G5igYv2kIWQjJOBnuBCcOXoEJnnQhrW2AL5GvyFowePTqMegyWb0Gd
ryxJPObpw5kq2AodqHEp/cId3kEifRO0B3mxOviBf+749VsXl7dhXdxqCoG7F6B5smlpL78r33gy
M/oWi7R8TIYzWIYLzwV3S+HgafazxfnzXAApFtEucnitNLjUMbVqAQdYkbNptLN5SAxudStG79x3
R5pI+ZDzOgAkfYu+dWulcA+D6KKP2y+lFw6roh23v18uP5w/hucZLA4WspWTA6tbqaoZXRYkUwWr
2mVFjvqbUeJ4gUrIHt11O4lzLvGTdfCjIIX8B6dXxBRolU7e1olGGCqYGe8ayj+GLq6KNCefX3yy
En10OqUyTK2Row9lRHHyPjbiIOD1otj1o9i1fUtPFCT4nG5dsiklcjqgm9GtqM3LGFucyvg8Uvho
xWdT9VzuMVnY03SPkHmVy96hokAPR1ahOG3Rv/eae8G3rxAKcOjzF0E43bH4r6MYxStIxAu9BpDs
k3xsMeRpGkyrTSy1fPc8yE0qWA6w5AAjmh5y5iI3CqagCnZhVryWYXPXRuEervi5GDtgCrhNdU5N
h0JBNh+r8U1IA3Het6uxdA9WCwYuZblsx7lGmGlLs4ZWGo1zp5M+vljFtCsmDHcib2kI7yqPdIT8
r6ZKEeZ0NODj67XwrPiukre1X6Jht2ka0JvpZX6aJWQw+r+GdOUn7iNHqTR3gTaM4LOS2xreEuRe
IpHnQOsRLswVu4h1w4KjtzLCmERNl1z6BKl4FSTgFMhCqdxrMHTtQrIMYBwNEMJZEG+x/NhmFgL1
JpNvNFIBJtVhcw8dWH6EEX1oY2nQ2Ac59NVmRPPvySYE7yDo0DbgUFB79Dp3r3SaKLM6XLQDPbZd
8jilEvpGPovE6fmMA95gxgr+fg5+tF+6Fkd0gd6NoTrP0R/2y1hXTl6kXQH9kBqT+ZC72fnY69vU
wK7m/+utTo9onYQ3XIJ83EUeJMUCvnBBjh1M4rJvtE8u68Mo2eVchS4FORrHuZ+vS69MWVZ2zXWl
OxXhphcWONmXmzluT4zxqxFiL0YnO7jhTy7zo6iHLA0pKUItzmEnIbJbIysoMpaXgbIvBHTslNmt
mysvEueG5Pny/9/f2I/f0SGTPxub/pJtAE6NugWO4a5OahrA6gNUmRcjGJ/KrH5r2EOgOq1//5bH
peM0zpr1seQ6USt7p+KfSUmo/jgo7JIhi5Y2JocdGkeaLQVGo3q9mBr3XsFmwguuz+59/1ClUBzr
kRih7udSX0mPeXOrsVEpml3pM80bItJ42ooRaYOjlVAncB7xcuc8RfRGoiugKW46c6XnLqd62oaB
bJaez3zr6UrDa4Dc9nkHR3fFXDmPY/hSFG/V0gju64zGuAYmXC6sXZmbD4OobgqtGBcBmVgEzauo
iaAJCy1dmfgnkJvt6Tqeu88rBTQJASAmYeWS02exhOP/NfGhTjjA8X5/Vz8ctYxZi1IQpWk0qD+P
2n7AjBzyXr7rK/mWjY8C2kiKETT4uivTXjftKqHfcfoskfnRAIIHRCKThK79y8lAddoYSdPNdxCq
35KJxycm9TJmzUs+azCGWt7C/Tn8/mI/2v2pPKF41+cvx+j6h5VHF3WKIBnyYcoWUoKrWQp0WvPW
X5fOPvGN66ysDnN88vv3/WjF++F9T8/PyWRnXenoOY3Nw9bHuB7OkLrqTeOpLrur37+X+OhISgoU
kRjHUlaFk1R50/sYemDKtLOK5G4Yun4VI1sPycaaddZg4yLfHczcqD5N21GP6GX3YWaQNzR40EGg
vIWjdlb4mpXQj1x3uE5C6xZW5ZAHAE6tDJGfZryGLr1YygaWFzhfEzSSa9NEljdgu6dgDEYJ4Bxn
emhakCZTes/aCLsX8tQmKs6IaWmLpttE0a2Nc9vTsbnE9RMd2yfa7sRVWtKNVGmcNwzw1wtOXiSM
S2J9rThgs6FoCSHvHBjbsHPwuGsUbnoYQyKlWhdO/7Wb7B4TOI49RuNskXtdBW4IybkHfomnCVtw
A2MiXYYmDOHUGm7tLNrPcXNVW08+EfGgGBtYKqzDaHiywwkbrOaQlO0Vdg9y7aXa+ZA66x78bKxF
79pUj2snavZ4zDZXTh3hFkXzKw69n2wxH00aMRtQU3hgtp6KOrNMKnSXkry65HRVWk8dOIpGt58c
6ZxT8H1qsCj7ZKU3Pxq8Ak0G3RAepeLT8cT5MsS3kAXCzbwrE+A9stvAXBlqWUHCjWd3KGMuwalY
7NwgwdIwD66GOEl2YZLf1y1lTWlS9s1x7TCT9yKQX9DbY27VTTNaIj2HxQsvoQWoDjZrnXW0ABsO
NIjfz4sPOgVseizQeZgsN+QqT+ZFqI0ZmsoM5lGQb9BP0eGuk/EeauPKzrkq/LfkIqapTxvhr6da
hNmeEAizx5IMeUgjoiaabdeyCjfFPa566LdoddriWkAnLvx2LD2yx87aBK4FPF5CvGw0DCgyfbaG
1vF9jbto9/uLOuaXTvZEon3HmIMpn/TPPGJ+WNGEO/p5Y1rZbjCTdUVSHZSaf2hKt1vW5rAxRCBX
ZQ46PDeNQwRfgTN8QXtviDdIU6TbOOUYALXSj/xP1qGPhBiItikdzVGC90tiNhycSQYdi630o4s2
zl60rLqNShqjHZtG5AaPkxqOt3KGA/DH62hoLh1KX4su4OTZKO+x3+RR8dakPCgo9cjc8rcRtwKv
5yXawj/HtAa1j629f3JP9Q9WULQRSAUQuFHYOa1q6kkQuqSNcvTZNUZKKf1+7ciyEeh7nJ/RiHB3
h6mMz/poL3rQA2WSTpdCh93QR6/6WJnXFNCobmcQg6xg9udsK1RvxvgSTkyXMfuGP2Sx7ovmGjoq
3BOcFYUkx1G4zBYn7rRVAlcV304m2wh13PHjOxYrAJVF6e2yVNi47RacpXxrX5o45FgReeG58gU3
JdoDUAPSl5Gg6LqZaxq80ad496QqK0JrKLS1XkmUp5p15zvxU4EMaWG1trHoJbGSr/kXqfju9SzB
btK+ho6+ChyimaLbIWRbVe4zxNK3MAj3Qwj7KUycVWiVt/N+0nkP2GA+z0Fhk1lPqq4PRtu+mtT6
qJs/dbFpUP3nhS29OUTE/H3fnQnZUCCPzqHWd6sw7t8vA926EuwGoZ2kW7KFtKTXFZYpwrvFDpnj
I0RAltgO5pdsdlM2c0dH/bkox++fjIWPhgKCNEtHtMKh9rSqNlJMyFRj5bshKTOwkNYCvO9dHqph
y3mO+xOL287WMPGc1y/6bNLc+ERZ8kHQQoOgj87cmXf00wQvdtdVlc8Bmih5fH0mH10PxHAnKu4N
ctKdGKv1RB/pIoa1/Nks/mD1J1VCTYc0LhHiafa9oMbe9nlc7NIWE0lZJDu7hGHmAbpfWRXtVSXN
SBe+c+8wBzZ5EAEPVbtAlvg+R42/NYvkKmgr88waZwvATgAhxJdLd866dgguoWWuMEw6xD7GocQW
W6IaYsK6/msX+4/vw3+Gb+XNX0ui+u//4v/fS4nxahg1J//976uXrnmr/mv+m//9Oz//xX9v38qr
l/xN/faXVvf/4/Avmrz+dXm/OZz+5k+vzif4+xOuXpqXn/6zLtDWjLftWz3evak2a46fhGuZf/P/
9of/eju+ymGUb3/+8fLKY4BITOvz9+aPv3909vrnH7Te+aRp/uPHd/j7x/PF/vnH5Us9Zi8FVaG/
Xu+HP3p7Uc2ff2ie828A2rNQVCf7TIKdYdK//fUj8W+CeHplEK3NChBSX0VZN9Gff1ji36Si2Jo4
llouPW1MLlW2xx95/yYMJ0vl0lbg6Z5u/fG/Pt1Pz/KfZ/uvos1vyrho1J9/GKdJJzErIeb+P+og
JBVOp0iht0mdR+m0k1OLVXw3sUHYinoGnKVRy+mnJomUEqkuq0o4VI2xx8pSz1/4Feyk0X0VqOzt
2dbTwrDhh1v594f96cOdLiF8OM/yMBw0ucxfJQKIqyMau8HxaardzzphbJ7wTXOa/ppSOhqBvH4c
bXLEebc1cg/FoWupz4K40wQkH8LneEd/rcOu9ksQ1yCD6yonGnZjU2GgxWpJXqqnTUZyU7yAZH4G
4tG6otn47RsWy9jDdgRH2pOe8hEzOOokzu9LD2hY0th4X8T5UurZM97vtobflFB8Zi3yP9PPzosc
IcyPIc58QmTloeXHNxlppznNth39uBu9BnsBDwhb+9R5mVyzYO2yAH+3BCfspZ/H516U6Cua1ZwV
BL7Onb7GOlfZaNkNAUO3PN7rKYX4qic1qgOcdXk/egZpbbDouO0M/TCYUb2PhYvFavCVm2TRX9Cc
ewVvg6/0bSMw1ZC4ey4G1t5Qb0F+tCbu1pUf72ISZYtpZ3j17CzemmuCyxHb9oRIN2Np9OWdiZRr
GdgGXnzTjNlN+vXoQUgWYTazvyvM55d+kV4OEJ0DPe9pC9GAguLvoHwzAewUsD86xZndyvsw1G60
IQRZWPI7We7yZAqwEymGxl5s7tKai88C3ycKkc8erJtmcKqV1+VbWOH0Tk1OunLo5HbBmK8sZ76T
82/XnLnc5AZINbm/qY2BToacZSSwZGXTWwRI+1x61toAbQusF26YlX0JCy+Gq1gB1Q5sgCJm+C7C
Mjnr8eRatL4TYbDZPoe9/aX0KYRU8wAPZk8sugp0kG9WtxSU6vu45N6l5yhqvme6na6sxE9XoxYK
jLev+XP6z2wH/rtZ9cDZRoKwuFi6FkfLOHm08bJdYckOlgzclV1aF15ipgs1yZuKHBHAuwxSU+Ju
C4FZTCCIudSzMbsV+te2rS2qSo3bppewicDuORI6YtqE+UJJ8831AL02GtAKeu4AOCBgOs5SrdPf
KcktlM+bMB1C35lp5xTMvP5JucmzU0RXcnbjEelzTYBnVZa3DHJx4BhKGStylhRw1aKGCTSG+m7k
RRZjHZ73wB7iuf9osJKnwUmfjz/JDR5Th1Hi4Nj3dKcoAksQUxNncpVOYDEhaHRRR73Z1YAC9erB
1qGSjon9qIXpunKDDIdx0tJ2gSIHm72m4t55kmldTdG7J8MLEs8PtIIuXM2B1dqWYHF9LL/KOt6k
voALZZIphurXaxQPPRaPmhMwhtTVVWAwEIueMMjAyrKxKX1lhU7VB1RZXxosy9JfHa8gjOEPlsV4
b/coK0PBSE1qYFN6h4Bnfu5TZ7/3LlLdur+wkv7QT3m21IyKxDaPrkzJxilOnZJlqdZUetcj8QmG
FZ21UPN7Uv0BBMnCgjzpW/JGUcZbk4taCWyku5hXGH3csu20WrdY72E15YVY+QC59UIMNtO6zFZO
P31Nupnyp8+cv6i7nmJYeGrg90NOA1MFTxqHxKCixiW08bqbskfq/pTpeusb4m5aj8cx3YR5+VAD
gGLleINUIrEd0qCj9v1jMSLXkZpjwFYDNqwDKEmCWURpMXpjgVgfndMDvfqcsTP+MC9GbHYauoCV
4JH6Vcb94s6VOkcGRZVkowNVWTZ9eYGiTy3ijqHEY/aikE6meaOpqI9gOW9eh9oj6r/vrUM1Arnr
RV115BmNpdcA3BDtY2uwsvkJ/VDHZyNbxkcpsudx0jmo+1tskuC0z60WLZMEZxSBGzdvELmc6wxp
XOqG/a3O2SLwW8TBl7nTjtB+k4HpnFx3CDqWCcj0hZ0ytY9PhDYinfM/hoOD9uYM0V09sEaMMPt8
m089ZEm+jHeIf0neh1xdgSa4MAExDhmvTu/RNof7FhU8o5IkQymPw5RKE9pv+qJKAIJevRrKh4kT
mj3OXdbps2FVmPvOb0SUwowe9k5rmaDy63ib6fGj8qtrC74NEDceO3uDuQ778G4y8dEqJqZGp7Al
Ey8J58CyCr8ch8jUs5pleviuSkA8WaQjoQs3vtFBo4vvOH35Cxzon0VWwww00ndTZwOSis2jTWgD
N0zsVToju3YcCi8dbDwVAkEa5gdouVTy6lVaimvcoznqUT4Her+iV6Zfafm4agzze0jT3AKN99zg
J2+sADwU/RAl18B1IlLnh00LHsl+UtkMgxiCs+PADEY2b8xd3jHo0VcasNfRIptXTupbEwck5RBW
Ayu6P44iS7CskBd7sSLYwLW/9gJ2Cd3kcVbzAFe04pOhzy9GEwfytpoNYWlV9duJAVsztmvsLpea
Wz6bGbapQ5hu6s79OueHhMmiks9LdFlPqzwnRagDXSwqaPDHn8lc7tOw+l5Q00H0BKAajg7UpGrt
5yzFE8W9Y7+i1swv1NECXMSP7vzOGCtD+0uvc6t4lmyrpBowqccQvQPKAGwSaVEpLRz1BEsyXao+
izwPHg0rbdHTtAhD9p2kSlZgbK4Nu5BLslyvVKwZxLJ6UNzbwMfZ1mvxoakc/tuYIUqz9tnFi6W2
Z+ekQenLGL7dccc26BdYtSJ6SyK1oSrWrzIa+pZOboEwdx46rn7V+fnzMQ7QcNymR4VtkmeyAMLO
el9cjRDTl4HHCdganpqKTSVJqUiOKn1PZftV2t5N7mhLp6QXB/NO6lBAQZP0vRgO5BOq5VAFz9rA
4Bo9OYfOF12JazdbLdugu83R8S1ayUJmTvlZAXgsImpZzffM0sOXLgYeM4ceGr47lTYuM41daNIJ
pJG/fge0FIt2+fe04J7GWCx5rDYLqbi5f4UgBlaFXZXPaHYShYph0WAaO0pXcMi8lhbuTKa1iSKm
edhX910zPQqXZLS9AGh0ZaXFOkZBt7BpF116A5AzDsY7241WSqG5x22BimugralLIYhPL2vraqy0
Vw4l5MQypkobNOk2881zaYsZ4zQ8hRkmJ3JeVmnIUcQ+3J26lM/0XrOI0lG0NK9chSDPwibneC9U
q6crmWOyWtJKgWlLvwhz4ivL4SMkwx7ZRjcbvvOXfbAgYTJb3zKXtZAXs73xNfSRDbk2CylJY+yV
aJPDCkd7Ezaq6rQdsOWuyHEEc6i71KeQTlUDyV1oa49ln717PlurIxg/+IbDkxXvnDc2jhTRqmYL
HgvzCyQAWvzh9KL5UhHWKUTK43aa4/jBxsO0yQ5HU2wLK1y2jXA3N6Yok1VZIy8CphH3n9HeYStB
WBSxgHZjTAI0RVbgQjc08b5ZFCr/rtr2zqzIQ1Vkhlf0xp3LxHmaBcCdNdFc+FXN6y3NKOexj221
PSDxaPtHsgtUyrv3IGPqoBiDRg9DjClIidxsrhsCPTw+ond/fv+8S6lRIa/T+36duflNW2fPSVLc
SA3rlBiRYDCL3I77aHnThJG+82hdt930OZvd6IqSfUirm32eRBpII91c5619PmKsoNuDvgkNxqqy
MFygVfbZSMvn4/ATHUR9hWN5iefQVL3kEzTkwb9EWsMwmuO5cshvjmFQbH7NelCOx8U4MfzDMQY5
LuKJYnM1Ev02sOBqtqlB3JPWpNSQZ/Mo21Y9iBoLhYLS68Iq/IPM45uhUM+J5FRjkmIbrobowZLG
KpwIM0TI7pzrMyhKpd+Psa/n0tkYaOzhlnaed8TgctZPsh6ANIyzd9S4zG4C7kylXwXHm4XREUK6
erCP2xgfwvQ5CmrWSzfHmMAGYg8v0t4bY33jT8GmbEf2P5+TdpIospwpfXZziDrNy/+U0gFVuQV8
0Tna8CnlecbXoGOBretuFynnOc3ZSNHa3GcivS2waiEEyJ49BUrPrZf00XN2N5Z67x/aWByGwmKN
bNzzZnSej7vjpHFwNd32Ku/jfUUIzoEiblaJc4P1+3OsiGpKb3olQFl5cxSf5cGB/CfBINc+9NGF
CLubbo4bRA6oOoSm5JfJ+19iL/Y9x06jxcgF0U7F76TlBZkPgoDqolYuHcIE/2HsvJjFWxuzSEyl
S2sqgOet1NK349j33D7exkEscELhN7IYaKSHKXNLFFO06j6HKuQV8/6Ct2VUxF/meIH24UPmc+ju
YuJhy00B2HJv/H66jGngWjhD961sntOKDfP4mKfoNm1JE4sknGjHj25Cw9+hMLnoI9aeqi2eTcVn
xcdpG6O521KgoRNJfaceMVuZsFgn7/MRiSLMvKDd9xOr3XEcz/twZds7feRj5S1he5rfdL1/0Ru3
I31uBIeESKPZvhFqPlNraTeKwkfuZO+NhbCs68b1WM/n3D4iSR1Cl+PIt4+14a6HVYTy6ULqeXwp
ZXquSR6Ejb145U7aTtOqr1bsPDS6/xIJceVl5U3mMr9Kg/p45mavheN1W5Ky6eY61Vliqu4QT65k
Ueo78OLafPhDH8pmU2KzFvTLqV+ZDv7UE/lH08PQVgR0mIl0dQwq5xyAoTiulw7iCRu8+vHQWYYb
l6QrYR4BoSFjbKSCL145XrSWxBNKI7RAoPTgskEuhKcNnL/YJCcqpGVeglC3rWVZmeNWxsZFKwU0
/oCGv8rQxC4KresiE+9d4MEJ6rNVkjrpRnwzy6rZBh2zpg2DzdDpaDrb4oLN+iL0icTUlJ2Zs2ZQ
1BOT3XHhi2LayZ1BX1/zkOZx7nndWdUlkCtdcPjUhu6ZjOXeEbHcN57ESn7IymBVksNd6EUON3aY
vHKV+IBWBd2fIJCTet/fFFlU6usu942NoCvPjWW5/+eLJPDc6wUNaIvexMNbhmW8Ymngm5jy2Lnn
7Ejl4bNQdQ/W/NbHDxGYBCs7ylLl/vjNNqCFofSMeG1S7t9nXXxNQtnd6GPb7TsCsb3n4NgQWl67
SqcRvHyrVcX++EU3TKxY/Wj3z7f++hU02CJFwur//YuaivhD3Yw5AQdQZ6vhx5c5/vU/v/zPi2Ef
WWC/wZfj947/Pf7rn++J4yv/881/fuf/+L2TV41zoLEdmZq/Ly8/XmTnJEDg/nmf48dTHtjvpsHe
+/iD4xf8lvdRMpZkDbVaoUPh01J0tvMfb4p4LUU8nB2toAwdbZCFHxaY2NymO6NG7rasu5AH0vWB
gu5sFXQ48v/Qc29b6VebwMgLaJDK3PbZsK2aot3r0XPb4C/Evez3QQurflDBgDlZ5u5bEJ0U4v3G
3fO5nf3xm8cv+HVHKyuEhe6EFhBkEkmc4lKkdmrw9mGW+Pvjv1hOvX08+50PjUHzjLppZGBvSowf
91otzT1mteY+GLtbPM5BsbicMCmDfE/Zf2XAgeMsnC3uh5bTl5evXSOH8ZFhlNrryZZ5ywXqHEVy
rcclAvJBKYBdRNSu3CJNgVdKxIXCfsg0V7y24zoZrT0MCUwLkGwsQxjLhglmw3Fzd43h6mVXcpQ/
Ew4WE74epNvKRB0U0HNkQlPYzEZoTXTlKLh9Edaf7NE4+bW+xaSPCSAUp84Obl3a3coOqbahiivN
z9SyqMVVoMMxjh9CPdz3GXI1KonIbHs/XyljCnYwITZ4JF2mbn8Rqxgdped+V0F6Iy3bXRi+0YKn
nzjSZKQ7cWVdts7kL6YgvB7o2rDa8GbSkGNqJRYKrXnf+ml63mdxyEbnFxvoiG/maH/3CxzdtAoT
ja7PX/F3Rx9YNd8rZKVDN6yHKsMC25HbMm5unKS9UtIgCs6HC9TlHFdcFt7K6QHT2P4ZZYLLoulX
nQLjWlj98D8JO5PltpVsi34RItA3UxLsKYmSKNnWBGHZFvpEjwTw9W8lXDWouhH1BjeurIYEyUTm
OfvsJpTD78KYx5eu66ydZWPYUJfeDl4BZHUWhF94xyoyitPkSIjUJLi0hVU9TSWBbSwgD8zMO5Zk
Sm/6Gq1iqUbuLg7XzNFysB2co802eZlK16Voye2L7rQ+PlVw2WN7IMqug58l/VdHzZgD9JtmwgBd
oKFiTkASBgZ22wX69xY+JZhvOT+OpWYcvWxmIImtVoO529buIcwQ0Nc0mFHY3XgJgr7akrY3n+DF
hV0NPRT0lkSS8cMg9xYEZgxl8GqmwNCoxS6mHA1wW3mte8uHN+DjMi6aY23B4y9dmsw66n9zBfQr
RhQccquGXE0KyIj6tUmJlADS8OGwH2w9QViPMjkmcY/LyHZlikFbnEJdCczqMV+8K1lFEDCo8KE4
g8fp2wxD+FHvnVNA1ps1Yvk7dPUvWsNjXJsfNkfjIacSY0as74Yor2ljwBCzlqciMhY4NdnDjbgk
uu8/jmDXLCBoqq2OLLpJ9yZG5Y67hJ6s7L3T9YhBHePDd4qYDHv7SZfRXnQaHuqdQdSDJd/dPrkB
I7y5kX8YLDYLQvhulRs8lIZ3jyIgkdZHl2WkT50m57vW6Z80rkAqbnYZtOqbkQyQ6rzhVne4j+O3
ty3smjCSdPRPImjw5smOKOtIX5oRogKhPno9aTu5RB/Xt5JJ9nSiU/kEGvpMluxhNKyLViDwTsWj
+2gn2YCAhDmJIVMOY8aVXXTVCqxcXCSWYiKdvsx/GgMa9a6LWbYRoI3xKCY4ur0LXBW7Ek9xHaof
dfmxbbxv8+QVTyahvwqdE+5COnPV/CmDElNnKqPFnK+5AEUoSdKIlGAyW6Y2XCL31lp1e2wQSM5m
cu/r8iHICKSaB4U9BsaTHMeHOZPDGQUEIbZ5uwX45kYtoo2T+Se/i3dLVBOOKpd0N9REII2kT4It
nBKnI30OsawoSAQ15XzKJi099WV+k31es3caw67CAejybI2286qldGeZO+6jBINMMkmpYPBq6Wf3
3bEd0jaJhqB7qbpxpw14G5ryfZ6DG5VcGIzEaMJPmzfCPyxp9zNaHpwyu2Oac2Cru6dSbuGQbNMK
lQHDvS2mI9/6Eby3cY69a50Dog5Kc8JQUQs2DgVJXsXo9q3mtcbpu2YUFM1HCKl7hqdMOOgRlaNW
ouKs6xFLLzdcTO+mR7Q4OYeY70zPRZf8sshGSaPqcYY56w/zRqeKb6YSynwR5gah9AT0SezydHv4
lSUT2ERTmdu+DMgecz5thWVoIIxA60xKtLAn07KOHpfOfKir+t67xgcGjk/Mtlyiq07RWH5C5TmS
KnvXjDjbX0dfS659Ze00dAoyxlh9LK99XXFa4tZQ7CY0nGndPmFj+JA0+X3W2DaCqnrIxtAezc/E
pAw2m/YodONdxuaz5zb7uOejR4YArOU0G9ugLIen/Dh1zSXPYuYAAybTmGDznpctYr/F/G5M9c0o
4quZyifTBT9wPID2pTLPld2HaUGUkF5c25hajQRd0s7iDKn4YgjynBJgKjtbwq7wXix6rs3IfVks
RBIlE57k7bumW5cSPELY9rv6aNRD4T98bJT/CsiY2T5k/ncbk1o6drhZ7fgj8t1fU+PdcWUI4KpM
k/dW8HEMU/1j5h6SUPd9A3fg5NNB3ENgdBgVDhOvBE5Z4Z3ixT3XWnkOjCE08sIEc5EPYPAbG7mY
DwQ+TP1Jmz6mGZd6C+i08JsdXmohwr2f4Ckv88sckwof62RWgXjaEQb8BWT8ZAletJIJBdtSfyiK
hlb1smhiCSVvPIaS727qPXd++VMs8bmvbj6gTtG10JCbDy1D4Gsl2s+OnazPQJYwhCTrwoBhwuT+
wdLQxzz0k3mVGulVbQYx02jyl8mZ/4CJfaNUCZu6/tWmFz9jGQqOqy34wQnmP/bj5WUqIbBAeteD
7rIsTbR3jXyks/WfZwAOTzoJHbYkbhVTbpFnzbYwvJs9CyLcaCUBRctrhAMe6IhzcYHXjKA9a9zM
0r70mY/Aq3ikro7D2e2WEAPlDxzh/tQTvup9Ryq6EbuhbuyaUnMuhDIes1qwG4heTZnqsPenzy5v
Pt2OU1/YLEI9Z8TqACrXV2x6dwYotw+DKEG2OxHInIyQ9ODvbTuHyNlI1LRRTvxDaqw1Zb4eJZQH
pITupIZuovSdJdSHHptaL+mI025Ompe9WTP9UVOah3KyaS8SUROdS0tV4qlrS8u7EKdaE5L0AsL9
7GqWtc0KDnqXIOnCJJbbnuXZyIyXmSJJIS95CP8BQJl2EOlINQ/ymGkEJky5fWD3+2UY0bsTa+mh
r8cfAy4ne/CladNOw0fFADWBRWakt6pafuiTgP8mONOxdyaLlKADjRPbtkk7qr6NJmtEZuW3IQA4
zSGL7kUqYdYAt3G4PpgzseSRHH7M5NwNOgFgXtUk2wXig4rjfYsLm/ekaN60cX5w0+St1Ht8JD3i
1RZYN70cLpnpHKRrksBhPuURuIlHFjwjvHTHGCTdQDL7wmmn2IQOs65N5Sf3xglusvRVvo5r5Z/2
Qn1Nred6oFJzSS+cl+lzhkugjOyjbdY/xuHJ6LeOb3w2C5NX/pvhRVCvbwdpMoGTe9dBusr0HW22
3MPi3TDjBRUj3n4DfwgY1t7oJAWrP/M5u81//SydzK1Ned9iCsYpx/CZaCgWiM5TuDy8erQUrU9T
G4cx+dnCtPv3n5pJzW4EWUT9SsDsaoKCzNNVTnBUDzEI5pxRtJ29YTfzcFTy6p+mJUIrfVvwQeRx
4wbfeKUl4pcjnmNIMP+PjJydkKuaLIHEZtim+Z3om7YCmAM7C0S+NziQ6sQNa7624FetX6uf8V+N
dDNg5eBog7kZv0ORajTDrlXZePqnPLaVtrEsEt/4f814l64COs6h1ViMpGgF/P36I1wb1dfqdgx4
nEwED+TXHq0KzjYmaU/sQ1sDxG7s9S91YQJfNkaUwLypfK4zE2xu3Pf8BUqmgH+OZQCEI7hxDrXt
oEQ14W+rXJT6nFQiVNfqdE1BqmL0YcEOVk9et8NufQEMrq2cFJT+aWpEqB5OXZd6Wk29HGSW62vn
MRrnENNtqb9OfP2pZZJtlCAm/Goro616e9TLU2/hv19qwFWZE9UcuFmz0Eyg+koZrFWTvWP/3jcZ
q43vdUzASAUP1dfqdyrm/br7qdO22BVoBr/a5X9/HbfAg56SzsPD5UFEFnS/NcCxQCiaxNurb8X8
uOr8o/oVtI3hMtChoGywjeKXeiidRCwMjblXy+3ctp+yEjf1kOp3guqxWJ7Ub6hrEtWf5PHfF6Uy
lNUFx5VzUk/FUzzIkRxRmuesM9anUw/nygGO4KNFpBUtykuwHPG6pnrJdq6ormWL7wFDLF95L5oA
iy2ujr3FVA9rqI0Y2iYcTSYdsZV+QYW/W9xVmSTpdtHc+pDEusZxP9/WAX7dZ18ct3dtYrmWToNZ
QnmPM9zt9FI/DkzMTWkyDs5IVerBonXBUoQeTd58NB2gI3zVQXecJqbZWCmle5FHG1c6zdFpoWU3
2bWJfxJrLTlszGe6hc9ynEoG7t7TSoOwGxbqWD5ySAKWqaGI3dztioBo1H8dsoK5opHvxAkxX2KW
ycmKxWs1Ih1YfNg6WFQ01DjADcW5q8Zn9V8ZNOauVjQxRQXrIA2ZKOT3497wOiZYHCIYh2OEGo3V
PvV+wQQnYcmZv/VRS56jA0StpyDfCxUbuiBzZ7Xem7VkPyzh+Vu3afGPUnRhToj6Y3b61zymHloc
QHbXZNpkzZwZ9kgbp5+8STinWR1YbaZ8BBpAY5Ia2Lti/b7C3ahq+M0q9UItbMvyioktsyo1gQGw
K7atzTwmxfNCs9Nj0FbJFoyV5Q0oPJfzrR+wR86K6iHGenDjqpGZ3sOg6ET+y25Tgo1jukdTcv3i
T+VXDGut4gf8iZ2u9VRMDPdPsjWOeskAyUz1fKtHu6avv4naEHjV5lkYqYBgy94vBoOW3h+qrT3o
r8i3mJKZxUdUDSqZUEDkZUhRxRE+uRa9zjqcpHY+Cg/sQCQA3Sa8vk0fWYcl6pnEFhzDmA2gv5oP
lluJvUn4nl4X9qlu9UsbAEbMktRBqYaZjlldVwi/OJUVl7kyryqoYhu9lvD/xn06oXbRI7BsQ42h
pQHvrahe44gidV3ovkc4ySDcXWsEzg5L8mFf0snM3pgeRMfQT5R1R4XF3HlQS77WSDtZpJPtnebq
zo51mjU+1WH0MQaibtR8/yicWT5AKg8ZqzhPuncOKu19iaZfqb8YuzTI9utTNwTdb9xcS3eTKYiZ
tGNxImIM/pfSj9uQSCarevxNK6j6Sg8eIzcrNDdFBxPiIVtSGXYxSv+UdSF1971AGrqtJcDpUDj7
MaBuWdKnqEJ+n878pZc5W3wJuROH5G4pZoZkj86QDEwamnmYDAeBe0MpgJoT6WkII6KzZZtFCIe7
GPhs029OVPmELwWvLmqKvTBI5pTTLyrOCnuQGccOUV16/KGQfX7XDYYTiSyu9IHOdp4WIjeluFlJ
9Yt5d7KBeRPsErs+D1FzG7rkarjZl188BAGlUVO0NqILUGd1L0QDa1srpze4LsO2dtkDDDwYzJEm
wtD7a0BWaQxOOCWwt0pcnDEtg2WxjlPVQHFlSZUV10ORh29/+uFK68Gg3vcKKCK9pDzqM6rBjqUE
bJMEiY6KmNLIdiWjrpFCr0jPgw+Nn3HROjRoC+ZylB8fuWLlI/pjgsS/dLu6OYvzUsIgZNjD4IYb
mDT6x36w3p2MBk5oB52RYz5W19FtdhwHez1zmfnIId9HHhOBaiDKuNrn0W3SBwBcaPPLAi9OWFRl
6kkkk2gRGd+KuvroCuc1T+ABKZYXRwfVI8OypRegQ9zApbI9LvyCXEL9j5qfrcScZWQf5kkvjgVv
Aqz4IZ4j5rT0aHaCupkYKocGc53ZTzH4mzX6lybLP0yjvFk1a0EEyQ9NEi/aMdQ2h8zbF9Ljfp6w
SRj00Ik48PslIO+wpwPVp29JTKSpgoGcESZPmjjtBqUc1dCU340FjEjwCtupnuhJrHybJaScuTHE
SlwVfkMQsxiqouqLgci0GIEGFbgfuq08yqEgE6opgmup+fvaMa92Pr6gaEyBDlkg7kizTmiR8h4Q
lBFlu6uaqtv5lfVad0FzZsgWphWGVK4B06PKnOKEL9yTVRHZ6Zq/6qH71LGF21kLNYAg3yId+QgC
m/4i3uJF8HfMCIf/nERmC6kO6jycHgITc6S5GEfyRqox09DSPdiEZiN9PZYM59q4e8dI+5Bhf7dt
PWbaXv9FIM39L3lKdj9F/aXJZ7zKhT1ccvRhu3XkV6Tuw2IapHqxzDvF9MQzjjBUA9ykHiHUdC2k
kVh8qIkd6S0wcBje7OY5/VJDQdev3ztTvuZGAFhDvzHOrF6AYGR7tfvMunkRrbbRNeQt6+wMJv+m
roLvrVy+y4kNqMqYfTZBwiZs1DHaj+z/8XFYhRf/zQo2cDuDWo35Drzz/xQ+tSY3GhzYHqkBHIp5
WIeiTH59PyOmXjivC+TQY9kBI9paBGgWbFfuQjbwJgmNqbuiR+k9G9/Ewa64Sk3Kaqja6qYpJqMX
UxZFgXda/+VEk1ruxQfvSXNOYhfT8d59mC06HL0+Z8VA/zYyjgzUAK8ZmjMN6MsS8779bzq58086
+d+XbXk4n3v/iEqCxlWVddb0R9q0Y8HGMS3GQ+BBHtU4msmJecjrr2qe/BA7JWfT+AZxpIbiXFQZ
NwSdHKwAypUK/t2saD4JTIAdk6UvipCfTacKsCX49JsRwom/HxzevfUUBWDbklR0GQuONTMpX8c2
4kaAghxp6ZcqmxK1TrE8APe3+Dz+cu0VwUEIoKComW9UWT9ky46tdrjSJSgFauXJ15v0mCeX+k+T
Lk+thjnz/37TrP/W0CgOOS/UtFwfP8N/ZDohq8m9UbO6o5ZaEODq6L4wo8TVjb1MzXKn9rU3VSqm
Yv2s9AimLqfKBo5TRwsNy9WrArIuHe1tFNpj3Jj7lRyzYBm6WRY2D8+dK9q44pL3He+cyxJK9OQZ
mPTHXzabbb2NJnPchRZJkRtimR6XvH1GxsShmpxUdGICKK3uwP/98r1/rhkLVxAbFYYPk/Ef/gDx
0ORmkBLFpOuduU+LUIv8eOslHBOlFjPfIq1mJdPrJkawnZ9eVpKeZvFRpqUigSs2eTRHTw4G71bj
7dj8jovLVleOp66GYrkWDFND9AVMg0odKrFdfsw+74zA8k8UJU9IuFIJB4L9R8PYQzIjCpa/1CEn
S6DM0VYUtY5dgex20qvQl/kwqbIJhkcxHT0d6f8yrzykTNrN2enqk+tj6oBAnwY7wRHWSe1TpYhY
fkyGqFEwBrKAj8j0yg9BC/sz/9AjuEfx/JZDTVi8Dgt4dboyrqopyAlfXwtlMwtCeNwAYPapgYkV
/u9PhLCC/xZW4eBpmYhWiK5C0ospzH9uYA7qu7qYCZrJKtwhR4rVQ+8TimmiJiuFfHQXFzNTMoBC
0Qxn123MsB2TL87kGgf2jdnHb7NafLXiWRFVdkEi9oD9movPH3+kpeJbS5BnIJhf/d2UOuNkYwrY
jU220wzzpy6X314af8A928suvZtB8eXnbByl9grwwYHamsxQYJXlratvu8p7yOzhYymJFp6biM/D
/dEoHieeW+mOCMF0l8zFrvS0t6hP8GmpB/kUeNOuX/qL1vT6Ph9NjCCFcxGGdC4OdNc8R1vXMiZJ
eOjrWE7nKBhbviOMUyTNMC2bpw6s7oizak7h1WHJUHU6bHK4s2EtgRsLvdyxtSHeqD4UB99rXMBO
NjzFDFvpbFYPA92xfqsdvy2okVSR5rbFVxGQZOOzNzk2VeDKpFp/blLIWa32rI/xlygLMpbQvpnd
77WgjMv65mpMMFsx4CWj7gxF3Go9575E7VX1xXGdfvey9hRU0Rs75YdqTemiSctW2FBS9N9l4HyP
9DrMHZKR2zFCOhK0B2DIa7NQcQUaNcJSjcoC4ociBlHxb20kyXs4jF/2OD03ZXkx9cSlSYRDn1pU
4QthySJ+j9viuDJV++RnFQ+fmqkeK6GHQDXqCSQRTllikGVruzFnpSwJEzt9qHZaTieaNuLaut49
12DwKlaXqji7ojMVGaTYQiq/+kVy8mMHOexfftug+g4xctPp5UAf2TbHFA6pD4jgJUAdikBnJ4yd
cly6bMHlml2J435twr236/tgwOdvunHrq1aYSnbXQYzcd4P1jIXp90jtQt7Ck+t985425vf1Bk/a
OgkdQSp1NsIAqGMEMI15qzOcJ9GnGcxVFF3bQSPbfvNjeXMsjc2GvmfjECHl0JP7GtaOWI7RPBOU
uMNH/2Vqqpc6rW6z0k0QcrTpaY+DjsNfjwqcFOzorgGeh5FBqLhFxtDadvcawMloAAUslPeGoj9W
Gn+IT1aSyusQ/wTp17R12SbJxTBaTg9mRoXlX2oXhn/WW+ml5U22lxqShBDfZbnsGh8hWy4ZXDMZ
fxvyyrgM0NMwKtlKmae3zJQnknnksTIDgB4PsyG5EDaCIA3IAi+xSoycJ3rgHOwluTn0lictd4uw
jnQGgL68ynn5dPLZfM3x7MV+64pz9r1eELH03puP7RgzmFJHGADilML31AmBb/ESAt4SALJ9au9F
0plbaVrjjg6dlBiEFcNQHNyeLOgJP/uwCiaFkvZ0qjaDu14ReyBpiqPXObuVGNQj65nxxOCTIBcn
ic6wys5WXjf7XBPnZUndsJ10C+Xw8mCCmh+SUYPIIsSp7GfzvATLQyLsfIcE5qYNRs3D1QspNeSv
2osOoet7PTdkaDpNvJdO9zWZfNfRwBgq3C7PUNKss+d1//qKsaGBFf1ZM/XnxcALF/rasdYtM0xc
6+4G1XIO+neJAy34ElQUUnAdciLVlz3DoKFPD1WST/AVG+1i4mEL5WE6NtGiXVIv887t8rX+o1Pf
Wb9CUccQtLWh2YoZb3jfciAA+g8L5PWjbXvBJRqW7OAL61vaBPl1iif8fZYyDIzSYTQ16xcMHx8G
+p9jJZfH2POyY5EVBsqRAbp50RCNoRGaUY0p7h2V41yS0bxBonMO61WuV2F5uGgIq/uqIjgsUSVa
yA8pIxV/NrYRbei2kpaD8/Z4MOM5OblFwXynyYkLy4Ktk/J0ekUYsa5jZFcAnBsMD3eWygLuYAhe
/PK9GaDXmU58yr3WvdSqCIkMlML+hJ4asdmzHff9UTr+wTOAVHLqTgYt0zta8P2SzuFkmr8tmeW7
bDDbi9307WVKjF8N5PR9qfKGk3oiQ9gv4z1eubt8Go2TZwuGOaCEF2naBJjGjA3Zi1+j2H/P05EE
8UiHzhIhOirdLb4QaOGt7CLnZ6efH0XH7ZIExs0k0psEywX+oNZlx+k1Fotx9tPzwgUMSywAhvAj
geQ0HjqjOMfD3B/00qVLbpqlOzua14FkWJtxYYiyzWbjJmA4nSHYZ6esiuAeo1wAIzTy/kxbmCMy
Ofvs1Bw8mReujxFD5cXZzZq2pod1XpEmjykMcfzBgEBpxlK8gxjGdcZ5ZQDnHUqUquphZmli23aI
9S0vOa4SrqrvQYDz8SvGbF3x6q7rriWUNgN69e8icd/scnlbqwtsF6uQOdlBmozz4r77TupqvvcZ
98HkLj58TEfyZepDXekZHJzAoZVggR3tVmp0MU3pIUFQNTuYYbX55xzHl5WeLczC3XoU0ozryF0y
Ea1JV3uEH7Vfr3IlTCuIaInK25SEkBrPRmI8GjaZ7gxVtssQMP7q7mud1M4cHzIuD0kG3aqIgnar
4YGsyM742nZbRyzP6vhcOeSIX2D1t+z9vAqcNLMXIseg3Hb5h1TUYB3aOWV6e1+a8kPxYRX73LVg
oCNsYpQ4hR2SgBQRZFQR/6xQcxnPIac+pbTLI9USag6eAV1EddkjQrRy5nB1s82JAMrAFTfDwPP0
UJ/zBtKZNjS0VnxnFcksca1vPlZu/5jQuXvpHgt8eOq5PBiDvC99Op5EiStdaiUPbSGrvd7tV83W
ShDGLa7ctjq96AjPfuc1KMsgUn5ZZGBvEM+hJ7Pob5tp8bENKM9Gj/I1q5QGNTCPk9Y8tnpwj52F
WaV5o7tFG+LKuwNztyzSr6UpuFcZQQ3aPVd27q5bAGXNH5i3NJteb3bm3Nwazz6K2UVo4hzXBtpT
bOOh855gSzzJsrP2YweLq/faU7GiaUoPGGgn0qluunJ1KOMZSQTZ9kN17oI6XArrtVCAZq3UNVoG
HqNjHSqTgaLFujomvCk6/bFD+cL/UwlWOXsiwulv2mZ6k5NRD4pmTmcrsnIGMkgy4ujPmGCVuK6I
JbHAIikjN5lZP1JEy80KtkwR/Yk3Ft88PGAwQ/6ONO0UM19BV5zLUM8kSiIuujuVA3QVe6J6EjF1
Eb6hoTUsCxLd8qPTtH1XaN/WJ4idCEIP+4Mlpn6TOd1diXZs9gd22+abqj1X/CDCy6hvnDhU9XnX
tK85o2tEMtS+JaBNltHWJ1p1TVuNZAzpvRSz9dho/UPqwYKOWpjOHSkXRHNDqlUeDHi0bwK9RjiT
4ZHs4v7EpemDc5cOvmrx9E3HRntnetwgveTjwT/RhIfALxqgzwRJEumlUNdWKhFYWalPyP3jj0G1
G900uPZKipoqKRI+HlyazZxubRE1HiLwkgd/jH9r8UOF5hy0+k23oq9aW0iQhD9JkFoTTl5FTS6X
mxRca4SzNNMjr9/aY/VEEETI7oPUZSp2qRZ/GoL3UFWpHNjkX3gfi2w+jtUc/NDL8sswEQuo+7Y3
kmcXb4mxr//kUX4yFABSgvyi69VP+dz+HkFOLXWNE/Vv7Q04UwRLzyUGMIcE3Ue5VNF5aetTaZnQ
xfBjptE4So1bJ4hsJ9Q0XKdGC3Hj0NgHJ4Gta03Z14qI4MwaxsSabz2AwNBm6L5+myzYTTQar37u
//Sn4BEMaqfqpWQcdvroR4prxTugpENV/CGImtstAzap3XLJlfr9714W80HLKvsICPsjwe8PJocN
aHSNknoQ+OZjZz4Z+zmhk4ckznbYoZsgF22yJEW1dairgQZHae46fES2Y+PtlWhF9eOqJXFm2mtq
Mp4kT7YN/Jm5IuRw1ddn1k88hBAMKoXH2h/VCad2nNSIZ/oCV8ngvgqnVgWGoRZVM2tvgsRmgZx6
BeBW3NpUVbNHZHDRS9Q3GCrAK42R/FL4lYpPZUuRby1u1Bwg8jhMBjJ7YhjXAcCqzyFOkYUA+8vw
Rqi0qusg9HybdjgwnlrXoe6lsh8NMod8OB3B47D0h7IycTWDe3JKOwMyluszxUmLczongqPlbbBd
PgznktnxybBNZ2t1Hn7EeNptybzREOlqj+PivvS1iLYYaDHj6UdQb+vXrHbZnB5U9m200VqI5/Rr
6MncmptIHO1pXydQWvXU9Xa2FZo9n+KqiNXTmZNIBDvktFOB0ZYhaPRLSbe3XoKdsePKqPlhJzr6
dG5ubbKfuklwurIjZSXNYmOj2vcAaPWO4iCX9q6J5psxGxAwUF1gc0uyYK17G2KYuJ9a47wKRGV8
tJ2B1qgPkXpq4mkdcK5Nrjmi27O8K+EnzNlB39uy+mH12j6ulsdOcqOuqtvIY17pNNOwtz6HYLoH
WjeFvY1ALZ2Efcp0rBhJ/aqQQez70rvWRMcwUAPIr2edKD58YKoE7EE3UfpGx9WmYx60+cG03zHY
1relHBGWKMTHiW00f50vrmDTZy9Ae4Dv0lc7y68q1+B/eng440OwLYpblsISIj4F9IDbZtUsr8qT
ZGlO7Gj3wG5+rCO3eeas8/v5xxIY10xfCBRfsg1UeICxIFcsBRE2QfZjVbyhFOVcTYZPL1qeJnjb
svLufTO9Y1OJTZx7l9H40FbOwVf96wBUAWsMzZbydSAisdqVSuWlxs1ug1iWi1/7SU3Hr0FqcbZJ
qhzIJ60gnDcbFAfB35Mvq9tbR1QjNNJ0r9SY692VW/PebrqLL0yoS/mbHfNSqqw5BQMcuqjfFKq8
a3q25/WWK9VEZh1qqEHRMH7iE1mBgOvNASPIwqZ371lcVnZLHf23GLgvNS3Zjy47Z1DidqCQY9+D
66pjKLseyX4ef2oZGYvKqeDvSNpo5QZKlKs0UcOiXSPNUXao7MrqM4Rqwaw+A3RuGea3dXsaPGYT
nXdn0MTJomqkSmdnGnzkcvCvT9NUZvhsYbuna39Ge/zeR5LITOaVTR6TuHtMXW6PGgBjXQ1am9a7
9b5YMQSNAQsjHx4QfBL/Q+9F1cyQNvNwnVysA6ze+Uk+2uuqJQqQNm80SI3OkmES58czQOLynkwa
lIYo2QvqYbBHrhWvKITwhbNl1MjD50BQTYGjhZ5EqAe4PwASsTFQcMa0XGO1IOuB3lnV0oOFnwI9
6ElrxS3A6hXWobgaBZtvR82UxhqMB9jeFELT0VInng/lEyl3cVP1mIUTcYl1jdIL4g2hsC9VaRmU
nuu7nCX2N0nd6U8APqvEy3jzFjfjKnXmkp3GKZbjpE7rGw2X2Y6/1KwvTeCnLM1jPWaH9bEcNdVd
aiapWdvcafy/hIYkGkevs88nv12FxcptTu36wHZYQaWHFQOaYJ2sePMUGxBOmUmoqQv8M3erU+0x
wa33GdrDRvbLXo0woZox8/L5WMr2hrz5e0dzuzTBG9IHBhdgGTDqzYe8SL6v91BjGHLvTS2CFa/a
xdW883sUJsqjRkni3AlHxsKPb6uQ1lcCfKXm9bTfBSAFKqbggLaEMkPdmf5YfAAc6Qt98LpTDAy0
jXna5RRKU2aqN+N9HXEsJaYEtfs6J2/DHweD6c1kc/ZE3iO6nA9BS70JgC7wZ2C8JIovsvY+0lLe
0mBGbhkb6/wbK/7Ggnu86icJsgfcrTk5y05cZ2UmUHq52NfTwUYPUNn0DWqxzim1fa/QKVW2MCNL
Q4zi9quqUNVzqbJCsErkr0qBuNJGHKvcF3YGZNww1IY+hVpTO1rECruognYijYCNM1aturEY+5wd
4n+xeqshfsxybyN2lrWNNWj1tRIGoNgzMxV9KK24Dz/aVjNglJe3dBkoUGL3Ay0MDtjlBzvddz2Y
96qdSZW21u7KW+JRHavht9r1snrYwfYXNEextZFT8VthkHKghlwV3Jwf7zFeOjg5sK79HGmwjtZH
1ek10O+ATnSJnJN0iXpbX0IyYiAZCGKYKuJoHaIfFE4r1Nqc/Oi++lrkyKw5I2H/9vGxwhMgr/Vh
mzvmBw6wDMW5r9IKPN3HrHzSGJw1uBfxc/waaENqE71q3GkuZGA0LTZqc1qIZhMbzctcuA0dL83f
wMcS1OhjB2czagiJWRZrsYIS6iYEuVR+8qXeUfVsidXSkSlFR2fqfzHp0jZDpmf1xnHyqwBBXhxR
7FeYX6cxNULRlr+HIn1QldOSU6JR2+6LLEVVLFg7jFXedQMYBsd1eCXYvprLt2ZAgOsBdLiqkHBM
28C/Y7mse0andOlZBqEpRz+5QcdyidppDyy+43Jp9Bim/5XFU9lMg0fr7IPlGjgstS4waTUt85Zq
I0dSQbcbl6FyvgAmYryjFA5l2//RGXho2JhszZGNpPyCOgq4G3mnwQjAU+jAbCW4dfoxhEuGyx7W
XrAxxl9ulh3Ucl/3xDxLeboh26/zEFdH9V94jJQowdYyU098qPzOL79CAjGU18zGb9n3RXRmprmV
jeaGCgNfLQv81NnTRz2uVgWGEsUnMyhv5SCWKqkh1/snsTwEHMC8m7Igq6pd4quqvWyPeWgdL//H
3Zktt4102fqJ8AeQABLALWdRFCVRFmX7BkHbEuZ5xtP3l6g6p12ualf0uTwXxfBQFkkgkbn32ms4
j0Pir5uohsXnvE5VU0Ljfl3AhAXH0JoJo/VevCzmGHU6wbZNGtie6IH6hG3U9UJ6aNM5hnhHmyEr
hziJPUa/wa75NFsc3cR1gjMRfdeVH5OFARJRwuO6su2XkAn4Ktfmw9iyBvKcg133emNXJIdO2bxk
TvGgdRYeJHK6ucP7olL3qwR6icc178BqXJpUu4xIoG7YzXuOghldlzeIaq2IAS0dETB8uSYilGbE
B4YM2YdMv+K4jjBFzY6h0TFHyzdq+q47oI+9OuqG8tqyJStkJSvAY4zyUNEZOR6kP8jDH0sD3c7N
i2l2134YrbXg/iSY9O8XjyWfcYnG1HbozM04jCHtOeTbgQaDDI/3pCzuplSnBJSkSzqK6quAethl
X6You4mQLYLpXL8eZp29DsqWcCBnaIh0omprlRC5hlTeR74+QamznjPF+EiH/lzVYmZeE50tFw5W
PcODyxR5qgwo3m2eSsDZbc/REkzSWuFxHK0qUNKNjpntQrloMZtdSTs4SYqUdeWxH/vzu0NhCzcH
1UvukAL8x9R1zj5nFWoMu8YFqHb4eSOmmjyhELsSuV3IQ6GESzcFtKcN9qTYfKafR9tcWAyN0d/i
FlPkiI/s1F9NwUDWhpK7Vie5moktzjuRZABS2fxQDdNUzdK3C4DCra6oSt4Wc5UoqR5Ir3xR52YF
Bx3gvrvHoQoZuWrhY6ZDjsFj3gTp96J7W7bQZT/L46+RpCkwS7iU1lvqRXs/Ah+Q/UicQV0/OMxe
d7T5X7XQ3hpZ+RxW773b3cqKubobc89SQckWwapbjw4CTDM5NVhCLmO8xSqEYrwkQ30N/vpVdXd5
4B3caFj1EHXMXALyBPtqPok+VPYADXgN/OWdVXr3mubvMyP5tphyZBo7XKagaTQEq1qRPgLf/eS1
VGC+SQXmsp0r9MvBFGDhdAxzeBzc6DOMQ8C9cbXAnCWjnjV6wr3XO9FhMYZamF5DtTIDzoGFOKCG
f4mEROsGyTuUJyojv/NXVpW8L8ZCGN4yXipMMmLNty623uMmfVUGRurY1IsYkUZR/3CL5gES5Y9l
XAfbbz815dtMYgvdblvi7aJ8G0A5FWeob2FbNkx2Q/Xw1W3xCYnm3TIANhwmdgA0K8vznvACfPSh
+20RZbDVBnDeW/9FtU/jSHmPjSP8VCU36x3lYEV1mCmKX2dlDzLxxHrOtfcFHBZSyYlHkjewemFC
ApHV5r4bDUz4vCZxhOYABhEBrTrzOURF3a6H/LZeFimD0X5t93KdYe+tBvFkecCeVVefxQ2vhwFk
1pYnYMKT4iqhXjgstd/SuxXaOcr87ewy00xlhCU/ZPukIDyvgZhtYtAERTfaj1ayb2P5Zgi2ZNim
30JFqQ2Neus1ghEpdYhZuxfieYJj1JdvreFWG8Y7a0+2Z7hmEOGVlZjq0kZliYTezyK944vCfMmX
wDpAA/xU8DrhSuT6Zn8QWVvlNLaMUbtO/LCtPN909o/UHlEUKjsJ1dkodDTiBMwb/BjM0UGWSMuW
8teOks8qKogFNSTu3cep0x/CYoYqYNKfWXZ1xK2TbTR3buqBiDOoaQJdjaqiFwIcGZxqbhp9qR7j
moYiU180VBVA2z1qB1ln+dYfXVxCjOZ58e9KZo7ryN3Bm3fpAAXefYxbtxJqOGbjIc+yr+3yCeG0
YGS1LrHCNoT8pNBxYjB/5Fp9U45Wqmdk8PGKpuVQpdWT8hQpIvs0A3oAIlMzjhbTU+8F29LPqAjR
YbKTs92xrzxls/5p8T5M1cf3tNOoa/q2StAQN8qNDieRbO+b0HSbe0DM24KyGCM7R9jMNKL1awHO
j/A0ggYYmRt1Cac5KfnI/cVVZJ6C6D8GKJBgaLXMNL+m+jJVXyiUqvFcntxZueupHmzBnsAojibV
S2pl302Fn6qr7JbzQ1a6R6dkXDfL79lQIZOBoqtnH5Nyi3OsHyIan9XtIT8y2YWMN2mLGQZI1iF3
gwyEnJlN5VAfck+t6oKEjwOdMZ76azyiOQjIY6hUZaUu81IRKzh96a9HHOIZIjP1UP/3hDscbHFK
5qUDbLFXQHmc3E9qo1AnOJqjhMi3FVmNkCRK0msnTek2QbZNbWtn9MN0DV/RJX+xGzZerZYU3PjU
cCVmVWq7Cr7H6/JREqm1sDznDsZ1XbmX5STpYflgd6RTyjPfj0sqEZboF4lhYTZnR8sP8Gxji+oe
krz7ovaa5ewnE/5sQjzawhO1pp2yYutUNpkIog8fHwx82iNiTPA2jPLyc1u8TKb9aXGQUkWvNOev
ae7do8BT9oMmuVdB8Nae9Sb8Umrmj/LZ2iVWYW/qkhuqqorlsNFc1KDTtIMS6fqqVFUDBXFuMEtY
WX1/F+fDHTKpRyj612bABh51/ad8uIQZk2QkEZ8qIUwGiTFbV/J1qW+J0tPIFltFjU3oZTX8gcYZ
BmCAbaNsFIH5BwvyT8/gvzjhfv+fXI3/P7Usti3zJ0rVBlPkXyyLm+b2PeyadwaVf/UtXv7ln77F
0vsPfsAuIJqF1bBU5sT/x7bY/I/NBgmL0jFVqKVyzv/Tt9gS/8Hym5ZZupIoH8vkr/70LbaM/whT
ZezAOVWOxvgg/y98i3+1LXahwOgeLEPDxjb0b862njnhxVFq5UGvh3NhYbOOd6wTliTCuQXryEUn
/tNF+gcz4n96R0EeqgkfzYTb8AtrNs0t8mxGKvBh22BIsJrd8lVIRBuU+4Mfdv/Cu/yV46a+IG9E
QC7hnZblKmvfn9IJAhxTGZck5cFId3gQwpR3pms5JzdZzdfff7N/eCtowIKUcN5Q593++lZ4AhuU
SnN5UHBCkiYfipQamVsFSP7+nX71I+ZL8U62a6mMNe9vd62V6JpDm7ONFC9v67nsB00I0JaM0b9d
P4M1/xfvY/Ve0sB13fFszLWX+IefL2CJT0sR8q3MpEZvZ+pXtyLK0pX3MP/hPVY6USPunVG3qHSn
asfg42wG2MGLf0s6/ZVBu3wSITCC90xDWu4v19eB/aW13lAi4tN2OuF+slNa6PFqaNMVVv6lsZx3
H/eQ31/s5Rv+zPNe3teUEkxZQNy11X3/6Qpohl2YjlGwhLSE4UF7J5weKvNwqdrxwvgZzkNwivP5
Sj4S/aQW3WqrZpSAz15k1cCMrvwUy+TT/8vHskxsz5csEe+XB0nWRSdSRMOH1mrAfFL7gCm/Cp8f
mPK47Q+KNRR1/EFM16Qw7rZIn6ckq/BM7V9cG2doCuFBBrfff7B/vE1wfdmeOPzZXv56ueYuxpwN
gvgBOkGNV7VAZtr1m2mi7hssngimqI5ovxAo/G8J5MavLOPlVv303urvf7pVLlEavQa9/kDp/ojb
DgUGIPgqGJEK1eN11Dmg9Xg8DFJ+i6LXvPb/Lf31nzYBHOX/77f/5a4MSRYi8+MTzCEtAaLmqxzj
2+KQHbMl/P5SC31Jqvvr4iTz3XVZl1gCCbFwfH/6xiSS2G6GOv5Q6OUOjsW9ZFwz6GqUrQO+WLjk
oG3tU8aImJGuphCz79QdLnZtHlqPMHQiB+9d/s2UTveez9oxNe84Dt6ubPRrGUTIifozRuMXy+wu
RYzvc/Gm6iYvim/SgKLb9ON1TnceAs8y2Hcyy7Dw4Oeo/7+TyqaRWnco9sVkvkwTYtkCiKBxT7CX
7ivJAk3wLVvZSHJWZnfO57paAYiyVmwgnh6CHA/U2A8Xy5J3vWAUaoQHDBcy6HcgqbqXPyzwvmYx
OKqm29CMT1GFYVBgHv1ivCvwhUcSA78zyZ9ah+AWHRukdZZ1pkL17rIqOEy+uWvi+dpW+sFqfiRd
fEsd/T4xMZDuvR39OXTDod8KL/5QPaBqj9V6Eh5LGKcck7Lw2bSb767aitWV0RNE5KFoduUASDSK
75qDKZ2u2NNhpGSkD/gN+auB72WM8gDp5FPadhAr0Y1xPZfNo5XjPTY69PF1qa3HKbsZvKdVc4EE
O97gMdMdpuliRBTXencbNL6cO3eQsVpQvjZkCMA6GFqPMDeD2W/mcFuKEVvdrIAIxgamLr9vU9Qn
yVYU2icbt3HI29kH9o/kNENZcIIHAWULDlyGT2Wo3/t9+Z04gZU18lW1ga0H46lrH/Xn2Hsf3RKp
hztcCVa5umLGRcBjXyy9YxUaj8z4h5VPQigetfPzaCIz4hD23P7ioRTOMjiBSc+/9xpv+5woe1Pc
nG+ezSXI/Yo594+qH+8tPb2pt8hnSmFIqPTB3U69XzRVXxt4Gp6W3tCM3dvqSlH8nMcSj51Ev2La
uFG4U1JgkBNnt96B/mGO16qCPQb25RbBs1kIrGtr4xJjAQtHgjUV2C2T0u45yQp+uNlAuMHVhwmC
n9EDnvocTzNiv+4tmRIRSnkx84nWedjuqjLS1k0VKyUx1MepepRB/+6qhCxhcrNq6U37KjkX75mx
NZ5sB++jNpdHnqvT8ukdqLer0egv6tyNqwYZwU2pofBSuA2wRIfJOnktSOvInA4zZnOFRvKqljKJ
jzzKujzDRiWX0M8OscG9iTjt93ib4g3WX806LndNXTR3STy9GlFen2By4uGQhh0vyAuZ/Pp1uat0
f2R9mAICV/y4LEfYQB+xenBn1Y0gmPlsiuDZaXPiBRwVN6S2EuV2OUjIkynPSnFgu2VcMVyXpCB8
CNHn+HjKaggqgsIHZPfCW9tTR1hJwcNJ8PI0vTQzNeGybfXqqA/VuHJkCZWBtR7HVEKOmq4oLIsN
9BT9O6OLHpsTfaZdZYx7WXcJrvJFWUFCZutr6wBPj+TVqZObVlmHKmq/2rCSJp6BnuViBNBXNNjF
Ohxf2XFkeQMl8OiiCgSvN/fL/+B1e3yYecic/krrlsDf4WPhNMYlJ+oY1UKAIqlLN7VmnrHw1tbu
hO0IiBB8PGfGtd5CmVyP93odaRt0+w86yjviB7VuP+gH2+u3Y+0A8JKnuhsIDSGgIIh2dj0ir+iK
zTSKK2w3ni5ZlPygaiXbbgJv5Un/g3Zn4LNTtoa3BVLbFJWfbvyH2Q7sE6QEBlaA61vQNbewhiM+
5ZBBwuFomtWd07KLNqU6JgsUdeTdRzupa594tpDgSGX3Rtsq2uYBCg3OoGGerYPSegHqg9M6lt42
LeNXvKYQUeZWtvVSLlxq6NtY47lKcUlHZT9dF2bdsiCX4kV28Yc6DvQs/UA+ctB0Lg1bXNviTji1
+o/K11/iMIf7bzwPvnc/MXMBIS9w2XcJr1hu0dRiSJLtxwyvOrX4SbHG8vdoKpBLi1hQeZzfDHLi
8OIDxWkAZidip9Y2yzoc+2KLY8p7B7hDTKdEfeJNdwPEWMMz810EJrRKcYQGJfEZmAT1a9VxRYIm
2rnQJlpPI2u4Mr7JrrE3/pxAcPKSFhCQ0YWMEc7A4yTaJdD2eGEyVhmZT9pCg7qAajQqZ6w3Rhmi
WA+OzsCHhxrODuO3mx6GPrbsc7Epi3Ijphn9Ee4MqKimTWW4LXRg7y7Kc6K3IH0wgQ/XPMiCSVjx
kJeScVNP2e5O75Xb4n3MvjVxZoJhvUsd9C2ruEh9gqtHaobrzh3LnWnzZj2beRWbIHNRv0WSxORa
3bsi5RnqZySg1hUB5+M4slzarMa3zRM3TJlh3+uRBsO4grbPSC1Mue2OY9z4h2dhMYvPcVeyLJDK
pSbCP/67F9s0SR5yp0nDSjaBvVamEF4KOwyYm9JfhIMJyw//wU7Vsn4XxuvufdSRkBCTUaDkIQav
uOStvOYjj0Dody9zDiND7eW2PM+6Ha1tHFbXwWB+dnL8MpYtyO4Q4sdGtg1LWA2OYFpUfi8b+wr8
/J6OPLamq7+SQqZv5jwmIWHGE5LMTkA4Mjr4MHO6wTroVNEeAPKTOVlyz00rwD8GNLvtOmxThb1p
gxy/rTLCop4sUxkj77U4FzfzJIuDGuE5wuAJpzDoeJZRUo32qcujcJW/iNbtX/KKYYsAgRez+33K
hmfDcYdvceCuw0QeA6Y/XwmE0J1d02oDGZHWqe/N8kDzHW3iIfrsNr1+n3nxcNJccmWj1N+bRXwv
qn5f4ZPwEFQjDv54q65bEVgb4tumtdLAQxEAaEJTvc/Ja4uMqwcdSIIrrsWYvkYcpVhOwHiAvzRV
NYegnu71aq62LOgIW3+VQZ+5BbwaTd/IqJo2k5i2ZGfc1aH5gA7wJR8k3j5fl57cYtnDr9u2naM8
7QyCK0ZMK8xTTqgYMLp4gvuRb4yieEwkCgdbcw8lpvaMdAk5TsNsG03u1Yim4g6HuE2VtPM6yLon
3WDAZjsE5YgmuCdn8b6yumrXScgXsp36LTQF/GWq9oc2yDOR3QQYi3YXYRezH8vs3oaXxUORXDxs
/e3s6sLvhr/A84kUnOpVb7CMhLMBUUpuMx/NKq5mH7bzvR05PvRuMHZwWAmNKB5r08DFysrXkVYT
pBdvdJd6qx+tz5bGYGwK2MlJSaHQCmhMKrPl0Zc8/5NnHfosgRZahHvH5A09/I4QkdrKyIcjoBcd
+jLyf9axw7qctrZHYt08ecgYpqiE4NdtgjrR8dgqAAUlahEsvOxDCFtlcKbqFMLHxN+040Qad93U
9HvXqx8ZoCfMdsppk7fWxmgTZ9s4k00d239pIp60eR56zMdqyig33eRuhMSRlFfHLfWN44T1QZnE
qHFa1QwlIUPYXAwdzrwarkV4oMLKC/1pI0sdSQMjKvSh3tbQ/G8MW1hOighjqXeXbbtvbcwebQlV
ocac1evT/XLS5WZBk4ksHNdNNCJjYN0Rk0w0EjgB25m39/P8IipL7GfU75EbmIfOgxLMqbCHUYHZ
oggfPPg30BNeU7/KdlPffEsrzd9NATRZUk1wx2o9lTGEpziSc9HvMHqlKGqjYG+hpHVb+cl1kmhH
9yZ3ftQ/yKl59fBBW0+EP6zI4cb7AM86XVAbzJ17cMeAAjGnTDc6E5s0FgFUP4p3Q/TEe3q4a+Lk
4XrGFa0cPj8TZbpGmWxHKlehTG/qwPwDXULjEBTrJKL+iUF8Vzzr0L2sN9ScUGShE0lVFCTO3DNM
1+4LreJ8F9RZUqczw5IeCys2wSj0UCpRtiahSTT0pPww39IW0YVPNxP3bbmrIQ2NnmTS5uBvYIx8
UpMbNGjow+S4Xq7JbLqfirx4Yk96K9zgvJS6bUybiVfRuGrISBIYSZOb0F4MLJPEezvxvaH73bxy
rypllD/XPMXVQjDllrne7yO9zleR9sVm72AT9FcjtgHb2UT9y39kgmCpXDP+qZlq9rBZcVfyH7UU
hw4v54/KAbJMVnU7QWlX5xQaKhbBYIZwgBbv1vUpdLcWjemujMiHsZju91bHz6e6YOLJtkF0g4+0
3HfQ4pEABF2D2xirZqtTWEunrkLoMgLpIufVb+JvGArho1FraBOTm7C4/sPc0HHSp+GTFx8r7lir
UkNSOhLiCbm4Rfrk9OMZSfhL5sozXlsfpYoojdtt71bnwlePmD1fbc7pdRlVcCrLBs+B6gVj32w7
4FBBAHt10Ko03RkuHnjEQ9ybPZR0x8p2ARlBWz+CkGDBt6e/dEiNQWG2oKGBS2tqqiuLLTNudktJ
1ebPsGjx8qL5guSEYWNDxNrMgaraUtl6X0WL03vEPYW7s6zQoGuSVe3N93GWbtzSx1oOevTysTsX
e/TCCIiVoVtAwXkQpv6Iw0mxIQQVhqASVAjpvESpp0IC4Lhm/cXMvGGVhcYhMIeLOUz3UU1x3Dlc
eCp7GjQcNZk0kpCLGqu/JBV1T5YGxyArHmRBxoGNFy4qnutyDzo1qMVtmlgJ9RnUvpoXqrdQ/bEe
Tm8WvJQu6woMwiK4e75nrBwTiszSJZspxBZHO+s2pZbUAatnnkNCC1hc6kOIpth4qrXNZfagiimu
E0Ro1ayW8Xzf2a9OjMBIK6ZjLsRJVjwTjT09Q3A+Oc50nybtowCGmIz5yEwO77ec/0P9aIV/2EGP
VderRThB2U34tbNGcjN88oD0TCEPRed+LVUqXGmMJwMLKOaZ0c1ULfoQUJL5bwv8tnx4Q505pcV6
FRlARcwhhW/ZRyvzzVDwL7UkA+f1ujuQZ9XvogtuWPBJJM8+epmVMaKjM55HI5JAMOMDIp5urdmP
Wg+zmKwptWF0TMlSkg91dhtnhNQemTWLlMujVTQ6btqcKDQogun1OpfKqnpZ0OQqYKer7a+aKwHP
BO1lYk336lyGXUtaS/5e9zzTqqnvC0r2zmBagS3CyYJp0uLcu259TO6qwN1SYnjblk6YFax4GWbE
+Hlv6Ji3qKd2VugYE8UfuKfZ62XNu2aFIHB50HbueCQl4Wsy0oCojRZrqaj/UVc9rjndTt3VcO4O
srBvYxreYuM76gxiHGQC0Ttnm9EeJ6ihhABNmzniaysIom94eoJxvNjOp6QLv2PfPOegKrUUAaf6
HZGyGnIyrknvP4/z+Fl9TakpTJlNsWzl2XYBMx3M8BfgsmsE3SRem3n8Kng6KglQMaB/22K2GW6W
2YDZMtn1Wwgwvm/CsTHma6UhPy3TS0UUwzwQHRby+OOjT3NPMDrqY2298CENuGLogY+xDujV558n
Gc9wfug7FOBjB9CmLFANOfCpw0a7Y9SzNygSHbW0lxfMfQCnVpHiXFV6BNN6ConwludRzaCbigET
A4utHMYnR6bTdgEWwk+pjQ8C2Xykew8svCCiAW+9jKgyFrgBh1OQIaAqga4zDCozcPYE1CPDqmdB
PEwPi9O6O/ep2PVgJ9JWvTWrUuDgBltyDymIbn2Bz8il8MwEUz//YYDHMjXs6h4XJxZ8Tb7iWA/f
AA+3VU3MS+dDRzAo/DIj+9z2xsPyPLTEk9SyprPHTH8LJXqDMfsPeyZ3J6km3jlpd8FIaqL7Rlb1
wW1nlvjy+DHoN338CJZW24fogt/W0QBj7At6tmlE3YpDka/ae877vgo+ZMDGbafzthtoi6Bj3dVD
d0kHHO1KgVMv4P9qMqwAvchI4opqJEFhl04rUFBZOrIz5CWqqjZzN646Hxm4rBaMNNM4dSNAt9zG
5JVuNQ7ZDWRA9ZYj2+9LLIDbkBtipyzJahZspCB3GWPyMCoPtKcaUtqhABkM9xUsQ/gVGKZVU/TS
yAoLobvBRNBSJ6mG8S3kULN4DjEow+MRLbXfnEXMz67YXvv4tQ2QX/UNW0xqE7hR98Z56T3zWaIZ
c8NN2nCJWid7rdvpNMRQnia/09ZpmxEiZzs3x8ioGM6BaZ2tMftYUBpN40vXRKFUJfa+Er9wzDr0
tR1ytCEt+OOwo1QkprBi2dq0xp6NA1gcU54iOXNC6ASeguQy32LRxO67m9Dy1vC5sJzEY1QBYmUJ
d7M2uXaJBwmL1K4BYdNTEWfOTm0liz1a6TFDCo38zRrlRzfisukS/VSAIiCmhIv8lE0cIfEMojQX
n5u5fSw1Wm+/SGiiUpsNleMNH2XMopDtLz0zbvZAzupsSyRldOvI9worYCg5FEcKmhI2DyZRNsjp
ikdQhhXDapI2m25TB94OY7GY/wVaktVlN2XH4k477L+7h+VZbjRBj1rOj0s1t3xRSq9pU9oWezNN
Hshs5qmbbrb8UEvb94GIngOoyI1bfvMYMO7T6sGY9C/khoA3MATwA6wyImQ5Zmj6QA5YB8FjWkuL
6nqo7oo8wO2BVT8mlyrBdVgjImTDCtk3+fQFIRvFnROdZ+95cOCxl6Hf3pspfWgrBaEZDw1nKVtp
DeMrz44xX+1ojXe6W9IU1NMP33TeNBLUdrTnezvAxczypg6WZPa5rFBFl1DVMSJV9KRJMZ6zHO5S
9Z30RLkjCxQbxjtEMl/mwHUwZKXX9dsGumBQ3uWJg5usjPsNDmVoviPxMOp99zLp2WuW9BAIbeK0
FD9S83azPV5IydK2DvDdOtJJgCOpEHJWodVX/B/n0T4WPn4+xWwikTbTGMM86x7PuE03im6n99W5
T9JhpaV9uUsEhkkS9TIk0U5lDafNLjUoG+JufGxwHjoJKJ9hD82XSABAJd/vD0E8fKo7U95lEfIh
ym3aoxs8FgJi3VcbAZedQeNqSu1rW3gKIw3iw1wSxVnqyRtEOlTZsJpOBm4psMLyJxI4AwMfc/0i
q67dLSLzrJHtMVEvWM9V0MkQfgiVuqFefIOX7gteEcaRtSD/fLEL59jGE+W/7mkAHYgZdv1UPqcV
MR/LC8ngkmQZlEpBUNw1QcmPT/NHzMeC7dRrpJEi1QwNDO/rELxYKtcGowpaEEJ2Ox8W4UYWqJab
NP3e6Jo4dpn+JS8ZKMBfN7YZliWrYjCy4/ISJf4Xr568rTAr+zi64c8vy5/FaJu3YZV8i4ggmdJi
uuNqWkciNK3j8qtffmuGnbkPbBJ/C+xzLKsbt9LDuVLLY/343y/lEKQAimW87SsfCKcaowZ6EHp1
n5Rkre8O+Gnhuh1WQ5WtHHYBMzolgfmCYA9Hcq/bjeY4bvUwOi12FctLpzwn6kY9VwD+2//+i9jn
jdIERMPQTOO4vAD3iz9+1Sm/HOhH/I0zKGxSFxZPa1Q9eZrOcK/UL01i6JcCX55dkgMNhr68C+GD
nxIRvZqyrk5Wi7XooEXZQSN26shduhRtsM6IFnzRZX3ir8ezNMhRMJM0vvNSPETcKI/WBMHi5J/X
5rNtaOI5CvVyK2NcfzwPbmNr2M3OoiJQ+gcPST2CLRaU+i1Ae4UKMlgvvxsH29iC8GukYGD633V8
nGCYystsZuUFQ2cHaBycYvkzImkpPzr5ZGmPIyF0z8iRAMVgiUFstPQifYw2I62hMpwKe9D92Uos
DiJsQZpOk8Df6pd2Hv4wxgAqo3L5yJXpx/KrXt2Fn/5Ml82uD6zPaKtDNJN+txmE80XTCbsZvaS6
x0oiuM/wNYElduzVy/KrsQ9fAM7mVVNygjuNPh4DmX7EDNq3CWPD4/JHy4ueeH/+tqxxlCTJOkUX
kZHsxJxBgEke7RC7AeM56VnlomhRfqTWeXr2Wr9n2sSLO03fOY6slXRm/wVTzWKoX2y4f35dTAcC
AbZCPcWOejrbydP30P5PVdYELD9Y/lre7kDcEfUa/IkIBPW/rW/b8ex0daIMH/F5rvFOiNhqNmGl
6tN6O7UGPmHqEUfggJlsWxILF+k4SkX4AcbdsU8kaSIkMbTHVG00hV/so6Tz9iZuvQZWh36I9yta
HJ2ecp+O4hy68ZZRojj47a50EncH+RoPSQNLI9l7GGDwo6RuI8zI3McubkMMDo15Hc0juaizBh9R
5t8rrICP097qdD6CVXdH8jM79jVcbigJ+aXuWiTWuEG8BYoY17kfoRSddeu4/Gp5IbL6z99Gdil2
medycnZ35IogYMur/hhKizcZwj9/tfyZHbwSyzDfgR6T/umPwONhNCP8RWO8EqgHt7DZLcycm68o
Se7tyOGInvqnMow+p2HVwPatN2FZTwcjaF9F4nDnx1U4TTrqWDMFeBiCkx+5R4GB2ZoU2/JUejYg
nQzuLFoeojmQBZb6N9+19rFz38T6ISzGr15VXme7fUtGKkaDBPOBupTOV8THSVDCB5P5asdo4ruo
jtlJwkc9B8PAmQDcw/qqixqcoG9+VBTlbZ12e5jB5fbDxEE4MvBBGwbXvgsnIbeGA40MkYwrnXJT
JIj4PKf5HNvZt0a632hMsB1E/2Z3wTdCRm+TVcPrby55YLOtzzbzkHEXaOGd+gK6GPbE9Lo8EmOI
2a8SMsUTxS0idgojgagWL0lAlnXZB7uIDRnbK/Y2TO0N0zmnIbtdLb9GqfmlnvkhNWnW7sgxN3R4
VoZAjYadvQXklDHTcD8JL/iGmOcbCgBwr+cokfA7Ayo426b9nrHKRg55ms3jXAmGcYJ5r8zqnT0r
J4mpFScy3j6zCz0keoixk8F4CkLtXnTdk6hKVPljNx3mtF1ltWZtScRDOR9xwM3oB5jF9av6GYvK
YUs1W59mCQLOKOoDecD4B8pjaR0hlRga8zVC1Qik8afeqbExZaZsjfDgmdf5XisIrzxkfv1s6D26
WdqnBdGLveBDQUG46tBQ6SAsbkbWt/AJbVDeLPZwrT1CO21d0cWBIVqfBtJc2zQ6QqNvsWJM9Rqn
fkKWtDVlcos8/cWkWAQ7pGcmVm4dkbnq9uACcO6pGqESdMBCaZTeROVqq4NVecff820sRTH7C9vG
0+kKoDV5TAVNw/qFX9TMc2B1DfCVMh/MJ3qV0tDDrYHb+siMxCmzb1R6RJxUKcdZBj6hoCaPgVoH
ld0LY4zFqLoBKDCszVRnsFzKAJjRUpK+4S5Q8ayUPAoWbs5jLJky2zSXnU+/Dct76KcPabIIupia
UHcOUWFD+QbtKWJp7JrqC/YBt5EAt7U2KOgg3eE4PlHyx5us006Q37e/vyiGInT97aLAITUcy1b8
x195eQFeTC6QyKHOjGsHnahOaFnVR4qIJjWc+3k4BB7R1yO659+/t/iH9zZ0KXhTAwIUyVJ/JXw1
Vm9nQP3poVQT78yn/+KNjPBqAzNowj4XYrpI2CLTaFxdR9x5uK6rLoyx6MX3CKKp4XpTRzBSbjGx
8e5GC8jn959S/o0Uhvmn7tie6+qeaTI0/OunzGtM6ol+Zdm4fMqwpUF0m2ZYsQ3TTCKlgeBikHMg
UdChaL8pylg1JB+KzBFF3MUMu1gYGe6uoCOGa3AzVS/nprA/nSK/oWC84dz0wZrYWYKiLIhDHP8i
itunhYIY6KpvV3BgW1nn6nM84Qk8BjSFC0+DNgHZcyE3TorpdU8jL5K03MccuME83mODz5uZIXEn
PaO4sU4fxtjCBgoteWb3FxKK3rGpefziyfSiGjZwnpush0taN0pq8SYUyBjJ6s7OqW/xBJwZPdbm
9JKO4eH319ow/0aO5WLbhkDO4GD/+DfCajlGheYCfSDCT1A26dYWjirdr+Kb1GonsxrFisrKOzCa
foXfGYoBhKdno7d25HwWHAcgyq5DopSWlg3madFwaHptn6qTexrAc+YsdRAbBuAntddfLJ8BcGkU
p7nxsl2vzx/ZrPVsblhky2rCrkDdkxDEwgzCdRbegkaDCGeAVyO9uamBYh4BksUDez+BIEQkExNu
ZlRdAkDUjMWhdEDfgBkKhFBryRG6jdunIWQwlRAEhio7/ezMdMTMtG+ZwLsBldO6nNh5at/B0MSh
KlR/H6a8LPPWTntP46HcgTloRoviNm+/o+BRU4YsE1QKKFzwSwj1/NYJxpH/xd6ZLMetpFn6Vdp6
j2w44Bh8UZsIxDwwOEvcwCiRwjzPePr+wFtllVdZlrLet6UZTWJKusEIwPEP53wnM/UdAQqsvKBd
5kFPcJvpLKuRCKRdrj9T6DGvYuIjGc0lRn3WGHKhYeCntlT78DVrL7XiKp3kEJbaZ2EsgCIIRV7h
W99FT7nny5nFSEKDpaMra4JmXbPuJdR52GmZQTpzXJVb1iUx3KXyUL4bZjwdB2RT6yS1Xiz+TzYE
x6AYfsghJOQi3/qyuxA8eygXkQD5R1wCyt4D1nwLluTL5aVWh6AIP7VhfABv2N9NdgplaGHW9d34
YvoWYg1MNcnQ1kccP89/uFz/hyeKgHAkdJwAliLN9+9HQ9ChMZFak+zN5UdengYO36OGUx9ae8qd
mKYVOxeKnAgg3rK8WxZmxaKkkyFDuqpN/6Df/VfFtzIh6RgW9xG0YsP47SWRmTbYZSSifUqkUZnF
N8rnwzL6TgcMqvV08BfFWTH0L4v0CuP0u69Xr6Zr/eG9+R8Od1OhtzawSEgkkb9Lz7uog4+fF9G+
XbKJxo67CvNuTCQiypZ2jVL8Z02r1s/WT7tm/xIgOW+W+Ya96MfQU6wbAklBVLlPehc9GTKcNkzC
fBDi4x+UuOpfZPJK6pw5KOSVEKb8XYdLgS1Zgw/hfkxi3wO1A1w08vS+iTH3GMsym7Z+TuHsWHxs
IApPoeEPR0eX9cbgLzKgPk9JNGy6yM026CectbFMoyLYr64pI485qwm1GGFe0akXHLgIHvQho3nM
SZ4pe9UchmR8zqa4ABuBKtbIYPj5ifSUZqkXRS9k6A9G/aglab35mokHWsTTp573RmJ6TPrUph8Y
rKWvpdUm+7TKycnponDLbbFuUVY+25lBJrG62uE0X1Q/r6KJvYVmApOXpX2Ma24bE5IctjEBm1Np
r3XZpFB3eoarSv82pYh1NXO/zBy/pKI5MzVXaU8hC1yS1FehEd56mwN5zvNHeN6cmmY2kY2jHZRu
3aDd/rIKvdvZ5t6P03pPmAAD7WKMiW6uw7U9V+dKleVDOgFJtBNOq2xqx30dRZ/tEBV/VR//3/vE
x6OoYf7PfxmL/tX7FP3kWH/P/2Z7+usv/aftyTX+IYWhHCGVbbmGblIq/6fvSen/kDr3iUWOCt2z
tHEQ/Jfvyf2HcBWpGrYybZ1ZDK/iv31PtrJ001lcL5xPjvX/4nsSy3/kn6tWBPr0E9LEye5ilta/
6P7/JJyvgOe0TEfFSfPFY1tXxcWfe0atpgUkRP0YxVgfQRKH1EStvimMBQtfTeFJzawilt91onCP
WaruJ4JA7ol0/FYV83D6+p0FMwutQJhtyR74Kcm1gN18X2iaPIdMr9azKAlxpPU/GoO96dj3noLE
tsi1pRPQFmn6ZGVib1Z59TCO/fcyTWxIaqTUwtC8M2gPnv2YPZI26s3RcFxk7kN2x3t9QwI2PuSO
jWzT9tmhKL1GVthlPjF5495Ckn4nDVaJvr5j8hLcC+vLm5HjbCQclW3FQOnWVvuMe3Zrhr3O40/k
j+ASQjYsLlS9BaGFbIfFlmPK+5mTFUe5fet9Q3vMYovStNHvRyYhp8jSeNHVT7sIhkcnk8NuJqXA
i0lCXpLJ3wJdRxTUcQg5sdWvZGbXlK9ga41Qg31C0v0U6/1jFpR7BAzq7HZAZ9MwyUirhDPBx8ci
y6T5didCZYXfQO0QcXhm3nK3oAdq0sMOotX6K9EZ25L4ms9JdODDhkY9ujOoVQPkeY+nfdUksX5X
GL7tfXGaoh5BfBA1/dlu7UcbfNLOIGKHCl3kd3mB0wrS8XlsJ06giEz6hnXxAg3pLMbvBX/8CjC1
14L6xmYdSquGjSIGz2cQALDmp2MLEdg3wiz9U2gF9+6gJ5fMIRLEhwYF4XI32UZ7Rac9bjQTiYE2
WNY9WtodydzxJWy1t3Sa403bqurkTy6LveolyNriJHoQGkxFH4ZKDWvLATk09Yl7GoHMoNqjAerd
oNm7hiA410jWpC+IW6PGYY1SC7EYcdiryeTaLoc/9M6/lxUGLSD+O44EFguWRWXx90rHbTqUzPVc
nwabshHeuM2TuT9DRi+ot6JLo3fhwTKjx5Y03wNI1e+SSFQvBDXHygHtxj8dWLe/+tP/lXfZjZj3
tvmP/20IY/kv/lPjyiuSuli6VryPtuIk+Psr0pjVlFpXBCcVhMMhTTIyk9jJrNNyoBbM5EFnVsE9
2SRrt7PfMqFr935pnWrySypl1q+Azey1X4lNm2bujXwXZoOZH7wNcjjb9Oj4mYfvDp8bML44eFI/
mZ9NngTqdeoJIVgLLH4rUqTtHZEq/iZurFXHMnTdt/yNoggvLMu9qoBb1Hb8xcAuey9YAuagLQ6w
86xuJR06w9bq5jtnIiu4y/blNDmHqkeHmJd3IpU2pGXED7pogWfUwXiV+qE1/eyHRuHk6b7m7Gwy
vGs5x09B154nETonxyc0zNV7pseJMA9S2JdEE8GFQjYhthYVLnG97SWrkahOGjSTYHpwa5LH8Con
RizPBQgX29Dkba79XeiLkCzEgYRh1XttXBpP+hquHJYFvNoHEQwPY2nEe9oZ0sZisrRkOB6E5sDK
HH5lvtnuGLI+i9rm5o6gEZLV1XuNCq8EhHIbO3pxYil1Bs6DUC/7nmVtsImGnLysVLUeO+F3RcNN
4Ods75Kue3UIh/JwfuPnGyqvzFR6gJkYrJySFUHYhiQ5NTMRi9mJDDemTQEiwzox+/uc5EVKzAMv
qdhDUqo3bIBZEDekhVbDeB7JMd9AAkWJ01XdPnbEyhD9B2BA8uBipBWkEqyFCOTGyJxprWsOkSVx
caJ23LtO0+CAcb2mt4CDLqtYFhPfKTn1HcEqYEgC295JVrxe287a2tJAkJbsCVGtcY/UlrafdWQ9
jT+9koSApWWKyUqUGBTpzQpkrypjU2GQ9sduJFWI9Vs28/QRUp4Y/D/xM93Njv8oGX5vYomQER4l
mYB4NFJgl9cvHN9CQHCUq1OUt4wSlSRi+yu+zHjpqwkVDncHgFbf2To1rA9WDGujUC3x3Pq+cE11
tnyHvX+cbOMB5YWbZg7UGoUfzIruaqG0Ves+V2wcDqmaYmpf/91SIDQCFcDmE+GOdtcGMfWodfTQ
KUGrF7mABDKVPICGDW2UkLkq1E6NfYmDoiZRt3N7EBzVpiihY7RifHCBRjkaTwC/Aes4MZrP5Zgf
NMlmeiytR3MU8g53ZClm89CY2LcqoyShCP1qEvlP1P8vMB6ylWbmO+ar0aaKi+I84YuFUQ53ZLyl
Ev3KlOTXEiGg5xu62vh59AJPAUuZTdQ1j+LEi2OQbk7IPKKZcD6VeG2KxbURNlm30voo3y2englY
3Lp1oWplOfRTcM5eNdbWIzEL9R45D9ai9J6apNnkQqfejyq2n9OoNm5TPAf99EOWXb2XZnCLGbqu
WrQ4u0WbM7JS21UEbjF2J8VwOXmquX4LdXDNJH8vs+j6pc/VcwOuaiXKGXdFDrp0WN6HorZOOipI
IF1koqQzyWr+k9N9Yx5C7qm4tbqmKIFG1AZd0CJtQQ8DzWRDXtUe9Up0LkLcV2FKsDBIt58AT+XV
/JnNRkHNkHkd8AJpiV9DlHEtItCwmvAjQhCyUcvNmPv+LbTrPSnPEclfC9cxCtdfZ1yZQEWrgQIz
PjbP5di3p6mlmR3R82cCaIkc6rdiGOK9tqQaYkmo9fatzIrKq12J2m1JBSTQYZdMDFHVBForXu5c
Q07sL+x5Uw6YzPwhZy3+YKEiIOO2AZsyWtd2yB1YYPzhzIzgd4XF1XHqY9lQUNUMs/c9siRY3eU9
wUXrQM71uZzgRVUg8JGOBzZiw/YT2ldzzbqO4MdO2/tAoP1auDfUeOrmuhMSwGAAYDeAq+nN7jx1
XsVrg+y0NIMVKwiSo6EImsmDPWknWU7NKQ0oYYsoPLSqnNYO8rCFx4fK0lZPfmra+xy1AxJH58yE
AfGLAUVci708yI0L7GOWSHPI4iXU2IC58SFzsdflyWBtp875NQzcfyHIZU+6kX7qc/MTDFO8J8cF
vJWApmWrwNlaA3+CqsSHemHlxzQg0NLsgo9EJfl9lTAQJwjwu+7L+Fib3T0JMsw/OEyudWoZpwhu
J/qTVpzpHg4pdOtDqyNibZiAwb9kjIVIsMiv2E/iQ8NmwcyI1kwNfzPIicQ/ieOKpda7NncQSm2c
Ld3sBDcnUJcJ0cVBT+3mvGxrmCC3PIzu8nAk75mMDG/ScfpUnSQAGPnoOs8mvEKivA56WF3AOEhI
g8N718LJQxPebPolbxQwLHpVtyXkRait2w8xhqgE1nEPx7BBKuJlbsgDQsL8wD/Cz6ZxM0qtsg5O
XcPojBn85bBHzlo83H8lbX79bki0Zg1kLNrxqGHlzSP2MTXCvUVmy76yllDInCCQLBhXXGOEbPWc
5SIYD+QV+PdM1Cxd35mu67+SjUMaTI/ivR31O11HZTeTn7qZLRf3K0vhHj/ABug22MAGLwWR3s9T
/Vay9NkUywEbLUdtFwBgtWdLXytupYPopm9mNodnw/V7PDGCWB8DZWHcJB5iEB7xNeaSMHxoW/eT
+MLilBiaeGoQfnSKqimlpKVuqT9EDEncdcS1NMUTLyfe50n0OQI6ZEBgHcwk5BMc7WxHzsxzUwpU
fbJdhs1+uxsq9M/98rFHiG+uiBxfkqErPY4inQkLAnB1bSvtsBgypZn8inTcMmE47XSuVcabrMbC
ELlmwsNgFj9ZpCPId6sdE/CNxk3GTejxQkckJry5U4wXzcm1Bx5dSIgF4kz9pnPs7uXM8CMjMgT1
Ccnv5Bh9J8yxPgF2up/DKn8oa+j5bOrkpsiIrUlLEuYtNT5EutFsBOOUq5myEkg0GzdAUG9ZGprP
uIU2CsBUpIr2hkUGjZJNRGa4KEi+vnS5/lHEMX9cC2nA6mA6hS1xf312ijsFkY1/YW3MrOtaEmjg
NvuLcKFX+xHj0Y7EGaY9tkU80VcDWUfO/ID8KYosbE3Adg5lNBNLPWM0jqgGPZa3DVMkUy4q+XEf
zj5+AtcI9r3f3qU1kr9yaAn4BsKxMkqYmNlkt3sm6J++b6s1/PuBP4osyg5CeYAOwIaB4AMVdeX3
r6syw01w64fwnOjWnSqr8hZWi350tMqtYY0/Qjok4msIL4MbbCB3ofIu5VSy0q9eDbq7hbXMMrex
StIyCrHuc1u+88p4eS2sq4CanmiBJNvF/YQwNJ3C7Wwym1uOfliGOAq6ZUNjJJjJB5s2tPTCcfB5
bpnFqcjN2XPyst35YbFc6fNeadkPn6D7K4LGDqDxtXYPk55UGzOhNGeH8mBqUYwOIj0Fmvo5doZ+
JPb2E/XlD1pcyda0cvZAewQODXcTl6xCxzomXwmnxVbBA3sbZpDS5DytA8iCPOS4lfm+vatbLBu2
3wmEfgh4KouhXmAczL4X574zfoiJKieQam1O8Li6Elsjm5uZ9QOmGCfCZd2HEpuCTm1luQAgC6DJ
IDgNNCLALH0JvEkO2CybpvfP1ttCabwOuXhgfH3UoJaBE8yDrQ4RJLWK4sUqonHt56RLz7Vj4hfE
NpBuzPsCNOF+IqhgV6DDQOrB2lsDsCFr9KtZxRyf8oNnhXn8CZRLv6Z9ALJeVbaX25ztRjcfIviO
mBWC71XmkkjQGo+tO6HlqRYe4uCcTd6sDQ2+gR8+gCy86KVIVGTdLuUvPpXoWJWJ8LIFKxbUBzmL
YUusqbkymqY4WGF231Xxix8V9tro0YjH9nIXKBudoOAAUFn1wyff5Gx1eAQa6ZwELupru++BlF7S
AUgpAGETsI7WkAFsXIrOh4Q1OO/+ODv3lm9k2P2WpaVh6RedmnubVNTWgby1BSjnqKnDjVVxe5tZ
JF+och/TCRSeUR/GvL1SAyRn1xpwjzZ3kzBDNInJdNMZ5AgHzDJmFnMd5uheuDbp/9OLldXlabDI
YsjUeLIqaV1EAm/gq5rLDR/ZWBxcUt/Rt5ZN54BFrV211O6bTDdhKE+NOut404bYFaevLzNQSuTm
d36IwbeODWTJbbF2nULf2zlNbWwMH4nBnYS1GugBtRXRStrDkHfFaWA1uCOnq7iQ58ngC3QWtQLD
G1Uz+abgOWCV6E91Id217yYF55QdnqIxjk5fv6pE5vk9lHwlWzLbER8j4i6qMxWauzeFuIsiPX5g
PpnfsRKjQ+MgWAcx5gCD72FK6N5NP05u3CsJGbZh7ZkdzWNpJFsHucldhfbq7BPUbax6MVKLknx2
otRPTjnCRrDQMUx8ffaPNdQfwqfaxqVEj39CtJYgIvPsgQGo2IupExuj1QL2JeuoQgIsc/+737V4
hsPlzspt5ckudiHC0kb0TjWuZW1oT0OSv1LpdiiYJmTnGXJYLsl1Sp7bBqzAdCeyuV6sThFKJMKV
EmYPAWjAB400ZVyTibnW4T6jPBYnNzSyu2EZemmjee1HUGIESge7qAuipwAZyBHrLALSSA+fOKXn
81QEHxCZIudRrxznMaxY5GkiR8Y3WTUxsK2x4zEe3xdTso7I3TrpRUqnUnM2TrG3SOzeUKuGPMws
sGZ2X+zQ+hm3zvUfezp2FHqKdCg8eIjcC+0AU/bw9UPD/N0WARK/qTYueLPE5etaaYU40A3j/DbK
W4k3ePU1hCzhPp5mRhme9I0P3+5J/BZuSs5Vfzf7m0nPB7LYGJbMSXMU8VivIoKkqJed2GMYSBnc
wDOsnmenns8104BLrdkPPswFeLZiJQtNh82m5Lm6tO1nPIcEnAwcS9Dh8GVrBg/eOot3NaWXZ0WR
cyosv4YNcegsFVwgNkB2zpKzY8S441zAvGM3EgbgopkpA34kEZE+qAo+qcZtnnAls6gYk3bf1PMV
RSA+5tQfLuy8/LU0quiqNbjIUmTeF1OPS08HLOABwcjkKkK3S+raAzmZ7jmRst6nHOg8bYEYhLP4
zDNVnpohJUcqok1Ke6HtfFi2eayI5Rpbn7HrFK4G1sSnry+yMNrdPAyPVm84p34JwCAYsdt/FSBk
1h3noM68phmRVwqwr/MsDuxzAxLc9dRbLO47qhQziwVhesNnqfKH0alOQ66ZkHqL98BkXRcxG98Y
PKG2qnVxHgb7hqEH6DvTPWgWsx9IPQ5Xdx9tpWlVbHyuOMwaaBLVc11CNxKDes6zi4GsF6FXHFyz
XIiLpeHEHDVnzyPDQLfPCVoljXsDVB9T77r3nYP3WoFGOasZ4K0bmaeqLu/q0CpOY9V8M0vQkK4a
Ll/74i9LKeGMR2kVT34G2XppJIsmo2/ssIG4DHSahuZWywqkj22O0JAfvyFJZlXYxXvUzJ8F9sCt
al41oIUznKmDaUYXP9Cr7YQdBJbzOK/j2J53cwHMe0o7IrKK45cb9oseYY79odR081xo/X2bh9HF
CvJvYaQNVJ7q3VpavCxdQ68VT2Pe42eKyGZkqlHbvgfXfj7mp8YamCnE9OqyMpg3+Vy02YIWl4yz
O1Y1Ww4axOIc42CrWpzSEft5hzyjHX2csXURvnugpDcdlfJzjHIPnWS4sgtTJ6QJjWxT5uzrywJU
5vL5U7pNeJCIQLJl+ar1bb4DCEMrlPbxFkU6dbP5gnKkvZuy9NozBT0rx6W7D4zznLJegBcpN2Xa
mJcpd7ckTskdMTiSpoJBZp1YzEyw4aIywGfGs/KO5e6QwFzifSTDo9bHW5Nzo2t1idzfbj14oL8G
w64uDSdT07lE5TLpxKaANC/UB+uYQcaRbhbvmSUR4jBwENadw1FpEk9W57WnWTlmDxdWbO8zqCwj
88keaGfG0sm9WIPtHXROtcbzj60m3NEmDHjfUatZSVzvo4kXNxUIplV/bPycdyFgikmlEx03piDs
d+jNb26iz9da2g8ka9XM84IXK4SOm4K2hczEdK9FKQ2kyP9I8BfQD/PM0rN6T5wh/kyrGld+zphr
xbAdgnXs8Ny1GS+5TIZ/ObmozloaaI/kf29t8on+GqaQbv+NtcdDOSb9Zu7Tfo80jSzExYRk5/Ex
e8HKKA9wzYeVWVNaSbv4MOvoOE2YoTuT7iLXCGCwqhbWegigDXXrMgVFDxr46M4KcZuI4sYYRaop
1Qzi22ZeOTZjG1sy32H+3oGiIA23K4d8o9lvyYBKuik4d5A/5/fwobdBaR2pvOSWsL9+o/fZgKGc
UVAsZL5BgI7W7T1s++FNtdZTwckx5yyiYv9iAggACBN42CJw0RJORpspyu+uMeAeVPmwyeFJeX0P
9z8yntpSqEMg2+g0dkgy/GG2j1yn30bGWRFT0K/Jvcl17ciquppt9NDYNNpqZhXR0uaqwgjXYeSr
F/KIrnUy0zv4gAL6etBOXQEi9msi0Zmc4U5MteXG6ACNlBzegf0X5NA4auy9o8ds/vFSnd0ZbAym
62jfS5Nkyp7Cj+OLGZcdPqKfIWShMnGy++QD2GYXPjYTXOhhIAzLEiUJTMsX1L8XtPYtDkiKltAY
752i0bYqRU5ucOlAHMYi7votZmHRxLxutzrFMCuWmQCeLmUnB4vfasrIzmr5ktvai10UzqrFW7EW
QFiuRaW2XchR3bbIxwXRSI35C2ifuc+d/g1qiss0Q9I9Vc68GVqyt9MmcE6MSW/+IPPjSODmuUHo
o09lcJxj+03XgmpXFGXM9GD075sheuX5/6OoWvUIUhUNMQZHT1JR7pOZgD2mNukTMgAikGKiUON8
GR8pY1eyNyU6iBdaO735Gs7tz6Sh+aYqEkcjtgNPYlbejUk3EH6VrzK3I5qrFQ3PcTvbyHqqvHgs
sqdZz46V4WaHVsOw144d+1+fFSsQeOuZEmjfY5TZDH0PFDrV/Uvc1cxnjOjIv2yuO+XOT82SqRUr
1gaYwPbIl9xbG2dvdTlsQ1c3nir50bg6YrzA0W9zXJ3VEKXbyogylBhmsZYDUzBzbp9tK/e3Zl0y
7BCDeRJG8ay7XM7KnNlodjB3g3H+loIR3pjWNxPwBo/UoWRdm8E/H0bc0hMFiuqzXcYy8KijrImZ
a5oGuI6iZR3JlvY8K3kLbN5q8vHGVzSlv/xkph1k6nZ2+3Grc5R+y0vjIYiZ3SR5ST7YwIOFj0jb
RWXU3IDPU6JYZ+4OcYkjlMW+38Iizqlq5wiobrqgWUC9P4yBgnnd68EW/TVxLCPK1TgOv2nthEUW
aaEn0hShZGNqxz51aoZxnJKqpcK0c7DRo1+V30uEkqDsZjKpl/+XZyZ7UX3NGDM/21oBfpnl47qc
6SfkEtVpTnddRpMWd8WusqYbfJn+gCzcuPTIIWN7Gm7ch9GOWx22FRYDKKPdsx++V9qECkn4EsUg
QxN6IvT0TFgv0pqYUytq+Y5s2pUDFODVKj6mMIjZtRUMwUnU44yowlPQhRXP/mw8jUCtwTO497Rv
DGFZAc71hDs2m+Ult1t4R36MGj3WuBsd3fHGmuASdEesbFAGRXNMQVLVzd2QZeZZF7/I6vtrrZ3E
VPgq6Z78Nqof3eEVQe3Nxg5PmpQzE+Pi/uzTlul3RBIj4qT2ccSveWKYc9Om+WPo8vYhMDcM8JVn
yQqF9wxPuBfxL2xI5OJW5ntu6E92YCskjyrZeqNE0TgpjdiGYArW7Wjegf7ZtuhZd1Ec3MVW9ygN
CMc0HxsM3ej2ucxtW/vwg0Z6oSYSVsK0EpVFT641l5belvey2Qptj5LOOY4Nt0+oixP9DYFaGn6Q
AqOam2fNDsBQ7ff3ThK3SACAGEx99iF0EbB7WC+rFFvMw1bk7uiJTH9rNUpzlu/ueownbvqoZ32g
pRkz8Q7dH5LbtHzTyoh0ZnbkW5ms49JSK3uoznoGhTQMbXX5+lUQaOcEUvMBREJH6G9q9nv0Hd+G
wMWpwZTAMhf8fRUGrPb58vWrry/a3OjH3tD2+VgH1yDP0JG14Udlmhhlm7QKr6U/HJqinxCoLN/r
lu8NDSD+VvKcYNuKUNC2BRYTh9jOJSbg+vUF0Vqw7dDj/PU9f57Etm7ZkDhyjK964MZXSv/5EATZ
Dbd7fP3v73/9SuhQbea+JiDB2YJ2YpzSlW58tOziTAIjHVpRffIg54itnGmpIZN1S9CvF/ejvuXf
d9ZB36F8ZiDsVQB/mbEk+hE/6JsxARICyFWtdcTjvZYsucN54RlzVW/EAgEkhW7eACLGrIVY7jFh
NHkmP9gTunqw7TkgXCKK9wYngt8y72MWf8t4Z9cah2DjptcoZ0Jm+vbbQOe1KovoGUrmr3yIXkyU
enT+R+bJLUuJiea5YpTTTia65Ijxey1PYmS1kpktXrD26BQZ6+nhI8+/23b/Llj+dUEt9kO1MwT2
ytR5TYXFWi1stnVgn9XEsJjejqrN7kiNz4OHhj1qYhFhEqgqXs9MzlZkdTSOQtKHzH/SFJZgK1wX
if4Ox6pZhW+d+OGwL6KTklgQR5J1K0LpRB9AVosTkOXE98gehlLepSBOYytDZ2KI1djvpSzGO1lj
DJH291mkx8lx8e2JDEmF69yndsqKt6yv1txvaVuRWoJhYbYm/Yx1NAmovl+Gi7uv2YRWd+8zEieS
z8cDm3ZXbT8i3X41rdJBt0J9EFM0YghjjtemZ1K26kXD8D3HVqJPecOxWxGNjb0mmi0QNfyberp0
hc0+0QgSy4sfaW9B8bIAgvQzeU6ab4My2vA6LM8UybhyJuAzP5KRlHHkukshTdKVErZYDyphbLNl
a0U9nAHVNzpy2Nnn0eSYH/PgA0eQS+y69ahK/NVz9EFwo+0s90Wth2vYN2TCl87PGWwofokk3YUu
2vUSLmPm37M7rpA1E0SkJ2O1tWv/ZJiw+bpAbRrpTmvkNxOGcevJZU2knJYRD45T0hOsT5XAEnXY
mjZEw0WNiV+lQxUKX26fBebkmX6+I4qxXU9DU2z0rj3ypx+HHm8W8NyTERM92+RNTd8lH0N8xEtM
pL4p454RKMyk0apfjSLZjdYQrXl2fFqOvqds3xoJqYxDmxw44RnGh1tUsXwCJEtvsrlCBWpV22y2
ti6q1J2pOffKGdgoBNioetieQR+UG/pMHIvmrauZPko/90yQlhvdahFeRZ/OQn1pwEqxrITjOcZe
p5rAa30dl7pT7wwrv8P+uDbt0WZLn7nbNtHfWEp+532Nyjtz1LjA0TavCxBnG71lQd9pG7bWPGMK
xihlQ6RNgBmm0Ph8fCQRm84njMBImkPYNnt6ToLoA4slTMnQPukNUHjk0Gs4XoYpvjWwQ3n+WWJd
EnzjMUHjgWMsYFqzqR9tg7K56bc5KdGbPirYG8rGyxvginOGMAmSZz0ENQt6Ai7KkUdF4FRn+FWw
AUDTYbMmTAT3Q2ULD03dJkLetIndcg0j+r5wY7n2wTSsZw2DRsRaZ+o0yUFIHKedM99SwryyDsWr
J2asMsitV4PSf7QpYcqkYBOLXacshDGbaeUHil5znZUM7WeA8OD9nwtl7NOMWUoNadJj4f6I0Shf
wcMp5M8sSNmuTO8om94TTrSVQ+j8KkRQAzPB3g6+/lZNjHyYYKyIm3wBUBaunKesE/gaUMwDaNo7
TnspMla1vs0gDvYrbqTCs5Z6Uw5We4jsHqsoRbzuDsmuL99qJC/roQWlVM3N4zRExPDkKCkLaIxW
xIdq6/ZWNsmBxu41jpMfIoQUYXEY5/W0UdEQ7nRXPU3jiRy67wYnkQe0ZITDIh90xvWhy3BZunS+
UfIN+0gIpMr4WRbBy4JhjBWeqjgZKdSL+S1T2afTNyWZstBq3UNQ1t8zm9x3mE6sGuZzUUOjYTjE
MKIevS5rrW2v9TfRQE2JNT+C26L/yPy49VISimg+CnB89gfqgLeg6IeD3bq/+ll9AjIQmyrVtkPt
6n/wDH2J2/8uTnMck/99+ZpMrEN/F6dVRWaSElESFZbgspzc19Iu8TmQWLsOB2IcDGAajCUMomE6
f5Ok+OwS7ZLQ6Hv4gKONhAKBWNIOdwHV0b/XzonfIP4GWQaOZaHrtRH5OlL9RrmW/hw6IbuEIyY0
81Av4y9bRWT/hXLDiJ55fqouyiTsl4kWEAeik7dztM5sFrOaoC4bZp8WJRNnMkL0nTE9/OEFLka8
39892+HlYR/gKNR/k/b1sPi6RgX+UdLmBbhmqCZylOxzBIGTFw6xZhghibFx/GKRpjZpQGZx/fcv
4180xrxNjq7j/0RsDHv8t89Q4BXUAqSHR9Q0LCnmBHokkW+Z9VbYFJ3p8mGWQC79Ik3/IG9c/um/
vwF4zVw+GdfUBWLp39SWVaCcEnUwKIVlJd2wLoyjyN1YAyadeck1D8hEQSEDHO3f/8zG8tn/9l8W
FucnV65uS+t3s5twi7gghcViBRVVd8i+ju2gecpvxL4Not00QEcRzfiUz+4vYLg18ck33PpUexn+
wMWbl40pOWP4C851PsLPn7tTGtf9xbKK98ymiEfr8Cd56u+2MS5p3ilXdx3DlFwyv8tTp4yRj6Iy
BhhbM1/R5uOwKAgKlg5eYsr+Zoo1m4J6j0BPguJY+8acAn5lhe5X/bRFlRgPRnEG33hyNBCjddf8
X8rOrMdtJdvSf+Wi31ngFByA7gZasyilpBw9vBDpY5vzGCSD5K/vj/KtrnPswnEXDAiZaTulVJIR
sfde61vTAR/UY93V3amHVNC36PdcS9szN0ZEPn8tlAfwV6YMHBhNrAoEF2cc6mjlXGdNKzpFPUHW
J6NpEtFM4+Xvf1O/Xp2ecCjIPN11TYaMP7kSq9JudN5pJ+jpG68kN/BKt5ptM/QfpcVJMGlpABtu
+qF1Mn3398/9q/SW53YN4VOTCBNJ8F9Xtzw0Fep36QQGcKVyHuUOkSZ2EzfcuEvb9O+f7dflyhOu
b3hCOPiJfjFZOZ1lNqglnSAxtW+qql9bLFX37n5mFMCwwm9//3zmsrz8dA+ABbV0TE9cVvQE/vrj
ZU3R0PmoRJCFobtNtBQmbbs3pF0Sa7Y0O5YRQUJQ5TrSnuq6LZF5Wey2lUcTcBmPNiCij1ZUP91F
o0Xtp+vSoqpSeIsqQZwQC9bcReIaySbgDO3/Zvkwf11APUewfPGG2RYf/fQLgnYWTqQS2kGcai5I
eNr3qWxvRu9Fwej648EwtI8WgzDH5+UiqOrJYx7psS1yROWhEKnh9IR9ssrtyWec4TzA1X4zkzp6
mcvXUDTz/u/f9H9zOfsmySAGbzv7/c/vuW8Cg5hrYQa0GmjwC6YdwiPHCgXg0QgrckqXEApa4VGh
n/7+qY1/s+ZxJbuORQPatZ2f90OX5i3PXZjBnUnalPO0MjyUOwM4C8Nimh+2w/RgdB6BnGnHrGvR
1LajPq7Q+A2/udp/NmQvSxkGGdsjHEjgKrSWV/sna8ugJ7ABfccIyIBlvVrUQ/Oi+blx/cX7uX6l
KueG43youVr1mzv77nT767Xv49IRCOpcBja/LisLClMvYz2odf0TPcEa5Yg1fRTevrDypzlhBG0J
MqqKcBnh6ClM4Xyx9MfOZzcBxZFrxpfWcA9zX4nrYAV07gGBtPWmnReKB1ilXcLg8jraxg02PBGd
oR1Efm+cAJYMgRCY5c1B33eidFY4B2cK/864REm0teizrDCMiF0B0A3NrQMgvcr9TWoXT4PVHfrG
L08MJRajqJiIMA9ZwUirRzULDg+DWQwXLpcc0/3WYC8zys+pHj3BZZY7kAf2URnhIQJ2wIWySdxo
PEep6ezV4iCNag180zB9HpV10OD0Kq3IntqFI8qh9iwHNTMX8xl2SiqqtNcJE/UGj2D5/LmLslsv
Y4PqrDR+c7n8mw0bEzQlK8E6JgXEfTH70+VSAjpLJi0UQaRs7zRnYo/S4EsaS+9x6PSTFyHDyCY0
AwDbMauLbiGpv/Qjacf63DJcpskaNeiKzT7fg7GlT4CWkWHJkqTeiFeYFYA4+tn8zQsXv97xpGCx
yuJX9T3L+9lzGeUDshXOgMFdJirQmMza9L2PIvGlKNrPnjYFZKG7D9k8h1ifcmbSZX/rfDJoqR6M
FyQ0kDAZ5KF8OIfQnek+W6gH2xEAuWYdswhnpZO+RUyrtgNTvj1uZixHNbMGyVjL8D9aKRijlaEV
NugxJvkOMvXAGOvb/WTVUfefySgubRZGfzS3uZnQQ2a2DIfaehw1ZiF5+0eLQfS0GXPCIqC59oeG
Dl6rJphsnz2rxpRSkCJ4D6+fOd1bvMPXIhxBOOMGO1QdOi9hqk+/WdJ+MrSyiEBTELjjWFC5ie/m
3D9dFXoj43nw2MJy7+DT7LlIt2u2yNnwF/mLnb3DmGksqtGssitwXKTtjjGiiMwnBqbNfrO6G79s
qYR4LesrFiLWNvvn19MkksFlO83wzoU6uhJJhetux0pvL4lNJ6F7zLqyWrs1ukc4Urt4Rqleugze
wC/Lc58Y8W9Our+u+rwkXE0W1m2f3fLnA5Q3m2iyaR4GZpxYyEyBFdKvCMklAJlg0J4xkde5jj49
0O+fjk6OiV4fzBMkDet3IVW/nPeX14LW2NCt5fAqflrzC9w5EHr1KRCRscB2RHmUXbNPGANCoOGX
Fpom0lfmnpvO0YyN2/PaNFVfoywHVdYUN+b6If+ntzcN1S7FZJKe5nH+/Jvr6tfdyeFAsRQlmJso
EH4uzUDjJqNTuyrQWtCTeCf1YxHpZ9SxgCgZOx5owEJMRPN/DUP/oPn7puLW9pMiPmvJkzVDz1Cu
eI2jtj3CKezJZ/eKcz6ph3g3IvR9qpuxWNzhF8i+9TMrRHFiYonhSNVbs2cZrjJZbyY7a7dz5X8K
S/LAZ+SfJBSFO03vCnRWdelv4hJBuEhtmouLsDpuQuAOnkBZ6Mi9hVLflq44isaCdDwV7rYzG5Lt
MQudRExrG2XaDrqtu+8lcNXBcEuySFlWek6pu7kqkw0JAtOVe7qkK6kCeqMh8kbyNSooeqfRYix8
f6i7qdsNU2Xv7wVIxUAP9avVnWfckrhDSuc6QyDcDNuid81XY+I4n2bRKxyIT7mkxI2SfKvZnXHE
wfm91dGDDNZM8HvZPkQx0Fin7/3rfRFNaRqedG94npr+k17NeCO0rUJpdU4M7UmacPejES2Fa0cP
Uf2BgX+K54D8bgeM1L2STsL2+1iiYE99wptqdoJ1OUfGxcgT9rgiPEhbjL85c/x68QuDSh+/sS8s
QCtLtfGntSopccig5pJBkllUa7DlljN0rbYeHuAdyHPmItN/fvcLg9vedolu5Ib9+bzZRbrZDWPc
Bl4GEYTg7oe8H/xTqpU5eEMn2cyete86KCKLKqvAzPNDryB6xzv//U1l/lTggBvgqGWyE2IGE/ov
91SJ9cNoWmEzmtZeGtcrz9xEbMGChi2y3z32DfvoxOGDZvfTZvFrzPjwjwAW/bc003ZxqxiVeeoh
ScovHERoHJukGiB0HLWCs5PPKH+OHy3Gf5sKZTYJX7CoMrmtxtH83UpPQuNfyyebn8WxHMfiZ4Gp
wAn2r79PO2dSaSPaDuKxSTaeFhvBXAg9KECMFav751gWjeD+UVbma1lPyVG54RykBBzQ+l4+9EIk
T6vcK/LdZGlv0Kfn4P6QcIpH4j5y8GwFWCK+Lgi9YvpUcTJoujkwyVhumq6D84QUvdcbi+B7DBTX
foKEMTNMSR0rSEQKkSWux//3oY4yRYPxRexDZQVp7E1b4cjvhT9pIB7nkf1d9mvCtUIB7bCKSR0Y
kC3lVnGwRXZIyZQOhtQOgxy5dujV/NgjjP5u+XDCLMRAIiiXh/tHPux12JilziPuZA6rlv5Yig6z
TJs+wyXGLR0Sb0Ytmh9Gx96bno7MZoyfm55Ni1UMxVzzUnQFQmNyeBlZzXs3fo2LSOzdBjsbswT0
4pqTrMw2frk7M3/Yr9ALYrkjxUCM+IH6ibFMndvNDVa5ASgltAogiTasva4lwsjCpgW7oooghcE9
HdGSmAw3nlJjMF7KuN9ItCzbMcwYFeQMWI3Jbk8+niAioPl0Kjzv7BZkwCgBpt+GtbOso5Oqb3YK
iK2OQPfldhcfOoxi91fJDPyhZPZ+hDGXrHW3FM8d+MmNn3E1UL4wmUcitHGIpTlrVtWfU8RPFBc1
knsTCk3b0WvqyuEWho3+kka6v4/QDre2Hz7j+V9nDfeQrjUW+5KstU0MXwe1n/0QAa29NimC2QrQ
8RqUinO823XYtrRVpBhdae2AmIKcL0x62OVxax24BiMIYjHiVUsr9/HYUi9IymlfRNVOyj/wzh6A
OxsvygYBnjWRhgeUlvxUiYLsSWNRO4mzyFCegeeL97Ag0z3OLTI1OuonvwEWloXOC4Ixc5uirtlX
BX7IDNp95yUa85/ojR7RFasVbSjDPnh5bBzNwj5EFPto1GdzC4k6mBK1ZvSRlY3xsSzEm10WHz0Z
ISztY3yluOKPZt/uNKLVDlZkYOWDy+roWPzrGFdfO5gfEM5ydi5ze6tam9j6eKt40rRvxxsvc9U5
2ON/dCj1DNmh14ISRaWOkezpbkydFlnu2PgvJvouhjD0MgVHv3M59tfKgHpUaoRAeAp5FbGHH1DC
NvvB4zK6u4tDFLY3G8D2Wkuc5I82ftej2dn70sj3KkbfN+k5SHXY19haKddxGXC9zubjjDLmRaER
h4Sfx4iT+DRv+geMPAarre6gG6G74PaQi2e4+Lek5dRvDSC5CH5ID7LRz77QyoM14HsGOIVmD8Pf
1ob2jws7tJ7QC/D0cwtQM3c3OkTMlECGte14+Spl5117GSPP6mhPTv0MmSFa123TMzyx87U1M2Et
80V/hPWWWBXizrCcIiDID3ZU+YiGomXrnSLEtjoSyDY+0yyJATmyCkmdG4KEeW3XWpncdMAQNgMD
rAfHBAgMGPDkg/R94FIYeAEWCj2cBSe1n7JvJB5FJ7R99VlPkkWZguEkR1h59klENFR3ptWbb2lA
+uvGTa0dkWPuOteq6OgNklOmEzUvnGvXlVfaj5yYsKz48qHseuPiW1qKJ+IJ4w559i3hXispwR4P
nU9DxR7ViZ8/hn8DRUv3xlsqyumGgirmCgD8rNxmJ+zYu2mRNK41N1NDObuOEGMGCT74pYGrgqHR
zilQwTBiSNbrH6t6pCdXqpfM9EN2ymnadHV0RUDsPWfZH2wMTFil5cH0peqhkmwiE9smYl5732Gy
GMIBIdTNHw1JKIwwdnozAQaPyzwY8+hUjAGUHxdrSfcOpKbdJ4UVraM6A8KNLOlUVd4T8FYQv/57
3EdHH59MkPmI4CbE77uEsfbKyQ2Yh+2wwKRfe2mtR9xWpwQ1+WEY6oApY3rSBFtc64sQD0iNrtG1
OVbWLClPWhbtarDgJNr616ojNWps9XYfZumjXdLq62pu/Kou7Y2m40nrUZgfAdvrx2gqXtnyWajQ
qPJuL7lHvuwxJKFvW3Mm9rEgjcMmZxi8j3qi0gBx3aepaY2KyPbkqUY6nawgsmoNcb10ry5+an3P
ImczWeS1oAvAJS1GsU1QTZUR826Es9VpKjguN+HGKe3PYTOZK2gI5q7zBOfmPLuiuufXkBI5JCE9
MAFWOL+0fZRjFMAtNl8YSdJoA4q0ITbU38XYlre4Yop9ODd4JXzgqK3+YPa6daFsQasGn+aqWgsn
P7JWtEmg9Qm2rPZj125IXPDOCOj6bSWqeId0SycGjre+y4kmaLLxKKwGz/nyrRkKJ2tjobUg3YGF
5o7Pd2SbyxLqsQY9N2aUwoTrR8QTN1tY4rlhqSxImrnNU1Xu1dCp9dw6GE6GDItP2HtkJurGlncS
dK0r8FKSWYBlJDlDqUOVN4MO1P03J7uQ5uN+cuBtSGiU+LUqe5WOanhGpba+a3+rLGHMEov3wnVQ
FaZ5fPS1btuEmv1QlPa0bYf2Rkn51UyagwfF8mjoG5ujFIXR+BU5B+7DQj4C7iLZoTLEwe7hoGbR
xaTHfTXlRNpMHW7yKD+bUvcPZlvo69lCaguMkgS3SBl7jmjbPpmdg8Q8sXJpXdKLo+qISXRyJtoM
nRwg5unOscgaSHGN/Xwfy/SdlR0drSUYLS0/WzoKjm5wzuQFnuxFbD1GFjCb7Fyldns0s55xchhh
tB46G2GeGg8Wz2IUtTqBz9onUWycxeCcZi//2nSpfwmRBVk0ePbd3N6a0cr4McKJQNq5DxIj3MTz
qZz8+oK+DEmxXWtHJs9AXvQWIB9vRwKkgVYQBIEpfapIB30Q2CeMyfDOTetsPKKLAPOp97uzvEvQ
GDVFvG1neSanzyMCFYKM3xGUvAxDutrSVv2QbZrGMDYj0tbtCHeXA4dvbpnno2nVFRmedbzxCuOx
pjuS9n/oYtcgRrDbkIBANCWrOAQqKHQM93aJ9d6psb6rxcKIQxSfcGsxqIu/IC0eD3Vn3VC0lpsp
bWtEAH0YUOShk8cavTYar4UL3Nf7xBTvSWhZD2KWi1EpPZp6/jEclb1jHmqs4gKrhIvXJ9HL7tS6
zrOf1+vMTrUgXGJDnYoKNKvVc2lJ/dTb0YYh6rTuJrukWSwPBrZfk6P5E729l2Iy9VM+o1dRYXYE
8yoYbw/DFgRZfEFOslMz9mYAJe7Z6DuMJ2pIAvqPBmF7rL60BQsKZnFztOSNZbwNFM2jK6nA3IBO
dbS8mAWkyy79LPwrrRMnQUCZMBFEYMnYr5HDZ7p/9aPzeAecRJk73u7nUETTu9y34jPnfYtlHEm3
1nTtVuPOhwQ3w6R2IzSFPRfnTLye3fVHRB5yE1ne8Kj56qiPkf7Q9ZpECS+gDAmHyL3Yvaa63e61
gsincEZ4B7MAoYpMvrhDNh9H1eNY9Yun1sjY0ArtWYfCtk8t6bPcQ4uchcIMnoRHf2zqp5JIPssg
YJGdMzqENc81DtmHwZLPTUFKtaHCJ7pF6KHqzLwOmKxpDwGYmVKJmC/zioPMqFrwNmHNG+ZTIvX5
avaABwgG0z5PVn7FidQ7mvs9jMEfo616px7WNq3ZnZOW6Wgz0wXtMuPYZiXnG5trI19MVTjAZI3z
aHCkOlv4Qw9O432BDmDiHDs1HVOyOZyKIKuaemsL38K4Ad3phwhYAidAPMo4FXPRCtimCuD4vDbC
3MZ+TYgVQPRjEnsjo4D+0bMK911xg/kztqA+l2UQIY58qpeEQVaTYxJ52I/HPsWgHi57BqXWWMRB
an90Go3zYCmRJNeyNjYdkrVA1k1yjIvpFjVztbPtOfzoxKhtRmelqnS4RQNBISKV1sWd2ZVbpN9T
Epu30LKvvoBbZygrPxPEDrUj91+ArJ4S5H0PfWPTv5jaRyFr+TgMKCKHegZ4Tv1wv24VmvC1amG4
yB7lb+9a49OoWuOS9pb/xu7jb8WEHh6jz26qARIM6GM3rdu3G19Nx1mjzqPCfrN9ZZ+0QsdgqZvl
nt/MB1IWBTO6hcuZQvT3UYeWbRE9LkiZGpTtaspGG0CTNT4XHdAClQ2k+mDspm3oPefep3AWAFAM
/1mBX/nBFeG2btdyJgPoPi7oTWxPXG2YF6uQMWIJuEXaC4M0a1c0ztBcleOx0Dv2ydYGUTPApV5C
a6ue80DeEErl5dm89xcCLnGu9pmtZoIPYSJAqsvvtDL8LVMViLVtQTqVOZLEYOCKCEdh7VJEeg8E
tOwQ82SngmHTsXO7sznGTTAyZPFEe+PbIf5NJyTMWVbvOx+pxqh32r6dpm5fhfpzyQzgNNGQvre3
Zhn/UQ7McH2cr6uiD9MzFmuWZtN5YQT/osrp0mq4umxOcFMpUxyPgJs1GaNQb/F6GnuyECSRNjAR
ZCrg/uLBaWQut+HiasKqL691M8h9Gfn4rAyPuIhu2OOv9nYmza9N0st3s+stkGTDzDQB5c5qiJY1
rJy0Vx35ciSoDJxJ3+SeeWFYNn7KBRaUaVfkucPRlvCJUCFvj2qiwOxSXlTXZQFg5aDo8urkkWsR
dQ0c3GjE0WEzBass5mF3RFKHfnaLbIvcs4wYE1pQF5g4u1LI9tFKOUiGaftliv2Joza6LGJlQVgW
eD9N5i5OMpKVzIDhNESdFRSJoGFWCVD6lZecRUEs1xw9jE2sdpgA/FXLqAQJOJgThyGriHkPS+jQ
a/oW2M1Gdezd1jkk4XiJEFweRtP87raTeCh07zx5+CKkjSelmVJ1iJFlbnTN+myjON46VBQUTcO8
Hnj/Dm77pjyWBtNiW++VerqDoDgb6dz4/sqAzHbHTCA1Ny7hlKyGJm4fNNG/kKIFqKdrQXl6DvlU
DTlXQ2TkREbtQlWNZyXGwKOGCGoQYD3Kui2K3wyqltOe3NS8GsqTT9TnXJ6LQbZILoNXBF7m21d8
uaeqz0dEt3Z0o3+/pPU2WzeK9E3nIquctLg5t01N5mjbXA0S4z70OzTlq1qP2qtEiA4Jde0OsyRw
QZyiIeY3Dx5iF4rqs2r5h3froVDAU8e+vGZYhTZGhPqywVWxyrzuremtlwEbMjajCdiJvXbTEEwY
DKI1K/+XQovxoOVm86B4TqDb4k2r/M+cVVaN7eV7bLUcc2lq7PO2xECTpw+NBJC+VJltOf1olOa1
Yx1LyMrSYPQ6C/Yufelakv15acyYA2+fP4fWNwMYF/Zw4mW9WRyInDM/eOE7FMUv0YhnxnZVuI1N
wrRyg7J/NC1vi83S2ISyi3Y42w4R7phstuTWHmDHxH78gHPwKwhprBs0BlaO0QhC1HAEIZjGrWa+
ZBYtMcPona8zIZWftdmKHqq4pNrxjBefUHIZOZ+sQQxXM8mPre7mp7QpnqKWwsu2bLgv4fhIeLuG
Aksj8pbkirVMau+YdOZJ9tG0lcoS74ORiK02iaOTldaVWvTMJV85cjyiRjE3Gnk+q/sJrmJ1NRKm
FwmqY34kf5M7QBjdoURT0kX7WXe/xwb9KFyZGL17ZAFq4l4lmmkdu9SvlWLZ8aX1UXKtr+Jo6o7W
PIw4q7Ry6+vTlmUi2SWdOpkTI9DBaC4/QJCLgAz407hJQ93C4EBXYkztfOMKOu8hUYXD0KMzLivs
LETN6EX67JOBCVkH4SBq373XECOM/q1eW1pI7noSOhhm0gdcY6TlhXMJegeL0DyP31wHON+spz4d
wTFevILLgi6/1mnSHmCJYD0f5i/aHi4Pjh//osxeBY4y1Xq04mFzx3dBFYCdNCLbj8yuDpRJs/Yu
mmRQnAUOzctVJgC6iGjc225LF5ayzitrubcVx24/p5xiC3IG9LwlxvJVN2RbM6rKYOiy975zkgeO
8s2qdSz2Ls5Nx7jqHlXnW0dLumwpk35vmtLJW76mt9PZKIxoY4ly2EVq+KTsttupLi9JEyNOEFB7
u/U9RaE3LhaVTiG0iaV+uO/4fQdJoqqGXUu11Vj4wrgmsaECtRvzQn10pHlMbFzPrn7BRKuLkXQq
MvdYIsCLYdUAbjrekHi6K7dlUqq327E3iSJkkSWzU55mXX+cvcy4qBZACAGFOLaV4t6hEPWWYifv
wi+tgprgtT1XcwNkwxOyWum+SgMb9Nd69px9vgwTdbx5lFEKOX3V7JmfWMcae9BqhphxCGeMVUbY
fObvML+Y/bZLEuMsVXMx1egctQkDOL30mx9U1zXEFoduERGoCqfLMc10uZFGTaSlI5/r3JRPeZva
x8LuaCVqxa29OErYjyKLzq1X/aF7ubetB7vZe4gTaFR4/Y6Or/HSsFUdS6YeVVvdcgHLTSW4+UI2
BAzmRyTN01OSg7cg9m3RbyQP6VPekMjk9LmxYfm4uc4ELkA10dpMWaLneHLOnESH6UoPeWO1MDxS
aKePaFYZ0jXORJKhktyN2XS1cLlhHCaeDx+k9ah5LLa2Kb1DCGSG4E8cjdTKglHEcuU2UGGw+vZ7
4KcAukQZMQiX9rpiy8WHrYh0Gk2XrOKefU0zaVf7ifNJTV+9GHeWRvLXJSXH+6JDoA/98nMvaJpM
+YssTPPVHGbcpugfwXrUJ1MMX6n54w2mqYKZxRxf2a02NjlrZwmoZGfh2l7R1oapENlPrRDbmYXz
uWIxmmIvEByaSPyxv9SkAb6hN/joGTXpLX77TdDvjLJXr/Ssc9/r8YPNgmygKTubPeMDj3bLQZTz
N+jNMdYGMupQcdtvYfiJiuiloGP0VEXgq5M4u3Z9rjPJSKbdHMcYTFVCCEAEnrWkna6l4fTc1jq3
TzcJPN5NTyamIiNtpicVO5F8xOP1ZnIEerDqs2Ym+t4g4oPYnTjrmQY1b5noJbnibfPJW6wIoarH
a9NU+qMyyo/46erbVMnvZQ+NzFRpvs+U5n6YJ3Mh1M3apZrwfmRqtncmpddB9j4Z95YmL9F466Eg
VXs3DzeWmy4xNBmudhWyVhGxlGFMarJzi3o6CJOZBiCBUjMWGfw8yGQJyrNpdPmkJsdm+azS8UNY
aeMuBqF7JpHxZC2tEWcaBk7bFHNF1U4XdHTTxWQp22jjSFe3n16zPrJvw8Q3Xtm8tKZRnHbzjiF0
3wzPMZbNgzPo3BzLp1Md9s+6f7SdXL/mxJJXbmW8RrHauqZefGqZruxzMBW7tjK6V7cpjhz8N4OD
2321DfEqcz1CqAEVqb0b9fRJAT15i31s4J7vbYmSFXmXnYsZGZlfiKPbQZ+iivec7kRoL/BhnhsH
CLkOjKRT/A7g63pnu3/iz7dvt2FFzN464w/79Rat5R5u1YnEn5v3kn9wvtINNusVERyKBLMSkgtj
o03HCSLZJGto62LrswpDB5gO4I3bs/KuiXpGx17DKm43qGb39ma7vWwvny44y1bvZAasianajltz
J4LmmNyS2/DmfbS+g73h1Fs7gAVp56zxiPJp+tR0214w+thmxc77MjKuOujH/DTd1M18kZ9gtzOM
zPBEEdTRrmlchwS6V0R87nq1p5ePexUlCA4S/RJPxUSYYPwS9/VOAkTDLcWgsq+9+gAIcdiHaW9j
xW99Ihsm7eip8oLtrrp4ffxJVcXIjepsmVtbXzIOAiuOsxpo0Mw9RGV1zrNBvVc1MIB+1KqHCcnd
rVf62xyVO6mG/AMfpPt5qCLOmEn+gU7yWrRIEDIRN3jLbfuDNTh0zFKOm2l5sjB8lLyI5w9g6Fd4
bKbdrVMbHJnBLQNcFT7f3Ed8lU2tnI2QUxPcHxq7boIG3OePT904pY9Y4/pJzbQNXKhtQdjINrh/
ev8ok1wafVGcDcZpAZOvsxafCzq3u8Ycq8CvnYp5OR/99GnLdOQwi2GTkh4YVIULySOOGh4N5mW7
Mfee7n8zh45YJ6KlQ2wUZRCm1tllQLi7/2VYDWXQDFFFpGBxVsrU/vT1unRpwuHBKRXZgveHKA0L
bm4e/vW1+0dgbZZlnz07x7VsLM8pS/brcA6beX1/6SKpqSuZ6a4jo8aG09dBKKNqP3UEsJz02uz3
FXi3WYj//u5SJuWP5/npa2kDwMlo83bNnPR1Lpt417omRiYZJ92GDQ0ilNaUAZVPSbpdDmcmnffo
GE2WHjPGIcSg2sz1Pz/cvxa5bU5Lrzppy7t+f2AeS+808TMeR2cEd6MhkbB0Vn2SrKFstV0VZMsT
Kcb7P7SD/xG6//I+dN+a/7n8nz+qemrp8nZ34v2/Ptt/qy7vxTf5t/9o8/x/Xv7re9X+18Pz7uXn
f/mX7y7/9/2vo2/VQtT/yydbUmS66bH/1k5P33jnfryS//6X/79/+V/f7t/lZaq//a//8f61SBiA
UGQmf3R/BfVT+v9JYPJv6P5l+U1WHcEhP77h8evCz77/r3/i/f1/IGxnqonkzHWwe4h/4f3df5gW
thsbMZqFhNBHyfdPvL//DwvtHjF8rueQB+2hOv8n3t/6h40Ii94OOw+eHdv+T/D+CNT/KiHRfcNF
ds/IBOm5gdxs0Y7+SRKkT8Iau6wyTsOY+v4crp0QIM1XsvTmGchyTmJX76U6O5DmZwRpw8NJptda
FFX6PdcGu/oGa1jLX7E6jdEb43STodsYpip8N8xSz745JkjpFdtcdSg9ApS5YCfFKBfFj5Y+l6E7
QmLOsvxj0ukGPFVl6g4M6SRPD/gmHaRqDt/1q5nRuV0VOvxvbijYj2HmmXCdvF7au9kvynrVWMqP
zhMlpXMyK5JIiRLSihdR9yoJWuWhMJN+GKt91gwJXQE1I3RIiyz/goeVErNKItPdeG4N5DdHRog2
vSeTdd6HQ5/9EflpIbCb6nm1hmLeIVfSx1kwdRqsN7sXJFi7jRDglOyYIweCdQeRwM7xwNxLEuAw
sqPFhBKcdEfCRHugAwp+j/FuUy3mR0reFJk3mfLTCmyAYzDIKcCQZBmDdcThnKOSwsUCGztS0qoE
K/alo+7VVqMfZtm5tlzUfXhYDTQyqvBlvi+lzXxXjI6rfSonyKoENmhDvfJpv0E9qwY3qBkABpGt
OQ1Nuyi3PiYA0fpXN21C91mGyh2+is5oXscel70h0axhX9esdFNhV0t2o+hQaEbC6j4Xdj9jTXL6
CnkXRmvPnRi6lm6xbmqyBeHYKzqf2mgof80sGbKPLUS/oKK9ai0LHcY+MVnaq53CpsHOM2vjI8yv
0VhnjoJPFE1McgKkzIn2Hb2KBwKns/1yW0mgFrckdYmoHNIirugFerrY2Al4xFU+5Y6is5GHxQS0
ZShvCQdp7fsYFcyS6JJ0M6eOSNfaVdpp/AfbLmaUMhDNc+ekpdKIt5prjMl6HrsS5kaVZulXHYAP
oLeyshw0NfEEkhwjx7zq9DYMsScXvngg9bahdYYd1dzpippPbnwjTWDlxTZpQDBcw/rI8V11QeuT
fGMTl4jqEYs2jTai2ladTeBBKa1qGw04fjJmY0e9kGT1mBPjwSoG9dLShSuHqNlwypvgAaDsmLXu
1RYA8uHdMO+vx+7CNEycY9ailW5QBMaGqDY22oO9J0ns6K1q2pWN0hE9hu4XI5qcly5xP7mhDqsg
Q1Fa6EyiB79A4GXbLTdrOu4KPXdPyJDdPc7a8ijAMu3tYbR3da2aLZYs0lCnpHC2rj27wSyb/qwq
qExzAYXQTHH59UNRb0IiDJ79uIv3GjnCQcp0m7lkIvbYo4m+6aIo4OjyMvQYJ71qEs+DxkexMnCv
U73uXZ35RZY6lEaE2aMrYnI3+HV1bSz5zghm/lra9QgJycAZr9RwJTciPJSQX/8vdee127i6ddkn
4gFzuGUQFSzLOd0QdpWLOWc+fQ/Se2/Xqf+cBvqm0Q0DAimRlCwxfWvNOaaT993kFtMU3lAkCdxJ
R5Islll8h6I2fR8HxGVz12Uu/a7BHxUyJug3W+lZFFtuD40VQ8uI0Tdh4b0p+pASDhqFxz4RUTZz
ZoOkSDdZiExs4nMrNVcy59mdZWa8Myhx3Piy4S1YZima6tKjHhYTHcBloeFqVneDuehnIad9RAGO
bl+WFx53NDIVmTA+6ZGKvGvJMA4tEiZiuWZu1vx5omQbG6R6zrl4gHin3+Q6aRwDmiJANZl6QctW
+2DTkp0Jh+mxNfvGzzQQTgseJo/rpPio8W9wr6gF5ywXczrrc+bx+Yu7pEoY94qt6Keger22VAhZ
VQvgQDM///VsJqMrmXP01JUwH6sOcVHfKyF7TkcyABFrntboKNVwJ+LWH3XDBOJt1Ac6as1LO5WG
Z2ZAZyDHWNdiR6G9Mok36Uqj2QE/x7c/mMJJ0SGMdh1cUZSVeFSWxbhZai2+hfRf7xRtjBjhcms+
Y63xypG44brhdK4Vee/JrDIiCOEevtYUciWhACA9ELTbOc/JH4j02ev1CgKOTDLvwEVhFyyLeQ0h
k9QLolwYWszBrlO5gx8BnTitJfM/jtQGZVSXfr5GS0/xPP6IdLk5tgoliAgh1GUKw+GYBOB/aQ90
SAmoUofNqLkFPHKf8xVaqbmefYbf875RtMiHizLsyIBIDwOSvD2jFIN9dZSv41ocTrGidb4xSgoE
OQ2uRjPBt0XQgAu/z4/xbC07xTLIlEUb4ZTGhPSEvBMPbgq/XU5BDsAmXUOG6WhCMJaWKx6gQZdI
KHBLaE0LLSJaU6qNOBR31DOQAo76tOuDAQ7sqBfOwLacTkNWQRxwAOWvHwEXB9W+k0b9qqeZiziq
M0BBWCvgTEXxkSnaWSJI5MokfswPwkUCBhAlQDOW5iy1mnE1pOJq12d/pySPkN2ESGcxAAbnK/HP
dDpGeIPCOSkHYI/7HJqIpPQ+5/yFQyxCAyclpJg1Aub8cGwPcVLLnBl5tSony9H6mdN4RzpAIA2M
RVJh8vp2eQVVDDdUIIghaeiGVbS+XGVEl6NkVPdiawK1Uc2Tq3dL58eaiApNSyy3CVmkm4bGT8Ye
ALY4oqAOyRHuKPRQSEXrl6vsTBWKHEQPGFhhbgMg6STNIW1Ec9sR1Cm3BSolc8XwEy0hxiyAtCQp
CE3xjsgOrTvtoAaj6VE0KZ1oCFsvyVXcXZXeH6Omk3wR88nOitLhKp0LbpwsI8dCloh7NWUILAqj
dCnzoYYBOynrHtrt5hz4fJClEG8HtCQJFCxkElntKIPEdyiC9cTnOnpisPxSxgbmhG7OjNjS+6WE
ahqlNBkSBbmIEsGgo1ZJC3fWVGx6iurGIlxlWR8nmqKQI2ItImBOh5nFHjy5Rt+PlyHjl1uQQcEk
m6AViaDRgC4O1w33p74IjNqzKiQa6jIscPPzzOu6MPKCvJl3lRIbdpxWHbYLWr3CwE3eINcdlXBh
cfPWXNGCJk40GltOsrYqtIkL8wgWkJ4E2OlSrSV/QljL/5EbqIVMokES+jdh284uoojOq0ZGb7g6
Da9tLOEaaaB+0gOJGqgwUt8nUBkcUgXYGM8bhx0uC1nvNVvhxhd2B99eVWuJOw8EDCxwWtWOYoag
Ah7uRZELbwNvKyRN2LOItXQxeah2Str9HuRyTUsSRs/QR70NUo0KkjQQTrRu0wgsOn+9FrkT8smV
Gd3Z5HuEbpxqmt8aiNhxKgyu2E+NCyAnd03u55CKiMa9qXJ0It0InHYA1Y64MtwRiUHGe4Fom6ZA
TeYoO5/Wc8iX0Gk82s49YS44gQYBzlSoARqbx+C5xaZhI1edfS4XA+XpmV5yJIl7OcLINqUwd8Oy
Uj8SGTgmoVKUeoKk2ssDkZh9EePWqvoAd2WJpSYpx71hptEx7gCjlpDdCInOAtjyVnY3ThoyqZp8
Yy6JZFc3eM5hH7NMm4ofUtDDHJsahGajrtjBvFCJk7vw3E2afEVoAjbihWNDRScFjzXpGZEYY/Gk
J0H2q+Tk9JoBa0lcWLNxeYYSbSWwm0WAbLoY6sTRtwagcRIt1AMphjFtUCPti4ewBtpDy6E1ZW5B
kFpFMChpRWZCv5waU6D0wD2KWO56K8wrmX1ykecAb+QIw6M6wmyzAqTCaR2M8pet6f/WMP3/wcE3
49E1h+q/R+s9du/R7+Puv1b4a9wtida/RE1EESuuxvl1mPx3rB6il3+JuijjgxEhb4kqroq/x93y
vxhj6rqpi9h+LUby/4y7FeNf9PxERSQJHdKgxED+79S/my9XL0ULKiRUIv6a/7dQLc38wzdImD0R
x6KCtQuOAo69P7w4RJTit5vN+axLAipkPJTkBa1lod8mdaNfQyoQyR2/Jv9cQM18JUdLzYApXXKu
9csNnU12WDIPfDKYnFwf4WuW4OF6xB/hDAQGlcNNZEjA33rzqqHTelQD1USFtfyaSiG+KZBW4ywg
Sqglo5OsAFC7ggoBWJ9Cw1EaefYTI7zOl7E/jlHyGgnLSyRRfoXCHO8rVUgpx06+nPewkwxLdSxV
an3oigDVQZrZbTxqi7P9J2ZuFeVlmxSk0lzut0mGYNlwMhdUsUQjQD+iDPbXCnSy//4qftvMttZv
39K21PYkly4fsLDk9wlCcM9YgvJIRVcfCAFmMujHDDFS9KCtc9tT20MayuURsU31H59Tx45S3LZg
RvTaX5Mqge00pNY1t5e21b9nt+e+36bYVtzm/8fk//7dvz/gNhXGlXaY42Y6dKicjqIZV8gTmRrW
h23q+wVOnn89971cqFVrPOC/r/L98rbKNkubhOQgunrOf1oY1AmJetsrv23x69ltdS00eJ9tkms4
LPbo68P+8Zm+32/b1h9vtc3SYWltQVZJNvvn/6kmlW9/m49IXyT4Fk4bQgCK0cX2CCGPAimKSshR
62S2Fkz1vCZfh+vI9tTXgsX6wvciX9vYlv5aaH35e/a3l9M24t16NaUau01uS/2xuW32v7+8vcVv
nzJEjWtHVlyOtpWRw5ysReV0/fzbkthbyDS0GIy43AsOaOzXeaIW/1poW3ybXYQoOY5326rbE99b
IumXlbb5bN38NvW9ZpEDjvva5vakKXDf2+f0SZtIuCiVUB87CR8jkKp/Jun6Ncdckuvj9vq0trQq
cpTtUQhDOsT0IYfeICBLAOycqrc5DKWDBJPyGFDPO5JpeGXMg7AzOmHeQ0IAQlrwIcy17P81Ka2d
BI1vM2XQTgfha3J7NkIiid2JALR1me1hW3Fb7nv2t01uT24vbwt+r7c9F8jpQN0HKlIdonvmhqL8
GOYao1/QnIAvQF7ApGPrjE3sIOvezPUkvj0ojGphTm6ndn19VspRCZdl0zlqPxH3YMXTUSUUdF8s
ossQECtY/VBqGbWcocEpBSkkP+raFUa4+RCtnQ9z/Z+2qe+H7blCVyq3JK0GTzPfx9KsEUx5nXBi
b5RnlWIE1wlJ30dgSH3aj9ORMdIE+UIiRGSRHuJ8wgRohvA1gyF4IKz2lnIf0ehN1x3hoSJ6gB3t
brN5Q6Gs47+QYTwTTYAvMJHHLrdjUyqpcXIvqa+tlmptGhlNjSfM6nddXI8HqX/SlOFdMXtpl7dh
fYqLvkJQ09CAtDquECLinEla7gOyavSqJ6sJBfDRwmZ/1ATjr6kWsePekHvuYDlHm8AkPSQPMaNA
WiHZegpuKzNegwCZ/H4yHsQLQMtlN61H0PZAGEj5NfX9XIMveAdJkmQjDqTtIY0aik2FdLCMbMbK
qIviUQgv9Sp01Bu9coVq5BCY81YCbdCCJRQHt2j6G9kaxq8dUfn3vXHbybbn6qyBPTegBcoM8UQs
RQYRnaOgmomG1BprBG/9z/w2Vcv9xJtZWIkhdbuCMUzHtDLWX1ihAIafL/HibT4CPHycahpi6SgP
TqEa3N2DTqixbxXwP8xRoLO8qNPxa5L8NatHCxMtC/K7Bl5IQ1RNWIk0IMmGMaPCQl4sYbVZH+r+
oI70HfU1l6NrWnOteTAGNBG3lB0jYJBUSgufeSekJAF5CgcyFnASt2Ik/rdgm+b7NYEsOrT305sZ
+fSrzRIdprM8ZXvhF93yUHHr3BFlm10x/RnT6b2JB78KX3qIFJPbiNRGXrwfSnVdE4zbMhBxxcgb
QDZ7mEc8iIPUsxAH0Xtw4uU6FG8kIJTqzz54Z4zEppPGUSwH3mM2ud0T5aNG8MToHTQwSJ61kT6d
enOfhVCYXUb9evkSzYd8+SQVKIHEWTF+GXdaeAB2L9JIN+2RAZxJBVt91FXMqkQYINZ8Nj716jBr
j5qFNNeDh9ok51J/ihSfGJ4g8szVTkjp86qIzo14qMQ9/e+WADGiukDREIfQd26lYE9xDRn9ECcc
lY8VnyWsR9YB05KyONS1URMC74Bk8AKxT1qg210F1QWKU17g56F9ga6TlCp/7J9BOYNmvam6n/rg
N0fzZGCcqPDb+Fp8TNA9Uh7NDpGgIShmQI2R6ximdwYocaCN4jUlLd3ctzmYjr3yPoYM+Epf7I8V
nlUECe0BHGhJz91i1AnW1cuUh1h5WjI7v4FRjTmptXwRV+UvOXPEl+bJRKkq7pVfCa0T7tcu0hmt
rpAhZvL0yFup9ZZPg3V4Sk4kNo6XMHalx+4cU6AF1+CkwY4s+7Q7zPqBSkcVHTD6as1nh+OT+Kjy
bGKXjfdlsNOXK1P+SBZuqTlN9gwrr0SLzGkinKjmkgNybAwa7KckPg4LxwVgNdQ0SfoLiKLanoHs
LKeKYCiiKBabsjd1TkogdCWIRdUoeyE3TOwpOlb41RSPYbI6wBI6ab84ZlXtJ4KbaHKpTJndUaJb
elukh2qhn7t+YXxPQo1BuTuyd8rGvjYPSAzgLMBRAyXJxrq3sj8huMItXBY7uNpCjQsGI+YZ5WxB
wg4SU/MkdntpcsWr6k4TPElFanlcKAnBmT/k3T5oiDfdGQjEEf803DpcGURbgU9FfJGh+rta0tn2
prfpMaIvgsrIy7TbTj6Qa2gPAyKbHbFHE4Tq1UNra9m+7w7jgkPIlj6TNx037zDZY+uDRx/luzG/
MvSd+CALJPq+isU5Ni7xizZRsPD14SjBu6Tw+GqRY8ChEPq5dFNhVBPjuwV2y4IshKO2SQ5iXDmE
W0kkW/QIN2jCuSMyy9AdEJ1KoECPTEtwZsHHUz/Brth8dLmfhvi5pIfevFDMb5I99IxldvSfFTLa
R7NzNE+5RuEZwPbk2rwSqI5R4FXqbnxFVaJTmMPBTTZb7jMsKl8Eomg4cVa2orviGolrt4KfRA7l
Gb7za3Zm42xdK6fcL6jmrDIUruPoMu0utEmTDXEh4h3MXBp3tHaG7pGBk4Lf49S/aMoLUbgG9a59
f0dQj+KlDfIVRho26CYM+tcURPlMAV2HnH4CIQY2FajH6nkN9MbvY52yk9h7gbgrZTqrqxjG4lQs
jVcDOcviLvroSfmz3L4/CO8ZP1fdUSkX/BbRNKAmKhaJEz8Wz/m5PkYX9QFxy3IXxbvFsOX6TVEu
UeD2ZW9TAMYtJCbuQNZfdpYmwkXO8H4R1OTV41zuatMzhJOV3Q4RVSEnv41zG6+0sBaAbNpl3Y31
nPP9/yifjFOm7qe96jX3BcJrGBy3yylVATB70zMCfqLKRFT2qYcvkILdgsfmRVSOxIvGBbp9a99m
XOsIcsFU6aYLak275ui7qoQHTcBd+EAizTzfjgxK23dLvMJvZMBmTmxF40cmVQ/XCdUwZ4YiVd4/
9NEDTgXT1GxMZYAVejy5pE7392Hya5xfV5cK40lQOc9gNOyhO8vhBVm4IzJDXtPgiJmP7gUmVVbv
0+BKx/DImSUG8uXG9ftYXUnCqU19viFgzbjfcXfRiyZJFYQ+KRpWZwOXXwPtfprvfMpL9BKrJ7ae
nhjQUExVBrzAdvRAboA/3hFcT8986Ty4AVmP6canYYUyHxfPh2TYpR815Di7DyIeMkc/yo5gJzsD
s4f7Y/VPPVPG1G9Sj1S3W0qVy44oU5RVuK2Vt2BPInGpOYbHnmZ41CDFnxWng6fwIYEUcG9crzpf
u8DCWdnRM+jaINhbrR0+qjfmz2qPDfr82TwjdtWuk45kcqQDzgyolz2WGcGjgWBrd62LwXifO3yn
duRghdtpdz/sTyCQP9qd7h4i0ZZvlOtiL9/MnBS4AXgEys4RUzwnzyipJfBOz9rdEDiKQY64O1Ve
8KBXpBN7UXZm0REuwACK1k19oNnBDZzBQX6keW0mPoVHnL+4pjUiLycnIqzONkqXBnQ4eoeMPS4C
Zu6Ub61fXWIkv7a4mljvGC6VhI5CJWx2sxcfVRfFAL+E5jTqbiiul6NikKHrflh27Sz7hARBeSc9
H9TeHd8CCq9XsxfuDZJ3r4Uf4tMaUBvb7TvUXi8/lrfaPr8VH8NjegZnCL02J385uR46u3wsfUzY
uR/fmq8CI0POuM85qOXSWT4MPjUp5EQX2VF5KB1GWniFeeQ5kibd+LbFYkWpnK/9GSg2+xlPiI/S
gxw6w7381F4XbrEbbrSrKbKHm/QE69VlZ6ee6ah8aQ5En6v2erhpDoH/RrzCcrVckeyyM8ny2QvM
WpF35vCm4o7ge7lCL9k8YA8bBnu3cIMwF/R6vdIWbEY6V9oueu0OGv6W99kzj8HxrX2frvLrydVw
LfncfVzJx4LGtb3sWr7H1BG8zLVsgPJ2ciaKwGYRF7nBztrJTnLTHTAHVA/pdfUgvMR3AIvfkwfL
Th5oQ/2qn0avOmh25ep4hF7DZ9wqmms9KAmneE4BLo80uBsX6v9H98yZjF2HbxiHFXJRbhApIYfr
OXy8We7gnkZOdUjBu+MLutIeCKhxA6fwrZvCiXfGK+4FoXOjs06j47V36Aoislxdr44W2vqrgPfI
Mbm4vOb8V37oc1OCpJHd4Sl56K7GX+m16Q9X9XvGXQ+Vrxfx10t+Hd/NXvArei1+5nuRb4JzjHbS
Tv3ZQuwP1Pq+uO/PePx3/Zv4GN9iVSaznN2Kgyq2H8TPwmVBcXLmRyCmk/1gffRvRKypXnqqb/O9
+a4+Nq/zNSdCTpDqe/Oa/MBHd52E7nSfntKT/Eie0019qz6mHq1BGxzxmUcHUjFv8FGlDmefHVY6
CDi2dmXsUUsco5d1p9sLz9jhOL2tBX3QBW9Y1fozMXQ8CTTjVtoXFy6Jx/qTfbV8BLR1WE7Jrn1c
TiHnmO65TL3yzNUp/dz2++45uUQRrG4bBHfpTqdVuYEuFdWdfsRbFhNbIhLw5HA8x58dzchnXuNg
gsOuk/PHGIWvRrVZLedrQvrDNeNj+UjuifNMSEkgcWDYrZEAs68B7DM5TIQP8cx5WXe03XRA+svR
cqMfw/10mPhB5uvpZ/NaMwK1lR37OwgMbsl/hLqNGfpJuIAs3IVY7p0+kQius8WnUXlJfWgBh/iA
q6iwh3q3eMpROCvnrow94y7/nLm1I4XA+kmoxyo/kLlkTjfps2nYkLGi2/lO9I3LctXPt+m5OXFL
ocHjwVX9WiLnHfbBzWd8O675v06OKHNxaSSGx+QS3y7P03YC3M4SAXe3XIjQxj+Wn6HNt89/rn30
rEhyDyRWzh9cBj/GM+gC9ak74HaCFGqb792lPlofdOgEWKZ3VuqY70w1r9GLdjVc9Gn91AtoR6e9
Gzqnbxx+9+HeeBYfm0uKwXnx89v1/uBN+qjf+IigSGLNrT8H0nSeuSAOHws/Y4LUZj0Zc2LjFmE8
t5yWZo8YBzJQj7P3Mey5w2Oseadcg2u24Vc4tAG95sK5lMvk25Kfx9lvH7MLp7zsMp75XtO96NQe
OVOhLV3kY8QRyi2QI72hLW5sYik8gln5/VFLOYA53WIPBduFf3IRffKbCG5ytYfwudnBR6NeZUec
xp7C/UfkVp7mTxHXtOlWvxps/KJOQki2PdWexEmSpt6O0dhzzRXnw/i5vAIu0H5Kr9oFj5eb7Kzr
4rk66YfuFNHpvpMTbzS8PsFxx3WQ20HqMOy0jxjzOT03B3BUrnCS7k2/9rlDZcv+jelqd9xTjJ/m
+t+Hx+FU+su+/yS2ftljT3ZqR9onu+Q+vk1vtVOxG+92qJalZxjpHK2T4MqPA0fmLcds8ERtkR9Q
/VRit4g98Wl+n9+rm+Yhvcuvu6uCs6Dxw7pED8a9dIFmthyCo+7n1+YtWBY3ef1IXOFuOg0czsp+
/dMnOxrxizv6k/ye3Qgaub00aPcr0mZwhBciTnAEpdxCQZ6xXyACcKURn9rgykTSfScf9WOKUN2i
vHtgvHCLNfia20z2WvnRkuxsx3m6HA/TQ3hUDwQYkh+H2XUxPkXa/2Z4m+ozv+JC0PJD90DgQQiS
zcbqVzyUd9YzH+IDGxgMT/Cp/VZtHbix0mUDrRdGO3sruwlrIRKB4V8PX8+1ga3A66JWQNHJXBsK
25S0lqi2qa9qlCn16PCSW0YhFKHUtZy8PWyVqO/ZbYp8XtOWER85WxVq+zymiEcfy7Y7GtI9Lonp
EKEWo6dYHZRqRCbRGgcJ81MxxKdWeBso5khEl9BS8epBjvc0KMOjyVG9fnySEfeSkZZ7UQwv5MlE
GBlCBsDrA0MXXRT0Q1ijRG7WUt421W6qb2V05VUt3iZrVV9alcwUgPK/JtMOPsWCTAsLBhnBBVJl
OcbhlZggdfF6LiH5NmNR3JFQAGGhUBjwAgrCQqLUN41KbTDWqThI61PTGKEziiRwOzNxCB2Ei4WQ
kSTijhpYDQ0qoFDclOdkW2TnuSIfePucVLXoCIgJ8kktjS3YYFsWfHktKwon3Fq4UKPdNzTCOXHy
mZQQQ59WPk+DYTh9SpSDZq29FGNtj2yT/YRMsozVirPp2q3barxbXXebMrZmHXajUx6EEAdgaSNo
42Fe+3dyQ3X8+7lK6ON9E9GIR5lJSQUN1LGrteY4rA/b7PYgVhSuAM0ZDBSog24PlSDUMkkqzOtB
cNv1+bDb6rJftVp5TZ0iB5XHMdKFPVCzCqkjEv1prQyDgfhrSutR3W/PbQ9/zG7LbauleKBwoRbz
G8x6Ct3tZyq2nyKiI3qrnADSnkNV5DoDaOskdbJ8tJprEsP5vyaKlMcZ2sexlpTJT8rlOg8OY4+o
R+4VzkSI3agYsfdMpDd9TaWmdVqKKHWTZbopidqRPGA29REjkjFAie4v2DKl3YBo9bjIq9mBqjq/
hv4EcaY/fM1tLwBuJccmpGb/25Pbel/z2+QweRb405OyUHPVOOHLq56+I8KEfpIGDZe7vnV6e3p7
KOhVHqEvl/yoLLrNfr9atwEV1wH57T9LbC9+bQVofrPAXfp7ZbStt2ZvdBBxUNKCdSF1fRa1c2zR
BSVheyY3nspmMKmIjSSOwQB62lFQB7Ltpem1zLTGLy00W/+8tk2hD1rPQQufe1tB0WvycLaXtgfw
h/xoapthk0Vg6W4LbStRve4WR9raiOs2JyNjya9NfT/7Nb+tsK26bTTBD8O39c8n+e1DbE9+r/69
ztfmv9/+a8MTsa27phnu/1hl2+IIZcQZG2ra35v5Xu7PT/bb/H/8ZN9vXWskGslWQud5/d62TX5N
/vnfff2j25oIBP/+jn97p6/JbYGvf9DqGWfqMPu+fo5tg//1O9ne2Wjjvzf82/f6/X/+8c9s7/U/
PsH3WyxvS6c+0qZ7/cPTshlb/njuj9n/tAjlf+pam/Fme3l7kLam1ffi29T3MttmgbIyAvte5vvl
//Tcn2+zbeKPzX4tYyjLXUe/bdevTRtza8CGyUxSYZscNy9Ov15vt1f/mDW2Difn5+JrQXProm6L
f01uy6/OINnUeii1vMEfm9hmt4fvzXwt8v1p/ut6f3yw/7qZbbnvd9q29/3ctHbBNkHN/y1V0b/5
hf7/M/+Ayf3f6Y/OMSiwvol/1yDJ0rbSt/dHtLD1GPIfxh/tX4ZBBIMO1+5beiT+S5ckCV2SYRLE
Qw7Ot/RIR3oEyNtgAdFcUdr/R9IjWV5TNX5LHoB+iwtHFTGUkbmhoJL6d88POsuk7uswOm4yPzW8
raQCp8l635pFcgd5L4Ntnwb+Nrc96JHkNaKY7MU5rQ6D9FNbG7zbA5o3TD3bpNighRa75TqNcxes
KkU9hNz7xCzfOjGgSB4WzZW0yqKV/FNvGX3GgK3o7drxYI0oU63JaUTIAnGeXBEo7oaTjBe2ly5g
sGL4kiFZkoylioZ01sJiWDRL3JqY/XI/kPDpV3iWkJjC7EJeeggEUbNrM0eWTk5oG9Vkt0jgxCwa
pdzPppc09fTRONaNtTyL07EAikQzLQN7zcpF8NFWug6DLSDa1W6VuN/pbUqg5VLnVHRTxZHNuXCR
iiEVXtv5aOZJlQ6qwZuwyHDbYCn76DA0DJVpnROpWY87WeBWVBFTJ243GlZawZ6ZfAlk7hRG71Kc
EnzdJAVZ2eKnIj/gDp93yVzIXivMqdfqdGRkDczZYlJLQc0aelmS75dqeKzEPHK6QGtoJs7IvU4V
zWCf2IhfemLcpbUsH7oUwSg1bA/B8U0WhTfI8rl1SGgV6QARsboyQm9PktwPPkFirYmBPcxij3Gf
AVcrx+deF+RKEvUanMcAvHYkh4GX1MaNIRgSkk9EANjELo2A2ovc+sQGx9fQweD7SIMUWlLSk9w2
DoS2k5ddQrbtl/dW3k31+DlZMLgIcyttiXItUKfMbTNR87Iyu9dGy63MGn0qria37voI2w614dQq
JwZ3ADHMJgl2edeAJRRGBkUCLa/pFuh3tM+qDMGwQRssb3C/dkDoBvPMXaNw4Ks5GXCvT5iYPocl
H+0+gIk2IlFxBE2g2czH1CRYTsiGIZ6D1CHB0WhaNPXcjtohaod9wG0wHluoRFh858NYzjGtG+l2
WeDNlokcPZgCkZTQjBx5haDXmdhRbeyEiyivBck0PGji8DphInNXK6GTmWthXSeuGyXI2A5EP5GJ
GApZ6Q9giY9FW/yMs9s5yiw+gQgbfVR7fKHa41BafHpZOxJgjB4QzIg7TN1BkCWnU5TmTg8ThR+N
CglmJb6zkW8cGf9dpVOfMdWfOGXyN3DAbU1lUc2P6kzvSiJJW5XIpTDMh3ApXqWih2wRx3il44Di
bHkXwpXelfTfLaUAXSMgUZZ1FWsLWsEItowWpajPDRdAB79eRBOtEwfK7VEZ2MJMbTzqT0MczBSa
KtIkOXhqsqK7md4a7BI09v0S3igYGWRN3zE0RNqCzY7ilMoRLpOWC199XxkyFSfcTFEl4ouCBcNt
IhDPLEdSDasYB9RBy6L0LEvxRZ6q0sMJESvjdT4/dq2w+FrV5I5g7uVcCO8VFj8nxL6KovlqDOah
HZFNSIJxVebqzYSq2M5zazhVsvYhgm+Ll7LydVIonau4Gig1Ms0QUSQjPX6Mx7an+NlEuxASZCD1
8KXoHqwYAGUpO0csINBkvZD5QZ6yb2g3M/7Ly9C2L8IQPSdqSsFRLWcPJ1V5aAJzV7KNSis/mrVf
LuoZA3wTvspCY6HQe1uwxPdQogwNUAq9P2mlY+i1Xf4ryoZjb1U/AxJor2XKFPY4UGLXMKGjzCBO
C6NO5MqiYKKrVikgNSs0gwYFVD5HVQWqrBVgzMwYz50Q77UlMXaYyU7Lol+UOKj8Uq8qL+3bDzUn
M6e0rM+4Vl96UM8HuSBwKJarizQrMZyWpSYTUqwAFTYQcSngFpza3DlGWZ3A2J1nak1wNB2jWvbB
YLR7MS+xI8TRmcH6aSSHnivRdFXGJEXVxdjtzDRnTAYyIosplsleowT7BFCYX3UhFAOgvmBs5mt0
dN3yZEwqEZwtkFBzMX+OMyIvmUsE4vKraKxvaiOs90kJ53KIfySFmZCRiC6/FODPRPOz0aWm12B6
cjVzYoI2h6ot703ccLw0yNJaMmr8Ch2QXeG0sRlCjvtUHH/NU1l6Uqqex9aaIQVBGUum2hmKRfBI
Na4PXFpuRfW+LkvtpzE+6XH20hlpej/GloZ4n6smjOLQycTxs7Py4bZIhjuILxjkrGmmlmKd2gV3
DgkYb/EKZEjPSREcxXLCT1fyG+eL2wcSfXcCp9fSQBaElmtgUbYJJKkowg0/cu05zMPwXozWJnbL
WSW/nonFwW2Cpn+yxCelve2BtHg6lTA8Mn3lTSGdA+tDggsoWTNpxuY4+HOs3Itlnl7LERXSuE73
XTUZO0NCCjHhhyX5TsIyUL8JM/4wJZNJNbfGYCcOtBPw8StepE+PerTQBa0qVGWIPkYN8FLSv5WA
/r1S7F5B/5pEflJr7yRjpLlO50Aqd5D+aNtnemtrEmhvKQKcNWMDJ1Q0fiHmJzlpuvBTM7vUSzWx
9ZpEWVzVpPmhWTXYpllIbGDQ8ZkoQPIAh4OZQ/sspTE/hAU/q1FDeij0FvYnyhm9kmGDteQqqUtC
i5lidQp8x8+52cjqlCtFKwY+19qLhvLVpFRDY6lEAytnB6GnnIY9oLqqUMthmmn3Na5KJ+0zHZmG
+NSLw4sSi1xC2sITFQrTU0pNjdjkH9E84APVroW2Um1ThodZSRmOFM7n0BMORi/c6eZwM7IbORqQ
g6blMI5b4QfdEEUdhQdLTC6U48Lz0nb47twMm9PRiuPZi2IojO28vKQVB68qMwAKGVKBHGxfuOpo
u2JuME6aXMwMDVxWIy749RY0sIpEh0M0w0sZ0oCqAMhA6iXHZNJQa0rHostGrEnElA+oopqpfQPb
GTvNbODT1qTPuOM+A6IVnP868TX0Y4AMJWfG2HvQwhwjYV7q3NmtMTaqJN2An8zIcMgeJ4w5qBVW
a5MsBtfNWCxeZ5mhY6xwGGgdCAy5V3CiF0FSXviUMx4+Ih/J7AifWg3ghmH5amgofk/xSm/KAn8b
erI015IjhxcYBhGVpFYupGEisADjpbttnnMGA8uj5gEoqzTmKliFdHrilDtSkE+3ZSUfNaBe5EBa
uzRH+bhgcmtISvML6CYtSOB2UKQ9owtotrF8Eqcgc0dN/dmYVrnX284Fs2Gee+2B/ZO47JE++KyL
qauW+VEYctPJx146cPFmz1A61EVh58GHKbg1g6MuRidMXvQG+pobGEH+BATUev+LvfNYjpvZtvS7
9Bwd8GbQk/KGnhJFcoKgKAk+4e3T3y+zzvlLR6F7O3reExAozyqYzL3X+lZhuO92R1DF1NCEF9l4
rCPiewVymhR28K7K6JzbJY4jbG1bKy1I7+X7BN2DbEyeOnMSuTW9RQNsv0/EltNRQxAbFFDrM+dd
+HkHc7YdvnQ6xFiz5/KoNuuBaC5w7wUXeZ0rSBA8pD2D0xkNcMfBQdoLpJk0L5/1xhZYCJLlZtTl
+TsPaPDa1bCHxBZxFiyfaguhhpnluwz050sRtScicxzYRsT5MhyBpYXeKO0YsFPJa9dzvanrR2qV
xEkJD6kBNDu0HGif3DpFv+Q9GMwx1qHWJFuLn7xIOXMXVRKyE5YvQ124t0uY3FvF8q3S7JaLsEb8
OeYqc1P7bXnwYaihF0F44qWZTPVjNAwc9GYxs+9TClwhjzH5A14sNnlgnm2q2dA0q/sgHtqtERCo
7Abz2urznU/N+NZNzOW+rW8iCs/Qkq29HdjMP2j0M+dovy2wRFfwR84zAvFjo5fP5WSFWyMG6dyN
4kw51r0hPXnatlmDGYoXJ0nO9M0nsGFvbRIczdh7IyAcWX8Wo5oqHWtVIgZIR06jk4G2COz4Dvcw
icBJzCe9hcyZwf7mH8HwTjMb5YnfttTz32OU8CckwWnIDIaJw2vj2+kerzo2sW4gmrP9hL1rP+ZG
cW6KIF0xXjpaHQFETSXck+2gGDnFrRfu42j4xIHj32JW79eSkZvOdvispcOPPGhroAMgVhLtaYia
7iV2XNQQ8Y+WDNcddeHpZoEfm2sm/L0TulY6ff1b4BTDPVMZyObJrVePWInp0DN2pWuOAxCy1evA
r/Yxp9aqnjLxK0LcRIyqVyIU041+H9TLPeRdjukYOaw5mOYunxZaHAGQoS27EuAlnZzmvDGjIybn
Q+X30ZYfHBJj5H+aLv3iEcfCKnQ5MwIn/RpVbXpwaK0ZHKSxaIKNObMfLcGTF/c3IqL1BQeY64Dn
H0sbwx1Y+CdNT2nsToH9UaTOlvjYbUKKzg8TPY47SCFMVdeMcAXl2oIjmTnwlui2u2kmXi9K7pvO
zL8A3uME7fD/V4bWnKwJGJlmhkeCQvAAC52xMt/L2uTo3iw6edsLNMh9RhNFn9v7yh2f+yTmEpkQ
jaHrw02YTRYqUC6rc9ndT+PyZlUkuelmfzNQpd4lJp33AtxaXgo5sGohLdqCwxFxaqTTpozb+RGD
4LgWev5SeAhoXCb3k226u8aZUTZ5w3EaKneXkIcEpghljuua3zqLiPE4HMejlpu4I4xPkgdyjtPi
V5rVBPWkaGMHuJJMthllZoDBU7M9EjvwJcgM94yjcNnEGdf4yfI2EeOCG2GODMaKmpQIABlHQE23
VdX+rFzN3ZZEuju595wAEcb9quXbzIfyPldUAAJR1bc1GkC4wi+NFyXbgPPAjpI9BGZ9MG79ZtV0
AMFAspbrTmjrKffAq9s6bavkW+OSvEIIG21u3XyOO8qjLWiOWfNIBQBgRLAoQyzJK434bPxsw882
Mb6SemIfPZIzmuish2Dgu4opjL5FZqjFm3zgZFJRdt73ZvZkz/YZq3m9G+mTbalBEGUVzvHKmER5
1rP2BAeLiJAM6FtSoijW8BLj4DcxNYivZpn8XExerrBgrPfIK/Ip/87I94MglJSKQ3cTjezbouRo
0wt6sHZT2XcBnXVORwd39tyVYPBWexhHdI9/QURhCYhN/0Zm/BBXULaHuVo7dXOv+V+SMaMljA9k
PRv9g3BpJ9W6Zp44T3nFSm0r04VaUws0mGEPf853URrP2mPdlClaF3KP1KJ2auNUyoXa5OSN5N0c
87UocvNUyUWcjzaXoya+c1033Zt2jCYsDx7cMAuP6t1a+RHUorKwIgwoEaXzQ72/3ulSBYvWfJJx
SoNcqLW/bbYj2nihtUdPfkAdbsCp9T5KHW+B2lA3T5IxnA3NT70xxIYhCFPveWHgJD+sWrOG5B6c
qLYjXlI6AOW9GjAodvvomMsvjdAh5FNyzUqFvTZMI8N1glAfnA7d/QB+Hn3kh66zqc90pr0hLwbh
aSMuncXyn3aj8l6obiPZrJV6RMcAwNyaTZhs3NE2oV1jEqFm0p2sNupRQmLd03o4vmvV1bXk86ap
ZQLKz2SHgX5ohmhTAhk6LbK9qxYTQGTcMv/ciOmesWaNOI657oPWZOMJesfAMJK1QC6utwlG65CW
U6DG4XjqQEpcFhCKml3mJ18mV5bbPONJ9YZVN3uQ/emqH5JLJ1u1s9VCdbMZZFenOgC4hpG6RUXo
JpiBpUBTy6qDaunm0ozoMUZnh0YQbjd0eEUhUB35or9saplubIIekacy/KTYMU8ZR+LRcN8A7Y8n
3YgAt8bJzWSVhKzIhbrdxzVUUAcd0Cb5UIbIFZYj4LkfTlhQhlOdBz37c9Zt8X2+GentaDf9KZuc
vD1USdqfNIA4QIdHkGRR1Z2ui9ycuhMiCPTjk3hUt/P+6QksdKovYK0jA9/JotENrQSwA6p11mqe
jYpgJ+9kOeh2CFDAWdq6HUFj/14I+aYSF43AX974YMlXMOqoIweCF6zlp+jnXGcMLbcbbSaBKMem
HzYlnif2u9RGrqVN4Oo8TpPeiKVdZ5okhA7fMqK1E3cvAZlsa1honNMN+32YsP6nGbZ8yg+fZk11
1kut45hpt+HQHv3Gi1daOIMXJfho5WjZsh7Lul3DPXjzvfIxQh476IOzQ5X1XFvBt7kQI6SBHRJ+
SI11+pDMANVto+5u484G3eK6P1LtmTh5IDcF3gba/y+zE91YsHx3PaN1oLNjsCtmoGMTRh6O42Kg
Spea+V2u2c4ujVY60dWEVAgmDQcyzMyN6580s0i3pZW/RD6qGxuxWpYXu64PyPwqIqwtTf5cVsQm
REX3iyFdf6SjuOc/ekkyRFVuyvlS3w/5DPnIYRd0ZbmczsBqKUNIIr7X36clL+tr4JYW7BAEQQj8
YWMG9YIUy3wcVnpHFk1v/ZBA4bwjviB3Md2lpvZm6+wX5YxhokP7bYXwcoaxRoAeuB9a/tIW3rIB
7qJhUmTCZYL/713S8srRO7ZB6pz8tAFzmDfurScaAjiGl0AMt0NTzqe6ZHpm85/hPKj7h7YHB65Z
X2tIjWXPYJnMhG8kKX3RekIW/U7OMsWwN4jhXdn0xReA4OWbghNZnrfLT4VoviVOjg/FRTLFQPDo
GcZbb3FV9VDxbEsxmcdofEmxkn6hkoW0ByBYsPQo+Ec57cwfpwj+O2TrHbkx6bqmz771jP51cHyG
ezUFqM79oGGTf3eH/k14E5nHXvy9W/D/VYsWrBDtgNInrGaljeI7X/g3M0+B23hESgHT9AjIiQbz
x1AMz8mIEhpWdRSFD0vozWDEqXsGhrPvUNPllCUk8i/ZNx5s9ML2OYP3XIPTEgdM6N6L8RDqE/TH
IdT3Vulle7hS6RpRS7zPp+gnYUOAKRiQ01uQ1bXhcam15WAA21rqnpmdXnkroyRYAYPgxmqDr8wQ
SMqcmGKif3eT9p1awTvkLgmBmMr1SIWRVgiXkjgpH2Yoe1Q5gCxbPt2QOf46NIjyW6+hUEV9FQBj
fMbO0TwtJv94Rm4iQ/C3xULJ5VYzBJ5+oBBab9ypBCZrZUT1YClcN7ccWuxdjn2XzsSTR47zZhdJ
AbjpqSxQ7k7W9KIbhb2Lhu491Ho8cI4Ob8VjN2vTmMpFysCnJK8xFm8RPwzzcGdTRrG9Szudsg0z
xpY8vkbUmLzmJSerRTahivALGFqZZu2XO8NL05XhoOJNgZbSysi9viP7cM7XQ+Hh68qrXZ4UGK4K
YjDshwqo58bysMlR2oqpxWAMrf2PCADcjaRcMj137iuzgmKThqAqKfXNrkYoWPo+27ifYDVXK4OY
kCiJ10mcG49GqL+6afZOYRslXlSS11gdK9+IzpxbtwKLP4O4LRgYoKQTU7uYWL4NMYurnmvvHqwT
elSz+RLTWGFq8kPT+BvG1rwaJs0h1aPetLrl7vxc+3Sk3ARcxq9mhBW9TMZLmZCzHZtBRsRB8cUl
8YSu2kClIMx6qF6BuyNbGVbSQP054DTMeBraLIXuFVz16n7SkOTNJ8hTX8esMx90gt22bcmeF1a1
cyzLFmG65n6Itvwq4F1nHpLKrLaKXeTXh9qxxVpksEWTWRz6hRO7mUfpVkQ+Qi3pmRg5g/fxsPO7
GSuMg94oAHGaMLkxyWdb5ZQmmVzexfmLMyTO2m3qF3NJw5OG8qwOoo76bLK8jCQ3b7rQpLIGaYcM
CuDDFiVaE9IM7srcSG7sJHjJKvSKnW+bewOcF/WQYg8f4XbIInxHDD/tvJJgmO+R1i57kPXZKh/c
Lww8v+mxpVHGmvakA46nMm6w/HTDKi8iIkSbdqsH33riB9eQRQyOmfGF8CGqyd5JHy0mIxVxF97s
PY+2sV1mfU+cpLUiDTJjwudUTJXLjzIfvtV0DlZGTOSJN3xgFgfT2BhP7YQsvDM1ZM5hsy7KCB+Q
3t+j0vtJMdDGsRhLScSgTPEhddy2DJNjKm9Td6hFImURhVQpkiD5Ql0zJTGaUYpa1BigGACdCr/A
YujMIjog3LsbUUHrQfNUFC0IXkwR9XjKh6bfuyUjA7UIdYYram0OO5KZYiMJd21oIOnb+hK7VJm0
VnptOM+hHe3JNF/7xkJKpR5tE2qStOnscEP7s8awRXGVVKmTZxMvlofZbZFz4QkCfI8Tl/EgNXxj
LcZmOoG4Oma6PjPCx3k9BWjWqBeZG6hc1Dx97MVEE/IJMTmaKcJFdTsxpua+GBsm9f5jTfl+K72Y
MLOfxrDD2GYVwcki+PqEO2/q8E7CkaVSCB+D4k+RHj1p3nVbpNB5R4qX0EqkqtBmtiQoFsjO/Py8
GH1xtqORigjTqwjUIdo9F+RNHeHAwYvNsWe26daOJAlELtSaWgDQZkqlVoUU9JW7Idazs0goDE2Z
ZdAfNn5WvU0wqs+xTWxoxcwKsyDVsh+RDhO4k0o6p4QJrDaZ6lUrV+sODZxOEtD4yTxSrC6/FmEY
495Om5t68uqNb0rvQZNmUDOlIy9MsHEz+Vsn8q3sSVA7j8Rq4etIo/FRLxJtb9lucUhxdRbS33xd
WIKhYmsmlHLVqrpndutdSHr4Icvi4hx3EQZQkdyJuHpTxNtZn4D7ZglhImKE4S7308ttndveDsaS
cqAy83MXIiwmc6Chyt6tqLxqjX50d+zFyyhjalVAbTFEHAmEj0p9gy0VoGphTIhdl0VKSsFPbAKr
oDbzFzqyk04mhruy2rRjm5zNAXOgoE6dpA3eLep5J41kGqjDpyRoqOVZuAHNqvapNsthPaxjgNte
wz4mh/pq4SU9BpfIuyvkZK5L/J+lpA9wWT96tOZ7K2YYzhCOoCFIbHIY7kWtx7QF9yREU7SMygs/
SW98XyFuNdwZPa6UJV8XcHJyCIZMYQlXxVvOk7cLqE17YMfR0ri+LIJ/1qw6cLBcsY86XezvyEq4
y6SM96IW6est6O/qAOtuAbI3Ins5dC4yZjlHLORsMXAs5jMRdVz1Q5A2ifhkkbyOtvEIfqN9TeWj
G2niMyQH4MYVtRHOubaMc0cLiAJlMWl7pQWL0oV6alAdYk+iLKKqHPb9bB+UQqqowqcwCFC5y59+
LIqIY4tAYt6oDe1daI2PnQ82AfkuY/WwpPBrd3zYgWxXCAOjmghpDq6xrHxtJajakruGnjiMWwMP
F7CkX18x1mrTFk2HH7M7QrBkWscjNqGlw78g65dgAKkWCeI64coBgHFoFzpDMY0nf6AobPXfXXN+
SuGA7xQiWpFsLlQgtT1FAzXPJuG7GDADeznRWuAHVkqCM0lc32W1lPvnP5Bu9dHj+nV28+aogNtl
TnF4TZDYrdfyEw6KM62Q03VOCEgd4ItMzqU+W8fYPahXnwFs/+vV1baeJZf3plVVn9TCVNCL6/Yw
oPMV9vKo9dl7HFl7d4z9fQtWkpOs3LvYQ4wFYJd2CCd5cpG3NTbeJY8uBJhP5uG2klar7yHV2tfF
NvxNOk2E2nJnfCMQ45zQqbqnDvRCOWbW5dhUHxFUB/r9uaZPJ6flTeF/D2c8RrI80tZY0QGH36st
gol+DFMxXDBBIe1DvPch/ilv4FCRH0sdL2pTLRZ5x9iTyzwE1NzVJ59mDQ6lZd4ErXMX2TnqEn7d
1JNCYmfGNmbtsoRJ4DD2x6EoiFKxOOQL8i+poL9yBcOh6Ra5JK8+avkur6tnCw/6Icj6O0MYTB+i
cEXYD/mG1FpWXdDcDon+wAiCYiRnLjOXNuchN+m2EuRouZSvawPr/6idzJJv1ayGz4q6Jn764smv
zNe0c99czMV1ZQQbZpT2njw4m5aec5Ony7Kv0pTLud6dHPKoWq96c3rC42tHf9Icu8WUiypnjtEY
tMV7FJjLuh/MYpvDxxSxTHGjsjhYPpbXxP7az2erDm9LIEKl6YybxOzv0jF/h3vHeda+7cdCgNUv
PynHt08DtcqBcJBmiuenPNShSybgI2ucubM4ejUeO9jW4abJ3VvK9A8+2Uor79HwwglvLx72yU3u
p5yRcVJ1RB3P9tZCGL9mkMpApRuPVVN+ckQuq1BjUGYm4FNNHUdam5oNZFDkD3QLcMTWDoxDSxxn
UfffS/3B8UL7Mw7hdjA/4SpfMkYdimjjj/pLZGv3AYWLbWpkRG+O3S8jYFxfx8PjVBNC25ZagCOV
8whFZwKO0pTmW6PvR1BV6iyCEZtQQrWaTZF5rOcjMgTOa3Nn3Bv5ooF7BMMxFZ5+/P96z2b+F5v9
/wp7hyv7P+o9S9F9iD9Q7+o5/yDn4MqZluvZumHQVpBcufFn2/2f/6Wh64RGZxgevLeASqukrP8b
OQenjoRpXTddn9RdpAr/6D5t+39bru0EHnpQx3FdaHR/IOb+R+ScZfAB/kP36bjA8DjiLcvxTd9G
R/ofrPdqKck9Z8p4785ShMSIRM/YdQVhuABQIQaLEghqbp0LkO9bUNvvfgulAt2VgdYgpkIfn3vK
Lzv0FOmmF798OSuuOufN9Lsnu2pSkKI2bdbBQdKlgULoAo6M2qO3Xj4Wo0Oj0yRGCmuC/iWbu+/L
km9LL122RhITeNdYb3E2fQr4sK5ddPc5IVCPgGg3aP4Afma498hTWkEaO0BQnZhK2RZTYoOx0EO9
LC+aU3wjtyPZl78YSzPWa/YNQOKV0dNHjhvshnU+9esozPcRT2PGRHmEgvkrmr5+nXjzj8lWZACZ
PmJHB9CqKx2TBKidmbjoj2nRs8eiK7d9QOxIy8D3xjO9MwotxhpLaGLBnyPyVEFWJEHygzyusxjy
chc4erEaNobZYh70yz00WqL/ZIaL3UKLyUtoeVVIonfmnvSYMI444HRkGzbaIv5ze+r7m5TiUiTF
b3DXt1FV+JseKIJJtPImNYnzzncin5z7WsANqTI4JHYE8cYKnrUkYQTe6A9w0nF0aiDklwxMulsB
eDdk+qqD0cTOX42mnba1mX8YPQIyGr7RDsURfVJJ3wt9f2el7VuQcmVxF9AVotdPZlCONxXhF4Zv
c76jG1XkTYl5i7lexDeQJyv6o5P3buTDk7vYJPoQA81ogCsTYx16hssSE2k+39djjIHVz2neaSDt
Cyy6VMnjLrAP88BrLFnz4lUCDYNHaFucmx/MjDBBOohtQfsdc5LDN6D5w0Pu1PKHne40qx5AtKCs
SRhVoktEsDL5xh5A9o4j5bZYUCtFKbPSzHsXSyfWZRw5q2Em2gxuTY3rcbSqj6JDmKZx+UDqkN7V
RiO1Pou7mywyWF0oUBXzvCYdCdrk0pKbvwI9ro5x0b/Cylu2zcTEz3es7VQSxGI1pvQoR+fOJcn5
E0RvcUoFsZVuTIq1bTnzja57svxjSvq92MTNIJ7i+CWEB3xGm4uMM+G6qXXxRkuBViMeQU9KmMGE
471dkyuZgjf6hAotYgjqenPvUYTckXfio45axwXHt2ds6K8jHTAAYTR2dpwpUTKjAb/hIJBJsKo0
pHNuNNv7KJrwB61LHUiUgbMXqaacoLXzRJD07Pz0xHRr6dAruhTCRlFLEDIZyhsqFECiW4MuIhOS
nQF2ACx7ddDqcjNjnYtEu2oMplxG+lojoDt6lbU8oOqmAC06xi/omu0CgV1COzGMy2a7QPDe9JIt
QJMADRndZ5I+IWOhckMPUHpIdH1rxxl4HXrOD75xwXzbNM7ZSI8LeYQB02Po0E5oEeMVYR8n9tkm
Oliha66EXprnLBmhopg7aNbTwenB2ywutkJXJ0WV1CrqsQPGUuS8r1UQ3+klhKZYysXAa1KQyvAj
2nlvbXyxbILSjtc5Dfq5a6OdbotpTzwT+KVw3AUalIwyf41Kgz1MACuq+xCUGJzLdNs37XycDNjT
QHFoHnc709Y+fKt4yvL4wxHJvSgs514Dx7waCWbcMMh7TPv5Nv6aJNs8N+aNkVK6nWjkU+Xa12Nb
7nQ38fdmbKy6uQ8PDcnRI+wsTfYQ8uY+TsEzd7LaIPqBWAp6aYif8gVHYkJf5pQTo3dixpXvCUo4
X29Sj2hXxATQ9lLPudwnn/jbNso/oosWqpKpT+xDJotHao2+0sOiuT8sjAZpbBl7NdRXE20VhaM2
1SJr3AKOl/2ro/pAlo/XTvu5De7xOOA3y6AJt5PDseCP0X27tEd40+RahSRN1DEwI07UGzf2zLVv
etpdTAVPX/QB7SEVapVI5NOyAEwgAW1q0Vbg6Bb+pbWaXqqF8ild7UfqNqObjI2IkSto08K4k8vo
yNyb1hRnwnRpnqwECF5BAyYyly8lplsm7f7d4iyHuE3yw2z397pm0QaWi8qJTOo68bFvC4RhMq0a
ETb7VXZC5fLgRtG3Liwe6ft3yEaYJ6BPIAM9OFpoT3LqkFFxaDITl5/85Ry4fk0XPU9kh0PslLeh
6ebXpKpzHLuvBf0BbMAwkNv5QBrGgYw6SiQTpn5meF1q1ed8dH5BeCZZ06cpnnrtveKVqkLChVHq
3VFFWI62RRbGQU2OPPMzGNzw4EEBAg61INWPZRYFNlC1gCqPvZW6YL5Sq0bH6bGJym5bW1DaNCSl
decSrTUFXMBBdK8qm1AA92LJ+sd5ZWVZdrIfPWd6tvViwElwil1vWpEXg4Ta0G8QvyDY9IZ33QDI
TOgE0e51sdNz41AIUCbF2IKyt6kFkO6IAljtARb07HVnDwmAdgpJV6uVWvvjNjMiIrolOpMWVVfo
W1VqKdp0Wi9Vma7Vt9QkaKGLpP55LbSoNTVx/OM2rozNDh3l0yA7uWqxIIBHDk19M11KbcabQd1a
ttIqGxx/tS+CcTXIsk4iqydqYYUkoXqG+SqyKVe7w6Jx+Ea2BcVAN3+ZMxjAOepDXYT70Z+T+Huc
x5/aFPswJuT3O8n0K18a3K+bBbk1xUHdM3lTs2zVXcXFyqdMf6S9lP96hLqv0cB0DW0M+oFCzPWV
BgHYzDUxQahXUwBEtbaol7m8hfwEau23t1HbfdF/9cmMRAP274eoNfUyl49zfavrY9RtJSVHe9Z8
AGOp9/7Hnf/tprrjj9e8fNTL26n7Lzeo7+y3f+O3VfUoJC0LI5Apm27yRisvX+f1pX97+F//k7/f
/9eH/u1DewT04N/oEeszMK+tNj5PZO2cy9mY0Nfqxj5sluag7gjp9qP8l48pIulIKuWq2naKrxwk
HPKx8+xh2d6RO9GdfIKyuaj/dbWtGOKh44XJa2DTMWizbohCQSfgydKyZkK9lOkVVJlVqVkujFgM
h4ZuAAB8g8J77gM/bMEv2fVZ0F3d2fZCmmALYE7nMkoe8YA0I3eLneKOzqoGZnMhQthV3XsFODMJ
T1XIA/8fguqU6HhYr9sXjIPc89XaH08px7w7kF27UXxVtUDEghdbmupNMnE2dso4QCFbL3yIokTM
qVaHMA7pZ0viQqFuVau/3Yp8+FU4DEjcFqf7HATW1i/rN9eQ7uKYOk+favmxG4gqoN4YaNspM78m
Q/wRmS7zIHncqkUn11IGwysnBGpvzvl3QQYmMk7OfcsEWA0ufRv0B0WbMCbqyQOAE7+CVlRGW8w/
4mR1P2i6F0f1gkxMi8tLE6tIB8w7usn4YxmDh7qgWqL+jzBzn0OpJBDqhKBuU18D517vyPOun8+U
V8wBKdeFUqu+u0oFB2ayikofydmEDmg4pdBhpPQ6GLq1rRakLvSPeYgti6+Nlb9Wk+Fs9SbHe6gI
rzrJ1vvZ94gxsp6mJt0zJADpie+uSPPpMMnqr9nXUHETI0KqiUVyoz5lkHV3DbFX6IR4ffWRQjeB
p23eL5YgQ8O2Hi8PlDRe9XuqTdH3n8REkntQlhRnSIZa1updetkyIx+UF7sgoRVGRNW2jeJQldmc
WwTg6FujQE0xO50Yb3vdsw9KUKRYEqNERrAv/Kriorj8vuqXaNVLyx/5+sMkvvUzH2bG40GzwWhF
0oVkCaS4C6AiDCEmG66lFV+Z+mXUbh3pg0UoDokLAB3Uf6PuUwt02L/DTdS9V+DJ3zbV065fzH/7
Up0YJsYet+qQU/ua+jBqs1Alruu2WrvcuCSU8nTw4ZffKwJAfdAX5zcUC3NNjmT1CSZ1qF1W1fGt
Pg0jv38fgJl6o+tHjiRhY2KcqAX9F0VdSeXVlAw3Qo7UYULZBApXNNvvZSOIpIkJeyrbONa36uGX
1VB+a8k6hKLB8EmeGNSeqtaui+ttJIzZu9kwt5UBluafc5L6t9WCcDcu+WoV2QjjU7V6+fTVMt07
6e1UkkcxsN6W87Jzp6BgcCyBK679Hac6H8RuTui99aP6sgN5plJr1+/+eptX9szMI0cDpikHwvLB
6i2vm9fnqrXrz3i94/p6fzw3EV/7DNmj+i7UibP3YmJP1LY68vjGs+6sti8ffqnQ/mHm1Dfqta77
oPrxguUj0gBDqd01wT0N+VP+BnHfM5RRu+nfV9WzL6eqCevywa9k2jZ9slQu1LnkQuqRIyt123VT
3etKts//0+PUg8fwcyRH63j59PJcQuGe3fZ6+IW+3I0vO7O6lXypfkGLw3Xjz0epG9Xi8qzrgy6v
+uetfz70t/s1AwFy534xFj1dq/OKuoyoNfW2f7vt+hB1r6mGb2r1ulC/x3VTrann/bevWimsxPUp
6oF/vNXfbvvjVf94p0ie8Cd928hWjTpmScDGF1Mj1pDH+nWx+BYs3lH98v95z/W25dJClI+pFeT6
8nR1ulUvfn3ob/eoVaQMA/FO5FaqPdpVVPvrgfLb9mVVHVe/3aq21eN/PzwDb01+E6ImwuDakMFx
/YmdzTV1+yEnZ4nJU7dzRBXs8cFAhB2/ZhMx6Xrb6185ncCznSrvkbpwiU+7r79WWXu0a+yAC43i
N2GLg1tb2lfTCIOHgdT5jRkOz1laYfhtIDHraRYfE9SGuus8iSml/W1h9aejU90sM8mrXtSlx8Iu
btBhUW6kToLuBPWPPxQgTD2qdQPGXk2d4/78hy+nk0WA4JWTKmlrwM+PKlFdXtWF9roIrldbdWOm
LrnXq/H1kX+7TV261cte3uFvj7m8w5gFN26L+yFm6ieHdHLhq2P3uo2XnUkMpXMpYZTHr9we5Qnq
cuNf7//j6a5D0rbneoSyd/Kkpp5e+J5I79Ujh6ymRTzVj+qOWR2Cf19NIuKenLz8NJLGXWOsoccF
7CAfO6zCiS0tP/GnJ0huq/ihS/QQtndIxCvuIntHnhkB1613GrEerplH0dDu7Je2Sh6Mxr3xJ3jH
At2Rn1bvvmYBXS8cmoTOE/qwz8oMCX/m9LxNGPofRhBS63ZBl2snYlwtYiHIk/bkRkM7BaShhwnl
FEj50o66JnXGfaf15+bdjWIHEQQjw1rzO97iIcp1jAMj7s18LhvsROjHRqLgdgkS6ABf79pwsrPB
dfbAJf41c81lk5QQujUtfHH7/i2KJ1i0eWFuHPqZE3U2qnwDVTAK4avalxX4EC5c4JE7502TRaVg
hjQXUaVwLdg3mJF3YRatq5CixVyxRmMUIc64gIgF9Wy3Yb4VdvlDM4J7WwPgtAzd3q20X4U2zdtC
M5NtFfPJc+cld20yACjM1VXpPQxx+oGvE0LsgqxSCHRz4bferR99vHU+eV3E0/KtDnmyNr9bgeju
+hloU1DrOyd1dl4TulsSI3/MPshTmfhaxtO0Y5Lcb+dMPNSlHtwz7/v0gljDGOz5QDRRBcvWqDEi
kcoxZawl160V1a7GptIuLhS9UBS4egGEB9hfmLZROW/jVV0SO5c3NgKRAU3gpDe7scwYftJEIO6y
2BlVLGF1AOl8DcgIZQuDFFEL8x9cR+sZQbZ/duba3nhCbJq6/UoKsbXxvChAbBk8p1M3rwGOJY+p
07/GcUqE4aR9KfHoAsEwviCnCrB7BvaKE1R67o3wViyN2PUR6OwKX5HsTZ9F4yxbMZC914/23g/q
j7kgBrVaMhPJme1jpyzaG89AsOZq4q337/Dazmu66S0Cc41CueF9LWbjg9kns0oc7zvRDocpbEL+
3Ymis6DM1Gsl2N/huzuSXhHY5WnINfemtsad5WFolmd/yCec9ag30fVd5wJQ+ZyLm6aP9rFt9IT4
dKDFj3QXASRXyRtS0mmXUWCt++ZQ3NsdrL/cpVcRGA1C2vYHWbPtNjfcLzZutgUuhEce8/fZ0r+n
1SSemyFLT4K0OJILjA27nHHXzdTK6bfgUBjPwZL4z2NuQICnSRLaFaLt6GZqRHsYHa4rJR223iwB
9vc/Iy8RDyTX/fAJj0pav9qmDdh80bl3cxPjOR6fzV7/vrjCvOVMkVFBQKzMZegtm+Ye4QGn/6au
X/PUsbfIn7w1Pksmh+nRkWKQrI8/lg7tWWDlDD+RTDeh/VruTGI8CQFu392RVkI6v0ajR0ZyZ964
o/mu+T2RChq6zwBldvs0V5+iduLHVC+aVVWJaReBW52cWFsPVtPceD4mRcMd30zPZSehRjwnScQu
7X0aYeyClSuyexcoYeJaoMJLowLN732ZI7vYGK1ZbstwwjE3m+uAeGX+O/bZVMfQKnuJeVXU66oK
fpBn/ItAlX1FNt1NHotHr87OlGNRknvHDF9YZuTfgoSr4bDyBRjwWWu0Zz/iPYLmUJrUPYXj7G0r
ezR9DCZNcsflz3Uy9Oq1d4z4Hbdz/VzqjfmJwK4aym8jagvs67G+G3OS/nK+SM3Iz2OKgaHh7UhQ
fjGd4VswFtoun+ftBP0HGVj/UDjFecR9s7W0/+LuPJYjR7Yt+y89Rze0MOvXgwiEDgY1mcwJjFlJ
QmuNr+/lzqqKrHzXrtkddk9gQGgB4X7O3muThmxWQK9dEy+AVnPU9qZh8KGtl8Eq1WMdvAI18XHC
bVDAvZiMd1a658CkX/ST2+CvNpPgXg/iTdkEhMz2XeuPhB80mSiSqwo/QqnduLAP8YhNF3NSAj82
wdfHM9elPETMRwNgPjOewSbZfJqlae9r8J5dhEcuqMAiG2nODN6kTrsUh65pYq6vfXGoTWaEtm72
NDQ5ysNS81YZnkqEVfZ2rsfxJqi6Gnt2Y2wrmjaxVzX7uEdWRmYq9ZUYxXTUj/SzKexucZBxdnFM
mrKT2UFWeKs6eqZ6QysoVMNPJez+CMmnBKpyP4wGavByyDmgANmYKeJ4pHeFFYU3xqI/W2pVIzJP
01OvGEdjfq/bSrlkJCRmFYhyMpAwC+XJcKAptyotZLnI7XdZzcmSUwPqctjmw5DH+NPakxs6KLep
979yfjzZXk7IhMqOWswm1jxOVrqmVBvDSR+ozPtdXsY7lV/MTw0v2Rlp9D3Rygs8JuwY7QgJuyEd
lVr+ja4Md0uXnLyG01sf2D+YMe/ammKtF9/QFAf+ndgIx1OuRkoQ3ui2Xq372r0EqhITCgfyuR80
ulX2dG/FJNgiteVrleQZF4V3OmoVveCJw/GkKs+Zxq8bCrO6FyAKNOJXtQVNnL0HAV19ZcH/PKE2
Rr3Y7+P5ZQBOtB7w9WVpDGTJvp9mglBAZ6Mm21I8MtDaz2ePdIp17Xqbdhbdm6n/TnebAzTghUpY
JPsg00C9a8/pHHX3YdAAUir1nRuNhz7jF4JMtG28KTlpKvpjJdg01XmcWu8hjMPx0JjEw0Me0G1g
vw5g8zEvocl74z5R52NKRznD+ZCEgFvseOA0bqQ+V6ijnnvdeswYjw9Wuil0Qabu8mkTxBqnviV+
7PUZlX5uM5quFXqYhUfsvNKGuDQh5bZ1/Rxod86SXdIRqIzz3fCInJyNgdIWHiQjwt2t2mR+WpFF
nnAES9eKiaKvJ6i5fUxUyKCTQZueTOXbPKYOgTqwYfVMafD5tm/4vQhINpYnZGt3cYtPvgAEgMIc
2hPXrl2ho24fXesNjwSGp+o0KhmK4gkzqjHl2T4exhdYe3vNKepDlzTT2nYIYYiMQ4A8i85+1B88
e/YtL2TAHEcO4vm7qEeWzrip8kLf0KrlAZM5leEsUoDSh+rFUYLpEoz11ktpPukJw/1mfqfSBkne
in5WBWR5wwk29Gv5JWJtGx1KB19KGePyzqHCGo+oJKDbx5YC84QLagbiN0zBHNTVcuSqRCe4rzkE
43kV5O23AfUF/pbqzbUGMtkdbaW2ru950Wc+p28oTfDGUpc4N0X3gAAf9LY1WPspdH9Eefpk5UGK
Az6BE+5gbGkzPO2hZj1GzmvO/Id2NB6DBnbwRqvic27dOMp3J4zqXdwzd5iVkzIu4xnl/nd1Vmxo
Soxbwo6hGGfTskijh3hoT065APMgDHmV4kSOZ07KtY5Mc9Ycur7jsNZ6DFb5HXDb5DCO/Ys7u59N
TZBzldvG2hsAb0fzzYAMIG3qaG3jm9g11po0LOQLaV8dYuXO0wHcog+lbKhD63FEsAMgHqIR7IPe
etaZyQVzhpzMDBin/FX7DCDsVvlWjDoD9dIrT3pMMz0H9Yt55zHm7OC4B87oz/ni+gDf5pPa3KWT
6m2zfPxj6c1POGuAYZAAoZBO1rl508FI8OGZ4ZoYvG2dlL4t3A2l5UHWCoKL2g76KqzxzzLsjul3
LnE/7oqkbkh+UsipitV4kxviDMTJz2jHu36ajkRpJ4yqst3SzqgGg5D93hsZhKfqTpn6YWV06n4i
W/kePA6iFxqh0R6/8BuMk0trhc2lKzDoT1GjIBYlJKAqtnZUVZeOCbRG2DjIu2lrdmJqMtbrZHa/
57lOg9BIAbHYbs3e7z5HeJ1mRgBTUD0kzrwrNRO9K4LN3pgqirFt4mf2eM7AbIS0Jf3E1l+Qr/90
FtKkKythsuAE2bayjJz4m2THtOFbXWLC6tEcZCo8NiUdHaIFuHxqC1leRbObepQEnoOwewZRt/TP
yG+dY5Hc9aohRuh2tHaL/L3InbMTUwACfoOIf0Zl0WvWcEJDbK8GPMU9e+Gow/YDn/c49e4flmuN
30rXe60bkOmtkRHPpdh+0GuobRwMvwb7V2ZemtTSX7LGeW1R9tAg1TZdaANnI/04KgwCQboWGgwp
vOugDvdakbxUnZk/tqi8feg562lB7JTEynORABlroc0E5ZxvVJcqeqEtryDx6o06ZdvI5b+0rYQ9
p2z9sIEoFEx9tLUZDzQzknwXYRrxe8dZE8HGxmU0RsjZ+Lh21TzA7J/WDmY8TG6Ztgsdb97bS4JN
CkNmY4PyiE0GOjizxzWByK7vNEQzDeG9zvVmi1mfPkzGJRfrBdOMlUp5E7GKtloWPdyWVoC1njTH
FRpQQjnQf676yEk3I4XijKv/sRnn/SiCrcMO6MLcUXzO3HOq1hCz+s56zZkuJXCH1iWqtLXVgFoP
kLAtA741V+3yvRFbxOvQFpsanLN2AjUOh4eJI7+57ci3mDImH5zJMuz+ljOTvpFnAdPEGf3sMmar
JVrslW0ySx7cdpfHnDXzfN7PbXKf205JIPl04KAu8eaj9U0657YI8mDrTgZ5TzaBEFUz3Cc57rYA
8VbkmHROGtRpIDLJHlk6Djj2wC3OE0h2haUdsfhF22DOXtQE9ARJyRJXvfMcUm4I8g6OTfkwje2L
Gz9EZodhExpPH6ZE2aFVLxL7wL/RhK1NQMBa8YhvcUx38VPku53d1xzQDo6LUs3WbuS9RFUbbeh7
32t6aO9QlBU7B9+speFd6RtQctqioa7Vc+R0AYMZrdF1H2Ta7ESfGb/lulZmcF5x+hGP9g/69zvx
EQ+J3X+3qHIB9siem4nQ9GTu9lYX7sDgEKdIDqZPFpsegDpyvHOMpN4yenxunXX6rGslPQYB3Cou
EQ86UxBybZJqa4Y5o6PQWFkLf2llDVvmFVhE2+jSk/C7sqYBM2e/oMFrei4D/fOi999yLdQvJb/e
bbc0F3WKRUegxO1hFS08tqzYeo3xmLiiB2s7oa91ogYx3/Z12Wxb8F9kYkwV/DAt3Dh9kp1crVv9
5/ri3Ud5ec8/2v/9j8xpqWv9o6zmJg6j7v/8PweL1V3734qHLx8/mvc2/ad6+OtJf6qHPet/Gppp
mpbpIT5ECMzr/aUeVhEW4zW2DXKnHTIEkAj/pR42UA8bOiHXhmcj6DV+UQ+r/4laWNMd3vAfamHX
tNAsm4bnYAK1+Gj/VAtn2CjVOYiGczGY3YR1ARfhjZRBBaKWKdeui//8tlC05D1ZNv33L8PhiZc8
BMZr+pqRJ1v5Xl8gafnMwQQvOjixOVc5cMTsPhBW7kyYuh19JGsLoqywe0fjS+mW+qFYRuw8whLu
4g2nEHegcV2tEmEbL/CPg73ES55UNZ6O9x7J7IZZEtghOK92P+zUCKCAMSy70aueAhc5oDCqNzjW
O5zrHQ72XFjZLWFqb4S9fRRG9wDHe5YML0z3D5mwwntCyUP0vHWssCvqRoNdOVCQNZR0hpuAqJA5
VPH7vzi47EdhtzeF8b6nZ1wJK74lTPkp7vxc2PRzYdiHI7eacfBrzN5zHP0F78O0UE+3zLSLNVoJ
woIowKYCBRC4QAFUgQfoYmJWbGQa5gx5NtFayyceUCAFEgEX6KriRU/CfWtbBH4qw+doRvjBx+Ix
BZOE2RhIQSBwBag8I4EvoNf8EvJHbRyCQgXgoBSog0lAD4hAQchsKWhxx+KCOtqj/TBtCgFLKOaf
gYAnDC4YBVMAFRbICrh+Xrww99Ylo6jN0DwVMBhg66prE1PKzRwTaTSW2V0TkV7Rd9tFIBwaWA4D
TIfFLi3EItWudfL7pXLf0EBjTBQgiCKsua73A/0PiYmAFzHBjXDhRxgCJGF4xh9DXM+bUUAmqDh8
ZyKS+uRsJJRfX/DnQrcUaApTBVLRC1xFBLci6VELO9RkCu0SNOqZ6QCjF3PBU1h5SBXIscL9w0wY
OZb3PtjABYoq0rkQwmasusDX1D/KYSBs1HpXnKjdZmpOKo4NVqBJ67M7EHtockCutJT0JGau/Htl
dVvlnu0DqVTYpaN6gwv3FuOcDbsWg5hB2Rx2Ie5ZBLbD6Jab0C5fEPtDc8F8uO2HYYSUCA03NzZM
AjdmXSdrfbEeplljtBKVFEIjc4U8mUNgao5VDSjVdvB6z30ZAg4LatAYarJR9eiShwtT2EzZg5nu
13xUMhtr50fW5D+iuvdhFiPONJ2HpMs+VFX0uC0smEyPbGvGa2i+F0x3V/Dvrc0g5/XWAcPvT+pY
wcbo7s3BIMaOaQFxH+69xmxVD7PvaUQolUaGUza8RVPd7EG7wRjqine3wl7dAjFVDOPZraib9yP/
laLXYIa6k+L9mLTqUZxfVxiEPP40EjSH4sarx2nf9fiOA51Q5dFUdwXj9lMXxJ92mj9wetwsXpjs
Sly3m5hComIDXRwjvVyNG7M3nvSiemrSIiD30GLQgrjka+GQK5abr3E+94xr9bukse/TTvEYeUQ1
kEZc21rvqkdbx0uuxHdOOuxGkCNct9XTgm8AwINJcAfHhJNMqd8USJuL/iYx0qcuR5TC0WUqy5YT
gGFpDwqJjQZxuTlM8FOtAJyNX62F9sbSEe6W1JCQ5jY7ZUj3/fgYMpbYWsbICDYZ5zP6+R3f5ecS
DuaNkU8XxPTsGnq972tzHXbTXZ2FVETC1tk7OVRXJ32elapahU5l+PgHbkLH/YFFbDw3TJndFIJ4
0Dp43NyHEr3/NsxItRprZ2P1S7yyjFuYYO6KVgJToNQl5skComYya7un1lDcBrUFYNyv1BrGiZ68
mR7iz4rpUAhBlLEu1fputtaRiSo/d7GUg7BmbPdR5dYeXMe4ayen2Oim+b0KpnXb38B8ZOpo+PjF
Kr+agwyNvHVnMqXSKFDHwLvX+sj8sE2t/GI08YNm9+saqfmaRgAw8UX50ZsumLRK09e6SQg1LmiQ
QkNPWLZLIFzgB4MSHrNyaVadENk7JjNGZbaJgUWvMfQOCi91qy9R5xtUW9czHGtxaE1Lz1TQsudN
mvzUc0QclnlsFp2URLuAH1EqH/U4fOOExK0JkJdeO5dR+bMqx1suBueGXg0xOZx0IzO791RwjGF5
9pKZasT4Geso9oq8+YjANRCOM3Kp7D7nYIbik0ZPSddWe4okfqmFyxZ1+Cd9mAk4sosKzDHPsVUh
WNM2qUPnGRAwuWpimkUACAW8wP1cupzZGdLfMWXy2HZM53NQigq8Dc2z+HUz61Z1FPti0BIlQjwq
b+h//Bgn/aGZ5zNtjv4QDXNxHoItHlp6Tnr2onUmDKzUGHZdAUktiec7RtjPtVogWkk8jh3qitaC
hH8OwFnYjJoFqLyrBZGw4kBGeZhawE26yYHy8+HFRctYnFBbxGA4HMyTR7DPpnCnt26kMBA0xntQ
B0BXeO3Q6T/R8Dt4ZeJzCb4ZYXl8P+cvrh7CF8vuHHOp146aEcI4259WBufWNdDqDvrgBxHztc5y
HnhJ5P7kuUWjmtzFAmbPjOScjrVyHvropFYezRnwJ3sT8x80xh0PZjpX1/MJj9VYMcrAqe8PFV3/
PPPITuZ4WtU9iIC4HGgEeq1fadpHPXgQ5ijSjnb1La+teA2S9tMbtDXKs3rXMaRD3c7s0uvC/dC2
M5yhYTzRDFmrDU15sxkaRheNSx2K8nFLA8GtmQfZnNiQi5/iELxKnDbCDbxh2kQgcjrcMY4EtztF
MVA8HF0Gp+NNG4/7zp3e4TxMxHu3znYwxo/wSAaOs2+L1PPLRXnTkyTeTa3TnxgrQPLNzIqLPflc
lSaAppNZrrO0/qExFTo0LhnGEObPipqfyta9nTt9XC+AGPw+VAFwKprf56bnm96ymyEm7SlW7uZO
7dYtfxZVbFpCrln56ky9NDNwBPD7JSgr64++54RhGCXz+5hmMeeyeUXfL7rUFtT9ocZrg9yd6FAn
L2+6CGenVtAlsVV2IJxIWF3zD2c2UloYxFR2e3WMfxb8k/WiI+Ce8/HgYImlR0MOojsFM4U/OhKu
FVK4VXQOI0WnszNbu3HhylqFziZJUpxlvK+He3xNW7LeQjXV0Z4XZA7DrSutSb1XWqNC+Bd12wbG
5G5IoocCG8PZUirhaGHAYNr9DfsAY5DsUONk29SU4FdVMfx02vTnkqg/cN4/BhHtrcqcGDL3/fc6
WtzN3LvWkUyCDiyAHm0sa36mNZns7SKHCBoYT94CULWko7ymImEFw08TXQgWJair/UIwbsaimSPw
peBR7bg8FUb/h96F+AEhGOR4p0Vb/CnP3eoe4lIcWAe3hmeJix7rkufe1GVc+onGhXwJq8E3XOog
ixH259aZtnai1kjXncbHgKWcshkzOUXKW6tQx53lwBicxwjMKCxF1MrK8AQr57ZsmguOGupNhkn6
WWbS9+e6pgZQxiLYzVAN40tS0p1YMCpTFwLWZys5+b4VEdNRWRNHHzGyMWzAqQniGk7KcXVWk3DA
SF9/qF5an1rhopBrvT7eGpaqHXQFjlnpgFSbHOgaY2QZ9KrGV2XOQd2n89lEOHGJHA5sMKf7OZn7
w8hlE/NMVuwSdVAQsSeXKU8NwCJi2O54ChgJhnJ6KQLew+AGbuLkJ0NlbeEcrBJzDvZcKM5N63Sn
DJP7vg2W+zkZgv2UBs5qVJ3j5HSEp8PSQA/sPGRDBdUyxhkWJLX6krvGXULHbdLAcaZ6GFGTd0je
oKQ8q8apr6bkpg4IVOBE0mvluS0X9W6iyGxoc3QGvfWGZw3smUlAcDqVT3W7uKe8qh8tUuwWtXAA
7j+0qrvcLeoSb+olr7eUJION52GKi3XbRk0QONvRXUAW2sqjmo8oLZlZbAm5o5mhaq+dvhkYua2a
IR8vo16UsLHOYUDneHEZnEqqYP43WlDyBn+7zU2zP8gKI2NVQAYrd+CyiE+CWswVM6hWjk9LbdyL
xvJRsgbhQKcY0v7eplEXY0AS8wcdd9KQz0QRFOHnF1tPYvXkoszDGdIJwIewNt7jzujXdmFiv1Jq
QCyel4tVIDrHr+2ufg+xyH3pw7VUEcgXIWum1eY3kSPFwn8uYqP2lYHWWW9O0XDiRG7tLUJNnSnH
PCW1jLkZJFi8hN4R27q76bX2VUpdpX7tuhiFyE1uzgr9N9NqiFeC1tOHRbiWMkj5GnKhcmJnAuLs
rjd9vUFDoL02RLRihCRavhrJLOi55er1Rs+M6XwD57kKzxlrIduVar7GC5dDqJ1/0Qn/IouVurFa
lODnSLmVGlImHtRQu3ayieNUtqmAEnp9kPNzKQSqGwjLoX7BnIEvyHxD8gnRNmGSECrBSDiW5EIR
v5J9ThEV6MAWGTEGtC9gZfAvib9Krk25sWgbkenOVfsrLNEQ7BgpY69Ui06xOTnfes7gUO6BVtgW
wXdlRRFvP7uIiwUTk+sCRgXUgce0EEwfua03UCUZn9BIVciOD8vmKydQrplN2u8tB2Ok9HeJhVzL
CG3YdPr0NgjLV6D6XZdHXxxGufPFGuid2BVWzoG+wFrDMkB7Xpi0GOtoG/nF+ZPEjljRIXcMIjfF
N4ZSUhMfYU3VfgRSESWavQtT6DByYQlGBoDu+jgSggezu9jJm5aFkF5s7syBi2cESUB06ApXXyGZ
Mh9TbhY4yDeT0cPkV7utN3f3/01f+SWoFMrMOcJOm3rCAis08Z40iEl5vNyWC7m5KAFolKbwULfl
TMORy6OeX/ozk7hgK3cchSkDLOEcdZGNObUR30B+Ifldpoe+FF48COj8JxKPowvwB6eJ6pggz9rZ
kEckINVRQEjhWc0aFBQJpxL9wTJHjXxHgZVKBGVKIqVSDhQfjQGJOULLLxcc03+uzbag2Fy35d2q
vJE21rjxZubIfz8PDLyKtElsd72eN99+e7WlNfJDq35M1cR3k4GLX6tmTa4B1wrGJiKFMRmgdeRN
zHn++shBpDLKaEa5Jh84TFyHqd7MKA/YJfSk31QWTCe5BengT4yUZzTf6r5zoDzzqAZcsrZRQ7WA
gVNZfqUUsZ+UtPKMv8FTEkH126atkapNSI/wqmHEv768YbSKj50FmLX4beXPeiV4ydtGcYdc+1cP
QSpo7YeCM7p0m0q4DCkDgbpRwsbGwBiJabaZ35Yw27n2gQ1XCWxBFCfE/Y6U18vVetZvYichEGi6
K2c6yK7U2V89pV/mQsq4tb/UwrFa3ivy35R8ol9WpakUaOneiaNhhz+Sk+QXqqj0CnOfwreVXB3D
HtwN0SJwJTmVXD++3IwFiUeuyUVU1XT5e1SZ4nwk6T5foJ/rdjBClnN7BSgP30yigeRawflzEpGx
lIkbX7egQ8vb5cJqm2kFpKagSzIzw5up/YmzCgdQ1OzlKilY5ZqadrfOJCZWgGcTsSY3p7BhBpoL
XlWXvUejNhyuzkdIWTbnJuGEHDWF9JDV7zuh2DElCU3ukxb1t602mne/7N9ytYsphaawVf6MGjWi
dJdp2umXx8k9W+20i2YpxvaXnV8+5voetYZyucgrmueCwAYfgeOpmASDC9nV1weUT2ltQUyYhG7X
VcfFT6QuWXL1JE0vEtfB3zblHbiDnfV/3nK5vA/dR/1vGy7/f3ZlDNUgYO9//QVN8d+79z9hMKIF
9V//4/IxvP/8Z0/m6yl/EV00Gi8GRBdbMx3TVj1aIH/1ZHRC9f5qwug0YVzD9ujeuOAZXO1vhIth
cZdlc6tr6rprafZ/1JSxBEPmH00ZW3McOLW6Z1CQ1OkJ/bMpA4R4GoqmMm5ISaBK1lgbpo8JnpES
CGLUZ2v8MpTwc/qGEa0Lsk26NLLOEBid1aI3z0FJ1XuwEJWSSUD6iN5sAM9XCtQOqNno2Rr82KWO
AlrRpncNwGbEIHrTw5lYj+ayWlTsRQMM2azXCgjSznOTB/PGSxgVelpxF7SltdNczvch/D3KxXoJ
THdpqnldLHFCO3o5tkZE8HLSPRr9VFMWNJ9cI9QEBaHbao0artVxYNqrDwe1U1SkYxYw1n5qX4jQ
faJ9+tKQnPNqEBhoFNPFc4MW0Q5eT2MYp7VKafjomvUthn/oU2ALIAcgdaZDvAkQmwB/crRToJvH
TO3zO8UFnq5Fo+/p0FrQWOfUPbN7xUQbl+YNzFz1tRfNIG05eVa2L4OwegNeSulmvlmqKPLHodaQ
UY5HN9JJtaAjvZnU5T4d3yyoiXSY7ZYpDfW8cdEevHAYV/IZmDLggti0BHSXSyHXEw9IAXIHp6WZ
1E12tm6SYWCac2ctcYW6hvwV8gTGeKdBgUctZvJjV599r9EoV0l/o2KH+KXYYloMtp7502aSvm5d
ETpi2CdMC8EF9ZlNVNfcWrcjmoFNkd6aNSpQOvPYV73x02nHt8nK6z0av02YxCS2FVC6+snxqc8w
1Ugy6kxF1h4W2HkW8oSVxSSdfB1UX1aJTHrUiXpgELkmmckBCotMGkxN5w7HoUexEpOqJbQ2tNkX
GuGDot1VzZjeGHMDIrnxbuxsRhfupMYmCyEMDsMxuAsTJb7J4OH74rcpl0R5olFSZZoB3prEH/RP
HAfuDHQGwVTlO3qW3ZEvcAoQPp+dR2KRwn3YlvQs+k+rGYIbqPI/Cia4u1bgjJCYQcBGCQiDV30N
zZZUPXc0+XmC06J6JXQ9ujNKaK4GaHYXA8jcmIfNyWCmVS6j8ZpW7jbGGBA3WA4YKqyIxjFOCSPG
dRGYi6+ZOFjMOHz2bKRaHhmAF69TKz/IVa5tU7uLWpBpgTYNNw3/Iu5PbxfFMMgGJZ187DfZHkE1
MDH0AEHbuHd86r1r05cIx8zaYBWAOJsWr9Af27MLjmzdGk9GFvVvdV88ZmHxTKNl8Mshs/ZePLU+
VuBpGMNTg1r0MEcNk2vgZ3BBx4XAsZgBc9go74oR32hjOyIt8lqMipxD3GDYa4pySE1DvTRCeRUs
CoXOOH/VRUUs1xG7wV8UPEUYzBm44Yubu+fI1PO9OF2RIpejVw2pxLxBY7jpVLf/qHH3nB2VoE3G
TluKyJg7UWOfWpXfYNaj0leVrryJFRQ+WFbfdKsKmDfHE805nERWi0I+cClhQLY0/UWZstuAGMq9
7ZAoGVdmdoMcfUQlhXQmbFDGWJ0ybKy2RYIEQnFT2xEZ2E3hbJQBbadKENOuGbzAT/KR8KggeOmg
AD31ebnGrWCvGRSZ6zSH216qDJvCdrnje3azwS+h04eIB9S9ZZKfI+r3X4ssSW4KKzi0jsnhxl+u
2Fq70saugxY3fTB8tx7TMDaF8wW+0zyc+mJiaNqRQqDa36lDYlsIyc6pGFRBjW/W2EoUXyvy9igX
hljrI0HWuG7LtYLxIjngAkP7df8sUtnltrz/uvn1SHmj03i8krzrl1V510RPYttO2p18CfkQeftv
r9gznDka+NTdd91l7NmLYHBP5mVHIp78a1UReeZyW67JB8nF9TmpzBWXd7syFft61/U519vks+Ud
WFiI3AGUv55lirm88V9/AkV+LvmAr7eTr/LL6tfT5Lt8rSKoPnG4MwkWX+b3l5bb8jX+5Xf9eonf
vqd8ziSCzScRcX593evj2mZ4JG4ALc/1d5RP+/qC8oHXt77+Jr8/XD7wl28nn/PLJ72+49czf3l5
+aL0+zAcXT9hRZfDt0ScfCOT5eXz5QKQJ8nz8vV/+RDyrusHrUiwrzKi7DkFvoVIlr+e8PWoyWQE
j0iUDjYgGIIcFt4ksG6SstDWZRiaCLyoqCNeus/pKRydGXtuUgkwwFS4KCHlrde7OuYdOztQjr/d
Ljct8WT5Ctd7v16lBYaarX55RZq1q6RiyjPV1Hqx8ydiohsP+IlXclWpYTl8bc8xEtaoiF3/lxuL
IB0Oafn69RB5h3xeEM3adlLH2yCNPc4DAs+MAALOBZRyTv1R6meud6pTJn9MiuujXGvEJN7oga2a
JCD6en7EtX6JvQBWkjje5SFayVNBpV/0Ttc5IssT2cdcrlISVRkDFwe39dZtO3w47QdnckJ9ivl7
plR4g1AmFcdFLGYxv5ULWwCn/9Xm9XHyafwb4P+JOAU/3O+nqTpNbesczKogUG/6UURes20awOQr
b6GebhrjW5DbjyUtI6QPNGsqZKhHyfaQtT25WU/d2sQKtcfkYTDEgUJCHYYoVpuIlKRdo/3sqVTC
35WLVqx9xarkQJ73pjA1CciyzFNRxZrcrLpF24GFPyiTHZ3kAj8bWWgzV/MSUz7NxMYtTjhsSrw7
/KWyjikX+PVW+hg4e+kjlaVNueghKVeaJTjGFewLLzDinT3Zd41gRM+YRNYz9AoKL4iks0DZZxM0
Awt/iykJw4Vi4cKy4SANC4PNzkgaIv404+g4rQGBTmlQ+yTY5EXtMGn0nBE0OWP2UL8BcrlpGJFw
OeOvSqYHzHdw9TCe6BsjJT3XrruANoQdHOBsWCJGSKYkIRVwTNQiDoZspCjCJC0t8mJttOl70yL7
gohA1Y5WGZQlEnfZp2TsUC3SkuSaZzPhZk6A8twYSKHhP2DPrrs9U2h6l/DK0CYDvnbEYuxc7VBn
D6TSAlgW5TX0uBQLg8zYExI+Emb9l0M/lUBdWZ+W5vpsKRgaMMyThT9d4JssehL5njouxI/YIOxU
lMikefy6CGfBPTJymPVKoYFfMpFSSQSINVMeJSdqpnNNc1OCG647oFz77ba5I4cimjAiuOJs6Dkl
iV7htmUUKAr9Ah8svtIv27YTxRvmZzHMNXFy+Q0sIMvn8it7FcYkgPKkbUqMifh6cofLpcVZlu7l
PW4AmQcu7NUAL9euC/kjdClNRoGc+c1P/uXBvsIoYJ4j1ena2pdHndyF5Np1cQVacDVhuJqYe0sU
mmT1O6y5MsrFdZMEoDfia0nfmkFSxqO1rCXx5GvVoHO4GlzLxJVHjUUWvxO5V4vFb5t0Nbe5EcLO
FlVuWfi+LmaBvZKboY76nt3i6I7GhM1w1D86dcYyJXDlchFFLfm1Af8Xfptgb5rFLmzp9hOts5E1
ZPn7XdsSv1FYuqw4tnqjCYGGveuBdGKTYjdasBXPtHdP1Id1JF9J5Scjpg3yTLR2N3PNk1/I5JC2
Sg2jnDq0FISZBK7Q8ma+jsuQI4vcAh2aVoJpdlD1WzdwTOQljn2MZ6K3yCtBTxypwP6N5BzGydM4
dhBC2ypDRWgizBd15T51QecL2Evh6tBThA/96yhQVH8oBrrgxL/6oLXCUw9HrQnJ05J7B5KVdAtS
/Elql+QfL9euO4NDZfxoPhYTsUMNxgp/EnMjM3ufNBLSvAZouyMWCpNBpe7StazzytCB0BvjY1ah
xfM8Koe1u4/ViPyC/qWvPAX8eBb6dWZgZxqiBra1Zp0pb067JRqTU2cW/c5pq/s6xc1kLsQzAidX
VlB2gUzWfe83KupvhcYeAo8SF/Wip/uIyFGtag9GArmtL5BtydCAzuTEZmJmo/Auji4tKMmwQVXm
e/SgRI9oIAbKrcn2YhitirH2JK6qDoabDcHdLwbtCAJ2LlluDhun9YBRg2h0m+ZptHcG097116ub
JTdnaeD68n3o8hvrWj3nBSGETlOv8gl9TwdmyrZLP29JlmvEdZ7YOEjnmtBcdNq50lSVYC9xm7x3
SSJMnm33FPWca5YlfA6CLCDrJoTYbf5YTGU+6m2onUhWx+RRHUXc6zGuB7oxLW6avAhQ5HQJPOAF
sbj4AehQtGhP9DOuntuGusBGXVAqKZ/QqMpTVA/ftDacN+7YbQLi/xBtYluaoHBB3BJoaxaFooSU
y9UPs+VYdBtwiq36SDs23je/NENkW0RW6ANPI3zD7JH2D7eOOyWbJIpICeOEgtQ9Q7IqH8DRi4f2
3SFRZNslKNUGGOADwQhCWsb1RXy3qCKiT51Gd1Xb4qQrFkNOz2mgyOJnPaeZeXkt5+YlVLqFyTah
gIuj8fPY6QuWUTojKTGYhhPPN0lXuL5R4ashlOlr98hnkVRgxjqONaX0wAmCeGCy+d9hEPJGCXtQ
2vkEZTkiS4QH6wKyc+U9yDX5MPsKkpDb8gXSuMDQRN3698fJh6i6nW4ASH9+PVfelifjIS7UdF1Y
f6Qqzv8yI+9nLLsQsK6p+K2VPBZ5utx4i5Y+EOS87JPxIWlgixn/l7zzWG5dzbL0q1TkuJEBbyoi
ewBD7yVKoiYISUeC9x5P3x95MrPvzaqoipp2TxjnSBQJgsBv9l7rWzJWRjRAlNCEaUEUJsmT4gi9
3voMhuxlLidMV+kAgXjsdSKvyKib5wrbql6+Bl2+zEwJmmMKXTXs0EXngYzJpsdhV49buob1lz8i
PBxK6714MMQmakp+XxmO2nQDuhxqkoKYjJuhn4ULercvCZiXqajvjWJisgsG/2iEQb33JYFclySa
Pow62s0Yla4yta8VJSaQs73WvyfC9vH7QUkRnsA22CAS8J8qqbvq4zx+qGEDazfzjQPt3+aQNwQP
30suH4g4L7nsw5FMiwDQXEQ08TwgSL3/shFJtuySj4aMtkU3E2EdB0Z+rcP58HhVzhqXeqSpe3J5
h6NGXZjMX96uNYVbGONtGsqaRGgV32A2kY4tdqzrCxFM/WjNt0pCOZbnWgc20ZpfhjJcPz7E1A44
KptI2ZVNJZ3Y/dw13PeRRsfL2kwYU0nV8c/GHElbjM0T1TWOdqamMFt68pYJ9bw0xlZaSmkXvgGI
wxTEUXVTOMKj0eXtYKCo1YhL/H24sEgRPreRcuqDSdrlCnDrx0tOsMr6UcObRnzKqpgK+uHYtW4Z
cqjHS4YF/PC2UZRNoxnJEyLr98fPxTRCBBj441GeMmU/6+1AX5xjkMLiYKZidaUyWKybsQYbIejB
h0Ys7P0LVisuJ/KS9HU/iN1zlMyXxwsOJerBXjPbQziVhDdhOP39BWomwaUi8mnyfFOv6bpkI5HN
8vsLFJutFcrD+4wLkk4+IaWyaGi4aNLd41Xn0CBB/H6J4YT2j4/L7vHB1QqgiVbIF1Wcom1ool17
HH4usbyUiYiOCugqmYgMoSrVNXpw6xwHFFitScm/8k7dgFyUX0dzBs4qowoNsMyeg1FA3HV/BrqK
taYL8RtMlnihTnW1KRmQzo2gSdyDWfEVjerSx+H71kW55YUKip3wXh0l6nllKVxoj9dBWYwRPQ1v
rLZkLw4UcyOBRDlN4GJ/v44WYeQahP6W0o/3BAMEwKjk4amug4i+Lu8UZIULJs6/NZZRekmZDVtE
UNKRMjFo4fvR1gCnsXS278Ek83X7MhO9mVVHEbXj79fQcStlrWa+z5VhuWMpxbu8oA6dhnP/+xkd
Rrh+npsPs9EUN07VdodpVjxod4DL411GxgArNj/SwhzdnJ7irtHD8mA0uAsfB2r1Kx334e7xBLHs
Gtdo62jftoZFxGBHntL942AWK+PJ+Ow7HU+7bjT7xGxnLkEppoTfpF/p3w+owBw4qoOyVwgY36e8
l5vUg/RJXfP38VSi6XSCEB6ICfd3wKc7t1JIA8yE7eOdpLlUSLYs2kPZYwDofOg2PhlSH736+ngC
VJvJqcVKPbTSVO7UhmzdNmjFQ9Hx9WD1dyjd179o6VCKHFrxglu4ZG4jDjqb8/4ym6Q395Je/SIR
HW9zp36QmyY4acRrVFyf25xj9Ho8ky9CG1x+v5oVPpVmob34Qip4dLOSrSEJ6oGLCRl5aPofJl/W
46mJQno6iSTVRSvUflUkPrCsotAuZKASpXI/NrJ+nZzi7AeWyNgtk6o+oC4ftonW0GnuS4LP0ur0
eCp3z3OHReKF0gpmBW6JTTWb4XEoLJWVT958KjD31furKmxqbb3VhbM0TfKKxRMBP7oSP5GpXNtg
Pepf4DNxFPbCeyyQIh24KVZ55HKjum1JzvSijNtLndXD4/Tosgk8oI5e1KYlNzwYpY0c5fVxbAQR
rXZ5Xxm9Pp45EydmAzCQzqPfW6thgobR9vV27KruCUZV8ft8TwF5Bao1vQtxCdYSX+YelUu4GzsM
/p1vhG9zl+wfn8UqrTex75SrEQr9Ys7JUSB5TDxK8NihXXDBSf3+cYIqdnKwU+f63INkWNP6n5Zt
EmhPUY8+5/EUXw8WJu2qdx/v0T11a9gbslDsfFXKPS1q2jcpk7aPp1Kp+4jCnHkywwOFWzhbSmgO
13pumWd9ziZ4/or61WU1ioBauCUEOrtDWzQ75NzhAaFYhHY2bT8z8zx1mfY1CgSK95YhHBWoJlg/
VFybRd+94ljdP14rbMUfIQ7iZ/oLQCPGbiQNganbCLqCuY3X6CMLAKcvvVna3HuzHo7beM6DY9YU
wMDux/N4ePy3CyzhYIpcTPTjofvf/+z+949nKMHmf94f/3+1+W3RPP6vmt/Dv60+MnyvUf39l7/3
xde//vYXokvuf/n3Hrgh/lWXCMjTVVGX6ab/vf9tyH9FV4IrRpN1GuTSPbbkH+1wnIzkjGgWii4c
jeR4/bMdrsp/1S0wJnSvDYkMElH5n7TDNeXPzXCVUDleSTfVe38dDyTHUH59XKI8aP72F+l/qRAy
gopha3WnSySRjkEl9MzIE67VLl0RGTjLi8rYEO8Ita57bj/Ur+C5fSGeA9IUdl5/Wowz2t7Xttx2
/lICeZMvkfJqQGXElRW7GXQjwJvXpKVnsyZILF0Sr7HIP2i5s+9ju5D5bniVflVbyzXWxCfFvy2z
X+O/B9/FqUgnOpL/ltNoLqK8vR81soI/Nvx/f0Zc+JamIZXRLfnPn7H2ZSChmTlDPDVeOkm6hB0x
JqZyigfu4rr7EQRmgzKJblokXf5wQfwnb65a9zP4+6DuV4L2eHeVb4rCl2iImvIv7876fKxYPswr
82oNW/GnuNRHkg3E93aR/aAXu+8bf4wn9VLAHtpSJ0uehIW5t55MAtKPVempZ6neSztqNx/ZYV4n
54RA4wOj+XDuSqfxosP0Yap422ztyYiXc+wCxv4qXsKdchKXpfkdsK/xBNbByTfSN/2k3iiUFOB2
yTSxtX2b2bNhU2ezEatfs2sPAkFZk96eGR5LDmUmudWhFoo1A3ZGs8t2sAZ+jcj0V7Snzcpl382e
33Trp+pArK20bZbmRnGz9+IqEcnwFT/zcRbja/4zL1mJRItoT6Y9sA3Z7sl2XQ07kpWBESzi72mV
uZ07Tx6gkqS0f+QtXsPWIgpAWLOPbz5BbXSGLbjZJw6oUXWFdf3em24me/UVHQLNKln20DoFz/ci
8dVvlml8nk6z4QT7QHdq87k4J9+0oUdEyfviWVvOF0IF8tdseBYHGo4upyPYTW/5h74YSFrFUPUT
Y0rZ6yycpU0SeIjcA2Ta5mKAYkDyVACqwU5UGqdvPcF0rMlRK4J4ycWzKi6gdhnn+n3Y6p/FyT+2
xUF+QrqOr7UvVlGA5sCxLtFSOIA2PASbfl4FJ30LQmGijk0P2ik/0k1lgjqww3PhKj+xFyzwl4Hm
EnF9fbYxKfeLEHU7GcaO/ybTZS5O0XMb7s0t4W8Gy3/E317r5dt5qS5Cj3QhuNYk2mg36Ze/h2at
7+c3ANmWmx2ROryHe3mvBJzapnSxvAJgwHfk43NbGrsRvSWBkFvz1YrtnMT7wk2/6zMEj/EgE2hy
FG9ERGqXYG3UmDnJwCGlzBkkx3ruOROwV1qUDjvsoPIq/ujWhKoe5QuZbOY1+NQPXbNtBTt69a/m
GS8blzbYotaFNqOs9UN2HNCzeJmyM86N6oHQK1f557DIyVNfVav0zXIZT5jncN3urZP1Ql+moMBV
OqPXOhl3h51+9wdQdd1Wjp/jwqmOTOvH5m6TZZpFSkdy2mZ4o65lnFWwiiSakRHipl77oa8i3BG2
5FmhM1PTdIqFddY2QWeH+6Z0dMJbhzUcdXZ+X3Tc7x9QX+Sese7RFs2cSDrVy3g/rfxypRp27dSH
LHOwaO2TmMYRYyAmnUlEroF83ul0t0c+wjb5V3oNPVaPN8Bl6VK2p9V4ohynL1FXauv42r5P7mpa
hVey1bE+oyoPjgbxFq2tPfsfzY9ADRdO077v19MrZSsPn4Z17sBoEK69nOq1CFVqOQb4emzzqHRX
69zv21u4iXXbuE0X8VV0M/xvtniRjvXw3wzOTH9/Hh1NSWaMtEjbk5jm/lWMJaczCBQdL2RDJEeO
1whu26sZNe5/PQz/h0H4/jaahUMfIz7l2fsU8YdpjlXw1Im+VK00aXi+v4U1jespGL8xoOFwy1qs
axVT/D/XAv/J0C/L/3F2NSVVFqm166phqpbINP7HtyVmWdVHq2nQe9xjtSLf08Y8XpUIN+1cV4R3
SWtsHGgLv3yJAwtvvvmB0ZukSzg0Pd4++nvTc+GjGJlNmVsNC+Si0/DWRIq4S7rxONK5AtlVNwtJ
wbQJuEf1zFE22RtL5WImKcZOqubQjgwZ6Qz+u1C36GDiYz4r1U4dJspysbFJ9IVfNc2LXHYEPRuk
XhNzbAFXLKhlmfOlzRB6c5Xju51WstITFFRcMeN1T4HWyHsrzcngxlaUJYaA+Dso11bb7PCJRpjH
mMh8sbxZfbHGr5QGGSHzGhv1walyOGW1LpAhDES1yJBktRsxS6SlIs5rEisBcIDJvbuYEHv4RInS
1KesHTkDQDCWGv0pyvkIfO0tw4Fp5xblChQ5iErACEIteZXLWnDp0JYuiOafrm6TgzygzYsK8SnR
fXUf9RUl/Znk4UImt7zQBDzG00qr6rOeEsYrThnRrLj8VC1XOEjzR35GWcOYmrOR4JLz7SBtCxeJ
HJ1LYQZHVGWkuYr5QpBJEVBi0di3jbHHwQ7JVxyY+Az1ONXKtNQF9XOwRhUpEyB0XLx+Z6Srvpch
F7Ras8Yz6I1DfFIK4cuSObJcm581grs4Xrsws191oforrdSZz2b5GPftPiTBzWkLHdRrpL90EcxO
Fe/6QGYd+1wWCT24F7oa6BB1/UmbgyexrIEUSAcRXJMwaSdp/FWN2mUuBWVJytgrNcmXckRffOzE
MPOasbmMYf4U+8GzHDW/YnOE88cFPKsdjYnm9f5vdfCQ2Zn3/Nt4oWWKG4x35qEo8BETKl9MCTnh
bRpbU3aRsou0iSi3OFZQ7LEZLbUrOb97QUCUp1p806a8KeJCWAqpKqxqsqziHl+Skoi44rrhJS/p
15oDqo8yMBfC+A1rDb1T+jyW8i/fmDbDlKPStLAZiclSSLrJRoCMxrrTT4hRA3tiZmgPhG7aE1Gi
KWcnnfdUFtyyDBbd8ISLwWmxcSCDc0t6lCpWvFzs3Pt3JvrCYky/rTRYGAD7lFBzB2RQ9Yxd1axW
6kmnR59plCVIus0L6JYJsc9Z52gSvJ4RI3e97sCHPxxZ0rvWC45Ri3bCwivXvmOInuPT3GskfvRX
sxl2MH+I5REXKtrEu2awmSeS2Jknx0jfZkatbxUUHcsoy45TqMXQFn1D9kzjPmnUnbLzhc7sMJcf
ZqpFBVFGWqv6qV2SFD/lUrWGzzdhNe5WTQLMFPXl2FENqS9CQZ+Qln8ANiCunULDz4dsi9QlRj67
VMzGNXs5IGyu30hdQ9wgrA0QdaSGSmKExiFaGA1N7ceDPtHoTqOaNZtsteGyas2T3yJvoFHf4FNE
sKBOBO4M9yBuaknJxtA/4uSOeHj8KDJfc5oRG4iCADrvT9JCK/n9r17+4o6It7OWYzsMMCllFR2l
gMgLO2xThs/RSn0o9/J3FcjCQpb7yDsRPIf7/ThfGnywJEp3drky3WZfkFxhR0t6ISwZ/Zt8nVfy
LS69xq336X7cSx8pOchbUgh1y7WI47IZu5Pb9MS9X+1oRY0/9VLysP1mO4R8N7s4h2Qi3ihYqsfw
o9mpi5HsCts/FJ9kmZ+IOAadKr/xHelv5rZ5ClcqgE/EgIzzR6OkX4cmF0Yu2UucKAcr/6C6deMY
B/FEc4VEtACgATIOKlyBjduCQA/pjGzm7h+065tEuqSxwxvKnxksEB3sndqneTJ/mevqO+pvIQio
2FWRhnT8Yf9ToWp4GXYkOSPBFCzKyax6nKR104O1NF6KZxbywcm0xxdjaSzFY7Q0asdgEstZaCg/
6TsR4rljfs7v8Wwby6rxCpmVNp5Sls2uROVu267QV6AAvcPSNgVW/54B1HLM+IDtqdaWSG6Jagxw
pQ+rkRhFVleDpzRbSV3jdp2429qt5Tvivu5xY3uaaNOnbSq7hOOBxwJiH/AKb9BPmgQMzU3OFWPT
NvMGLzIXoUBOMgMC84mDEHes0Mg6QekFr2m7LF2NxenB5MhhYa1J66zf5HKpAC8enGJysBmlmiOQ
FnOUyXxa87Cn91Og/vZtzVyYla27wxvnOOH+oiwFYUxZyZwPnZrXAtM1jues9ybBbmkVeNG54Gyx
uvxGc6fU2/qTyEm+noqANo/+BrTV9Gjpm4Q2YYB/+DL069G6CQeGMOugaRv9Br20X3FZZMKaU3xP
lAyejIP6qye1LfHYkiGIrO9AWPp1rBnNZzLI6H7EBzPa6r80TzjPL/6R/VNzo2Nc5Zf2GTom7x28
s/R9y3fluv/FnixHJ/WtLKKDvs8+usIRFbt9Ha7R6JAYYx24bagAFitzwJbpFNdyUT+FbLUwbd+4
A5TPjM1a7GKnBzVmtWw3nep6Dy10tUNy1Viqzi7hg3rsWaUHYe21N9DqrkqOf8Pxit0esTj3JEso
wnxa2xBtWCFOVdlGtayuUmhjquFj8tJ9fyqkNwDdxCya5i7Q3CjxsCRxEg02koekdrSdVHnG1t+Y
7EBN9jV8Uwteo0pcviCCMf2XLnkJ5mWmOzoGmG4rfKq5F10CiVIdyL9lxULsYB3vXD1K9uN+XPe7
hJjCYMGVi4hSsJEQbTukABsKmfs4cO/O+V+T5cRvorVLdz5Br4at+4R72iIhF5/0sn12c3bI2iSw
jTeuK5zZ5EYStVqjpl5BK/vsPmNPXREG2ezCVT7aBm3xt3TZ6g6LATZghIe+QKJLju3SJz5xgGOL
B8kWoE3LtmA69HfprAe6N+wqNuS5Sz+Tq4YtKnUBL32vBTYuzggQ5MyOHABL8twvWeVZz6bldK8F
K5xxaTrKmpTvN2khL/VruqSYc8NAMTN9rNN9tFCuOXUFz9htkeDNT0PmQT0BZ3dKz+xnbu0ivucf
qPuEYSxwSxfZuvELUU+wyg6EOL71b0h33/kMZ3a6Zr4KN/2yn4mp51ND85k9aw1LdjwGkjPVjkjz
j8jGg38BV9w6Hbs6IA4u2/L20hyFW7XVnvAGt28mCaH2e7hutuCePZYJZ2KvLUQNjNr9UzwtzCV2
R39tLaxP2ctemELb0503sRsXxSE41F+o1SZ4Fvskcqwj7lKV5da1/OxcbX933z8rh+iabJHKyZtA
2aj4GSdbnqAArNJkV7brUjzpZ3VvPBUvgFdYYJL2kAewoFCMrWhggGSkoFKvpTdskfORLd2BGYZS
CHvE6LO17Fa2sWUAVm4M1+jwDThZ5pb+hvMO5eiNsC9gUfSR3yTFUzCoH82D1jo1Qi1hiX09FFaj
tOB78kNcD0QUn8VxVyCriR02qbAe/W6R7ymrDNADih27SulXU32yqrAQ7rc79Rw+Y9k1bWlhnuWl
9UTrB3kOwMuA/sC9v+9EhIbY9Rp5OLDMcRcRiuCZ1qE61CET0oGuN4Ak8wdrAn58xQ5e56/s8Bjm
VC/YZO9UV5BuSe9441kWWd50ypbFJjkH0UaRPiEWx+Y5GPbRO7DLId3Od4st2IitSVuYVHMG/27C
i7r1h+eOJmMg/MCgWJqGV8Qnxh8LsXlqPScbZMEejfJXKELsCIZ9eqMCobxJRwogvWJLx3Q9L6oz
LWPgBtk5eGdeYjBQlA+rX8CFOBaXCHLHV7sIGid7FUXHpD1MC44TAA+YqYzxEVoC87AOAPg6ltfA
ZBXuJNrSunMWiRdYSIx2t/i9NZzkSM7zdB7ffJ8AYqphTrtWuGJjVMLwpb25s/33gChochQkr/ys
rsV74e/UlzK6xCezxGuz0lbx7b7wRPLyMQIEQ8UTuSDTkk1MMNdqZqJ4lVbgEpedM2U2kKpqJS7b
NdvTbh9BvamXlbzovk3NbUFOai7OExGe5818EueD/5SvgMDcum/4wCWrgOe+IL3YVmqEOXZwEL3s
aoiOfyrOcI4u5Q5WT/IBMq76URbde0l942faZB+ycs6w2bCpQ9Kw77cDOF0W4U/MedEZuPypF5da
tG43kTe9q7QKr4zq8IpyXpXa2AEi+hPaFGYRZWW+wN8FOGAdKSh9KAvxm/9IoEACiLHgYWk2L32I
DhXAf8d/xk+ab7VLSbEkXITpOftWZlaxXvatgY9PzrO1TaQFzb58oRgHZAz9qdfXPtPiJL7TpGKr
8NnPIpsTkdiKt5nGKGoiG+t40YA2o4LFxnZQGekGGeMpfA2WQFVUs1H3DPhKTexTVpNkW93Tb07f
0H/5+1r5aeqvGqvQic8E2xrWur8OvlnD5EdAadGZYF4/cFJWCRuj9erasxKnvOEi5otTv1G/o1fT
ErYfNqzaxOY6Dp/7HZSSr+EdFhQ5G/Nn9c2uEdJNUTv+T0MYMxMN2F0T55etvQajzZwl5o60NDbz
fnKzXbbMWF26g24Ph4RlRo2iSF0ip5J6F6ZXb1eHyAOngfJa/SWuWSJGSxhnwVbdVysKfgwvlRcc
0lu+jpeIrZrPrvRIMQmfKwg0QJFtZoqjuawOprkVl+N3/20euCqFwMme5324z7+s5+DY7lFgqZ/W
OnqpdzR6qZ9XL+O0mPIfaT5NYLxSh63XFK9zoq/qxfhlmMuSNoXFVgZTEhc6MSljlClObwYy4okJ
JJiscp7HSgs2tB+dUDPE7RCk0nZ8/EIS232ftcJSbFA9IlZsbKLBkIjcHx7Pe/zr8WfGAGopT5KG
QbmTttYYYWZ6/BrwaLnxp1MatFj/4/DciBLM7FGBxiLaUcg401aN6ppiLXvgChQ2VcG4zEodjDGK
QMiAjqHFxyAcubEzSEIZyWcu8pBzZIVbeAgcGywiUqczcYGQVFvNhmjZfl6pQHXxecs9mPVOQ3uE
FHoBjoAVlWC0kPNEryHWAbC1SDHK0qhz+mHgtXF7kxI99KquGZ4kyFtRlqeLSqbCLlosuFsaW27l
k9yYyvVTQ6PaLXzMKiHkwVAoCUwghiStA4RLqewSc1B7Q1pTNJf9bKFEY/gSRQutAq8sxIaEAazF
sKX49QLaEk57qB9uAZ35UrE6MpUQoHhs2vWIwCIdiXuBeb9VO+b1MpkppJjDNrw7D30yEHqRFJOw
UW66OsNpY3yIO1KW8olKpirEFxBfG7M00FUyjobVtofeKs1py/qRFfJQ+Oc08t9Jj2g2rYzfs0D3
qseMf82sLUAGQh3GuG8U6yTYsr8+taWI3JS+uTvJWeJNUcZOZGJRkbXqOhisa5gRSh7jsgh7c9MY
wc4vxzc9yWX0OAJ9slY/+fFH2tX4iizpWy1TtmU9Dfl+iuOl6N+9/sIy7tT0pppsVnA+WJBZSoDQ
c4vcyx8vc3DOUD29EZzeCLSFR7G9AbmlvIwBMfafK+0Hs1oNIjd96cOUebVKID/W1k+VG1sJzZBN
sg+Vk5xjyCYkaKPqDbIpsPWdXwUciKt2VCK7EsOf2dcoI7EbMuFqh0MfrnxqeVU3XytDNVeEbRJD
JBCRHugDHYZgeJ3ubybL7E5RrMuWn1GBxqVWz5anw1xS8WI5USwTlRPKK7GkPB0p1nJOwFYlJLHj
WNl28yuUr9c+Dw+w0rzeUqg29sVrS/7j77/NYu1HNNeJVDJYo69rqKdFBkDNMTWPqY7Zsp7E51ZU
3/IxWXWVB4ruLoMQibdgcW29MCqHdmcGHME9zqR5LTSkkBkb4jJniaoU7TWviH/NVYW19mB91qMr
Rf6nqrM0jvoOzDwL5jKjg0DegaXerFR6IxGiYQtKAwuNtpMABaT7vwhgQDpySAslriLCndJ0KdVZ
sL6E2p1bNrGjgwuyLKSIzQyKObkyztZkvAgxgpHeqFlPi7ekHD7jkZnGJI14sqgHZe0a7hHcFJR4
VtxrUG6uqMhx1CgMKanIbjnEZuQi2PRAzE0e9IV2ZUaVblt5pG96iQnACJ67UQ2XhrLs2ZfGbQ/q
RRDJjegWTUMggxA9+2QsacgnqD6B4Tbbdi2nSgIvHnZhKluWo/TULYRAyddNRUUvooPIEOkpE+kQ
td+5okK/LejKo2nl52ior1I13ctkE2EujYR/sb1YQwOaTRyumYq2FqQBOxnj7oluaFv4LaFbBe1k
0QhWJREJgS4sSDw8K5xark45J6mdJa1Wg1Trk+41LlLWIym9GMbwbGdVLwrh3ez745vRWrSvYvKp
VDKa4sB87od4N+uNi9E5AaYkLgsiEuyxh2GjCcLkxskkH0v6gIKI41K3IgywhIYm1hzYkOeeQKFR
Ukitjypl51qE2XVEzBH1fFeAUWt7GvF/qUl1KCkztK0PRlDFgN29EtP2yHyObR3Lo4dWlF66Om6a
fmM28ns4spAt25uobwOpPNDXWJUGUECzbb6tkcZ91rgihDNDyPfFpNy1ycHeuRSmts6q6km0zMNY
gjcbdDptrTiss7r+VZIXNIkfQZAxneYdDNQIcLvQEFWFHOaWCIsmoftba+E+vSNH6CWw4GGLM90+
9ImQXg1JctSElYMSntWZIO/ajqpILdz3quZwicychUccncX6HqOmQVuvaPuORQcezHoK6jhbpN3E
xJqUq6aZ162ObzmuxW1REwkVi+ll7Nsb8b0VcD9i4gM5YLPMmogw8nMhCB9jTzZXqByDPkeXhT17
tAK+ja6x0XbDTATyLsA6S5tQd1TsA7ZOusDKTzC94JWmcYbtHDmq4RZWdi3GgR+VlNXqod9CObuK
xug22LOTBmcrxM+U1upA9beXlw2jma2byV3wpBykGVY/vv0l5ujOnlPoIvn8MWvRFg6ksCbp6AxW
815wLq/DmLKJ1tunUaGC6w/GueM6dSaVAV62loraJK7Zpeyb6LUGKtuq3tCWjV8SaKW4flSuFEVY
RiWFPiW1JCeS8jUw/m1vRk8Cn/8lonieFMkb1pKQmZjgi5qJTMrxAebWIK7VXgSvhiFLVjJKyDFC
5aRWo0VYsrFHIMgG00eVHgldsY7xTEEYvUOQ42gBjLk/wiLb9DH+Jn0AphDIlksYhgRUAIzCPf8A
eTdbQx31aWLFzkDeiVOUyXoWyZAvzLUat51nCpJgI3NGZ12QtDiP7oBigyA6MstmGX2kyPev+/NC
CdmXERShO34snCa1zdZaqUIBMskAw1i8qAoDwNsg/wxVTxk3xWP+3EOO9Uz4Z9UUs3Voun0jw1bs
+tCbyWWczPapyUzqmm299jtzlRoRNYhaOw8ZU245d2sUxYeEUwRUz9iVuB7dMmCyoWmVptFTNTXc
MY32Ko8lXNUkuyW+eB3qcFpqukajzno1ROKQ5H5caMoAPMFqCIYO9DcVj5bTxIKrSbChVOwLNv5B
Ap/SYVFI8htGEUTPOjUB816z1uT0MgvCNiznp5qQKFa6kNAJROE2ztTh2cwL1Jym9IuE93qvYj2g
jk/6CCSmRe+3l6BZF6nxqcuR6DZgjYNs+omLIFyYem8C39edQlW9bqS+Jgms2CI1lB3yk51q5K42
qi+jAvMp6VwSYQMDrB0b3U0WUpZUjtzjI81l6eqLXQCEk42Cijqi8LveSePoKclIBqJBg4rXRBVU
0cpOeiQQ96RBNNQjHY1poK4RtMYeLTEKDKncG+JIZqVFrGZTOO00z8so74+9shBMXPty2CnLuc7V
TZMN6ubxr3/575gW+PQKNq5V8hnRGfIkpdI2gxn+8eHxM7OeLC8Sg/cHUf3xUPXcAQxYkpeVrNp8
Sb6JHW6cRs+/yPFqiNaxSPgRBZJtKhhoWthT4Qvx0gYgAIANKrk7whpEVEVNM2XnFpTtpg+CYq1S
ddLuTsukSv/+0E3lWcgwvxPTrW+aeIJMLWuFsZHvtszHQ04oxqa9WWjbAX/+4yFCXkBuV7WO/4kF
yu6UIA1wFGY88ZINJlUxRctPoj/I5DZoyS6tEnX56HbfIwb+r8yq+XPIwL/893///0vJkaT/Vii4
+a6b7+nPKsHHn/1DJaj81cJlYoDAURTNUow/KAU1lIL83KQVilmUX/xDJyj9VbnjbEz5rm0wFBW6
TlN0bfi3vyjmXy1eDXQOkERVEv+H2BzZuGcV/FHHZokaCn5TskyTXzLM/lnLIFd1nhH7VK+aEaNU
OAl74NfcWxYtrriuB6cBvWDntdJ6wHefhVr3XYEmJPcnAp7Er54Dq710QSW6cRsnu7whzy4C3sCE
wypjvNum47SIFw0id9vs9Hc1G/0tSSmHuhi1BTGkysbX9LUkNsm6snSaMG/xkNVbCwW9XQBk5AFk
tNT22QJ8SuYq8r0pEinTU/XhS/FnbRYxwiGZ0Zaif44bdIeV7IVAXhJrBKvapg0eG5a3JaOWQJbA
IFAZS8uTmbft4f+Qd2Zbbipbl36VegHOIOi5TfVN9o3tvGE4nTZ9T9DE09cHub3lk/8+o+rcVt0w
kIRIJUIQsdac34Qb/+RV1ELsvt0xB20PgLcBTOovKDy1Danx8Soap1/Io9Hu0NQAC2cg9UCKbh07
i24UeJ52F475LWLc4EkW1g9tSF5r0y93pe71dzVJKiQmlIcu45KsEU2Dp+voptwCdCNOVtcN2TCl
YSbXSaPF61YnjssDFQp2FO3EVIao4aziKVHC3dZWmm9shpmBVas1kPV814TD8ySbfF8MO0DOxc4Y
2HPlUHkBR4ycM8Z0UxJRCGz7a1hR+eb+/9RgSUbJ9VTWCZL2gfgtLv9HuixaEWHBrpptLi1aN2TT
rqpSdbTmgydb0KXUBtSLhbRXiTB41KDRwJaPEJp+TsFBXDc95WHQKj33ZeOVNFvcc6QZySnZd4PF
Ss2Yv+06uSIydVUmA/FgY751K3aeBekpm7moPnYp01yVCLAfShKirrS8N1dQHrrNzHShFEKzf37H
4LgayTvkW3kJgjM/4bl8JOYIpcVd10173eBwNKjOV+2IxKS3wrVqXnRt5EvhBtXxOReq8ehbeyXV
SxGBKbBJdQPZyb1scpvHDi73EAfXQrmk+qbdeRhEiQvFGNaTjbLAFEzaU8x1RgrkG33Mbuo5vH3+
bLjjg980DumcFV2A9Dh5/ux5Ft0G8hGHlpMO5uQZC228wW6Tqhr3mH0sI/VijJxqjZXtOIfHrZEZ
wSpAQKK8Y7egUFR9MCMajaPv7UIS7rdMxGj1M4J3qR8Z4J9pHTQrZzC12ylOvxbqtkTXegIGTCRQ
l0EYVyPSDgoGI+Pm1K8TCpox53w/vDnO1yoR/aPUvtgC8SlfqjpaElZO7VCvaBLvzEQng/sZfZUM
d47moMBPTCHiJuZ/m9wogWAa5UvtplugGLBG46HYjwSSrpy6sA+laB6xundnDxUR7W5vK5gXkJBJ
X78R/c7Ju/uykcYuIFUbTSi5wW6OLyXLUu8qcvQ16q8KEDktK3NciThNd2VQmjufzsNQcfIQ1tCT
8KkZQu2bvDrPtMuop9iWmSPlZ4COmw49XlX6e2jca/Rlr6Kz7xtCQTBUZY8MXcIzH8VdhXcUF+Wq
8or2ESDXlTs1UI3dPtsEciq3Hl8pUzP50ykZ9SQeU9jBZjPQ2/Y21Rzk1DSqFPO7LJwhUSPulSCL
0GuSeoTuhv6M6JFXW9X96KLgHWfvbZ9nbzHRqat8St7LEDGhFdZPKcnJV4FNPQvcGOkZzUBVWmVy
7ULhx1A4aoxG8XkJubd+hR7ajGDge/Z8tZ/weCiXLgG2luw84UGDORExBXb7xywTVOYJeAcsbplr
/EIvmoN/lRRheF3FZhi0n6mePocKVZbQ+oOZ03WOWvglBcGJdfnTK4t9FeBlNnTK6lH8po15cYWj
dE+F0jg4rWAuUqZvTauRCBFuhz4212Du8fF0ol/ZFT+gxkhvy46oZSsK+J2OGFps6W1h154IScs3
zrwR2YJUmIpiHyo4+l6d+bvUFmumoRQKCOfeJDDbr4pXw2SOAfcNnPTE/AJ52pM3C88Gc0Jqw6lQ
lBvtUATUPGoohbOrU16nwofJxPx+GAKkEmUVbGXhxuQnDkSblC0C6zj8mWikg8j5ohq/h1F/TVWi
XyFq6tdAVjatNyHK1XKmOrMpqMWW1vVkFqchlk9Lg7NWlOFNqqMDckiy3Tqx9yt2mVg7pdHvVOF8
ayudaGQidYkCpBU6moFOuETNtBHQWZOTsE0SoTgHMbk00uyzbW509Z0x0WwpCBcJm+oeKVp16/Za
fC4y0lvb3KTOhI3dV+49lpz+MPDi2QvrYy6a9B60Fnol7ipaqdWow7Tgvu+mG99M6Km6cboF5vGO
wewYagYU7S4aYdIZv5SR2Ocg558oDMqaRly313VLlVGlXJo6fp6FYTHFATKxqT15asvxmx760zZV
9nwa7HMMMmS6QlftC0Kg5/uWpCfjJ+2NRR2F6ifbTTXYJ8bGGuqCqHRuIkfiMRgR1ATRG3f7fpXM
uxvz/nFsvuNqyikKUazx+pFWtV6nWwnnY+WW8YOvulnkci2nsNkxNOMfjqPntm6ibU4+CD43LEjL
j1EhzO4rsqibIdiMpISvbS/cVKml9lYPgyTBHuGM4huZuP7OyfwbN6BZ4TcvRqu5q8FHwQZef1U2
XGpgu0JZjueGzXgjYSrvhRP88Cz6R6gcKT4OHn6BoaWjRba8z/FENJHoe+psD50G+MSUj+7o7iwn
M1bdEKPg8e3vyvAAGtCkKbo524hkw7Ukz3HjWagFurTv5/wGpsYkUG68VvzixmwJMd0kctIQZ8qb
PBFk2CGeiju6zSJvvplmx4nB1TYNqnMr0mlrLd70SbyR5PkFf5dxDhgWzrcyMyo6PGOIjSsGSPZQ
u+uRu7kr5gqKbuwAZgVHEeEoGTo0Q5OP3CamYZl8a2O9Rm1Pf5pAqCffam+Q0EbbAazxyuLgrhY5
mCqpxWWV9aXSmAoNGtCB2LPtw+jdNhTGr0thQ7Q2jnoUrVoucoxNKHdwYSCOz5CbrDoIY+1YqEQj
GkHcC+NV4lBaqmBSnckY4QuVMxQRhNwGIfNw4KaIEhuc/m3TwkfM1OQ/UEb44Snr0amC/g6X7LZp
E+8hLx7LDmEPc+6WPmI8nHAiX/nSPpfcm3PujQ/IcDlEaefT287MXdhtCZD0EaK78V1l1ZLGteKK
Gq48q6nWhkMTu/FMH5a2+Z4EhXpMy/M0wgSQI2DYsH9aFkOVPOOQTG4Gt+2fLFKMSG8M+30Q1tnG
0Q0FxT/AG9IggY9xZ9oOe+pgCd1rGjf6EkUmClLBNTDmQNQFWbRVZ+MY0blp28ETt8TyBha9vg17
opKoV7tPemiQy225hAUm5EsXqnMPJoZWskPUN2e0/Y0oJg0f8SAeGCtf+XluP+n2hKQhTbd6IVqE
dvNTPl7GYtCL00T5wo466ykN+XG0dYmRElvemnRQYwdNfYIDLmlPR934LDR+viIjMNvO+Rei0fph
T6AngCmuHQNPQVX/aCvfXhujUVwXeoVqt3JiRErGsbGvErSZiHWOscLz4YyoOQadVMMQRXVf02DX
UVyWCqSW8q7OtRd5D0KogTyI/jnLaKSUZjOtzArmlGHdT25660pKPZrSjtVAJmsRCrK/bGdaqaF7
whEGwBC1tTPGLsHis7Gw3wwy8BnwE6MbFPFLFk4NohGatwS+RHtucfEWzbNAtyy+DDpt3miodzTd
qE/Lkj5SkG00c66a9ca+M3aNwh4QwhdOJB0E/1Tk9W7krnUQfvE8XGnjLqXEGFbR3pYOMgaOkGC4
sC9oG9ww4bgvqFnlwuWm5/c6iqgcJQ3waIvmeFJJdxvFngVQhWIicQdP+UhbcIiJ+1FdWe/sPNzC
8J6OuFHfMi4UaBU7bCRmWyLJsE6S3w1ECIq4haq25JdaHkeE8BuqPMnXWNIkb0qJxajqaBnHunY1
gh+eRtmBf5nSK33s35PXFi/mPWMRdCqczMSSn23zybF9on5pk667eYTSa9W5MdynIvfr21pBU4/s
Nwbn6K0V+WfOKI+pP7y1aWXec7k5NXAMyWwZzBXGdvSLImzOzKZGcqMY9xjmvtcMrCTI+Xw3/ZVH
qJBhXNFGqtNHPTF2hj0Br55T0n1qdrjGf9oOvw2d2WTejiSO1KhKNXoG+XA/xnq+Hw1+uvSn4siE
b/k1BHlghnG762d4Sdei/AknRUaS3q7tInlEdPsVNhKWjDR1Nj1ZOqY3i8v68LpQcBeDPnvEWnrG
V/3qOUSwgKp87IsA7ufUvYfcdwnu81YdHA8MBqhMayaoaUWJSo0VOuIoSkmkdl+nCj1Oj2vgQBlS
bWwLV5LWyTXJtQMQj9RB48csQs88/WwwkOC/C2nUGIk8x6pfh4PmHlpvm4Wh+QAYYr4NIl4bPMay
YfyrCsut0ap+V8dBdVXTjKqid9cd7F2XodLLPGPcJw7GaTgULQpRbt1BGhFH1eHKXY2k1hJoyPS2
dN3NsJjpZfCczkaDPm0Oo0K8EaeDf2rGZOVLkAoGN4mnXnm7APPDeraj7AOC2QFooJMJq7Mj8g47
tfXNMyBgxpFxY9Ht2adleDtlpLq1bXdNbRMRrzO5a2sOBep8Fz+Scm4Ry8ecKOV3hgc/UhfRE2a5
yHf27kh2Oz3/k+62T+Ectc0QjjDTRTeSyo4MXMFP3tJe7MImuoQfFxIELhexEXHHz3GlWA2+hKQW
iBUFF8mWJroWIjUuACvtRIpo3hEEsyQuhVNlGNetismrad4cV3YnK5LXZu0d4wS3T2E40U1hSGSz
Vl4f/Jjrg8RFfpADUSeUlkivAiuz8mqNCAlGeWmHt7q+jrgfHTgjA85QcR1oLg194RykCHBbCPLR
wGryG5X+MzmY0Nlt7WeRVG9KG1OoqJwnBr9YEKGMwoAqGSuZANLMff3Jrn94DeDkQMliT2OKyj+e
Q63iw+kEApStQ48K/JzDRMZStOxChbesEP5x9NGm2oNpbNOIW3koGTVagWWeCqu9Cw0pVsQpfyO5
mozHcgWXudw64drwHibZOntLJ4k3a5BXV9FIbBiCQsL3sONBb0K4wzhbhc1x7DfYtBHqtSewp8GK
UZjQn6YqjK6IpI77gUAl+rlu1tKi9pFKFElBz7YV19R0xf0NgAIat6BxRv9XTyQaICT/vjYhsif4
zKjVlusglJSoBupUI4rGtvTNTTfkCHJ16zGHArVyLYbkSo/Eyhi/ZJGu72Q37oSggtbA7Gt09dMy
kArHTvxKysyp0Ap/x3Dke48XfWWb3NjvkzLAUYD51isQQpkZkwm79bhqKOsH0IgrmchmYzpVu9Kj
NwsL/JXhjdpaagzRPDQPG7ONt6pjaMjUb0PiSr7t5e1s/Oma8uRkY7IXS7KQ1WLME/adGhGDkXmJ
s7FOXuKWuYxkaAAnKkWUmNIZKN1XZCnNt/S2sEj1C0qUThAYiJ3UfkQdZak2fCVSKFz5jPORQpdr
MaAV801150KfXfcoEPBDcIU2HCYHYaIQWdM8SShnbeY6fjHaFsni/AdCMWgywWAMo6Ztwix5A3vl
zxlFSOvK5FQ4HeAhEk3m+hpltCp4mmwSolBvfFlmcUmNFpiY64Cb2U6FpA3ayN4tjvMylfDagL0y
Yozq566BWUJasL8ZwvEYqfuBvPcVyYHaqsWZNBGYmLd0TcOE3D1GE83O6kD/zOP+KlGcRXVwYnpm
b4OOn2/NqHCuoemqMa9ySjW5W1R7opjRxHLr37T1AOchd/pD21lvidYzvR/0oxUxRy6Mktzk/OBm
j5qwvxIbhTbbZUpc1FgcHGMdzqXKqW9QuZLHsFdwIv0uJQtioLMbZrXYh1b9NHkuJLMkvwsm4A1Z
NMs62zlIswpuMyZO1305QXkLwh8DMJxj0GaPlpwynJXJfedg6qVTTmISOrCOifeGKgmGlpGiC0yw
6YGgwy+SGEtznmpkbXVqCS08lQ7S26msh60UkmDnas4SRIVtVeNjTI4WTaIfbUIOSTiRPOoJ+/Tf
dzH+H2UZCBPn+d/+xX8A+Q//6/rnGP8oP7Uo5rf9hvnrc1ay5djoE3Rnxhn8DTMQuk/Asuli9WE+
6hIo9XeTwnTnN+mWy7vcuXuAOfN3k4L+heELxzOFz1xPWN5/AzPw/M95y75Pq8PGb2nbwvFt61OP
ok6sTA1hkZxb7mRh7QTllUlA0C7NxnNCn5PL8JzIExl+zdjPp6AWgSnSNEQPUdzWmzqyf1h5hOeR
KdoANRCtwPCxMK14BIPgYTvOp9dcwFI0K4iIflETqrKsFh7ZgJtlVZJa/vH68jDl1rrSwMejvIch
Ws4o1sqs7+pcDtu5U3hcFqJtMdIvq2QTFoc4f1+CUPwZdLYs3L/XlocSdiP5M+gsljxnZcMkXOKc
S9pITFsGKGmdspDt5zh9ugVjONMvl9SUy8NlzUflHwWTIg8Ljl84L8yZYndZ2BJBkLTsUzozRMc5
2GpZxPPDQbO1rYoxfc7PkxE7rnB+xqu6ZwCFrSBi6Swo0r4sHzIMXtugNwvu7T1Yz49VVxrDIR0f
7Kqhsm62sH9r2tcfi+VhEifFRoCCbTRPDidY/ehKWxdnja0lI+wkPLIRIxM7CNaq6t+7fLrTpDkw
uCjQKfk5eYPytkn0cDu1/c4jQunK1dI5xTjudtnYz6KmnSB1eC+8/ElGXHuqqLkZBCLtya03epWE
d8SX1F1zUkUKpHFek3lY7nohvjOV3bimNiu+rX5rpql2RVByvikHlcVIcZKM7Ielvbx8N4lTP2eq
qwOFZ8h6Wb4/MDYxLDAKKt2dVQ4Ow985y2iQVL8CuHMrJuE/u5JEeodwhCPnszwua8QG/bV2ec6s
BkTfl8fLNpeHl/ctz+lQdVFdEjjZTLIic/f3Dv8Pu/n88rLb0IjwsS2rH68j01ZJ88dntZcP9+kz
LA//++ca5vbIBBU6nPmoLIu80f9a+/Rcjwp7p9k+KYLbT3/q4xB8OkyfHmLhHrAfUSVd3hwNoto1
9MSy+ecSz7+vZVH8/TBd0msuj5eXmyIhQnt5z/LKx0aXd1qxIm8TzWjEqODqn3b76bnLn68WtOKn
l5eHl20un6boEGdraAbWyybLC/+03WV/GsP9bZP658tTl7denrv8b5fn0ta4bZhEcYZH4B/pYD+X
4A3RG/0mwFdt2eibhVsO3w1r1edVYybha1N4m8By2RpOTXNBF2gcHC0MGXD9Gwz/08NlXx/Q9uWV
P3jqUwB4tyO8eNnmn963PPfx5mWb5YN87OHy+PLuT8+V+Wgc0FeXh4EiDVfIV7S1M04ToVt1pNUy
6h+P4wyC3mp56Y/VhaqeZfNl9PNLldwzmtp1M5w5dueLxTQ3huIYH9mFs9sst4Q/NgqXTf8jklc6
lthOqU0dGD56Ni8WyvCyaEXMFRqdkNwShXK/PLdst6zZ7ZyTdnm8vPny8LIbUjr+2muEjgH5KTmh
S7Dkp5xJu/R73K+qWP3xQtfONj4MwVIQUsYV+s/FPz3XpcBFGzA3833wAyo+ry2k6+W5dEFBL6+E
YtxXVi92Y5fSh41BqtKR9eg9FvHN540/3rc8qy2nNa3XbWJkESp9xg/LQvawUPMq7FddRAAgwqrf
WZPGfFGcHy4vfARTVuUXvRn7gz4jmJeFATmArKzE8Da2H34d50NltjR2qtbUjiH65Q0SCiSsgjqS
O3BxsiWXv2HJ//p7sTwXlfabXowzq8RQ5JYG6tjPC3ryYlf07aGdlUpL2uOylnTBVU+P67Ck2A5z
lK0YO+gFKJgigkSR1PZGsw0t9UDyAiQihOqr5Ttfvt8FQ50FihNmeVIu546d8GXg1iL6nPebhJSk
hYMEshvIQ16OBPYEZOhoyZEYu2Sk6Bbhk751XNYiNL0fa5Mjy00qS6ZXOXD/1cLJNpQ1W5BmeLYO
ghsBVUn9wdKTtTfV7d4YqaaNlhoeOVDlkVhieqIVDmvbbkgI9YEQwMGj5gAVutuMiB+R/cf+Mcsl
M07YgavRwwJpkKPAbHnYLCRnaxm9fSI7fzy5vP6RXD8P9gpEXilAfro0ZjlSm1keX15f1j6epPqG
121+E2UoB6t6d/2xyznmZe0HCepWzXz0xAClAgwvvHWXy8kSBrks6Aeugmow9yLfOyK0DwtBfVn8
I1B9edNlG9KjcHR92vyyTePQMjWUHlDaAle8LJSEIU0RjcecZfjPq7+TBz6/PjkQbiCOIq7/922W
Df8vnls2+fgry1uCeHgP/bAhIvn3x1nWLv9qP0I7JkSaKsB8oJajdfl3Pz1c/tFU29nqvpujVy4L
Md+ELg/pJZTHYL71iC7Yms3ocMIqDkO53M0uGy5ro5txX7u85/Lyx27jzCz2n5500X1wxf33P7ts
8x+fcxjDryj5bB09pKnecKYvCzLA2NXn1eVxQWP6Y6PPL7e2zVf5n1//Y6efN/3j8cfqH/sejZFf
nSadj13/j9eXTVVcQrQV73/8jX9e/ee/dPnQ6SSeaDAm2z8+wbJ62eSPXSyvfH68PPnH2z9e/+Pj
mNnOapl3JVpq/LHI/n6YI3qxag3GxvzU5fnLG1xLx/etMgidv/cRWJ1xNOwM19qyurwiM098/Ily
mlHYwHYYqh6XxYJWpzVJum4yZyIvq8uTy8uIz5kNX7Zc1qIsEuspKwhlubzsyHmyvLz+x+6MGd9u
DBV5jsvq8vrHX1oeJ416UhX2ZbjBpOFe3r6s/bHPy0da9r68zNf9oImCKLt81FCaGC/Lb+Xyi1ge
WiHJpvuP34XTJ5VO5hM/wGUrPSeUNIgZhaTzLX7oG6bD0TICGuZJ8mWBtC9a+YXUCXeuQWgtfPSF
p74stB6k8dWymqvU1lfLqv+zkXZMIXqO1sjm3wwJ4cyG5+Hc5WE+bpPkaHseKi8N5H3rRa+Mfagg
TCbaF3RAk7TeaZGiGJm7c2WIFPwRaHBzLGX/FWtkfopb7JSdsF6jyfI3y9w6ZTd09HxiBTbN/N8t
0/fLAhI2KTNxA+kt5DajySI56RKBQhoywI1S8+iY3Myd2WNcJygbdLkbLFz7/C+2PZ5aQgZ0nSEq
545ocuRteKSUZiMiSm8vc9elFLHMYvPRHsj/ohzuD0iU//uK3P+vumLTNh1kuP+5aPdCFmJcxP+W
v/nXm36riu1/GXPBzpkpa5TeBADQv/ijnvkvx3UtSnYuHFIUx9Tl/tIVm/6/KKHR0dDBpTkGxb1L
yc75F3vDkOo6yI6NudD3Oxz0Lybahyr8Ihr/k81J6Ob/QLPx9020yw6KZ1unevjvumKvd8qynKBo
dKq+d3xRY54qElARdoedvgsTXGxIPHEf0NtwT+DO03lc7uQ2lY18DiCZkoGBrphMxjY3ZR+uhTEO
ezGP+8qqSfeE9W587uzHvNKeW9R8U689KwEVzybhwvchqpjZuJI6OhKnXxOg9eDGc1/JIzeufXRA
/ngQM9oCC64Lz5pIdXzLN+kvpZovVYBD3630relTpQcp9zqQbPnS2K24aoaTinEFuEb1ii7jbZyn
O3lEEFLlPOBlO3ttiyLNMTc9qJZfcdusLdcJ4AcU/BZdt5/2gGBXcWq4RyDJ5So0aDIFhXNbFq5x
bEvL3HtEl6d2QGPJikaa+JZ3UJblXAFxg4JZqQnAwUwfLH65Od2WnDfXDYgLjjSaVFl/T8aM4X2a
PDT6S+a/I01/MuP+Oon951GYSFFmN0HWkjnM1/cQBz0j/TlJhnIW/wwKJC1BnmyPXIyY3mxKGUoy
KwGLoExliKwTUgMIAgOWpgfWeiSkxHKxtuPc+JpoCPxUwtSVKMwV8j22B1a7aTjtnzHlfi3ttcQ6
cZrc9tcIQ/1cgbjKav7tXErtaCDBQKwS3xmyheASFOWpZyxxReZquC38cA9uP77N9e69GnqJ5zxR
uB4D/2WyJvFCUNOhmsTawM4KTihH5ISYD51qCDgjdcTeS+5N+rl0K4ctmg/rtifj4UAcGuSxhn5V
6t9N81RearimFB01LKLP9Bw7otThujuR4KNY4amPR4OeJFSVZiSdqRkxLw19hixjbUUTHdRQvEpU
HFdBgzI4b40Xm6wKRm01gpSx8Q8j7EmXrx+8f7jOPUK3kuynPfhPQyQgG5TvytPeIhKftoMB4VUP
MFA2CBwzxsBA+6bCNneFV5wbQbq9IWCjxBE+f6y2sWISnfNvUaFNH0ohzG0akkih5fmwNqG064NV
HsYpOuEKw0PZQE0onfyxUgl8AzG9jSMgpmSeqfmyP4dOn+7c+afG7GogzCXp6Dn+LiI3+QjbVfNa
Jk7cKEEJ0ooiRvSqn+fu3bywcB6Sw0XE5lzoHrNvceN/s/T8HDQ2gCQfOXf3I/WQMXewe5Km6NZU
St113oxoOemIbhgj/VoSsZdTNm7DM5eXmANdvmdu/qXJdRLrMxrWYKjw+4OCKAl7GnAzOxqIlWUB
3/1AyWrY2fO0vJ3n60sWEf2yPCjXcBnRtEeaNpuYxr3PUMOcD4yW19dJ3jynJDoQSkA2Fyx35PCO
OgZFomOpDsvNQAoLMtGwPeEhum8kLCGVODeeQ/o5fbKbukYK4KAT1qrkzq1JumltFMD0zrkWEv01
mBjXDSveZF2GSZLciC7UuwOz4Nso8YHL4SFBNwM/ZaKZvMmGZoOUtty7ElCk01o1unbKugn2q23T
67d1DVwFixK6R4mHe/mcsf0Yh9GwJdcTYp2ONM8s+11QMxiLhui7F7WYgNkIZTMkqTyd9gOzTPWu
pz5BS/MiwGmM6TPF3rEapA49paP7qNojgOabKnQ5tDChUvI9D6g50Nu7017MJ0qtiWydBy3OL1kd
/aEJYQ0Z1OiL70NuAi+YxF04xNWV5FIArat9m1wj3lYl/Y1WGgTZiPoesB5kYJdvqY5T9+iSoonx
PJkeMuBPjlTRGpGYgnNShk5zZxkeXDZgugi51AkAi8PJu/XGBvBFFT410VjsMpIEroIBf6aZoqYe
JkFTwto5ZIUyKk/fjWkIN44TFkiLp/LUtVmM/F3fRlN6WG5EY2NdtyHxVVNYDOdxTB/phwe7oAXn
XDbNzUj620Pj+7tQNM3L1JRct+r22/IojNpk65qxWpvdlwGb3bUhWusGRynEqUwLd6VIgVAR0QcM
I+So49hch76urY1UWHCtjJ9dHx1zuIn3qXceLFwXvdcpMA3lTdRAdcpn2S8HGzFZ7ZtfOLQYcKbu
NGHDPxfoUEYDOYiMYnNbKMh4mCRmj7eJqtMJCNq6soYE7IrvU14BjuYlPfS/FPaXOwbhurA0iNGZ
FuxbE2COKh33yImPg64FJtOqMrwLER8Eyj4RyZxtp6YSm2iUd41SHpf8Oua0g9Jj85u6LsfwrQoS
D25HOuxT4R3sxSY32+acKD43ELrhz4ErwuD/hea4frYJotpqGCnPZZf0V1LNplrPiteImK0NKU/O
FfTZdmO0yYszZSEC5xYTqh1Imm4k/uRR5h39Ovri2DmdZ6l1V1UcdAR6DA5Mfs84diWolbH3u0d7
WgNTbG+DorqN0KkcpKs7u7QzMA4D+FgFFL+OefZemNxFsJyrdZ16pyGeUXu5/xQPQt/DwxVcJ2R5
QlZv7zMNrI4owuxaZ1+wJXmBQwhauJI7hbEDp0B6R9bxXaJk/1iYhYN6JnyQWgArJkGe7fhFcV3N
5BjEPA+Z1FH767BUQvOgaeZLQGH0tbVB0cV9Wl03WHT6JH3sTXUUroXpfFRyLUaCpTw37r430y7T
Bw2JQ5sjD8mCXWJ5KCbzTO6Q0AdbvSFZDCU7nLLKGR8Gsz24rgZtnSgXa8D22fV1c2pPvhkmK9lD
nh5dsyUEh29VyYZhnCA/wuueSk/maNzgnXtT9l2T/oOpOflt6jQraff1GcHXdC6qMzNMLDN2YByl
O167Xe9ALvKtbRlat8pth22c3srRDA+eBVS56dkI3iua0GD4JpUX3okOoYlR+xu789BWccrSkHzk
KzqqyDkzOu0etKkCRis0ghQAbKGizJ/z0LrGoL/Dc9GcgyGNVtyF1EkHc6cajb4Njgprji6ZclJC
jdZ6tHVEl3HeaLeRPkXXmsOl1XudsJ7fMYjQcQYFBD/QZU0SzFZVStmm0lz5jE8KVDRq3aNoY/ks
vdTmmglSiNAoNXdQZx5v/ZyLr0qKZh8OfD0UYvOoca9FiUxc8ya+DsO1ALWYibNPbPS+cSzOHXLz
XaeXxpfY2HmmdJhXUmYX7mifqy4+ab7BzVd2+TlJ1DWebxStLeq3PvIhEauU+37NRzC1qMKXQrAS
JBB7H4z+WR91cAZ2Zz4TWBesfN8Gr0UeUcNk5DZO0Or4TQXHJiy7qxbm8W5AR3TIrNy7H/vm1k+m
+175zZOKjHFTuyamC5e4n2ibNFp2IoiGKk6VuM/YcF659NGCjzvYg93WDIEG5QRv3TEKy9E1Am3J
ozg7u3X+I5lr06YGFEwl0v6abu00fDVSjMUwTOAHtHqEq8jq1oI75O0kzQd/8u0NF3yCrcuWQqUd
OVs7rrod42aoxK0LokmF1jEc4appVtfsRQiAU6WmsTKYvT+WFbtLiza4H8vuS9fCatNDt3rWjZEP
1lvRu93jhOwr77lBmXqVpyucYc1zkQjo6CP6TO6c1bc2ASNbQA875TaF48JFyBP05ZubN/0Rzk5/
5ZQFBou2fsYi4VUiekuG5taGj4HWD7l2aTjI66sMXAlMBOk5mPaySl2NHROdxJEvUZ7qh4Ce/Nq2
qxKHmb6DkqtxmWoMeHOtuo7lzzYHaTYNLoMnWhNmlzIg7h3ODo4rzgt/W6Bdg5D1hdCR5myFIVM5
zGDgiJw5VGCy9lo3rY0kcubc3HQdAhRigud6X6M8ONHwsu+nCayT6TXnFDX+VeLn2S516/Gm9JPv
7CWARosa2HVL+3vvh8atGYEWjP0h3DHv26hgFF875oa1Ch/CMcSZ1+MCKrEt8k/o7UEIjnsSWpuq
c4ExFQVy6IIIdHJz87Vemf02QxWywzv1azTL6DFNR4sUu+FL0fTDOjcZHOqBubb4+R+UMq89Ab0G
wiynMT0shf3vrs+CexnZeF6k9quozOTgaAdZza1/iT4tT3HRdqC8OdH6VdxpxioPB2vvTRXeqFa7
JrbynHD7bLnY37oJGtnEI4wMGnd2iuIcQClHNNYdDUcoNZk0YmZkgMJovPbATaI+0rGID5iG3qJB
iW2bOC68JhowMmzdHerFeKUBTLgeM+c+lt3T4FfpnuGvtxn7ymcWHJ6rmiTdzjBK9qz4SYT+vsUj
c0SZ9ssOXAkYTm/WvlXAo6KhuQ4r0T40yVhdTRG8SnyHCP595BldkBD+aLrV2g1z7E+MMOibhzdj
7smb4BslCDCwftvQw3QMXFAgeorcMg/d5N7HrdaRdYy4L+wJLHCdSltZ1NzORnaN5x1wvZIGloIy
OgTR/2bvPHYkV9Is/SqNXg8bNKMZxaI37k7XHlplboiIFNRa8+n7Y95pzK0qYBqzn02ixM2qCHfS
xPnP+Y7zMVs0AzZO9loE5r2BAaPIIwrkF7rs8jo9KIgmkce3llQJv5uehl05FrWvUybRIJfluajL
ixEOvOojW/6Yp1dvURHMzoUPOaB3Ikn7R8PhwUwEDQoUg1lV92vpFfwoCQUXrsJnE5J+wP1R75yi
M88GhsjN6I447weosmQ2Nk1r94/pVH0TkZy3WRWHnPowh4hyjXAm4QjyCZ5SDhwpSRPrOAf0emH6
no7adKEvzfkDDUcuZNBS7jFXdedqcX90s1deNELjti/kJdA0IXR1Ol6dYLxXReePzuI9elkCqbBM
X4z8SVt99Gy7YXyrlXgwjXA5VwPCa1N6uNdDMOGNoW6kpa55wkEvUs61jGzvPtLYAYth7+U1gnOn
1MVwfpoEXS4yhQ/pJDXfJdNis3we+9Y6pyTELoEM/d7OwlNuZPHJJQ8raxle2pChFtmi4EVhyI0c
r/Snpfre5RAUE/FQNE70DU8iKk5Ng6q8I5898Tk1xZ0szWRrkeHaezptdu664zqBIAY55dOxm01s
5GFPTpIO87XZ+YgZ6dAq2MyRDZ64anoAf0rStOF2l4SMoShJ15Zuy4BgBhbdge8lrgVKZwX+SFPH
fpHm1b6zsmPreCjkOvnOVg0WlFzL2e7HnRmF1DkAcEu4BZ4EkmoY0a/KiHqNABWgAddOZ4RWeFpT
ycmlzrL95FnlJm2dP7bIN7vJONZkvE+Sz3vPFrCpvkbyL4+Y2vPtMgw/BSYlyHLqkKT6aI21hjWm
ftWm90tnkzzkIv+hbVzw0dLtGXXYN+zfxaa28T/VZLnfLEr1hOe9Sq/4xNnsHhePUMsEMAv0CJKK
Xd+6goQfGcLi0gsMUkPbV5+RaJ/5JD4UuI1TGV84CkaPxXIsSVqvUkL2EXV3tSzm9yBc9Il3zqJB
VuUYPd2TV4bzyXCS6zD0b5jG6dVVHttBVN5rXvEL/TvUZTY0cS2d60LzifBqSdoC2u4Hf2DlWlm9
lfMcJStPbtgbY8T518GCrFcQfCMpnOO4dB/HLTD5YY73IbKTbdBppPhE5xHZMLCbb7aTg7nEnUzv
n4KBnixPhRE/TzBsAMcawaH/mNtk4Pre78dGVDv+s8RHaKMTp6j2xPMyOx73YarRBzuwkV0HRctI
KfKWA7kQxJVdQKM08SfgY3xN+RoPIaQrPuslL/0HYt7vA2XoG8IBbIU9BKIeCDNf+XzXj656YOnX
DxnGXtBRbJR2Xz3CP3Evtun0W2m4nMj0tKubKv4mozVfa2ff8xnCiAMvgMK56JZ7VsxJnZRAO9WQ
HuuIuESDEkOtWHsvTPQXl19rZ0fBTyaE0BIbO9+qZkZJNfKEvpLusXAX66E1yNXXroFB3UL2ML22
Py4Jv7QdU3k86bnlWCOiY8MjV5cQmSGejVb1Kw+59Yuw3gnVkgJHYH1QYT8exqzp2P0JIZperG+e
LeA/zr3jd678zBaYYHV4ywrKiWc29F6zKrsgAWyZU5qT0hOYmeUlYZrSWn3+Qg0a778d7/tePcej
W27qTl6auAcLp6EVLMEuP08pn38dPQ3rH5FdfK+dLn/UOQ8otz47rPbZOHVbd/DYG1tx7xk7pz+3
STqAAQfVG0Y0cs/hTQL5yecUAIENHbAtoRQYAJWk7eXbBufAtjR4wsqKOPMwbrVXv4te3dX9/DnF
8nsT9ocm0EAuGjAwo9XDFWLF8rpdlA3WK5/y0CCTUHNafZsCdUwntO48flzYBznnAAwrXOum4fwj
ZXwRbmHvfG2091C50YstR2uz1vrid7Db34o0ACP1yHdNYjcZJx6yo/J+suGPSn3ox/6CbN3QZEBH
dQElnPf4NRznW5HVr1EG86CMjdci+2MXx4wt02raLFHEK9d/s2Z6gQZ9c2IOTWSdYzQAmiYGj8zq
lOTvo+RgHWJe0WgjBucNPeaHeh6ufUEmV5BX34CI+CbjhyjipFBlHzyTcD6oxh0KK9xXdvuti1R8
kCJ4w9zwI50A1aSGeanmfjyyx29HNgCpBGiylEO2nFeGuHjSM8IpGsXGticI1yTynPXhVRHyCi16
oiZJOFrOBfHtLSQVgp29qFAIoMk2uTyouaLU001eVdkCscvw3euJS2ZpLDvFB0mUffJ7vFQQ34lG
Nnx9Jsy4Hn1wkyo74IhpEbjll+3y5XdmuNeUyh8sDRzYCdqSL4I9lBITKhVmLafNGoK39VfvTl8O
lMyqQD5IK5baGTB0kxv6IoTfitDeOR0hgho1uZkAtkKkXOyWONiU8j1ldz3oLT+c1IUzA1WEZ8er
jwKDrlQ5GIAlvfYhcSQ9F6AShPNQpqg0a3DfH7oRLruOdkvZfg9S99ERKQl7Mgh7QX5uZhwC0++o
KJoch9THToxWhmzkJbQ5tfGlqaofIeVg9gK/s6mH4iacizcuX2ZG4Rtqirc3k/6ix/grVCNFJkDg
0e8eEnMWJ1ETQKljcvOgVgmjWFeb/wrQDdzriC7vtGp/BbUe7xf4krkgXyDV8MFJBTyIU9x07BzG
YHxzOHNvlRFGCN6c7Eqc3semmvRmrPr6OxQu0i0GUcxuRnKoDSxZwG1acPAAFzSK9+zxBvDFDTs6
YgiNUUqgE1VvxtC1tqaSdyFev2vBvMOw+je3FmfSFk5NhaRprcBO47eRyP7cw2vYZau6oInygvKM
dya2YxaqKaC0Eo7T7Ihho4f+NfIm8vBV++A5DHdjunI7y3AxoMF5KAdOZlnHg8B4o37RHGknQdnC
UHCbLfk7aigF8DlweiR2u0OhKAhtl+ZbYlfcW6eBsnm9WDvayIkkBhA6ciQvgMVTf8SCDOo3724u
vnavqB453UHdfzAWMBQSTMuBqAlwShPAa+25ZESi+tRGXDynobgrqvnJnjomAxJsCHfPXdGqR4Bv
LDP5CwEVbtseTu8ww2geja7hSyCifl0a9NbciZaFV8IW7vvyfhlhmJldRW8uuLfkLm+IlWpp0X5l
u9GlTaL7sAYM0g7L90CaX72sRp58LkncY75YbnDXlAfDhFhjtV/hKDKa7mnw6ddNfZjBh+hy2wIW
8rOWJoE6sJq9Z0fOoeX5S4BqXAszK4DAxpx1Wm+vxvdoDvj62tAfAKWerBE4Qlc0PO4FjLEm+A08
4fecKvWoTcY5XjJRv8dNMk7ZFFbVStk4EJ2YNcBcYPTpxnhx6u9TxcZAuc5HpOH/tLAZ6ulRzG7t
t1J+2k2oL3lsPBRpe+qmMjlnpuh2qlhDuLV158nqiyciF0xcgqqiDRUWj2uK9EZpDtW2ERAO8tWv
sDEYOfZLd4X5dxo7jxZSYK0opssOF8Fb4nVPdk2fMiRKys26nEIZixO6nX0WGfUkKPNvc2kjASy1
2PXxTAd9M9tXp+p2xLfhHZiwwoOyIzNetscmlhfLTA7sdVBTDO/LK/PxIzO/l9GA2R094DjDjtzX
syGOywJhDwEmONan3h655ox7mTrvVp2/OGjOfuC10/sILmNaGHEGMaR9+R3urt5WS/QqhhqIuzDS
Y+M47T6OJaGwxvXtiVobBxQ8Y0kw/aBN5obag/hj4Fh5S4AMzgYa7GJnFzT4fBsgIyy5eaI3mYgx
Cdc8sHq/tpgSrjAFyERPBmsk90PxkgQB+1FVnMPAPs9RDcfQm5o93Ue8k/w/Vf1sb6up/FVo1e9L
++dY5WjnlYp2ZbrG1OgjTOr8vq/5xOj/tULJ/A5YQc4s6diXEvDl1G/NAXplHlQG05v+qZPm95kf
jjSEswJ5xp+5HTVnA2zRIxYNCm3XDpGp3quGIhJt9+swZGzuMnAz7nwxI9k/zrJEqsIsmfDPrXly
Rq9HVbgnJPVlZ0N9C5m9bccwn0+6rfZVMuRnMfbvGB3djZJvbTvMm44Q/7CUr7Lrn+0EHm3VHsPU
Pob5mJ/CwUwfqsFIHxKOhWdtguwkhnxxFbpcZA+UCrAeWLZxz+zLrm45brPr0LHJmk58osAXlUxy
lcaPUHwQVNxUgsU7bd2HKa8fOGrXRNetk2uE4s6AIAPTkr0qj99SbclrjmrS6MB84B3mAFyzb7HR
bFtVcbrA5GPZ03qhn2lcaTqW87zfjSZaua7u3GIkpcutm411rqaTndWPsJ45F6r6o/8R5+ZwpE3r
u/Z0TKVTPm/NHqSP1HxuMVB37um+MRA77JEh3RKJQoBpnRY/HfEKwKvl9rNAsMkTvEN6lo+NiPdJ
EYc7zEFMKXJSJgZfT3u0A+8lVVNPWxqVLE1v7scgQHfIqrObGsLvLfaExIuAQzP2T2qgFoxH6ki9
hsT12NRYM1Lrkjgcvcz5iiMH3mBC0QwnuR1DSDo/BEtdpNdLh5c2t3mfs6w/dt26toMXP5hTfVs8
8qtilqxOTAEYH3CG58GMuq+kEmLnRMUe9ik8FMEKXYp2vINxPFSwUZNlfrFLHpTQGqkW4lKpUvkr
mznGpgvjyciw33Tyu0+sX+PSXCvHVv6UxZXvhmC8swpRz40Bwi/JBD1KOI9O6NDBh4ljQaGFxYu+
RlzJ6t6cSgznSev7mFsps5bcuoda5UPP/Jk6sqMOThuneo0iT2P6CW2y9GsNkYF1tB2pjlzcpylo
CO+GprxW7nSS9qi4GQ9on035YyGDvLWWlBJPx125lbT8jBbfBsfd1jMjP+6nz4FeIjFUdGk4n5MD
xKzNPj1BWYlbe1RQLTmcGHPaDb1VUzBCgYbTC4syiFjvSiO5G3JcZUTcmTbcuyaUHK7XdhA86EjW
B/K4x6Gn0mZcOkD+1A7x/Ka7bO4ejHCdXGl35lBdbXsvpfKooVdyse7muaRfye1/Gel7DYK0cFwq
dWzrbkmn2O+Xcofng5mL9Yj2+yFqaCcOl0vaxN0pNkju2/y/6gdqtKOPaWlogh2qHqhDw6CaWz1h
KDAjuZ72XVzdkdf/aZQUXZjz+JNfiHpMqzcOUfNUmsWT97gs4fjKwGuvbbe62Z2+04wQiQsMkEq4
0BLAekpzx0XsLAlnL3oTJTWiT1ofeHxudt3cM62td0EXPYk4vBE7h8NsTRWkSgcnPE4Y6uB8SS7i
1Mfte+C6PnOO8RBTQucvnEmYtHqHbkDAjgrm8xHp0jJY63kchIxsha/DWJ/Hyd4k1PEFZdb69L27
PhrQJnFsF3WsGY8GqE6K0ut7aJ8fjPxsP46/l+Besdk491mgH2shr4ZpPfV1yiFTZTcdYmMQEi2I
2NeLN/3Ic3j0UJrxZRAfERk3QNuktdTy7GJXCd63gu3ImLd9Z1UfhF/1ZfU2cXbNOBa14+CXAzxg
Y272PU/EoTFploOOXO0iZySB4GbcayJwihASBrzxNjyjodwjmoB3sAn8B9H80brdrSzG7EKm8DyF
sDqyDshrLI6J4NqlpgkLSlZeSJO1+z6mkUQIddfnHnMD5k/AlbxyGxXt9z7i8hTB7m0yhiuBTW8G
vqR0Zmdxe3ZNehTMqvhc/9t4nG6qce5rw7tw8aKBkXSyeEv4yW3o6JWNIjHae6Uw50Tj49S1b4RA
/SUyXspuGK9ZJV9MauZydnIqji1GFW3qFac+abdE5J+8OJ9ewHX7IoK/jvkp2dd1tAfsBWs4pJCa
OAX6wACtx+gERdMJP6AzV7elZxCwHoElbULM8uIdV/P5frAjhmIhQG76RqwZcpNNp2tPS1c3wYQS
HJIo4TR9Za5Fr6adHbJWN1uRJp5fKSxNMLDhdtOxztdmwt5dGXiIKssDzK6bMyKKBjFwYSmfNbYP
/Khsa2VQ3IKojZgXSXGKOXbl9N2QQIWUjUFqTMt700mB4HK9p0piucpguqR8J1vtjns3RMG2ivFz
nBk7a4UY07p00Q9ueUL7pszJ9S3Lo8LFqEkTYIht4RXskJUMN3V2McWXfvgtSKf3PshS30qUwZmI
1LvdnDPqD9nlLmHh3qLZm7hdRcFhfWvp/lkzH3RY+klCaXGhP014bELHxmZZLw1zjZjd6H05QNub
zcE+NX6aNv2dLa5RY+YnQBefk0gJXQRABFJFUlKa4T1xcrgCQfZLzUuyV+b0M6p4r7mqWckAvCDk
jmxVQ/9oG8cKkxQoijnwE5EdE4YwA5i/LdHHbexkwTY16LZybBPX0bxlMuk8mUofYk5cu6iHljmU
FJKaroi3i+7uMTPGJxnEHL5dorDNfWGhi/HmP0trlW6i4mh13aW33EMLVcgfpoj3RFZqVxZZ4icl
P5kjjRQXz/KcBG19sOvXfinmHUD9DTtvgtDb3igIeQXM9ZpI5MI56Q4YCmD1IxqBBKc8wvn0Shkd
h69utj9mpg+bWGHfGWPxlOWJ7esZXQSU/FfkZmIXx3Xp92X9GzPRZKzD24K2kExzZK+5jThl/kor
3JQlN2JBtSuY1YWteey95ZTFtl+sNe2bqlj0Z5pMs0+arjwnTLx8kEkUVofFLS8irpe8TyQ/i480
rbZVkfwssEg3Y+hcLGB5hcchcGK7atFBfe7Ep5Lj4ttc39pmHr4D1BlxOpnYLE+cxaCYpQMlZbq8
1WZ6VWjyKMzPhQeVv5ftVZJCCBp+ARWWKTAYi8unN62Uecc9lgAi4WeCN7LmqvwEclpvSspQNKvX
yYi9Q0//tZuoi/mj4H66M3tDwwDHuGnnMtrGWBBYBPBypSviiozQNYLetAjxO56geTP4fBFmgHxg
Ox+96unItMWDMHrxgDpHy1OIMGwxFma0t2wDRnIH9PWGClY4itOgP8x4ADK+MQF6g5qH86pG/S0H
7HWfyUcw4XFXyHf2CX7vxJ7orwAzoZceTcWVoOlwU6VxOfqKQCc9DIcUwAZtoGixou25LXksZPjO
KB9NrLdu+B4wMrwsZpMdQB898hTllDHEIByDa2Y0HE7XcumOQVNbPcTDYvtkhqnh4X63SZv4HZak
MLr8tYE426ET01gY7Au2GT9inEflW+fHc3LjK6ifcUY9zIAeth6se0qcnmbbvQ118a1z3IyoPPEs
DSexS6cC1hFHYmkzjppxxHYVUInWgkZfYbjKAyfdOQ2Qhozp9AxGyzxrMhIsDBFK6mI8DlPKEbLy
GHbD55pKa687mEKKst0tmB6eV9VmhyL1OGDlk98GtcOeSvU2Ux6OQtAySEsvOXZNUwHJ7OiM8A2T
dW/Wx9nJl1MeBRxWpUZc7llTBwyH284pvwY2/PPiuhj2qXogTj1z9SneIWelaNvBPW4UGHRmNB9R
DVowuSAviqONrZJ6ZPQM2yPUVyQnUeJ98bp7QJ7Bzlpgz8+1ZrRGow3Oq688GupDKmkta/KBdZmP
22qQmyQXdYpF6R6qIhp1nChx7jwOUO4CGTjFT7Wb3QqBJeIVnD11g6JzgiZC59ZA/0+sjVtb57+C
JBn23KQn81sTLUznwOU3zZOGMnlpnKY7GZmgIJeCXZ1TLcba5sdWRtjIc9UxwxgzI+AmQ7krCftB
lKIox070XQTEC79nsLClcoErsOXx2G2yiccy7zKfERC3sY6Ty8LcbJ6Sp6pYm77a4FW2n4IYwl9+
4CyD2QYFwNm1gNN2keKwMlc62NBQgXdi9fzRonKKVdb7ZiJ+LTNdOaG1WpXXPOCMTlXP9ngywM3R
SxHd4W+z9xi4k2zTmM1L5slsT8JCbsHlxfzBQG3AQBhOQXo262mXDgE1YDhX9lkGtFev1E4FQgBn
FCigGnFuit5U/OzAb2MiHzxZBFv3fyyeRQ32OWjlUbtTzfWQSOIfsyU7wb1asJB5LrVXlqR50IMF
wRtGASUDR7erXv5gHYa5E8doBXWhXTq2aA9BgAC+aVcyS6NnZPQgPP35cQLbQZPk39K0+jw2Jp6w
OVQ7KA3d5i/397La1+Ohe0LsrvfGn3i0bCr6JgJzNwzLSNIRTQ8zwkJZoKF7Kt0rOgc4BMwJzo7a
Bfrira9mzrdqzxE0XeEhiXsY0ELSo3vXqO8VhoA91OQflVsex5GXwzY0TOYo7tb2otr3vJ9DO9T7
ecAyLuzjmMQIk/SjLikPYpvnTz37MInN1VRaMmo8G07xWZq59AM4+5AflLdb3CHxw2D+tjoxGNM4
L4vZu7gOcXNuRROqg6PLYx/ltEsvlKKjQDBeKcjcBVT6AVb1eW1v+NATxqLyO8lI88y8iD/qsTzF
NQPiCI6zCjnDeJIarUBRsVxqiJjyKTUr109Uw0gs466+/lGn0ZkXbjosbkbpYxp/AFh9joV5Z3d0
CM/o2j0MnySG56cLZnV4TkL+Ix/D433jRq+L8wl2bcDVgWU489TB0gksH6UpHpK/Q2Pw2GbhvkL8
EFuVUfWJZxkwbFUrv8bixDGTCoQ5SDsf+yDFfBrbdifGN0sKi3IRb+s5AzVp6O7nIA3cMyGOnSyI
nEJSEVs0qdVLG832VyblamEsaNYBsMP2b9Ox1FWfXHHf3UkA4cghgwlBMNjs53OZMeV3y0Tt665+
wjpNAW7uAJ7GSM+NJB+7Qx66AcXvqJozMB+U5xq7E28fnUfimWD32wKrczuWxofdTvC84gC/cfb5
xzkMvhmb8+ohhpYN4CjxHrk4cHiaP3W6hgO6Bfiy6u8Nz6NpzdwXfXiHW7vAlNnVtJCX92FIWx2A
YPrh1l6HtRDP4yvDdro3NW9CzxbNeEvsDA8psyKwu2+s7PnPWyUC1JBRRq1fmdHFUMGDtfJC/jyW
f1zPf/5YqE61s+AeNBfXX+PRqcmZoIjT4lfV+V6681smqHTk0PE+OqSa2HrAhegoOBuATkTQmwcY
rOLcB/juZvPKso0xef1pmxL3Sr0+KWZgJhc1h9HOTNDGJ5t8LrjSb5Gw2rNRh/xPaCIvFWmCjbNu
MWNQ3+uF60pdBh+FZdwCO4mPFmuSPeRPGfmEPfUxoGayyOD3G8JfHiRYH4YoZwwMzrhGQXPZiGqJ
NI5dvT7diTr/QbXAUyOsSjXFUc5c9m2GP2BBEMwo9K4XhfPSyk9AzHYIc5BOg37ZeAEM4L9QME0/
/UQgZ99fiYY2G/qfFzC0WBIMOTLJNBCr47X4YlgXOZk+A2/yqebK2vSuF7rfQkPDGBaHT0PKQNUb
MnBsFBRh9tl4VcvrpqhH2jkpd9S/xaH+d97o7/kiAazon1oLLA0PVViocoLcy5o++vH5FBdh+5//
Lv5X6I09F/OpwaGe/Fq0CuhVBZBQ2AyT5kgryJ88vxKkEHXDFaxQh6nZbH96yHh/NWT8Q0HG338W
/tK//DDKEq6WynK4iki9/rB/+2GyiFYgbbbl0TSxTztaNftszrEcpeZNVvUzNxIqKpsFCl5dIQVF
DQMPakRa4S74lsvwrSyfU16tK6jl4ro6oZGan6ooTe9slDKy+7uEanrUpymgOt0tdo6MjHvFcTJx
UmRxAMvnLqOQgWBBew2Ug4myY9IpYor3OjeZz27BwWlMc2DzKn3qOqkwxt1VQRD/ZnL/ZQ6mexSy
ivDlYjViywHTVTCPNXOA1Z3Rq9dZ74kEQKxNY/PRqGJW93GgjjZlakBxCs4SzfknJIH6EqrGpdwV
0KzKjG+UY2mrPpWrijLWxp2cGBbm0RRjfjLj9wXi5s7OCh/rCAmVKDwltjucetWdArOy71Vcfchm
zK8hVMBLbHGxmYPiicI794wMQaygGcRd4fKcVw1ge6mn1h+sdcdcXOveXOeLxRRcvcQI3xBRspCZ
Obdua+/qlaTroMK0TCWw3FqHLAswtJWJezI1BQw8k95BspT6CD/dAfOD2JeG+ZHpJX8ytPuk6my5
lYjRu65S0q+pbHpgXWoP2LNWLbr5SoMivEy4fclIFBCeZWZcUQ5/slWIczrzY6YJIuIocveiAusQ
O+N0dQoWwXLuphtOQWObK31vjnX5NUUpXOtHdoniE6NBDEc3OjK11J8epsedK6u3OJjSq8GUEleb
4rkP0mukFjZ6pMUyl/JF0uDH0TH5Ruzk6FQZ9DVFqcIE3/8996gNBQHy26qkPJg5DxN5lBn/dNq8
eU73XWRixSIghY1zZt6U3eQnFeQPAOLMW2IPI2LH+i8LHqibJbts71YgGgK3zmqeF2dBEWTab049
gbzQkdPuz9/883eAPqEYzUX01z8IHJ7+qWGejwExYGiZTXpWXcURnyzbZmnkihGGCRRioztF2pue
KDoEriuwuU0tko/7phL8AwWD6Mh1ACyFzoJnNnsuIdHdSo8KATNNTN5KtFS4uiRx6G3c8E4WzxRQ
4h3KH8x8raCzLfiWLtx4b/QA3WIeizr7ZIu62Uuj+VUbVCp5TssOUKJikPai5Kds1BPnTVzVYPXq
lT/TB/h+I6n2YRkQh+KDve/GFSE5pu7NhBvESZxyZrDUyxP+czp3XS85Bapl4B2Q2hsKuRVVUt2n
+ncdDuOri5NGiy702xSVDmemvsSJuc+o1LxLXcC8dobD17ETtMDZ+XKptjzSsaSuICqfWyOsbtNg
M8cU0z6urHHfVQ2xxX5ByisbcKoOC1mgFka5CDkGngqiRIsfTBQKZuArosK6S2xzPFsl5M207C8Q
5P9oTB13RGqvwzJS224ax4tDfn3HcLrZYxiND469fCHxNjCvkuxgzuXRhba40yGyzP+wUdDX808b
haNtpUC4aAigDiS6f1ib00bIwG7N8oijYMvRt9mCHUnOpsyTqx7hFYdJ+qvhOSYxk2EZcOMS//uU
UlVuxlc5GPei5qJUFIRImLX8Rk38H35EuSZh/7GBhx/RsxUpXuVa8p/3MrexEfnwQB0nkVh+GzaC
8nYGeHi95MXMgL/0eZ78CljKKX+pt10mOZ0CN3kYknEnzMesQHqPkA+3oHC7w9BMzs3GrBbTDUjP
nSUQuplXoRnSq86BHqmzlP/DLij+idG3AgJNeiQ821WmB+oaUODfN8HKwEpvzlOJbayobyrUDwTw
NjaXD9Lvuri1+bkCYByyBqJh1YeY6jsmmhjyWH1G/O3Vq2rieOdNn4yTcM2VtYFfNycT9n9/JBTR
6H/6vF1sHqbrSQG78F8+b2KIRlAGDU74BCi0pORrtzYuHKU70tEO8Hloxx9T2DzWndt8dPYPyEHd
1bHb5tDRPey6QX6xQYjspmAwDmXuvRe1cwFSM11dTNx+k7LV66b2OGBLuZmCnAtLUenzoMiQaQag
mypfCzjHRu5gox8kd4r3wKYZebk3Znd6rKoQD3SmjmHs2aRlsfqbdMFGqYMxAmU/Rk2CE8sk789H
8//Lvrq4m6H4/vrPf//8uVYexW3XxD+6f0Ri2kL87Un6V5Jm2XTRv20/mzKLi3+I5kvrz1/9P9F8
DoE2S42tHYL065vw39F8BReTE6tp4hJWrvp7NN/+D4gRwgIUYVp/5e//7b9pmtZ/8I8KnldeK1N4
2vp/ieZbQv7L4VkoyfCAVYclx7Sc9QX523mV83id082VHGNzNfRRWM9gMjiYyeAXFb6DxHKixzBh
64RQezC7UOysilFZ0eOLSPOlP2tKJdnl7CdQmZ6/tLLYx7Ccr+NMEcK4KP0wBBsXJ8EDl6Z9CLrz
uTQ4E2Yx5zhsx9W71dw8gfs3NrEE9bxM1FbWdxJnwSUFwMiyjAevixkn1x5GElqW8meHxFgasmPN
IrCeXCy1+04KedFlzKBq6BBkYYOiJUDbrSbqxMu5nX50nsHiSBdlilZ6Uczsjgvv5GEQ8/hhNs0u
aOPpW+xWG6PutF811LaC9irfmR8y0Y4c3LjZCgEJ+9cJshEDcUZRfYdRh4bJHhNXp3eVW+E7NUX0
SqBvR5IHo+eSX7hX383L4xxEitFO/ek5XkHBLIzveqK2JdbuNbGX6ND0BjUAOP87cces+d2rookZ
SLTDXTxcvfw6uOl8aQOiQXxYbywGDN4J3iTe8kJu2/INDdfdttUvhofrPVqdMJHh411qiN/ZNG5q
ekIiagEwMCPtDJ7vyOfRkVvud/m+MEW7N1SLB6u8Jm3vvZmX5NEEdf8Q9nAQxnzc5xP8yDlPRgzV
fXmkdYdq0H070hXnMZ6apkE8qGl4Ytov7vIeM4CdZ9HB41eAiGC4pB6qtPY7pOAtTOX8OGMPxhMR
e5teNckbJZ072IjFg+E2gIHJjwNq+8l7VLNO5+pIO7B5T78a+nNpvbSo643vkPUmtXzvylxSoR5U
J68a8BtrOR0qLkB7zZez77zooMx57fI1m1M21QZ5DQieRc4Mx0jq/tildEIalY4uYjR+l635VRnm
fJzD2no0obANgUWbSOFdde9Vp4n/URRF6OQdub+zJXtKeuOaeZBFwQnGcubXtltsmXxhf6wKd+Nx
GgKGln1vcKhcq/UPZ+kuVH3Hx6joq4uZUu5K0BAvtnWmaqXE8vm0ZI68uUAGbhQLMh/MVEp7Z/Kc
xtU+5sk6uwABduN6uVNB8hBbxpZBuP04WYRqRQRBnHsNYiqeFKTTIvsvxs5jOW4k2rZfhAjYRGJa
KF8kiyx6ThCSKMF7JNzX35XsiHcnd/AGzWh1UxJZRGUes/fawDJSuNZtj1qXdJ3HLMbxWBo+0Tqj
yY+/ZDpXpz5Rr8TGDPXyhsDY2I685KGfru0hQ6IrygnMeQRn0y4xODiLGPe+anbUpWrzMs2Vusxd
8ht8R3Hq2hWeu8AhLtka0CFKTaE/kEHVHZf1Ro7NpUX8/+jTY6Jj1d/+QgB95VCmzgZat8GlmiHJ
hi1txH6krlDo9FZDCjsSnEs65e9m4naPbN6eRZyf08hx7m3K/oT7/aLNFuQN5xtK3PqjrC3cw30V
VpzA97x33hE2pZxchEBYxfq0zvaCxYqkii6FHx41yd4xnGSXVDW2ORWJgyLHCgcIW3SF0gv9RCG3
rBh4o7kcE13dYOHFqPHgpCm4ABxLUAy+XBcAfs1gjiE2sv1XIyh2g5uq+5oR82bpECQGKmPP4Qzn
RKaIHwLy52ZMxj7DON8i7L2f5vFsrsGHDAbEdJVfbjKv/LQg4dbCjSBYGPVnmrHzNP29ap3mPiZO
AW/wPN+a1CrDwm+SO39ZxQbYxRC6EoUZc1HCko1SXQe/s5/c3Lza7VBdJU74dc2NsKt1gBLch4cW
unEpW/83DlDEn94pbrK3eCI8QpZMYKstCtfsRFqup4GN6WlE17ftS3jpBeXcIU3oq1LbyI5ZY/z2
snpiy2pf68LbuwnmT2EKnQ/Z1UgAm/pOdESULOodPbH/ZP1lc21fG57+XWISGNkHgB0qjeiLZ8Af
cbASO6867vvRjc7E9oRu6/8i1CB4c6IlenA769zlYIJnLMFHsuuxbGXljC7ZQH8DmpJQgAw1lTk/
romsvzJvcq++Y7wupnMpO6Feax9lZ+QCOvDl1sY8ujcH9Q+IitobJo75vK+TO48VAxiUNT2Wubtc
Wpl/FCnEJ8AnFxklW5xt+Uu3/GnG6KoSW75mhvFR+urSNH6Go1Qk59yeEHwlCm+px0tblj437dp2
D3ZS4gIlkWmdlq/VrL5YoyAfLctkrygx8dJUrPzihRzFdEiPAU/8doiC7ikwTo7rfNODBW9t3HrH
1YwfU1mgPoI09ZwtuU0Pn95mE+1O1fFPlRn3JaOqElvI1mqC8eKSqXxM2+ojwhwWMj2CAJ3jAhyR
xh3m1cgO6FjVXnQkpIjExkno1S+qUE5Y9eV8EFYdXKUzHk3L9/d+R+qMN3om+eyYTVCbyoNcBbt+
tl2nuDKnLTAW6Dr4ph+I7XTv81p82ZaJXgtWz2TVM5EX1uOalnFIx+bdCHVwMSnuBYld5yGyIuzj
eCG4qYlUYhu4JVDon70sv0qVw4WxLuZYAYkpphuF0a+1SqqQmOdgh17xNR6DpNkMpurvVhqPJpe/
EpfpQW1MHw2NPcicLQtSZMh4Ku9Z3lz+u0j8JTslEhky2xnImy2E6a7nTlSKtB4mctY279irJiix
HoMCg8Bq/4JM4z3lk2mdCrN17uzcQVrYclMnLtFzbl/JYzcoc9NZSf3CNAlypeRax1REZkBNgFBB
4M6lIzD0RHIDYpx8OZtRIY+83TdVNP0RxQ0wZ3Rp5yhDPSgJeG9z65Yzn/WHMbg4LVjrqQvOvQc5
xidbXbkmQ8GHuW/ii2ul526BcdDkA3lstXEZZ2K6rUT0G2Sm/VMfRJeAA+iOfA0VJoQ/HPquF3fQ
wM+iNYcwo7/Z+EXxt0WA/EjmHZkk01Nb8mSjOJxvsUnORG94L501aD2TGVakX+zlEB8Mvx4wJn4V
jlmd5LB8dwzidhVza8QNVkg8UXY/r+TqkaHT8PXkMRQ2s1abUUIs4OcM8yguvwCfyb1trmGD7D8U
uW0+pAXPPuCo6pgss7nnJ42CLv78zxLZIlHYkVgXn6Y1s8JVBlschAppkaJ4zKY7duhky0wETPSd
5+IeaWHxjHZyJ7z6r+rwBNQEmokEgVbvutWpn2T36BjG+1Qnmib+PPhG/QyDXJcRuYl4e7VuWVlZ
e7Nt8+2Uq+pjbHeEI8WzsZI1lv/BIOycXLsnkaTx0fg75JbHTXdIsH5t/OCz8m5G4uICjdxfnpuo
Q7keTdkS+WFl/ZNlCyzgg3+RuBFJKLHuTJb6mrqEYuUftLHkbmACt6nilUvBTx3SKNH6siPOLwMO
ORZAy66ymoRqLRseSR6cYf/EO6zOj9Ss5V3JqxgKf0by4cbFMYGKHppGwmbeia194Yu30u7Jh81X
81jW3gqYM/egaZjDJfeKcHRqgh6LOiarfXl1e5UeHDt68Y0uZc1hpgcvm64Jtdum6tZT1agoXAfe
8wNfkbCNF1aSNirwD5/kJcqgZszaa+NWOyeengKSCE95c7ZUxlA+ZzuAxBPBgn2udYXdZmzeKWQw
3HSY7xkvzrfSbd4SN9jkymtOktVMkzbrLbdQSqbJcl+n3WaO5/mxjsmvdVLr1M+YmY052DERIUCW
kG/g8DWT5z6HD1NU3xXy401kOOldXi2ghlG+bJLBdx8GCZFAzGI90HVhADAclkuJ4e97udYI5LhR
+nx8L7vMPf0UQ3y9TKJnib2neQYU0eguwL6uMVzdaQ3u/BzhrsJwfOjs5lmzWcLUShHVJcVTXrrZ
Pf//XAhpbYX2BQKfLMPUWzuEbqODWxZ5yE9RNunRc5ZAp4iEzZBiyIKLOZVfWc1gtjOq4q5VWXsa
K5MFhKETiaA9VPREuwB1HjxBJBsBqLijmjOt38t3WUsGYjoX3nPnSKKAamJcTG5L9FDRjmlmPd2c
YLEeOvgIP/8zHWXCl4XYoGTrXUXo8AKvvMWBwXuX45jcV433QdPIQFttWortvULuQInRFlSVwclw
KHxVSk1tdA7K5JK5WslT2Rr4zxLHPvqDxG9BsDV/MiFU5riTi2SbqL5GmwrLow/YsM5htzz/Q4or
t73mGRRD/oehEm9IdGwbnwkNJu7ECCttPY57Z90ijk4PQUASFNc9WGsDDnIwnux4IfmpH+yHurEy
xKzIAxjZE1HIjYkYPM4+spxoyahHkPNzDPCj2/XFWyba9dqvKNaHVXYnTN/hmoBdGOppOorOctEj
xg/BVFUvVlN9BIzH03oMoIRggLdnzvpomZMLCtHn0hTjoR5MeSgigBIu5cow07CYReODXEtfQOcw
Lsy7eu/5ot2oAN29/4xtD29qA3y4yRX5zJ3oqKahY/iGMR6KbHkPstZ6iAbCAQsyGOEW81h2LL6t
yRnPRJndN0vznhKaxeOHoEZWTnppquWzL9GS/YzDCDISe9nP6MPWiB8oMcUKTctmDNBw5sic96MU
9wRxV2dvqnmjRMD9C5HFZ3fOL5XttvjOvG9LduNujthVwX6Cp5GSgzrHESkcbY9hGWs8P6TtT8Od
yiWHR10+L0vOKz5a/2rql92YJdkuicc/i9fw4y6Cjde6EpBKVoaYv/nmylYelUhBoEy81XAYoJpd
jBifnG9uG+CGsJEwFLDydPaLjTop6eSx75tK7ySSbQpA7UgWLoWdJUiaTet7wwXa6VOtuCmZixaq
DQzS3p+UPOPIRCJoTzGJiAx+j+IQWD1BrjnX/cC5zVy+/SW85U8PLIy+87j2c3DfjPB66qoK7tvI
ODVzjrlnxlqtfGe+WfYs+Bku02XRu1lmHYjUWDxX9hrdM8r8onPlE4oxQk01vBMLLE6N7Q2PXf1Y
pdOBW3y4RtxHB5dRzrZteF0YWqHdQy1VBHfrNPrhQOIktFH2PmaXW1uTZTzDuPWvzFZri1kqoxSn
CcsWeVfYhvUiYuHcpXIt2Hs1LT44HGAI52+sS0+s8IYrYQOA5IY4OQik9IEs+xOUgLm23Tt78uG5
VWg2Q78ygCgDutj0y4ognKkviGbAuWUEhtBwi5lKvZxQ7VXWgzk0eyOYtwOKsjf87wdlNvk+zgLk
3w7VDhkcBDmud2vAtjRv8gc6guGgAlLhmyI2dzJdiYlbJNw1xzZDmDo4rTrbvIuC7FV0w3zXWNxz
S35cl47k6GG5lMWEPyLqXwROpd4ZQpTY3j19xyEjL/FxmM1bUxh6nvOWY8nbmEKKk4oh/0k8h7sg
QSkXZHn7XiO5sqIx5LpcD23kqV3d47VKO5tQPdpMdJ+orFb5ZJW99VjLLxReNKxT/dhYKA166B31
Wnpbg+vgZGGl7ZR7cdfKOC7VMmF0F/M+bxhS+a4R8DZOT4t1jwIJN16OJ2ww+jd4/QwMqt+DgcPe
LdKPCNvRJY6Sr58bKyvKTdSj7bGsFs/JaryODGJWS4BPyjlfnM65R8ZpbhI1jAcOOfvEsULJ/uSg
bn9LHKwrZPFNTsD3hnm9IcT+UKajfZ1MF0FvHwFG4yEf9mj62rPAwCYDy3pZyY+kETGPgcFDzV39
YOvvltBik67ZTU9BhgrGSfwWBuDBR969w2gI4i4iAZVobQyamc2syYr/iVUDZApxxBDa32ZKQHu5
lZ5qPjPsYHLImB05aEfkXDCbcpnpV9k/pEjmPaLZnVcmsE4Z8Z5Q6OPPnPGhDPCHHgQbbiVP7Yx4
S2TYONoDQZOEEKZrfklnvOcEeA37eG79+6qujWMr1XMdTHz9HQSfseyOeCqrA4wm5A55Vm/RBKT3
xeTZh0ZTfuNlXsJgdt3faow3rXtqvKn/sHrwihZTzQ0n+dUt5+RYZBElPmo+WRvBvVl/y3k4zHO7
hF0/wDcwg8/E4NWSzGdCij0SRbndHhHH3Mw1R8qt6GaobKbH9gtbCHxKp2u3HTR7wmPruxKn8y1J
km3Wm+/JODhfsfERRYZie+/BXhPRSaDgx0pbnPlmpiv8QuBgtlYWSfNYpJzz3OLG1jAMhjElcoPM
I7An9UcSe8ZTVkxMcx2ZP1eqZa3FUqb3mnk3RjyztR7WOlN/A6PHMFOCw86qBKkZ0u2wdlFU+Wb1
Bp9vFsvKKEX8sZ1kOo/o266uCyNFTS8pFuGrO51iZuh3AfeybU3RkfgLvGlsUim+SbVehUHQdDkT
dc9KiHmj0jEWPn9JVmDViEgTiKec/Pk4No6pQW1dETu9hw8ow2acUI5i4Np7zWhtfiYWI4GJQDL9
8mCkQL7YIA67MTbKfdt1+b5J64C9OAK9mlm5XyaPRF/eahhJIcmrD4qF+htU8PXE/fwwufLPSLjG
c55ZwXPjMiGYmU2AoZgEfhXLMgI9cs4Q+omTQY5faMiofU48AmMo7u6nOH/vC9pejksAcMwZnpiP
hPVc57tpnVGRUusx1tdW4cU5VjgTDBYE58Va4o3hYDdOW4xHk/1pMzUnMUTsVDGk78InJRUlQev9
0VJHPeGQ29E0/4k8yBhZMv7AVPZdJXNw8kXeauXWg8Cwd2B0Vzxlc/0sMLAeqL7mU7G4D5Q68Sk2
8+QYJMQLY59B/VIYxFTUqJqj1hYngl0Ddu/W2WP9zSy406mqGT6KEaySX1EfcVdkNruIHurkCCMR
Tx7xkyNEyrkETSlhVEpYlQnOskOKUowbZ6Ec5kj+iRjBX7kcWbSH4AmKk0AL28aAMLPYfwDZ1J9h
QJC47mwAfQ18zs1YdTI0ME1LfzC/55TRoIZt/sQVDPA3cSqq/RBFX4ZGc7owOjMFTpXinszxjomr
wScZWo4nYXsupTTDTuM+e7ifVCBY3rRq0++BgkoFHrTXoFBPkWYLU5ShOQYZ8tJs7Uqk8ocwqmKq
6jmRey8LFsZG6Q5C1nQGvzadZyyAkpeN2S3QUr9LHmkrtp3GmTql+0CcuwcTQDz0CuTpBOvZjWwa
3gL7pqHBqD9fZ65hqZAS6LGRPYSmw+sf1K++qu8zF0bp3IptMQJdpaTmcK1hp1upV29j00nCPwOH
9lloZmum6a0AO07A6frzz4eYcj3XrFfU2hSRU97vSlzfDXkNBGS+I2T4BqiUchbFd6XGHVdazeqA
k/XBoO7AGkOj1qzZXFNnE/gNm3zBSjC3f2AOcIsajKryuwxg7Rp9JFrObK8+4joXV6rWiSJT6Ynz
RlgZJ1AkfrIlTE3DZQSmtq6mn/58YOSL+Jb9CxLHZTy7Xp0fIuC6iKBh+8/wdutk+j0kASBmtHY+
dVBIuYeFAkyvNcHrdQH3sj/H1452nDoAqu8E3rfSnF+RVh7ibDbuSpyZDtb7kef9jKD+jo2yQ1Re
6MyINqpll9NkbSB/ohHVbGHSRX+TH/5du6BTGzS8QIgjiDimRm6TJAs1cDkKnpXTYoCGs5w42RNk
+xZpHrDtorpcxuXL08RjGGNUgcWhB4Xcayby0kybVdpoW5PSOC/IfvBFQr1ADD6c2+rV1HRlZZoY
73USj5wfeXK5Amvv/id2R7hZuXf76FJPmDitrFkPP5Q1ztS30R3t13pF5sJeHIRWnkBx8NUeTgmA
hga/ToF74WdHsvZ1d3Eq/Xc93FnpYj4YUuWfBDpvM4Pqw/N7+IeW95IYM3pUHKhEnCxvNi7DnQnH
bTOjLmGNEcMsAW3tqdj9WARwIss8xxpK62gQNhMr4EQN6xN6GUh2Lm4CHgL0sZbGaKPzQxvOnF7T
wif9Yembbk+refvvuUQIzQkKmttwxasLq7tb/Jcy+PaGty5NbsaSACSB7O1rxHenYd8V1G+p8d+r
yv/N2GXcQLOFDINTODAFQBWAB/rr7/tBm0cQfw41lO1GY8YNfnOiweN44HGqVoOvL+PQSWuKoh9l
Pv7OaC8UffsfypQAnnnQAzZPDfduKtwbE8f/4oAMN/iF9OwLGw1v3uoCbRTt0fPcP65w012NsDF8
UOqMGz7ALb33f2TyUFrg1o3ozuxRuo5KN9X2a2f2z6DSzwYKqmgZb41UW4gA24QrAcEwxj7I7gAb
uk1bBq85WQiRIV+JNxzPfgJc1cnyo6eV8DPZOMdpRTo3P8Rt65zYbigY7TYvsaigCAKXs6DmhOXK
hAwGfVIx0WbJHAosnBtougPtYGvh7fKW+klqCavNJqncenYJDldLXMt8n6xxzOwO8StC2RsgDaYR
laXCEoWsC/V85Qpf0ueY8RPlC1LagGsHoyy8ci2zrbXYnZGGefbR4IIYRyiPKjfTIY3VsUmGrezQ
krAy5bvX+kYt6O1Q9iZQgg4xDRG2z+nooP5VWgZsaUFwoWMbTTTCSouFPS0bBpoDY77YCyJWj+PE
vd20cLJ51r5JxYSQ+6NALrUY2Wf0xXwgNLRMeQ2C+xRPFQVxjNqlvUotaVY/6uYZnXPcIXhOtfS5
QAPNZoIWQ8uiPS2QtrRUmh0K8jQtnx61kDrQkuoVbfWIxnrWYmtby65jpz6vWogNzi/ez1qcLVBp
l1qu7cjlrdG/LdJSbqlF3b3xRIWATw61t8n583Pd/Xxo9NnuanE4cuBHAPCXWcvGbS0g77RfpNea
ci0ujyMtM9eC8xHlOWddS69i0xciSkfDh3XJPbdarp5o4bpTgX/gq8AHRdEHC//BNPkjELs3qN4b
LX8XWgifo4iXYErilD2alsr/d0vrr/zn36bi16iF9b6W2M9o7Vlg4ueoyrf5CUAnaUvEKmlp/kLh
21DOMJ5Ftm9X/aFoodu54yZD1899hQoTpX+gJf80pSvkBmwApjYErDgDAm0RGPEK2H75S8WYB1Jt
IzC0oaDU1gIsI78DXZ14BDBzPDs/JgTcCIa2JeQ/BgVtVdDGLFebFxQuBk/bGTjO6w3eFObx2uzQ
adtD2WCAwGqWhZ42RRTaHpFro0SiLRMF3onW9U6uNlPMiGx/7m0GWOpk9L8c03ghg/Wa6CdFakdG
LI6t5d56dDgHv/ejsBnylWkZWwR/XK6qhyQWZfvZFCwnG3FwnfZtGTOM+Fn3kA/zxWEidHHxky8O
IkwHGA0bCTJaSzHjuS0HhADTCwLKK5XtE92a3Eqv63ZlIMBQptU/z+KAoFfeEkvrhf5avEveSRi3
F0rH5X5ym+PwnpvKPq394ofV5PCTi0cUzObffgJrPdeYLjjpIpicDPPgQTx3tICbXPbdlYloR4QN
Z7I8RjZyuKBo5vOkZsTHBCf7ejDn+HW8z1/aDC12lSRPnBMRY0XGGB6bbclku7E4Ga24P6luihCA
onjH0rdheFs+1qVJ3LgwDp3TRgcv74tjbKV+yMTODW3DwNTgmSeAcXvk9IwLSvmZFjI/mRZFjI+f
GtfEpUsl0wQUNwob5BAjAqAwKTr1K8oqcFBshYVcltCzFA6djv3zNLZflbC/DAwxzuBdzAargJn9
riwkLGiZUQtIYzrNHhpbGvYeChEBNFWRhMZ4q0mIpeOBllFDhjXHPcxhCKBsa7ZBTn5EtBAGS+X8
FkzucrTUt2kZxx5t58lp0MK0RVgFlveYZbx4g593B6v0s03cZi8+C1tMhOqIhcw6T95ftH8Gmza4
TvSSYSfwgAb1v66Oio+gYrzSlye7T/Kv4NAicyUYqCuwVVTufnW8v9gaxC7re6zBcCgijbZNsnQj
1lmGY9qcnN6qd3wD8d4UDMgwAIFwruwtC9A8HAj/3bgzVLTIFW88BLC8GAglfWPTHyEMiDOse2zm
o6C8plMRH+3hZo5Id4yuCpc8pcDTAexMnc34l0PBqtcpfwQZ9Fv0w+y2fUx6MRzvQXLgRopRo9mJ
PfAJ3uBYQTwxsSGyCJyFa8+k6Rl+YHxCggWuNHd7uGPjYwyWp4F5WgbWN+N771EqH94O9MgVltEY
N8ZhShnXYY/fsFK7Qt/YeKUQ0MHiAwdUdpR144W00h+lOjWF+R11JBzGzpwd0gDwJsuv5hB51SFi
MMRpRZVCfh8yeoC78O78ceevy2We8Sm6/rIxug7wFTbSo+MiG7NdPI5dBJBfCnxRnj8cbcf/O96v
uzll/teVEckbrqvzLDKW5et23pks0PZR5n7Z3YvjO91JTWgU0jlz9f4K5Q/qj53ZC9T5DLlqEAfo
wJ8QV8i9nxcdC2UkDKU85q7BdQQ2DeLNJsAAHLKVoY1XLB2HBfcmyFv8be5lNnW3hkKnTg+ZD9sG
ztKHP4ttKRSIUbHx8dlTsmdQWljjMrPg0DAQJm+AJvwG2L/g2ecL88BNYZxc7uwKfGDaty2QMPtb
Mg9uzYvhYdqFZPiC/8y6LDXBka1Bfzfm/aY16LC45oC1bJGDYUpD6pqBv9QK1xtdHpc0NASYUivM
TgJyUrWc3AIdUNdbO8+YNkk5Ychfy6eSQcHWScfffuc9r0M3hoz5t02DNP0qpAM03WFtxNwxLAJ1
MrtkL92ZqKve3onFzI+DqgKUMvY+iya2hx70Qtfp9+Riseu0JsC0mJbJcDk0uQdcVhRhGzWw5w3r
EFnVyZvNJkRnCVLat3EY99YfVr9OKBo4MX0Gome150cTNut2vtHhdGcvXUM0JuneletXm2oIW9QO
DL3mD1Hfx0Hfsb9xfxeT027l5JtgM3ifl/X4ifgH4tjgA5AqgguLYONQdOVO8lv2hZxvXQXnqU7h
QfX6T5mEieGubhi1oXIa6sJnFHTKwJA/ibJ6zIohOLO/EUQHLP9qM5mPMPzvEVFXiPxZR9Crbh07
wf2X1+7ejpNrPrWbKBrco0KeVxYjcmlpbRyow5uKpxX7EDhao2bRzN5iG6/cvwxSNs1U7mIj/uzs
p2qo1temPKw8UaQ3xPjmbGufZnUT9j53kVeazHr9ydzMZnCHbsyBodHNu3LF7leJj6pYVCh7hdBl
JrMso7n3sODPfcp2t9RPQ++zhYdU7kUo7aZh3Zlm9qKE9S5ZH5XuwHwFmai06oT33GuBDhFjs6BN
5/lAROb0T04CFI41FeYWQGQt6NU9Wu2LFNE72QrRVg3+Povn9CKwd+alR36JDhPqBcIYFTthRv2/
Gt12xbMHvnOqOR+SfIcu67Ftimvkz/3esnhspNtFiPtaY9+W6bnspuSha5bP7GFW7h+HtANMzNVr
M7RsecfgK3UDe58EGitfAJtYyazi2LwUK61FhUgdIk0NgWageTvHTrZr2svAKj61uZcDVmHU8+lb
5ImMwgP2UhEz5zS94TxV+p04U0Nz9pG2+BOs3ppqHC6NeJU4kE4/Vr4fw+DPh/9+6dM4icWFd5WS
+GMsLSSGVucEl9CVHD1Y+PnwE7Dyv7/8//hvJVOMzUDjuQYFjD7J4Daqx+o8Zqb25tBnkjtj7WUn
n01awryOFtRGw+EnyCjLhgnUA5FGyf/7t59f/l//7edT/vd3/F+f4rozzULqqW3vWjknDb7frO8S
cjYyuYutFetiPaDMWzA8G9pUn6zZrkq6V3dyv2MVd9c0S6ddJHJ/47byghWM6Ygwqz38T8QCfJY7
IjMdnBRsyQ4NUQPZmCyjGL4uGQhMC6cxu+PJO3DE2vt5oSZRQTJfJ/BmQ1K628pbzA2KUjaVjDk8
VrUbV6WXWOPPEnTH6FhCtR4ZtkVfX6S2BPcuHqp0nHG4cMwpIAbgFYaD55IWZVu/4gxY7BL1WDNx
6BpWxikJWYCogg3Dd+tcR/an5Og4RQKaqfPV2NHjEkO48Gnh9RLbUNNvuxHWJUqHrTWwBBU+c6EF
/1WeXLsgc5gZOogfRxRFWCCAiVFRish4U+U/sw/K58n6HKzlL8NVTV2LXuN2EAzVl4PTDwSs5VCR
1IyuBqOVG3bykDfK3UcTnf00k0wFYILahWvQ7N/QQzOXXjkKFgm81OfEpCMil9HPd6mlbmUEide4
oSJyQLt6r1MnDnTpoMUssyPBJ/3TM6DYZEs6w80ey6PdyZfKgOMyTNOytVQ6hPTLV2ctP6WanueS
wgFyNxVPGRRoelyGLXF8kYnCP7eu3tlxWuwWSnpnt5YvgAUUNS8dHQzxQY+L5q1PwMsev9hDoUgc
awMozJES0KSH7xb/LOt2/sBaZzDXc8Yg6ylmAgtluLvU8xV3bLTh0FTdruCi2aYl+J+lDgCwzOXT
uqjnJJC4xAp73BJLgnnKmv2zKGGMyAWHSO/hfclYt+Qp49QpIAiBU5Cvjll6WS6HAAhIEEDKlklQ
XBbo6UNeTscfqzf4m5z9wRCFMZb1XVDzWlhxaV9cf32nUdysA8GcGGQTMgc6/PA5mu+ZHCH9/Vvd
1REkyxHi8cC2nEnmIui8y3c/zx+9GZDrhO4NkkKECkiaZG9GrBfR4Xs3lVHv2Iyffv6gwLtzBN+T
MTFyToSxH5gZjEknjug2lk2xMosNfHiW3SKj82AAMJ+D6dgm43gcFw9jvbmwtNL+l/qSpx7H2QMQ
jnNdKv7ekZk+UOQYerrhRWQTGDw41MNoXOn+82BPkQcng17Q9XvUqdMYLg3lW5HPmyy9l571PuDw
D50g+tU31p2TicNQ+J9rVXzMHQz+FJ+SP0WfTpREbLEz9TxC6TNXMzmDK6CrYWXmOrDYI4hR8EA+
rBaun+8QWtimyydYj4WNP/OokcDWHUkI/GDNxHyuvfYvlsFDB9jqphAybMxWhNlUHKbcTW9VwmZL
rcWbL/3g3iio12kfdj4bKVbTMruWeXY0jQgqc+0m99kgCImrUvMQlExdJveungPjCOWLjWMXMBJq
PTTeydVSFu3ML2EXgG3XX5VOPGn928woJ2bj2CDq2PdL8lToLmrya1KDV3QLks0De8dsy0LtRRbM
OQoFY6LXW4e6CX5nuA9Qc6lqZ2mggq1HDIPHqD7oednjau1D1suXxIYIHZNCGppUpGFEnXGIqv4h
iQV7qyZ7z5oGpsWUVVvcFDA7/IFbDDDGyulnc/5ZcMqzGB2wEmwdlnlXYF4JyY2FyJcBWjXRzLDb
mT5/AB2OmrEc6g8BcXXUN8wNmrS7r6xxPFg6c81BFFS0pwqT6zkabJM1QvM0Wt5p0AuNnw+qQaDi
mYaJbjB6m3M8jfgOtHkb0Lgzzt+lWQPiDJA6t2q9UDIBj+MGycG52vFLVVIo4pyAl8jA+iwUkeyu
/rDWIyPCgc2i6tPqbNnp2wrokD0CcQeZsNXFrnTT033bWL0ZrvJ7UADQWOkzTZj2v0BKstVS983t
IA3xaByD1mHnOXb3En3TZ4PTjr6j31XR/N7pDXYtQWabU/6NXCo5jZiqrzjYEtyaLsPA1HhDr1iu
UfqIyBjekeECavdzdz/1oufWBKlGfFQdNrJSW8ZxyWU1/i3M6+kk3IvoU3ENBlba1Wp1f2Wzq8LC
G+PQnTTuzPmYFItijO8KErdMr7nb3jE/h/TDsIm6TN2XfPVdUNW3yPd+z73zHLvJ+olT9hL40/y3
dNL74HHy1uSzK9lpr4BK2OA0qJNlBnMlrt/sZAmz1SO4LmOCv2AZgLgC9tVu0g9bBZ/O5HXfS//u
J4RDVOZjPLgkK/aTt3Ur51/kI0bN6tggV1Bmu2i06Q0rBFsOXpStlcQJM+/oLyxldNTDCnADGWBc
r9X94iMR7SwwV76WgOONll/WdBqa/nEwvZtoU7X1yAU59RKYa9m+MqNicUXw2EGV6x5l3C8ve3Tn
NHmpNAlVAJFMWerzzuBkg5zzyy66+OJFqCmHwVF7quzm5MWISnKIABjmMT6QbJPI3qSdbW8TslFc
8uMfOciJqyToXpqkOWdUthuvuolFDXeRte7axao05iRCK4CwawEriQPGwhTFz1EkfnOKJTNYe/kb
OLCTY9i/+eT+syHrSDIXjjTvYp9OvFABZuurkpZ14ihUB3yy2TOeL/pcPE1/vfhorUZzXKlwt368
qgtwLhwzynrsPKTaM+Ci2Rfizlb1Yan/h70zWW4cWbP0q7TdPbIBBxwOmHX1gvMgitQ8bGCSIgLz
POPp+wMzqyNv5LWbVftaJJMKihooEHA//znf6ctTF5jTpbXbAJQS0L4Bue3k2Ppdg10a+3KdnQhg
Ml0lEr/uKt3hnN4ab7UAahrOdal0r/xxk7InPMQvfdAUp4wI/SmtQKM5Berq7x8i5G/rxhpncM5p
tKb+MhMyg5GMVwqcnBOquI8cSDSmS62oR3R/nWjlHBNxNUrdmqWnScX5bojXciB7CwSq2TeqflUz
S8KX82teoNxYMWV8Zaw9yVa4a3SAbN0EPwxqCrlEjs+Mgzr2qBN+SAu3tGQc3NIFxJ8Hl2NdxJhc
k4kySundUpm2MZP+EFIveHEeejvGQiRBpTj0guyFC1WsygDI99gxCW+wJBYWWlJBaCbnZLzT0sxZ
O7Rc/g1tQ+q/JmYNS5JnFMQGhSI8+EuIug08eK9NGO1sURPimWpx6ujACUXj3vFy0d4Yh4fYMqkF
QrdZ29ZYcxVn8j9lhFJYSmFmT8YwwdESPUM+ZoGbJkCU41DbYV9JIcjaaQzg3fwjCmUmJOpzKn/o
H4KwO4TRYWQJj2MgsR8b6lvIfrTG0Yzx4eeG0BES6AhFTwp2ovDeroHo2i2jvWjNM2Ax//Tzxkmz
ekeHzKNvlMy1LNZJHQ44cH/Q66a2LqDMGPetcr2/eRmtv3BC5ny3wbzLUo7JSzkHwf+Uu+wDAhGT
aPxd06tvoF6MN7rfoAmZhL0J3dgoHF34Or0WY43nRyVwcI3BvMftKLGDJDlMjMS8Z/5anxVIBzwL
BFislPgLYvcDb1zCOK161Mda28cuXQRIcpeBlPOK175e57b9lRgV5bNGGNwJYohYLoJ3QLF4ioYp
fTbIZK+s3EI4tYA0YP/0bpXR7p1hLI9YQi+NIKdn1eW+Ye7M+qw2ngFF138T0DaJ3f5zQJvXyIRZ
rwubmKxSv/BUMrP18gBfwK4V3mrI0m5tezUsX0pR7UiMLCUlHUFV2Rw7HStr0G0ijoFtb7bhHnn4
1stc/SZgQqHGpNpdA2yRbMqd9KW7Tpk3Lr/JIvXPsBWHaXxKh/B20NNh5cV4GTUvfdOgsT1oPQ1I
/d8cA3zff/nL2fyCNnZhw5of/9NBkI2kWCGEYnu3k2SPvRT5dNPnZvgeFMDIwSdCvbX4QzC9sjZm
WQNc1ULt0ykNrl2Anhi5FDsrkkAJHIatzE87qkBa/alyZb9SVYrUzWE1F3BiXmFie/ZNcuM/78Uy
uFXCbG7HFkKTRr3GV8cp0tbH7MVuvGozozIZSZDKNW6nvM5Wvq+rN69I96nFNC4b9Ge9id5C0YVP
rG7abUICZmepVtwnGMEXeJEwYvajjUVde0H1sR+ISsSw+UJrXbHnWOa5C7aWucluTABp0NJELO0o
gkvlCBiYvuE8cNE7YC1vQcYkwU0B7v+WzSwnBI8sJYVk3rEus5eutrvvHcMuz2re83ak99nGCirk
fdPhY4iVhPgqG+uhQMvfFumQQcIZ+CsbBEnTEjufajv7tRzys1FN8jun1h3qpzdzbwnUhpC8m9bx
Ychbybo1pH1LzI7EhZbuCF2GXCfQIIMN1+1qM1GjC8mgnor6jdgbxvF6z3uX/G7vNjciIuVChdHS
7KvilZo/F0bS+IQXyzpEgUx3jVnBeWuwYnaRUDirGnOdsMwIvNx4+1Nw/cKcxM+zPyOLzL+eiaRS
hlTgD3RdGb++wxjwhJpJJnfnIpju6DxB6IJgrrqXpBOXEGgMlsjKXiMmimNi0LMb0Iyww0LPjt/p
m3U1zxxDXXymEp3XYna3VTpzcn2kqjcdQRK5xDtETVKgnV319D8tVFOnMPPRIGuI/2buot97wRvG
NkwbqKNA1aeT3vCZCR0mu5RZ5d/82r920mMtlDqpN9u0lGnoV6rUn957mqQupBUq2E0qP4cx/Tli
DAGgJFp468sWhoNId5mfPeYCyoLV6e0jO5ozFTlsMKu6vdSUd7WdEkx/pH+iDsOexUoTmwyZ5aLD
/U0XHs7B2Qg5DR8G6b8FHZqMTaLoiTdRsYJArcdVfWubwUHkcoccHW8SWMyLSpVylYhUbkpJoxnV
ZRPjrL95CfiF/3L+gUhgSdcm74H6aPzC6VCdXpAILmHViqI7j4nvnNrKZF4mXm3VNHeTbweH0g+/
KBUlvxoWLzQfrirlDxtb6QhyqVu8JfG56YyHBDD4SaXCfASTA+IxS9B9w+Eoy6p7ccM32r3dS9d3
n+Wg6ztR0s8RaZb+bEaAJBubd1odkVcZ83Njetj3GWMHefKcMXg7T2H1ovlNSIdEHB1qrWofXHXw
KOB9bFGEVmU6FLu2zS/g9PtzxQgZcNb47uh1h8003dTFiDtc2s/1GMkzvCvrzPnyNbFCHXygwWEK
NOIe/5B5A2vgVpStZGuYEg/ptVNLqmhJ+6dch/1UnGtGNatmFKert4Rz9p56XCyC+uBgDymn+0Ia
985MdW3L6t40G+dmwBB1n7IZLNwJxzF+yS2z1qMGeA+9Lgu3TitJU0zOtp3cY6OXjAp6PeSU59xJ
o423mt3o4Pvps+w1DKnEFH0IUwA3C+dGyFrDtIT9ZcBatkH/+KZGV1+Tpo4XRMCyZd8mHnVjxhnF
IdlGXVKtCwcncZ351Tpk+77WDfomB0dhvqOOYxNSlnrRw3aH5RT7Xsi+3JsQu6XhQ9oN+uiIp7sG
I4loLgPHWxsA1LdWE3MqeGZxxfovQdHTAoLP9ac0YDRX04iVa+redGXWW+jgFILXGWu/loBjAaoN
9YR9A7zYH2UiLvg2TwaWrTOFQvjmSJg6GHMWJduuS5XQFGEraa6HEcElHA2aJLoML6DCbTGG+iM5
8/wuASq27G2eGQA4b9TkPOMUW1BOHq1xmNoUTowMeApPe/r3ZxZD/AV/g8BKz65tOJZh2e6vnKHA
0BCGOqVtmaZSycHs6JwoD5q12wiKZK1vQPWD+6yIvNVo1Mm6UFZ26APjvcsgTA0Dwp0WwZXIXXe4
1JoI9rQfD/Ci3EdJC8+uAlmw6eDG70zTfmlofhqKMT3JXNY0Ic2t52VXL8wgaW5dT1u60qGnQ1wA
hgWXedx3x4KUbIUhKADJcP16DOcdXURbp2saOmQ6nucjpwwqS7gKmfHJzjE/dLKnc4Oo9ElaKWPz
3DCYDINwxk4W6E5+aoOgwN3P8RhKQ92KBN6jaYf1JuhpeRoNotvp2LykvVAXiJxrk7TZnNPbpDSX
a239pcZ6H7q4bw3tIsQn8kW303Km5Xm0mVhE3CpWuFxJ+n4HPAT/iR2tek7Ia1pyapySwIl1UKg7
0/YvTRZhuWELxmhu3MO9oO1jzsHLmXiNrAfcbdqlKDZAvHr3mRjtCY4ldAqLykM8Vyy8zUMwo8TS
RpU74vNQ3X3XXFvEsAHEZeY5zliaY0yiPr1fGlrBYoOgVwWcHZtHro4A3vUNNvbZ1DY7ITBX43eR
jxHJG5QvJ111Hl5MkJjTDvBseRviB5nAVqwtnzAeLsnIj9Iv2Nzjwo1oJak8cRQQj3+nTv0P6ue/
gvphH8uy+3//3//zO+TxL6ifcxDm/8QG+v0JfwB+HP03HECurguAEDOOh/3LT8AP+ATBo7Z05uW9
+Y//leVwg/7jH5bxG2kBmgNNtv78T/LQfwJ+nN8QNHVOHdC/DGU4zn8H8PMXvpVyXcMRUipoQgYW
z1+2mV5P1S1ClNxnGLWVY41nbyaxdxKpPPXlp9kipzmfTmfcFy6ECUC38Ypd+SsdYdlGWla3bHrf
W1dWty99jIsVj7tmNG1ip7skOcKD0Q/eIUcI2WXEOqVb0U1C+17ROdnC6IGxTB4De5NRh0/6bz9F
t3kj4uWYYGeW+lscY85SGVji+jHLt8k4BbvUYGSKsnCAmS7Wf/rr/Yv1ruC1/acdJS+J0HnNeVWA
Ndm/LvyI3VSe0bvWftIUCUlB2tlPtFsisyO1V9rWzgB14cNhEUIji+4jI0zxu8bqakWWfYURd9o1
BWeplhqLKfJv3EInhBW5CwGkYMN0CwUcVBcaQrH/9z+7wc/6y0/vwHeBDce6TVeOfaVG/XnL6AUC
YAkdoHvP915T2s+WhckkfrDxoDYuytpknLP+JQsBLIwFPTalKvu9VTkveaT1W0jMJoGohGBDj+VD
5Rgz+nEH0IQUcmTQmiJXghDSIi3JPxQAwwVzzdyBF+kHA9Ga5EiJABo21BdDTHehUdaLDO5hirUM
pi8YlyTkipYPx7HzXywxETjGqRgMzqvo/Cdqx4AvEpnWJ+hQpAop3mC271z8IJdIYG274QLwNN0Q
PZzIZYh9qtFFQSqQ8Q+BaousLY1dK4ZlS32yPgGklwu6qb7GDI+rYy1Tnrfsg7OjGRX8PA28qg0G
yG6+iYC2O6xtCwcs/N5P/HodsMRPLPul7Ac+ry5x4TLqtLXnggHoshPaVwP6ms7iRqLM0eooFN1R
ncvA3OMigJR1U+KpWPQBpgypU3Vk2Y90DU0U2kHFavgiWu4zWGmtO65cXwTjooXou62K5kb00fiI
x8ehw7BH//iHE+wNh9ETBpULNChci4XFyLX1oFXVx5iGGz+J3iY6AMDwIPNVlgVfgAlbmNb0O0/m
Rg/MdCEnsVVZ9jHFI7QDPB6MY8tV21WvBSC6Rd6HxbJshwGAi2gXFqVaVXBMXZK9sGLwUkW4brAA
mmf0/3JpkGLwjBt/LFtqNh8cPE9zwGXNPJ5SJ0PQeTEcUtV8ehXdJXNDTzNZmwBqmmbTR5Yib608
WBubKZ/ufAepaMR1kXZPFV0Zy6TMnovRescR+akSKNJW+6ocVtJdk32ro/BOBAxijDA8VzFL4LDt
XgBvvE1yCfkZJhiiznLSprWPNxzw77GYmJ4NuvVKSxLOS0E/xQRZEiRJCCd2EVe44QuD/WkBDEfH
KY/64JAHtwD+BOWGTPUibtgJde02EM1NkIP548rtDP2+jqsvJe4QiA+tSycHosHa14cPzZDrsm0P
KHfreeeXOz03lBIMyRw9ZMjnjOo9GNEvtaDdy5QKUFxYS0u3XpxYPSbIpZT/3URFoDMyxroURL6+
I0u+bFP8l2F+H9n1BxmmN5pkt+AVNpJ30iIL2vfGwUVU8+2U3cPCwQRJY8gMJF/o+LRQLTmx2o9T
zhZeJZ9MJn7gnXyvmN9llvmh1fQQiIYTugL2TmaYggn5GvH3NChpjL3wGJcgQ6ryCc3vUHb+RUn5
hVuvgBPwYY094W9MGgSt7x0098jVsC/PBQsk/hKrWjfUOy1YPQP+93CcTWkHeNz4nvHOWziYtpmX
JU/wSjaMugjmgaflPUTLrIA4ujAHbxHC6qROJb9XZIjpKuNrNEnEWYOFe5GYZyBQiJzU1aTd3aic
SzjEd5E93romzTLKXRkF3owRe9WaJDOna/KufX07hrFJL0puLc1c7Guv3UdVUFOj+ylkekOy+cEd
kfjtcXgqElusJo/Nmdfrl9+/b9xMK8/ON03n71gkfyRzBQ/v77HOQavwVqrScO8lHj08+toYcSdZ
/ltX5lCzu+F7ktKDVqLdEY0r1g2lJIVxNz8Queo1pqjKHtxP0Xj3PjDjuq/MReiB6HWcd4I7N74D
J2yvaneeUXSv037U6cMrDWxK+IvzZBrWoctOsUSH7TWa5XQs0blAUFDAefELSuDqdvDozWDyKGz3
QnDKhF/rsuT2CZ33Z92t9lljvJhybUWAX2Olbm2Vv/huNc/mX5uEU5gzWUywPmhqZe/NZnsKUY3g
KKxhvS+DCLlLwfBcFC3hfTSRx7rq4PPSDtJTCbTvXYeJF5e3JbA+HN3mM+UQu2SmCQ+Z6DeINuek
qJ69YLjYiiC5n6lnA8t0FNffglBRJNea30zAOnmDypBxB//snL/squtDo1veFxbLcpfG78JhSxOY
72LwF1ORgNyr/FXgTrAvLCTdAa8fezLywjFZHXvqfgwm1UShuxz89NPGHHEYqoj9BpMrF7Mr+Uz6
InOT2g8xyvM8XoSEl2JYbh8HLe8XuBU4v3DtGQ1+59j4ShFAFnO5tiKPt1CmfIuZfK5wJX4UmvdS
Be3J9LCCgvfINgMhCtOi3tnTT6nCGS6E1BY0dsKxGPFKu6N1KgThutF5iCgJ1xz1mjL8AwsLVuA9
KsKPkRq91pbmh2QhEjXBptLo0/NoJcTh2WTruFK3zHfYw7QcikVjXyagNuSbffrpmURQV7WjG6K6
UDPNvo75kgo9JoyF2ZAR0plAofqcbKwIR4YK3yZHfywHjIf8DrhPOOBpp63glRHk0WkUl26y6u38
e4jWtEigmIGyJ5Y3RlvfcJnCl/OOE8XHkY9Q2HzSIHsFXhDzrrroFh5I1+q/TSEJjVKMWzGKp4AA
KNwBRkoGbbWtUo+9zRXUdw6i6VDvFxZzUDuXJsQVflrOW97UfCQ2kBXJIXHaEEw40QT4Mjkglim4
Zd4vCPlYD/MmUTVx8za/dI3Hvm3+e/RSvvpl+23SeBOngf4KGwWjFm4tBhYvvpE+pOAZOdAZx+XG
q6pEsVFWuACw863LOngQrLaxzeSLwWV2kmgXtqzvRKXpimGU3HvZkw0wdokwg62ozJ8d3BDo4beB
Ta/qaN9D4D9HBeGfMH5k+XnQWirTAowy0sL96AE6gXNd86zF5Mun62/H5XEJYRayNMrX/G1NG1dp
7D44kf29jgaO+UE9Fyq86/gNbauGB2/tHO/WZkuuuRU/OJiLANqfB/2iwR6CG8tNLm33OXVYOv24
rbdVvSVZZq7toldLSXoAPoHaNwOI7K5P78zczg+c6o1RrMuseOqb8W0ilQep3QDqZw2gx0eBPj/m
5CbIJMBpPQz5VBK8gBGn2ax8XHykBdZPKnTwsBZpcyQEfwGGKNZUF4bIjDCRCmHiZgrCdZXOgL6u
uImt5NGArbOJBDsYppFMySPj2KcDRT7ERuGGPQmNjPWghQkVNs4jABcbW0PNn7Fl3BvrD0S3sizM
1p6MtuT1ePsz72dd0u7czP0e+pW3zuCoLdneTwuoOuHNKCba2mqGwbwPCYCTvh4YxtxnGUgTww+h
XsXaluJBjcIuWqg7DLRLQDCLpN4PPgMfLalBAVQmCFGoRINgfK8XVNwlvb4vlXZMLNkAMNEmokDw
3BMvRXElqx1Aza+mBOdIEBxbYBrbWvL20EpKv+zJxgnhBcmuCQUDJnMM01Ve0+LQMHw4gP4qDrpD
TO7nh9d7xmiT2CJufX2w12Lm/FlWrq4P/v4E85JU08DKiG6bn1/iem/Up26jOu1SthYOwl6f++R0
ru3mNvCnOWiuDKgvIdSGoMijpQYah7UyB8z1BvT2H1/y+mExiEs2tyKVs5Fm6CqkzevdWPfYX3jF
0necN9pE00MWmN4ykyiBirQb0BLqBSoN5V2pPzjTDKktGq3Ia3H5eJjzZW00eo+WLHhZ5i8/f5nr
veu3YP7Ed7v+I5YARkaWMawA3JQLX4tL0KW4YhZGqvP3KvubsKbwFGluDeCsWhRQH/YY+PSj57aU
jATOdEvOmh2TKYstQImdE1rTkUMGn6ZmBGcIpsZGoyeN80CdrWcz/5LYb3RLjVCyHnp6JgvfpTbL
mx565E9awBtxr3w4s1XUksWVKas5okPwLEYsL3ZerBgqyTspALmJFAyLb1EiiPcLI31qmOsQw0Ca
j9oph8vPuh2jfw0IHyOfRnlo/s56hLAx7bQ3YVA9N6k2sErMaLgBmohqzIwGEwfh7o3BLH0dYNTa
aEYhN7HB96/l4N9QDPGGvvA1VVO8T4lOcHnwDkBuEyaL+zAlBGBphXWP9e7gjrQ7Smprb+ya80NW
cKloUmBZeCKS94kLkhOZzISKrjqW83nWcjpzXcLnTi2L+kGjgjXSVw8WgJtTP80+vnSsN8QOjKON
1BFQy302BgzAIpN79vjWvqaX865xMbz6vGVYamSfXXPDCN495BYXsBonxTEzWImRgIENOFKbFNBt
Q4xH40QRdAkmEP8O/J1CAIiGTR52/mM/ZT/MkvN3X9PQNntf3N4DioBxrYzBIaqe+gMOEeJmcI7Z
jPs+hoqONaZyjoAZ1JGSNwiX90BPEE/o7UOFYbtXuOPZsrsLllyou63/KfNm3Bc5EYZBBcfYA7Q1
gHpdzRaN2wZU6i0Vitjw6UdZtcKmfqscH8mDwSLM6MqVibiXgKoefa3O9lpHrzAd1gt29fZlGGdo
VlxMHeL8HD+MHHFTzDedbl3GXpLpg9u8llMjnkJlX2KyBzuKdU/1qBUX1/Vu6f1Ido7Z1Ed/6J9g
Isww25U3TerirLKsje4rgqc3IXyVwGd6z9bkfhwhpUSVJKBVWK8hkAP+iDGNaNJ09sHgw+20fbHO
IHbhqHz1WI0wU4PGVUty6UlHF21aFbdFSTOVRcsfddBEHqV5gcCh77SZeBC7CRmQGthD/2jUCA+T
ZaNxB/5ZCAYbfiLyLTSJQ2hl2SZIvW8NMeZ7Y9BXER2U2zGw5sZByQtmTG9dNcS7sNlqJH32bRYf
zU4HA8ORCwdxA871CWLNIQhopsDjVm+oX37xJiO+V3jsDK+qjz1hwlJPQfopDohuQo5vU//oo8oo
4nEYWRtIjreShoa9Yw93jDzcDRQ9svNWLHf6xD7ekAVwsFqYC6EF2tGzjk3njLiSqfrw2/Y7AZTg
3A7Om5eaz53LSmaYKnwUY3VXceQGwNkOho/lrp3gGwfkvrqA7PKMimUtIdAhwnfi4N09Xui11sSH
Ks38O6YUt56JKYO+jowNCBioicRiph0LZ5wRSmm0tqZnmrzdjUs+ZxtGyQG1FOmlUQOCAua6sTla
sM6O9Atl1Z0M00vIksagwtQCGzpCdHJas9gGQ6YfwW2fWU9Hm7yaq88BCMete8Zx2HGtpkTWVzg+
4kkcrlFUPRXuNmxc+1baGKysKhtxJ3q4M+3sicn+K3NL/VS9lJRQPkJNmRtw24sXNAsxsGAkTH+v
+yYuaj+xKNo01iV031ixOm+qvGKR3cer1GTmPYfFV0AOvkFRHrdT35bHIZlWSmLMKSCCo5VuCt9B
WrPpznHTuaQZQkKLAkexp7sryH8sKzp/qvipEhGzdw+4IoUgh9FdOk1xTIGfHKakPgqA1HdolguH
+N8cE+9NdgWl62KM5uZ6LwxvipJLslbCsVlU892hurnCvMiPzgjraNePWOsjTAdrT0dL0ioAeMtE
y9rliJ12mTLMoDu2/JFpxriudSr4IvTihaFDYmJYTmTEaHMT19Z8NywGE0WhTMhs7+m/0b2zSHAs
Tc5Inw7rEvTFaNMP8XSwXDbwTRql60Sq8QBMjQLkNmKX2wMQmP/pegOJ9XlokTriJu8xuIViOjBq
7/64G+dluNe7OYUk6SGbb673qPuZXcpzF9/142ZMQsq5kpS87IzeoLCe0ST3Mvbhc6Edcx578E32
O7QWzg+0oT+zbYjlAcMqDqXdFQcR2WQqc4gn13/zrkuXnw/bXPvXfh2/c5q3lzJ2aYX8/8+9foHr
zS//9vNDIlMpQZ4qovDQZw/68ymlYj0LDHf69Qsajs5Trp/4+12D7B7qG0iCn8/+0ydd/9HRbJwL
NfHYX3+D68M/f6Drh65jFGyBg2qmghWHoPTsRSMGWgfnl+RfPeNf/dvPL2oMvHPDRidPyvHIiRDW
hEVtsJeHJmF0G6YTsEtyVPPDpUWsWfQuv2RU3Yc+RBc7hxJyvVEekSvEUwgZ14+d+ZEBFBhMiyRf
Ezlg82anabeyu5ar6Kg9JJnzaJMuWIr5COB99eUi+awl5T/6mkM8PzDW4AG/YoPvVQOoNZE8uM0E
f30otzPFaDwmNTb7gcECEgARrMjS34ds2ldd/y1IcxKfxIt879SKgq4EBVWig81GEbjglEHaiKOI
jCzrdNk9WTEp0iouHsJQ/Qjy4uxSk+6b7iU3/A87j4EmdvEtSuwPQpp1F17KAdfk0AJkL+xwz7b7
lYBxumBUsDRS89OutWEWfJqFXmkf7RwVg9KAT7rYgQ36itPURPsYYGdQ3rVUvsN3b8YTgLsfns0C
2DUest56iuL+MSihd7bCAfPHBCHzQhTepP/CVr3yc3ZGtiheKuu7M6DkSqc7p3q3E+m+m31DetVH
qyBovltgNwNzOKogPqaavxWG/y7m35mxf1GbILSco5KMv2tJN3R7Lcy6j1oSPy3JVSoiHojOHvvB
hb2QLmJoyJm0zkK2z2TpzQAxPSmfiY7cy7yOF7llbZtQ+1bTRkMcIQRfPjw4xvQU592wM6wsWFRu
ftNU9a7QqMRm7RbHdImCBfJ3qTveFzPbvPOAAGEZi0u4iQEl7ESyCJjY5qn0zYQS9tmLlJjWQnkk
La2JbguM1Y6bPA30RC7Kfto4x4rFFoBMiMHu3HtHixhVBMNEYR/LfxJi9035NMZj/0OwNWWQFjvm
+6j1G+DMe6P1bkvZ79zOPTUZzeaNOS/Pb3UnegQaqS8UEC/SStF4KiUEmqY7lY6ExjOu3Oa962sL
eVP76t3yJu7wROS+9QyevRDRy+CR+vU9ElFOER2ZtKdrt4cfhohAdQbGSscuPnMz5UfGW9JxItma
kamWI3TbTV/aEoYOvRG9KOGTee5I7UKkzSOvZVswhID+T0tDIcm0kvKhBtPYWDkLeX/eyNg5Kc4y
/VZp/bCcBBWt9c5MsNUHGs20tIoBsol4AYs+Q38a2QuyUz84HT0f964WAtGZnG+qTc6WspqloASW
AHrKwejdicorFnAJ/CWS4qODw3pN8cNTmKttRhSNTdmevYS9SDv+djQVQWWijQSYgLcqsI3yTp+O
ZDC/5+EGbMsD/W4/8MWUa2JVBxcLy8KcIOl5rnivderorHoA0E68zUJRXQoiDdMMSI10SrsV+r14
yROS93kK/LsmRL2Std0u9AFbKqeUGN4nOETmTwQhHPh75ZH0DRY6P37Fr7NvsasgFEG75SUoMk3i
dn1PuMhtxPxeK+yUTcsBc9Ht/J9HQA7OKu+WsTDXccP1lYj3Iwc8Zxqb0mW3agDF06NBXyVBpQSV
oZq4OOYZNaHVQIp3xmmFkb3MAdcgMeQrTOigtCcAIRUw2ZRRAVczpVgh+Df4RUYbFKQ+amKd+Fy5
kz5DKH6rkXuOdR4Hm8kxiaoP1bDK49plfAuWxIlfoQpMazOtSKRX5YOXAMWrrOQc1xNyE+j7QTGg
6nlf2QrBDsh7jtm6nF9ICPvMv2R6y26FqZb30Fnjey3drwo9hL+G8e5s/Yq4PuiFRTQN3xvmkFUc
34eE5FSfOUvP9p/mgTTTLqJbTQDF0E621YzluAbwVAyXpC8dLKPUyZL4nwZSP2m0HPtobzpBuCKC
B7axmX/9RlFSWLJSr0zQ1a7a0uTGjtliPziYNt9Q4mmS+gUWZr/u7PKLCEW9xaPsr0t9XzNIq5KU
Q1BYzPysHx2QjRQ2iaRWbJgFe/KN0TJriSrlVGe2sOcyHIOBq32JILqJk/yrmvV0QcUC048qP57A
lZMhgL4BXQM8ir1zh6bYe2L8KnkHVcjOmmE8d9A68SjiwBt+DMQzqWcmLJ9X4BMZ72pI3zEHnY50
qts/YiSDTVEwOkCRoV0MQLqcMhhQhDNTNjNz00g+Ah8GeGShwS7aUL6FBlPjKCZFLZK1TCYUwahQ
FL/3d1PlfMWcQwtNPqnYOKYT7wbwjmct7chMGtZHU1OZwvubbsqanykBz5aBk1x6IKmiOG2hUQGt
BEq54t3Oq2/DFGKJEJXXP4X1yGAN9LVbpZyoRg4IT682qavdO7wtgdHAiW/m1H/mudvBdClEIGag
fa/AhKAbMNlppTZwEcUalg7lc5ycE8yoK9hyYlH5S9MsxKlty2ExFGodt7B+snJdtODQKaxwdVKv
VsQiCdOnyynB310H/v/jzPmvOXNcvBv/xpkTJx9Bnv5z/ZYFUxy7zkfd/Mc/6IX4jbIsjj5hAjGi
ChL7yx/uHEM3f9N1G5+gEjomndkZ84c7x1TzIzihccU6jABsbLH/6c4xf7MNKeGJkH+Zn/vfcufQ
T/GLnYN/MBUYdHg0OIXo9folTVN1MRZ02ygPWqiOSY4c3o8sjxUUFzTb576Ctz2ALiviQaxa7SGm
NmyZt0iQQUy/A+N1IsE6pwq4xsthjCHpMbCB+GXtsf5pB51IxsGiY7nyK5N13T7os/DIQqDQZbw0
QW8t+6r5HEoKASDj9YsUYIbpTCtrNOBourzLbdc5TGbqHpgwdKsoYGEjclsdCls+F+iNcGJdtka6
Zh+6mhjw9d7PG81aDiIcAP6FK6mIrF4fEqia7E3nJ9HvrSA7zCXlWvxMnTlXudH/48aHhwNggO11
jIMd4gcfspyFMY49aPnzk68PXG/C+VOu965f5XpvzFjKuZLs6gBWJ61+BPVMwHIoD0GaSI/XG1By
6bGaPKzIIMDtkUiZi/ny8Pu9Jl+lsQqWjAo7JFkwDVQos8KekiPzMObUrqvdtWWoNrl3A2wEllht
I1eafnb8eRMZHR3tdsxcMvYi4MhM3Fe0jaA4SFEcQzu8YTg8revb1Jb9sqwxZWZxHrINSi+id77s
ghVJxwhjbevJazKxQQzC4t1xYMi4o7rz+qiikdQGlB05GRfmjJ2sD9zX0d5aJ0AH76gNLLV4abjD
tKMv7IYSJFgIVatW1lCKk98I4zT0owU9oGFy7Pq2vqGCeqeTRNtrjgmbr/YJorRGcKONP8zMyE6d
y86Gn+ZEBRi8EutYATWgJ6OliVR8AgzuCBfbzIgx0p0w3ndUwjfeypQ5l4ZKEorveoftUfcwolgP
sTve2AM232o2N/uaDE6iqzg6mynZ9ES+gDCZO2jq6S1gxQo+TdVtTTrILK7hHT6Uqh+3Fv1Sg4UX
hzQ23IO0v8mIbpLDo28GHe5IR6a80emf3CqHoqX5MbfoefXg5qSe6Ljm8Al2ZDt7UWlbg1/9RD2F
eTLmn7qpg2dwsv+PsjPbbZzJtvSrFPqeheBMAt0NtCRqtOTZTvuG8Mh5ZnB6+v7IrCr/lSgcnHOR
BCkpZU1kROy91rfGLTjG7XLfND/AirLrUTMJzhLTIwHU6EeMFmxnkk9X8NPGq96K+DzMdOeiLrKn
NthOI6N1r07xzhzl2ZJQ/tbNvByNmYJv8eX+2219/YKh/BK1wQSnKcxOiuaK/aiQPpsH7ZGFTouB
UEykuc+7y40/mxl+jFkwXXEBJIBnpiOqBn85hku+HGkD7aAEeCXlQVKOLNoyK4WksKq+nczgcYiY
K/Lb0E6IHX4DdgZOFiJFbtI5GVDgCicyWNkmQXdZwLbSnEomUDUJBRVwlJVFHQ0T2U2CvuY4F5O9
zsleF5Rqr43dnijeNTJppslFr2bH37sIpDc1zpO98Mt0Wn+kDmQ+Y7Z9a/MGkp5h8s05c1x8Tu3u
uEA0644wT4S/++Umt2ZJpapG59U60jAuCQTzKD2LciqddKhZuYgiyDzScchtoUkDbkaDxopr5yMZ
us4LdQ3o7LxZqJ3L3nLb4ADlTVKMGipAwManzgfifJ+1VrQvO3fyjLKpWDa6b3rtptsmKAHPzq9y
yoI3NapV7/cnKanTF86grBdaK2DKDfD/fj+6drXRzEll3oSqxs0hRxC/0jJJxhgpQA2t9aAg804h
W2oFiLU8LtxZfATYqXzoaRTPMN+IYxvr2R5S91Zg1o3yaoeSPtxmijXipm4f9RkAUTnOsNWK/MHy
+dCjbm7PKz05Mmgm18oocnrckq+xJQOppzi/0kadflQDBCPIr5quCkk6VT5zvXNxXKxVmZvAp5Aw
zK01EuMYKpbdBenazA21ZY9JOEi4CNYykdokBWYDPbj5BzAu3bh5rymKOzKZoHepWX6MZlCNZUYM
V+6Mq/HlPHjhxCB4IkbcagM/jWLoNEoNnQZkG7l3KWuToNXHo9ZpHxp2eo80N3x1U3O7VEervtGx
kazG5sVsvgIVliVtvDEFMMQoahPHxZmaE1GOTSLU16FjfRNBVMOl4ZEpMFUCDVhkLo9OLLBBANCb
lR9Lz87icg8DO9qberutx0OVjw69L1ILwHMRn0bRCqSd8ayldz1qisMf73057CKs+nCyg/PYwGde
PgYMf2tNIJVcjpaNMn8c5mARqjC+9zOBdIot/Wh0eu6ZVAN+k0a1LMIJX4XrVPDrSOYfaAJkeRon
ypcaVV6/wgEQzszG6TLYerFnFbZtZnKqk9dX/UwsptGM7MGiiifdWN34KlLRhd1bB2hGoDvEag3V
mprfYEaUspkFiC68Fy0XCOJDA0SEPU3SwZZ7YXabH47zNNDNZs4uqLaYKWCTNbTS8hB2NK05OY6o
TxEDRf4+tRgLyrpEAsDKxJrrcj+b5bZmkrciqNvtcnlbNvp82fs5ZMlaHrNIoV4R2PUmLALGVlnu
l7M/ECpXg2V32Tiu6dLYt2ftRXuFPJ+VvIDVZg1+TymZTauijNAa+KUzYJqA1LMVtgQX5SS0N1p3
rZSgq1qKh8vfXa63y2v543DyhbLLrQwmMLVQ212rfkvHIyktTqBqZGHspM+NSQ9gKXcvm0aB4NRk
fCKFCIwr1YZlq7Xmd8b8yxtCJTxphrKZ8nLYa/mDAiQJG+L8ywzBnhY4OOnIz6ep24Sz6W+WjDlM
5EF50BHv/Yp2urmKO1rUhJG8pBWZPvzHyKkwOtoaF+ZKT06SktxuGCeAMnNBPZtGnmvZXcjXyz0/
d6vZvpFSBzfHY39uXvbwWZYHu3sFzjVXjGOTfAaudfMRybksAemfQL365+HvPd1KDjrEYFlZgQph
nHuLJABAvnyOpWkV3Skm8szIbcgzvOMcCMfRiFNxFUPnmVM9D12psJC0CduI6vwryjr1qCq6eiTy
jegz10XrRxl5Yesue/FM2c2juXi87C43/jzmP90G9JX8CiVABz8/18+G1IB6r4J5/Lnpj/+/3GHN
8N1lTw5kmCoKBZTl1CvLDEbnslvVVq6iXcUSrxUUNWDpbsA4bStaPvthhrr/DKE/h8teNxnom5e7
l+NlmP05zKDlkdoDAWaoo1WuisFbhpyFWo+wF+XrctzP55GJxJjM0x6TkOrWx2XjiAGMhdNKZ99V
/brXS3m1bAbbLjYjIzJJBhHKHrUEaqDZ6DhdLtHHcZTd0UfQ2uyjLvF3IyJuWe2NkU/DIgiASuu8
CziKoRDUU3H8866/PCqScS+8AUHu70flUOOK8jDZXH28fBly5rNh2Vs2MgNg9/ueMrGm+rTcyqoF
GciyO80nCtl4RQargd1RHzhdm389i0a9e13aQ5eeyGJMNkXFWoBa/6xn+f3kf73l5yn9CNL88ozL
bUOjOQdpr5eb/3hUOIbO+Pue37vLX//9QpaHLsdRZfOo5fj3X/x5KhHjtdVcq81Ptg3D/I/n/3kV
v1/2z90/z/7fuK3ITrFdibrbshA6TP44NqxHZyq2Zm0qryn1aS96CmU5MpAJ/Aj4g+pixIIkWFKu
MEvmT3FE2Frhlk9JqXdMZidzm9fC2Km+fdMkQ/mLpfA3U/S31g4rbwq1GG+uQg6NxsPVAnpqhl6G
PK7wEUCU2Mg48Y+WS4ZdKBH6+SZlsoaachqRxNIW7YNeRIw0Dik6EyPKyuq6h6knKF5W4hmHHNJ3
6MkIVk9kXJ+UMKrJkiCRk9oZDFtcN2Mvm22qMPBZkDD6MfEq5qfroY1JVGjbhlwCuMZdXaa7Mm+/
EE1Hs/QcKpXoXrR2oGpp/XLiltCRMib51u7WRl1vx0F91RXgVN22K+hiaxUlsskiQsiW8P85XfZJ
kxypt+cozYwTbnLJpS96CR3CYcPwsx/fYfiCYwR528VKtw3y8LmlpYNaNTwYFQvSnMDNQNd3elte
q2XQ8lVVoOQD+Wlhni+Fa+40n4pEbOXboGblBiLwWbGtT1PZ1NZcwMhGxlb+65xQeZeQkagnW7NG
otiUGajl1PLCVH+nhXfrUpp46rJ3muKeZMp1Pcr0LSNUQ5A6sdEjcVON9ohcQNfo7tn1mlI0Kw5D
IgOzXifXEbB+3OZQJMhIRQrdN9bJGWCVvRtqqoYZYS3gNQCo0IbYuU77JqYm3Ax18IQIPj4lNJ/W
FE7aTcny0YMlRWpUAq46M72B2vU2KkkLxXD1FvNLP8aM1CBuuwn7Belpg/ro23OHQVOg4jEBzZit
AvJVd0PrH3sBZD+kX77vA/Xe6WtjR0bNIcwq4y4ynHunTC+9C14uDkBytGoA4hoNfjX00PIUz6Wc
gfrch7lruTulJz0vyOQVMRb+p9I1V/yr1pTAyabp69mozwUOkmJDwZbLZERQxqoqNnGBe8c0UGJM
4tqNanFIgrY+Cju+Et04Xrv4avHdpGhowPIQA0p+k1+sDcTkHRnGagFAxOhpQDiIRbaDRqNQosrU
oJIayMuOTdu+a/Mky4Fce+jLZ4Xsgcmm9ZPqEJpjEH0mwhzmRK15JudwNpEAI9LcJD4ZWgcUvLPv
ILbFI1HUKeSi3Ex+Vbr5bjbmneEIQQpr8VxyiSL5LxErp5Ji3c96Fo3IibMQ5whfzNoeWEUaWlHz
KDrJKe0FersXMnNgFMDVStRbq5DNzZh/k9cLYqmhk6GBaRtCrn0P9lUl3OSuLgucb4NBAUv5nKin
55G/TUNSZkqcDVZMtlsWWC2hGoSjjEkTrfOu+URvaW58w7037arZVycZN8bOMKCtIQoj4UIO2KCU
dJYQ+5xu5nGiqsU0z8HhPSs+O/+qQYWEOFh+McmNV8ZAdLHPxanIOjRxKQBlSecka9xjhpkCOVB8
qXy19Ui/fi0SwRiATaoJqatjc8AMUjEJban7aGVe0+7yn+HmxSCv4wRQ+z7sxX1pK/6RbMNtaMNG
aSvjlAi7ulUGRMqx2icAkJvPvgW443ONIqA7QwtCznBpDKyi2+aSx/0NxlULj8Guh7XYS9xULmkS
iNzEZ2RpJ3PUSTXuo7epT0mfDsXaB3W7wrfib3O3OxMX86TXJt0WACRbYtpZ4j51XfpdRqgsHbe2
98j1c1Ph51u+UabgPXU0K4CFvrj+sEfr+qCGqF7oSH3Kgh54MYV43o0Z9WjoKLWJgoWmuIFiJZER
XzV6Zu2gy991YLLQRlpY7IMW/jYZS1t3RIkbl9Dt1an0ouFNBv3r4FQEwvWPbZAeqV/h8WmQCkTd
I7LNZJVp6O+a8DQqw3WuWe8Yn4ANYqiyETd2aKUrenmF3TubQXz3YSk2gMe/HTUn7aYjP861u20+
8fOLSniATTldsEKyenBCyBABfvXBbekhGr6nqBnt16TMN6UOVNxlfrRBIfBe9p6TFlipZAdoULbM
hGskbSw9HYaqdAeY+UygruPpgD8IoiAYSOTqJ0HLJbzEX4ZR4QErCKwomu5dNvRPhFtyXkC1jEKV
OG+SYLTXzkZF6peErVCHKgv8j5Y0LkETzd1CbEDj6KzoH1otPRQ3s4irVMIXwzxPmX8ZSofydQ8P
2/Dli6EnhCwA4Kx78yQty7qoeXiuRZHjojS6LbKcC/VmZxvPVLwgoAlJdBaBRWN5S1tzzyhceW5r
bGM70j0tnp6RkYBhjluLLpyWb0Imjauenu6KlHicHbPPkBq7Hg5vBrhxJH3zFC19wko4MGfUvrTi
JoCZsTYIGd0Mxsil8InU4FPzVobxozEpb60bVcfBl/VanbrkwHL1gr0MkRzYZr1Tz0ao5juzvM5y
9caZ6naTu3G17ZTBm9y2WAdtoGIV5GIc0kGUnf4IOrhYyZBxmQLCnaHoj7bPBTKJSnFbBrnc1Xms
U+ZR7owCUXiGXaTrUPbJNkOsUGCwHGLo46GLIb1tbhJwgZqNsn2Q01UkspuhIP445ivLbEyKAax+
GDYkP9j2ScmD8FCAad8bdQqlGaI3RA9mfu06sO3HMqlPMg9v7KhqTkVnvM9yCrWE6W1E8DgAYcDq
oBYYwue1JOAuXxU5ckj/Qw2HBznxOSr06lCgY25gHJu1GE22cStmsJ12p5r60QziywQYVVP01hPI
wbwSLtMGE9rG6PL3tOiJCqwIaQ0hGVH8xU1jOkQPdESsanPerttci7HOaNFhPNDtXeygfzaL4Is1
B1V8uJfuc63kd24ZdCvViEZKwiWAC2DMxa7P7RSJV8T0SQjXSzR9W8r+jlUuAzVnXU24QGmYDmVP
cM2DEQjkK+MDi717PHnJVR+RNYNWICOYhau5ew7nZciU3UErxD4luo3qJNN51MtbNRLqSaEvT3v/
1MQtoYp1KdfChoeER7O8dbuaWrOjelOAjoRMX1rxVXGiJI7+KmF2a7PmU34ptEtpZw9w6PB4rIvE
2VJtym+CyLWv4aoMbeG+cjkCWc1kfksP1PVSOaiXrk5OtRBHnBwNNN6AIIsupw2bRnRgCF8f0agW
2oh5ahxubF1knsBGu6EGHq2J0aUTPiOCDCuOt6rca+BDiKAqTmOTfKN1jGgG00UQMv8oYuMzUphr
pTZCb7THVI1TAUQZwGTSQ0DEi6MVpeVZqTyUvQihMKpwG7g0cEF0xW1PcmaYVAQbO+YB/8fGSXvX
Y5qk0PFO6Lf6jH1mc0mMsGbthTil6ChQujZacUU00Q6iywbEVH3o1Tre6Vad0s0mqhUBjYWKZ91q
kbUt6NwwdrxLKwNckXJVjjRsGGbjX8VIM5hohd9Rc45J5s4YX5lGkvyXlXe6dU/wkvrg1+qmD/pm
6zp2udaTjVlVL01H4Vy22pOhMbl3bf0Wo/0zSvYNBbxbFbod67689QZ1IkiH/HS0hdNdoSkdZjSk
v4JPfAzRlqt+gOetlPt0OHUyQRhvA7YzhjuEp2R6IIyEXHy0ZYgiJdNuWhqd61YMH2bujJvO6RGI
SG5SfMVHmjU9Ofa8LvA1opFmEQjiHzRjzSuBbxFWyand2KVgCkNfDNFXJtGI5COjTd+mD2NWD2s7
yj713CYuG78T6zGoxmoENbWotGNVfYHFaMEV+YSpJvIYje6+qPHM1zYl3wSR21710R7Gdglb0Y09
VjnIvCVgDz07pxZ/OS3Mcu02SMh6/VqgiGDWlXgoG2Ps3tA3MCy+Sq79a30OPA0T66VuY8kFz0FF
iJNLJZDEGtoHJMG3BoS0oZqoMWAMWvsTWmzicPRxeBvzjHenuc9dhn9I2AJlXGVB4sWeFocjqUWy
9yikneD2hZypCNAaCkCZ4x6wD8/vUlsFZnxNLoHdYQ5rMkKCTl0UvZto4LHqoaY2tac+7r9rnNCY
9MwtgTBfxjhdsmT+AsEC8J2xbDPAp2b1uO2JvwPUAxsmc5+TSd2Vdvcls+FRCwMCro0d0/o3Pwlx
rbtMlnPXuhPQMQkoe0hisldSpYVNKXd5YY6bfNqaicAGjmNqVQDV3HT6cC6A3Ra+j97YfiPjF/9s
H7jeVKL1j3ClPyFcbrDQFeqVFFpJi7IaTq1xoTUUbKyJlJZwyh5F4vM5wYnjKyNIOR2vWbtQCTIV
nIBey1XYpVwjWvk0YWa8sErRMCQAn+MjK0c8hHltbGGkf9C3/Q4lvoJmovAYIF8HU/XIVeKzonm2
LTMYVF1QcWKE4LVcrtq+6QDhx03SKR2DaOBsYjrrq6ClteCanecq1ZMVkBWziZXAuePs6c0yYZWC
WG90aOil0aeYwmllZ+YLAhaigZHQJcSeutEcZkHRj99kY6OjHGhXr6IOp38+RcDhKCY2dfENaCBZ
h+GIVnh8V/NWW5PbcfD9+QWILt+rYS1XRLOQMPBLBoTbMbjC1ZbPeqvf11g7UMXfQsS6dmO+pSwO
KKVmCCtdsntbxicW8pUk7DmKwsfAxsJdgjjUg8Q5hmM7QwlCVshhcONqhboLM/iOrEKZAcBE9SAS
5MzA8RxC6MWXQ54U6ic9dUcsksze5ZDzgfgMkYZoN31hgv4N6N2EI3x9MUJ2j7A1XSVUGCJTSbhq
92/QBgGsE5qGIIweGS7ztI+fQBaEmvpCGAT6xAbrDknBeKGNddSpzQUKsJ0qNEoG66zptnmaccfI
3cg3hQRBu/9E9QkCAEwv7BeiunRYMwwpH6PR9M81wfQOgroO9A+Q0xr5WiehX1PKSxiRx9Leqq0Q
Xpck30R30pisxNG382Db6GHghTbJHa7eI0IbsQVnrUolkfTgFLzwVpp3RGw9yv7bDal6W+pjb1YS
HITzOiuTbItRTu8I6SnsvZ+yWqRPhCqJK4Ad8PfrNI7WNL8OYWlfzFIQlVkE6lVOAAC5lTmzTYOZ
A8LRoSijtYr0DTGuvc6c5iZUaApWicHlIb5xw3IDNeJdDUhOx0FD6IrKlY/XHOpO4VX0zFWmo7Ur
zvMaFW+nv1J9teKE5C0NYniWssamDL83VjQNqazJ9NsiSbDE/t4KkmP6dCPdoPRAFT9iLPtus+J7
1pSYWXTd5YW6YqXi8x03VfQUopvcaJEDez5ldq78woiNlRhz4NmOPow0uzGzyTwgbkLkybwTa8q4
0ir9LBrlEYMzXWILZETni5X6lPkSDlXRcTGecrhm4YfSBdG2SvYDq3uUvOUDg+ZZL6dbO+DnmXn6
/D0BAHFJXtd5j6AQ1l2lYZkP+LXAUCcqMNKItSmZm7l3eq++kKeLkwT5i24dypjk5FC374kOGFaO
cU5MJAYpKPsoCG+ox+HS7ROgBbRPkVlUTf9gjfFD1E13wxDdBtF4iNryAolwC/vfTLSXgrfgw7O2
q48S2knQE12Jh6PRlath1lvnk72dF6YTyVScuExoA/Wa9Oc3zdcfceGoKEblTsbVdxzaNbaF6gjL
myhV5dFxx31pinMHymtVR7MkzeftQlDHCdzdanxbum94mLRBfd470/RQGUO8V0njonHJBJFV6dqO
u2zbZvxiaiMv1o5Zb9rJBdldv062/YqmkRKCehZq9i0b91WX8j3P3/vGR0BNgyMj2oE20m2lkPxm
5d8aLzadym9yg+5Ts3jIO6T4VCwxd+T2u8vvedck8iVngk2WFJckYgqSFajstzSuD3Vt3+cRLSIj
pVAwHIwxB1lY3psmUX+EPdtqc9/b2TZEdrcpHP/WGbD2ouP4Tpzk1g2eeuLytEa5Ctv4IEX6UQq6
SvVsc1XkFskI8SMB2NO6qzLcxbi8NLV6VqKbcopekrb5yoKLTvrPriwJogha51xgzylkeO2rCBYU
HRuN+W0Sfr4OjLlYpelQQ7ViTQ+NKhIzbbTniDrBwj/rRoMB7Vc9BMoha8dbxWcpaOOCTKO7Kdr9
z0V9u6/i8pZ9Nf97lgJ+FCVpQkHYLhCqn6PN/f97+Nt3Uf/tfL99+POR//Yfm/+73B18FTO/6t8O
vHzW2t3Kr3q8+2qIVv4r6eq/e+ffvpZneRjLr//zv94+swiOcIMd+6P9dzQWZcz/UrFXf0Ej/Q//
5R96PVW1/m5Yloua2rEQ7Rl/0etpxt9NyzThSqoW1zcTUd4/aVrW3zV4SCYKP+x5pu7yGv6h15tB
W64LNhjCrgGRD/3dP9/+P1BRfHK/wV//AR2luhYv4K/wKGEaOi8BdpTQWGQK7Q9ib9LIKemlG93k
PnjJqjnm1FSPFuQNKq4jBFvIHIUkub7yj1SiWwr0yaMzRJ+BCJs1bt987c7yhZ+Ns6gXYv1qsEx1
kw467B/EP8umpp/aVgUFLNtk8YkGmt5WO4+Dg3IGW63RhGRTzA6qKYs1El0RiHR1dbBUsufaEN1y
DPhgZw0TuJ4gRE+UdD3r6yzZS707+brxEaeKf1Pxw9mi6XjKHTzik4nNhy4Kvqc66McbWVXRbeJk
B+KoLurgQJ1s4A3KpD5wzXiPoISCfVROgYGepiKwdVups2t6aRbVs8hj2VtiECxteCr7OU64sCiW
5OXOTM1L0omElgmZGl1D9XTwP2AZkYKS4mEsyiKBcWTRr3QGIme6yCI1UW5zlYpROW/cDgOanr71
OGpPFcumTY3Zbx3wbpSYDDBkAfq8oXZV/D5c9ohIfRgSCp5L4FEeWMoeV+KKmJzglExkPk4EDKxy
0rV+OlouFao9k8dVmwBcWC9vTvDXsNCVqdf1beSx7n/o9fgqDgWBLaNGuk/hwDmoE/voyNDcMMW+
Zmk6O7PxSSORUBWEnyLQwBBTscXBJrqGtqBFLBjSd8mi+xi11iHwnYZaeE4antpSFDClpa2G3q5P
/qRr8EUqCpCBsyVo3d4Ju1MPuvvXj/6Pb+Ln2ymixPCgqn7rRr4TTNX3dGpRSzlD6WFLlMdlg+io
9pzC/BIYZdKV7JtjQMzmTlZmfbTmk2HZ+9kMc0a0lpKlZIzmVufPH5fN8ob+OKSZUx1RX5IvpEGz
CGeZxDqZO/y/d4nlu+lTFtSRqr0Yc3OBqhuN23nv5xALHnfYNSgLNKLLF8+g8I/vfDn8+TEse9M4
0NAwqSktZ+RyMtpTzpJ1ScJablx+HcgPfukZFcalf7p8dD+bn9v0EK8ajFpAN/kxmE/kdBFA6LO+
YQnnWu5Jpx7TTUmczpL/lcwCgmUzzGqA5TzPFj1BM4dJmzZsC63Dhlfrs1dQnTVefzlOk601trdG
g6rVc+ZecUivnjVv+hYQTXpsuwIpl+Kgh4dedIQUCFx33iyHy0ZzEU0ZBDquWB/FqDKoyO/KLk/2
qNVIzh7oXFBsQ5WziIznKGKUS/mY7/KhPRE7+uwUFJIKAlbsiBAlMHYPozMhyl+0fMuLMrw2itIj
+br4puZXqc5XwmWj/2tvOXThqMzBRzvVRuU1zv8Byw25QQT6MECQ8Zmrh6QNipOV0StThBJ4il5M
vG82QlFGnLB9tJ2M4VeU1e4xgkV7NKZHPtkEogLhhkdfZ9OFrsSUX3HVDk26Sm1wqm3jAcgAuPT5
JS4IiDBjfjlYGqmCc1d/uaOL4qz6ZQu3Oow4pNSL2scP49gCRlQFwZbTLZkD2G16A4Nb11ziaXhv
a8TQutKTudJdARCpV/NIR+iV/xm5anqgBKiSTteSvFLfp46I9mBWnoRRQQftcc3l7ltWqqgL++yW
oAW3To9RJq76LEq3ecUjqqilHl9MG9mDI2zG9Fw6dr5zhuFlIGdaHZKXwCjcA/mb9LYzZ6JkOjFp
m38Kw3Ct1zQ+VSle/JEZVAEGej1IeYk04sKK2ElQk0o6PV1E5ALvjtlvCcN9tEguQ9iUhPlVWk4E
fhVddGUACURKlplBdp5NfVQVphOLS8S9RnQYW+2sVrj0wkZlpe6jW8zsOeEH3OMoGd9MZ9hjhiN3
sZfH0pnRWkPYnNxkfBpquq9jTOafE+afCbQoItnlh4Lk6TiVqu3pTkqmfdOgR+pufUcJPQjejxHr
910Zj9dK7LSHYOy7LREHLLMJSluzur7Wsbyd7MbMDnnikECG2py0PwRSmeWZfgJShcYcPBlSw8fi
pNQuWZ15hfBgaKpdI+m56o3feoQGaZugvy4ChLGmUbVr3UAwWEO6YgIcQ9FlciV1VtZp7Khcwwsd
Q5Sub3VdglvIkq9RnYjBdscHSYUlhcHyQEim5oEFQIWg23DtWp1lyIQji+qyq2qUYmO/3FYlTzo2
6U1LUMiKL34gYChRYNCE/OfgMxxT6+KkSrohVJNqkZ89DmU7eIkdq1v0EK8FSStMvJUjiTgzVbEN
bsa0PIGwFtuJRo6i1MpFohpjZUTbU2Yd5GyT6FhE5w2wUDmCPEcM6kj17JTwVDK1wTPOPOk9RXez
IBNWkS5TvLK9tnYc/RnXdyhh+ggsSLl2KMJuI0T0mQQhPRukC7AXIXB32pr09XHdMZ7v24ETqMvD
Fypv5UZMAAY7OCkHgEwjSyXX0xJLOfNiPm1jhBanqQrp5kiqp08112/szL/NS/ucpHymZLG+0tB8
QcK28gf33BfZ0bA5b4lvR6oUB5deD529ltpUvTlVMV2QuQdvZ2X68orMcvNxsn1lOxaUOEwWDxac
o2RkPWMqR1kPhHMaitykIt5qANw3PcmolDbCp8JyP1ItZjgR6KYdYSoX8uFlVsQ7ew6qTdWM9KFe
4KcCho+sWt64swCgc02LmUH/EczB9Unqx/spRTnTHggUee4boW1KxXhhWX7sMZ6gS3xsI1AE4Ja+
AX+Zt3n9UI9zhkIweHbQJocaujChIbl2zIuOlxv7+0bHr+ybSQYnfF8r2nAzk6N4oTdRFMh1g+7g
HM/uwTE4NJn1FY/6r6kMtDVJtFe68B3PEETbBHq5iULjgh+53dKKczH+SwWwl1DOmd9Dhkqjk9Cr
75LUqlXdiXBbpBbRTKqSr3RKL9QNK49l5jt8hetYcavtIKozdIjYK7rQWg+JetXK4aKPdN0hb9xq
Nv16kQKQ7toHQ2508tBoy9enkEC4es5+oi2EIiHp1FWiouViiWuuawdzM5f+YAUCB8hDSZ2sG5rn
PpnItr2OCmKTqL+Q6jebYqwm3emJVEiWA7FmvsJT8k+1T2yoGYJIEpz1ZIjSD0qSm95mKiMM5DIq
M++8eaeMn25tOohTDhVb5r/CIGImPlGlTVEUw4N9Dh303TJCQDoZqEjCXu5lScDvAGfQNVxMaEr1
mdNHPPBBALGLr0uzJT5CqW8mh4gknNd2bFJRx2gylQxHOItIIsbB1hfDCEomcI+LS1QvyexixD6N
gPe4PMkLY2mwLuVNjaCC7kOkbLRc44MdIapaar2i8EBUHtE/I75UL0FK6MczwIl+AouTeX6yHC97
QcI9y2E/wyVHhSnZvHxZNsxNEYf865AhMSeBLH8aDOrHXZbHHhtzJeaYuHieRC2bfp4b/XFYyME8
BAN6euZ7OqMJEq/xXtdrwtziEodR30QnW9KRKStafIs2GsZdyiqJojZN63oXGvga8vRRL8S4Vdxm
9HCAM7mhybmVafixqLujWeK9CLuXTTwMzIAdpkGAOn3CQzL04YYZz+xcuguztyHX/faYzhuVjtUu
CqOr2oDiQc3wLQmU0dOxzUc9OXXLzbUa0W/Vun0mrJVeVOPRChBYssbAUSHMdmPqJMwp4BmPjqN9
jvifPAdVO7PBqDTx3x8l4KO/bNp5Vq4FGUoz3cWX8k9p9KKKzkoKcO7CMqhgbi2K6NYg2NQL5mM3
JeQ1yezrRWebLfrZZXfR0y662+VQJTv2iMNgntn3SYtZG6dMdeTahbJDMDGU/S6F6HYhxIh0UkO9
N/Xiif5yt2cUoRQ5iOAcdNV5MjLjwQj8NXQnaFIFP+5CVa5p6X/KUE92s0eMNqMEzFAiS/PbeLhA
dBsuwFq+ptRKtws2ROkzmJs166MpRJG0STtSm0NfvEb5DB2wPqIAuoExAr9C/m6uzfknAv+7ohab
WcSXj3ufrFECZa03CfL+qupQxIRRcMndkqVphuIsIcuOeRtNv6bW3gaWXHbfFHd0K7PyXqkK2Cn1
s9rGwYPlKETDlwS9sRpXVgZx7o8douujRYMBI8r3iF3h3KqEAkDCCrxkXi8KXTM8w8TERGRmfR3O
kba9ZTL/FAUygNg88cujTxlyybQiNeesLCYLPIEZbAwlHM6aO94OaXMureLCF0EXLp2D59QvamXJ
xagOcT4BHQxLa6ODyKf2nKKWmFCaZ6BWt407zlTIaLyOSXrYqpa/7hIVCkUxDAQ+62iJB6Lb+oz1
Pz8YKqz0WspqATGSri4mHElBVh8GSEZ+btQX8gYIky8AH5VUXhGwRPG5sfAviL7+MkeKBm7g74D/
VVOLqwrd5zAaN03kFJCmexSFCiuZrOGlmzpJg0CTyUlB7cv8HpaEmE5cFYB4QaEEzB2vAFppwEKa
z0rDKxaD5N4T4bNVuhA8QoWje4w6znJ1vOkhrkJEvwnpjB9GtB8KoMfbeAjDrZMMb7UbvCr5qN+0
Y9VdcqNcgwZTzmTK+DtX0t7Gi7aDEGYg+hLyVhe0bkZzoDnqTwTa0dtQ8/SUmx3zOWed49NBsGkR
U6v3OkVvrlQxIva11NXqOkO4aEfXFPKu8IAZl1hTTgKd5N4Yso+WkAdvnLk5oRPHF82hzZHLFHpS
FeT7jkG6Z8Oqebz6/+yd2ZKj2JZtf6V+gDR6Nq8SCCHJe/fwiHzBogU2fd98fQ2Ic9Ir06zKbr1e
q4fAEHIRamj2XmvOMZ1Zv6iMKPyx7NH8tZoWtvnnRUimJxW/a27NdFcH0IPDFOle0hGq2POJoKp1
BJXKegySRLjAv3k3RENQNV67oFsX40jvj0+Kp4w+R3XRKTqch0a+VzYT2TXrb6QsK1n0hDziGT+9
dma3UOJiEKMC5qqptDAZqozEwWbyIVplD3oKBIpMpZuIZgOEqnmhYPxEIXm6taUz3fY1pij6MVMk
MS12WwY5M+pDyTCVeQ8s74keM7O+OyWBf7eg4ZKbbCRS5ZVQI9VTKtK9uBmRMoKSzKxSDNs4Xg6k
d0wnCflITqOvNrS4ddu9mAXRVFk2JM/oIg7vTWYFaHU2q5kaZNscR4nlA7CpGboQFfbxLZkj9Vkt
vww95xdE51MzFur9aFckNZYiO5btNw1h6REfRY+4TcU8qhcrQLgN5DAS4jBPWv7Qoep6EDWWvrz7
NqnxJgc22hA8Vvxar/EFXa8Im5Zd5LL6MWmA0YUNEZdMtgLEA6KwtrpXTSuQKNgOyRaEVvX9VyfX
jJtLTi+pjXjvpGbxqxJ54VPrGM5WpfwYaocgbxNtmlran7K2GlHqy5ehd9t7LbG2gDkEDts1tlu7
5xjtQajE1nSvyYLp/YLHAwgheaUtkazFcjHVnANhSNBnCw107BTfDZZ+MqqueEwMFbJJ+6WLtPZS
ivnJEXQp0oojsCe1faiB/1g9eR6LSRUCMbxyWPIZiKrjvnGhyUMIoiFT4O8AzPO7JUbY2NvOfIry
3gnCFUecj6xAeNWkX3SCn0+5gKNRqAIiH9dIjpjPGZZchpg9ylBdI+7J1bDsjYZH1dhGUom1SbEz
ZEkJNsJabx/mdRqet2rqfN5ycL/39hQQOg/hW8N6YG/J6xWgmbSrgrj8Zk5EGg3NeEbVr11m7RtD
jOmclQuORcsClp+QFGALyAZD15zKjDa8ks4BTr6zmzs/JcP2N5PR/QAb8EjD0MZjChezaM5LuXyV
Tm6BsuBUskcwsSadO24revSW3RWuFcrUzu/HrLKeGF6Ds2gzSVIRmdAbrYGuh/urI6XgUNp9z1AX
SbljWzCVlUgcoooB9qCVr41BnvIKT1IkE3rQWRe0mdBCzinAnU5nALvajOZ3D00Dlfo0tfr9PhSj
zQmN1CI3BuPPp54Grpe0lXZxLeONuJ6LCXsRPeHgUGqIp0MzxBnSR/JoNtavNc1ApReKMQzW+566
tRWJCsEBQkEdAKAeKUg/SP+Jh/z73C6uVywjNHD9E2Du/moo5tWVQw+MRG+g0bcHBxhEKCALvQ7q
sIkMv5rTmlynHIVHvWgjlzEMuuMKFRNx4Z1bLAzqdXDzRYLxF/4H/bNrCevrjm52PRL7O9nReAJ0
tLyQnBdkHaRkSlFgOFBq+lVH7FuS5sl9bjH2JogxO7lMX5tUPbRaArO5Ln61KjYxtKvTV6utn9Os
LnyryUbsOhFSzjl6XZfMoKypyEMGS+LOpRvtW6QWonKJfNUhx3dl+IMwwGXWqr8wk/o1rup8czoU
x8wYOyD2+i+31ymb6EYIetIH05J6cQa7JBEVNqieQsegE5lUk411HdBkuS2aLIAE5RuCsPlhMKIH
GxiHlMO7OUjubGtOaKTovossTzRYlP290idUoggTuZbdcjJUc3xqWoTGCoIjrjBmFFhZq3hm3VL+
7LTnkhtd3BTujQiS94Xov8vUbFZzQn1xw1bNtVCR/o6mgoUoX7fWaMb9cIbhlSB8oZOXK0SrquNB
ul1LJsh0rjXU9+V2wBotpF1z9ku7nu9MtwOrW9af1Ua0t2qSydXh3c+KUx2RdunYj2rtnK/RV7KE
67eFEzEdaQDu6T5KAw64VuIXGcE5AS/jFSX9D02iOFo7UQWWwNXo9kQfFZPp5Uxt/UKNLfLqVOkn
KMppWcDQyuhhnye3HK9JixGC27ziRb2h36VbhhB9Stzv2sqNFPWFJ+ijZ4XEi9xb2qtBb9Cz5246
Cpo1TB8a9FPyubJL1ydayDyKsdPRnTBCzZrqXsT3c95a1zZrSSRs9uTI/ElTMPa6Ez+A44IcnGKU
WTSbuQEwxT6KRRnCVAf2Hif5HYWJYDJhMdBt767Y5fqT2Y2ABcgfoBXkaGFvV9/xHAP0HkUfkH4L
GdqlJJE3WnxmVHTCbc83siL4TVdB6VgfSSuuBPO1qm09apCj50xEtSelUgb7F60lACc0bblXGjRL
RqRenZpxMNMztDantUyJSmrEuQdJEKVO+6SpxD7XRL6mk0Wp60/FdJtjKapXNZcr+Z3GFo+EDnbR
+7uqIBA8XzWusoiao9mkolgMK4xayqi3qcs+m8R7BqgZjFtUFG7QLMW3vshatCKuA3JLzalHlnRO
jPKW2gwuoJm3ABFaed3kp7/DnWY6lmGGSi60VJpOlXzgnhxfRR/ld3ZhIkLKqvte7U8Gnyyo55SJ
oRU/R9Q270q0Gen0OS3T6Sayvj7YkdH4pujtS+64TNIq5dmS0rnuC9GOkt218kiEYfFg1TUgjgmA
nYgZQjaFaIN0cpw7RIzlHR9bDKnyYEr7i2XhX4y2R70jv8wcD1cm9SMFfK4FE2lhhaOU9/glKtSM
OuSzub3KtAcMyJzVd7LZr/Vlei63xex2fl4Oz+7ITBWEdfvQQBRz3OFqWsi+mDzoxHsjS1gbNNVZ
LpvrmmoyrNxs8spce9RRqL2guuJYh/vvpfOKrsvcMkP44Y5JVzuhMkhxTFXzVFs0LEcoo0EqGLu6
XLuOzRBJaB/rAx4U7VxV8zdzbNKzzo96XxKrohRLeufGgzgiuNbY6/B9mi3zCfKF53JLfhnhgyW5
eq8gbLtnzhuupDjdGuTo2HUYnOehWVndg0uk/amtkQKW3fBAgRA0F+oQ6ttmRogXw0aLwm2+oJwX
rYeygJsBU1MwxJlXZlYb1gUX4QIZ3p07M2Oh4vQoeg4iA8Etw8zb0JbNnUPpMLVwsuW18TpZ+rVu
GxEoMk7DWKDI05ue5knjZg9QqR7g9414ymXQZUQdmyRowk4uqdPggZ5MxKmS/mqnYQSmgekeSCyh
yFzQ4iGXN/U1Qs39zevK9cPlvB5xqsv2pyrtJnBL8Y04ksvUjQVRTPjGJtkNKGqbwbfa9b6F5kYK
GQLkhOL0oaY/HCzz3Admzq1eMm06kcq3Fdya+pQqdSAaNKGJHg+fCqu9DYpthIZDv3ldnDpYCnSX
aj4lVyvvn1Ux1Mex6nmvM8P0WgyvdeSKGwVcIpi5l6DeodebIli2Byd0NhdCU4f2Jkxmzs3BMTB7
I9IjKCxqu9raAHDS8Y/1jXjCIFedJwujgqIoJgZai1HPQEWp0bqfRjxX17JxyGyxqnMqS9/YsCDd
0L2XdvUFERww52X6OhC3OItZ+vvnGAT5m8bqEC1ecgCncX6etOEtEePgEzAPOaF/WKNP9mzGyPub
lUugTYHYpXOLWhaRfG++1tmV5N/5Mxry1JtaE4yWNfzu8e3dvn/0/T62Aex7TRoIxFRzKfYWWy2p
3rqxQ1f5Q0RrtErM4yowy9J8Kj3FHXKuBLhhdhKEVqrFMXc2DcL+WHYdvLciDikeAk110TUaRPx6
2pQwfDfN+YIiPfdTMwV9osZPMTKyQ5/I1Nv79v3WxmcMNZ1R1CLyTpEmqMXXwhBk1avK2W0fZItU
Id5MvtMGTAD66wCergkXsbXpEusleFLChA5SYovbF0ku76OeTFiFUs2lW6BzmDMHd0EXi6gToNsM
aZ44WYjHtJtPFlQu5iwpgjDmMtVV5hrsvwLsqeoKyhi2VtfkTi0HwJNLmG8k29hYq6PcQB6OorYX
d1ewrfioqIO+aVIhykAifXXh4hC8BPQjTTChMgWBZ7F9kn3hbi/NtyLfxzbF0OUpW6q3f/ShI4NR
UsZsxNpoAPsn39eqGp/5x8N9zakX6bUGnSSmh4yCN1TFvib+WtsfJtsXVun669o390lTGMeingEk
xGPuL1aCrXBbuOD5cblBDhzNdrjsC4u7V7hivRCbfXqFdoUTflut8QH9XuwPV53BqJSVCzJ7vo0i
W65dvKqMA/gytveGfZajz9tlGNkuUsi4OlNVp2lMt4IBrzS2yBCRBF2tftYWgwTkrWgKALu7ZHu9
lDFId3Ed6xO4CGJJ6Cxfio2Dsq9l21pS5haQCfmwb6KROIeJ86nfPk6Vyn8t+h3YMuLnG7eK8K6U
iW1xAWNP6IJSu4fVJr1MUDQjWBTLCCYVfG3/XoxGdRsgxQdjkqEascaUedVWEaY5qPmuITNyx2zK
iFQy09l8NEWmnf73CrD7r2P/s/mnqutvarD/P0Vilq3/j1i3x58l84d8/Fqmf0e7/X7hv6RijvmH
7YLLdhEm41b7r2i3PZMR+wVPU7ix/ha8qCMVc20sov8mwv0lFTPcPxwuJjaRiyDn7Q0I9w9p2P8o
FdNV5+9SMVM4Jm1bh2Gq6SBsY39/C3fPIYOvRa0u5zmv6ZAizYgK+UJeWwV3ldKl7Z5ihbA+ACwn
XbVJ2NHN7lQI9dhxFpzdxsmfa5oJ3Sa47yczcNe+9e0U5EZhE1XgzOhAbeLXbpXTPU0uUPVC6aFn
JaD+BXeG5FaMtiAbCQtDMfDPAN0eG/PzPNG6cbX3MoKGFqUrd1kEkuwLiqcwFIJbk/5i3je5FT1W
32Q7pnQJ8V1azHvXyU3OXCNtH8t2AkvSlF7XZLVnAhsNFpJsyY+I310jZ0C23egGF3NUO9nyipnw
TSbPDEQYFriUGntJxUR3viQ46QKNUd/Sxb+mDkOmgf4AcTpjrtq9mRXwUi4PykHJc/Q0CdbebSxQ
jLmKTs2gEg+X6qCWEZkcKR2rHDYzcUQayeO4RI4qvbPQ0dtvtOp+JfT4vMpQ3kiWAgogmV4OC3kQ
Yy7CgiIxlXT9jtAbomekkGFqdneZcTfNmO4znORlAsDNKN2Jgsw6e9TPRDhnoJ8ZFjfhqqu00tws
vV8SgrkkRPbKHu/AGvRXzf7WJV12M0bzzlAMByELuPyZoZffMrwPgJrCM7cbZquzk502rLxJ7eHo
LEgIljqHzdtj2B1VE5bt5oA1ZPpu6tT1knnpiWeUTFPrpPOqlTTa1eleaf9dx3YiW5Y2bgINVlA9
VZX+e6QR2guSB8aXTUnTYYJhYvpwbNTyyoai77v+bs1zJQRF+mBVaOKdNNHvXdIF5sr84mhF/8CN
/QbuqL4qBFvjPtXOXOmJeiLF2qiU5TUauEt3szxClXavy2o5BEu1IRnjgCuG6I25SXG0yQ31O1gj
/sLl/ESIAJrvjD6qThIXk50GJY1t0hQT+nwe8ooJkDNZQZP8aAHW0rSkzFd0Izqh4mSVyk909t0x
m9eN3clTcWw8I79OJsUJJTNS2PqY5Tvy56KJ+qJq59qNl2Do7TlO0P1PR0dhpg8T+3EY4dZOsz6E
az1iWh+dP3v8gGeVrGVG/nbsd00PP7BXP8+I0I64FpiH0BvBM/1jKiNeMncvrl2RA99FfwLRQn9d
vqyJxhFXpnemwOA50ZIus8z2UZqqnjYanxH1vHQrCiLIa+h4OnTWkcJHzesuqBb7rvqarvZyGOe5
PCz6C3HXxTkupydXoaOiNWckgbrXLUUc5Gn0ioL9p0hdkg9nAmsMawk1qQdOk70sNkyMole3AKLy
VwHcfu3w8SdrZHC8IOhXnZPQ4vZmAYk4CGI6jmXHdQtu2pU3azzxLX9LJcOSMtWO3GcHP9edb41T
BbjqmgfDdV9brb11aFs8FLXSo37QX/vszc3a2xSpgVmjD+rttXja0PnjjwwgxmGdwS4sNqqQVFUO
U93DAqHHuxnFSLdaV/k5ajQQ4YDPwRuUa30iQJyesR6BdTCvkSCnBJ+wdpgzJqFLY34zEOdeNLBk
5Tw2wUSxAdgveYKW7r6WQBRR06WAQzI69Cpla9Q1ECrIGk8bDSTIpncg+vxE1YacDKB29ZwUZ3IG
FDp4TjCt6bmjpRAvAY5bt3zL9c4Nq6LBx3vNhiZIcOIqKtcHyw1MUNvnVl+9lIGTX4jmsyUmJJ65
0QRVCZlBNd6rHC17vwwptuAlOU8QqAnOs2i2zBkk3zHyaGhTPsFq749duDSlQ8PA6j6RYHJUp/61
t2wSfScRn7EmS3yoyXVstOhoGxuY0HxyRv00VdNyrGMc5pVcCDlEJQzsXTx/XnPCdTLAlv4qwmXs
kZPSJZ1VMoVmzAqLoWZYZy/GRksqXRBYxmWaMty7S48zDFnnXWanNi2l7yRl4IsaDM9dSCRyC+e7
4lpQp4ooUHSqrmOr6n7Xm6QXZoS0oe1VbPoHjvXDLLRnFWrCgeGl4rdMLW17hftbpd/WnrCLIS3f
e5SEOhnpDkDqWJMeQD+vjwA1RmcHd406po3fG0kAUQ2GELWDuIKc7BL1qFCwO1hy5QrTe0Zs/Grs
8lNmccGgt4V9o8UhSfP2pAnmKYOlYtF287tozZ71auFQ6HX3GLXGi6Gn9D+ZtS9NM5wVgP8HBiLB
qJJEl5axV3eG3OTDJ4vA2MXYLJ/UfGpoqVW1GFAx7/sxonxK8xyRy9FwOYi2rEZX+9LAbPDnbklO
iKA2DvMY9qBwLokO3cGiPjjl4kWttB4zt47Zr988a+oYrugCTkbtcCvOTXws6EsxpaboEw6xXQUN
c5WjHcVPrbaGpZ74pOTRKF5D2mnaYaGjeEyi9M+RhsUdtUP4ARkfxRrAdQMwODQUNkg/vy/ckgyd
DEisphEq4DJFd3sxHdxp+i7GBqKECFCjfYX9/uYuLlS/BpewVcwXFb9M1izfM0XEXm/ETPpIYtNc
0+vjDGy9E1KrtY+N9Z4u4ruVFJo3tJ86oYAx6B81c3qPQU55sumQ8N24KESbXuba23gxeYN9CZLe
HO4UcxNj2xu2P7PDNOcm64y9X3ItOA4RvIiuX/w+AkPNaCPI6yhMx9BqGxfOKOp1sXTfMBMVKVWE
DF07duybVjcMR5jiDzpxz0VP8ug4fsoW0tXSWUBM5eCiS0uEFuB8CbLoiAoojKvqvR2o0rRc3Y4O
UPpU695cl6KtsWQ/aKOL06wYD3U5vq1MndE9oU11qQ5Ps6Nf456wGhBmIonJBKlrfveB8UoDbSfP
n0tcgmXTAH2xEWqUM9RDG80gcYC5eDUJjjpwzgWRuvh2gsrYSDj6zKxF8kj+LQ1KA/FpYQEEGmz0
/njpLyqtgFiok3Hmzo4rc+Nf7Yupt4rDALrczwDC1tTvccti5SWBepov7Tat/Vjs23YO3r6NA4Ah
pz1mXMCpV+R/LXb5SKtyyirxaflL2JPuPof9MSdnHuLiphnNvDvaZuDraIMarKHYRmm1hLJ+KbLB
JEUOS9wO1NzRmvsi64DvfZA2rXqyvf2DKLseOdo9GJuueCePLn0ZbpicYN8utif3tX2x/0U3NN/B
Anf+x6Z9zd328Xuf++r+x1odcZesl6wOZfNtpy9W40ucqm5o4/UP6JTfJ0BfmMYjirnsf+Csi0rp
k/BLy0R9vguVxC5E//1fbP9PNEgsdtyzjuRGlJd2czO0hQNfb1/dN34s/rFt3+M/tkUg1orOaM//
2P7xUEQk40hJG5uczAzpI9mD9SZj2kVLu8irtskyQ8LKRpO5fV4vrr9LtT5+1p1gl+PmBZC3a+Ln
DXK7P2/P06cCHaNf7ttUJ67OnUla4F/HxL72jx22myze3mTxO2fuY7Ery3YM3b4tRc6LAz1fDh8Q
vWw/xvYd/l4lnfh9i273d+rgsNW59rVsV+7nPcn1vTH8+I1GpBmG/nribLVLLMLLJgi3qzyMtU5a
B0einPz9s8UxyIZ/re/fvbS5mtP8we9fznwTO8lyV2Ptax8Kram/o0mohvpqbkDXzdLwe3XXZuUi
DiwAznys/n0/jfaF40h+hXo7o+jGLp6gXQing1Qnqn0tRFhOomWhoLU/3NdofbRgQWWjHvfH7igJ
m1B7PyrJEjDq6oviCsS55NkdZrYAN2of2YwAtG5fac+WLZcSvSeUoYnQSKzzs9bdzKXNnkVqBVYb
fW4jNOqOMqV+w1CaNKemPdVORIO6B75h1q9lZZAVKIqn0gBnYgFOC5Jq4XY5oPrieslkjoATv1q3
kYeObdW0gAsmGJIOjcjluVvt77qmyfM4oGcCfEVN2AEpIlEcDLnmuakhjgT3yFCbGUXEmRKKbkip
SHbZddr8vdoYFfe6XnGHJCrTQ3cxkKeASitysLdacf2gouqxLVW/DvP4ZdS3RlVN1mYSt50vc93w
mnhB1DWVvzjDX1F812HrMi9TlDQ5D6qanwqwBV5OniqynMe+o+0Z2XYcLgppvq6IjnjYMGPHY3qv
G4wIUbDRJt0xgpneN+SjMNWsN4pgsV2VkSmBFtyhgfvqx8Z//M3+rLvZGD7+rurAJrQIjyg73u3P
0RsHQrivriPF3AqnTbQlca4Cb422LfaHvxdMS8CuZ9znB/SeaMSI8cxXSMMJMbL1jE/VHVxvz4JS
Rvdx3nJA9x1102bN2fbWbhFP2ZYcas9oVtmyPxdt6aKjkk2gTdnWbFN8lRDS/clhe/XHLj4elh0i
NH3LNEV5ya0s25JONyzkHudV7zlf++rHIkftFEz2FMocqS2yPLi926nAwc45klNEZQpKnOe27eOJ
j4d26wKWaQEmBUPp/P6T/dk4W77qHbHfH39bd7V51BjnwUvn+9q/F7Ix0gC4Ke74Dehr2uYNVKU4
EbMM8HpbIBXhif13jYvKXY77qr7dl1TDetcMOAGw84m52xYLFoKLniQx6MBVHEfXibyh4KO1Vqxf
JlnrSG8Xb/c7MS7/lxvKRSD42wv3sc0kmAk8l05kc4WsdS92l9vt1532jwwLqCH+TvrR+lQVaRoq
pOvU6MvDabnTS0CauytpXxsLovByZTrHm7ML6MUSWKN+ZuIa+y2nxoFJDjLb3y6s/YK4O7X2N9NO
pr7hfxNv/99n+j+nqjbud88Y/aguFOOfy2YNmYYF/6+qB7tJC7VPezKFePpw+7UStt11fzxvUlTy
dQE9yDlOydqF5YK/H4WtCRo6FBkJMlz89wW9ELM4D5uNS0XRSYClXCrijvPLbuDaF10P36x1+Lp3
Z9f+uv2JwZIbRWG/f8h9iVVy8ZKCY+u//NW284//cf+/9pf/t9vEDub92MO+tr/uY9vHw4/dfLy9
j22y4WSNYmpmnSM/RR973v/Y2Undv9/7x2uSXCTnVUPh/vE97R9P0R2qJrsKqDZoFmyYVjRQ9qlu
UfrtEN7FSf2BWy9TfE5l7H2oCC03qc4f7r1qnQmJJrHclNI+rxNG/E0jXsVkwphQ2w90nThk9iN3
P04+FrMj7gmB10/tKmvVn56kQctnb3qkgtv/tMKVXcsCoXpZobTpt/twjbKK+f/2fvY3obbjy6RD
sBS4TuMUWDpBrAi7sYsQoID/X9DMvPARqrbvL0ZBCGFittI5ojCV4d7KIJrzEbuDmx65ZR96jUCO
fR/cxTHMTavVB62W03hJRpIpEQehqTn8X3OhXf7fHOgG8gEs2f99ZswLGXXJfxy/0olMy7+1F/71
0n+3F8QfFrsi+wVbD40H66/gGGH8YVgOdnIDGqPQaRb8ZUQ3rD90lWoMJAHi1HX+6qO7oP9BYZa6
BQ527bez/X/RXdAN/R/BMRg90JiopsNObToc6j+M6EOqZ2UraXi3VR+DvB2dW9oMr4VJFdKZ39tp
7J6BgUIDnceRhHPNusnlOsLfo6xhiwCZg1txrWTwA+MxAv3oubRFg0rRLkYVz56ZRJEfLfdLW7dn
8BvfpcwxkqwZlTzUi7jaJETAFHD8ZM+VF9/juJUvbqb6alsab0uESr2Y8axp6xB5s03tAp1b0IMH
9Cziuo95K+KTCV4TGQOEWdUhX5QZqTzrBLGd6tk9gXZBZkOAoo1iOWOY54P2xUDUJ5XvMr8Mqyi9
YG6cvVadKKK0sRuUdepni+meoj6m8DHZ9x0Qwa6r8xdHQxRWwKc8N9l6TpWx8ppUq6/qDFGumaj/
I+AO9GR+cxMBcxHIxU2xAkJz0ysJ5PaRnnn3RTHmGSCQEcRSuuBJU5MONo3QiONlGwT+aLOl5CLD
GHysdA39xmCRw0VZUQN54Jtp95mMq9syKglyyfIsJaUGI22MgPDWUOeoAqHuaJd8Mr610HKOomvK
UItDJ9WsV3Ip0LGnDRUcWEplkRS3GCjZAEbzgqUA3ZJfYPP5ugKDLYw3i3EoMkkkgDKang3YztjF
TLClai7AYxzikVAz1y6eCYq2EFp35gPpHkXYuTFDqQQ3dhQ76tUalCs2sfySYPK4l6OL0t+t30bI
9idjWBpvTRML8yepwkkCag56adS1XHUjuloGNoIWJ8DTWtFyIvfuprbOp7mi2mxYGeb4SHWeKfHg
1lBojTXDsoV9wnIb0EDhrSVWE2Yi/BHrUwQSp4e1AiQvfqZlZZyaXB5FUyd+U5SPKsC2q2E3YHj0
NAOiZq/XJVvrAxXSp9YxMId1EJ3c7d4CDKZW3PzYuUx4lBwyVD5K21trcmiyrCLrIosNUMY/SKFD
r+3YzqMJqeZQGV/qQqu/Lkcc/nk0lk9YCzauUkeCrz7a70kKp14u1rms1dKrnPzBAc6HW6qOOe5t
tBXNcldga3zsxleQVfU1mYtnUep+OvQvpktYx9ImW9knAW5g39wuMvAvT9a5cQwCfhDE1ToqDq2M
zyj521s6z9PB6E0jTFCCMaYd/F7QRURIgiDWGrprr6xPTTVm59XN0Gj9kAouaSdVOw6g4gVkGh2/
dHmq4uhHMYjC0x0yGwwK6xvgmQDshog5WRB7rKVbCvrEFNfUZ0+py+msaDAN9eiqKX86i/vapG3z
kOGIkghn+KGwrwlvkeKGsWrCUkycD6Nsl+F/9qYi8VIs170x5n5Qt9GjMIaHWZ/zhzKI75HBXit7
ltfZEMoxjSE/mVLH4SRcpHE0fYApTSe6U5doxs6ajTLxuxnt9gSMw+2bk2uUyWurf4I2CIkJ5mip
auk9IQ/aUbpYmzXF2SY6r1yCnMdpGkiFMhgPloQ7phXlLrtY7NvGa8ZnavjuwLQxUU07kA1sCZFV
eKXt5p6RpHOrevjZuVCm45Ji1Bh6/IGmGJ6LukHpAh/DExPiBDSThg8OE3ha7aZ8P/qfGl1kVJWZ
G6jJ8KOzs1NMsECgxHl2lgYZNYgffjrDkvszwGKvV7EnTVIUjx7oY3FF7/mWy0g/pUZGQbje0vNs
FFck2+K1iZXHNcHpsM7Jll8jfplu9Kk1kmJr+hiHVLHNoHpHlkHDUuB/lE0U8b7nB75aOjBL8dyU
P4u8H95a2EbA5GA3U8ZXTSJNNoO3hlx9FtOxj+UYtppe+EoEqmiy1NmD2ovlkJsAlPHcc5afUV3C
E2oAbCCNXk9917xLSwP6Pra2RyaIh37lM5pWHCMUgYg2n99KR4XhtfVeOyu6JVs5AID291U0l4EC
uIfl93uhxcVRz/pwaNHTOgs0xCrPfUMjyL3ItYD+PAA0+OjHFA9kpPWImuLlxJSRkzJRP9XLTHHL
2ATZK9KxbbZy4q2fZzcJG5E5N9NU5keBmpvhG7YmG6edg0SpJDLRh1VMrT6eCi7zEJ1Xk8yITnk3
0/htoSlN3oprhItLk22ZvllzMdOHEXOAPqwI8Vh/0eP1m0jy6KltmQyb43MHq3bJrCdBLwqep0YF
o4cFAnLTgiLCh+jM9KlNQK/OC6dmS0/fG1bFLzO6ytGMH7t03JOWxdsEXzsqZDBdcq2n+YFI2l9z
NIiqeidGa90EoiBS6lI9i1J+W1cMZJMGzW4FBcKVLqhUyvoORsS4s8r7AjDwlsa7EvOzda9oMzIw
xn5oldLyaXcz0F0bP8JzfXYzHO+r0b4bvZ2c9R4LhlampS+n8iv4PxpW1GPWNbO29h+h6NbMUcIB
ljd4hBEz0EGrH21b4ssslDOxjMD745Vaj/ljcZzkbpWJgdCJYCGt/7UUQnstu7NaFZ81Z6qfizF+
r5r1OwbM2IeGC/R2SbEgIPRscPuDxZeAY7dwPG1ovwg7a85NHk8e4V+jFyG/PTqdYweusxYvmt6H
WaQA7Ob6vcEtKY3wAQwYrU+QYHxZKulnYtFo9UZn2nuZryMIOZnlHF0sO+7fsxGYVzo/daWWfB51
OqUWyL1aDtYr6advXJbwJST9u6PhzzfH7mhnWXcPQgOODyMYUMGVes7wZHpZP+QvNCgrUKgQhUl1
HwK1MYqjTLroM1PkP/Wl7+81Gj6eK282OaNfRzWGp+pMEV0S7V5gS7gmmMrxvfbOVysRn6M6+kpY
2BSqmwETsSSy+xgsdtKu5uvotO+jSTBgr8Ujc6ImfrZsxKhtQgt0XXKNLhxAC/Issstgzc9mMY53
SF5LT1+V+mzHsCii5Ce0MUBsditfgPsPwShwpUWDYT3Iie/DMisbM4KenI0mCetsMn8hZeDSmN8m
ffmZIN92EqcOIQc3BwvuHZCMOJjQ9wGtg1HSwu2+KLDpnGXAhVY+Z0WLzSQhwZf6zevem4IcNX6f
K3sj5T2nguQR8LFdCOfGR1LwwldFBbRLwXJS5z3Z0UooXt4i7G7kV8LHbcjJYuBHsbyq1RqEfWny
auP5Ypw1Foh3cnovTlJakK6bN+69J7uNUZw0RAAPqvU81N2jPoVR1Yo/RQSuooPN94JCw0BDupZ3
KcNVrtUk1eUrBP00AjIaJ0cTSbhXg2LwlO3AyVoh/ayiGaQ4W7exNH7JDuN60ptkjZXqo0CQunbv
5mS1P4zB/RLpdfpZRe9yHEEnPk7ShEpiTScD/YwdV59mymAeRSxyFXBk+F0hK/gma/IleiyN9C5y
pvk/2TuP5daZLFu/S48v6sKbQU3ojShvzwQhHenAJ7x9+v4y9VeporoibvT8ThAgKVISASQy917r
W18RIsvYjpe3ubUeNM/5aANR3hPuBb66vzAeMYL4FlBxu75yRz+5MTgtV1M/dnt3fHVGgJCFw6y0
XAcVRVyj+Qrlgtdr8TL4g30mR1aDMfzHQi1yrn3Rb1I9lbpaOMETNVoI1RnIUM0eV7k5kke+hMmt
a2+KKNGe/d5GxDwS3oYp+KYMMcpAqf+s/CzbtKMxH8pweqnLFke/RtFyXoK3bGguYc2fn3qefnBo
zk+J/Rz6iGQ93fwzSsQ48x5QuPiHYEZlAudo+WmBds5cs8f4MgBqklRL00yeVUeApQfaoxIRjCPf
o944SsFibGPYpkpG33QKH6pRa7FFINVmjZXm2Fb1+BmnkYcUffokgpGoRLNE11p3dPp8NMW6hoFD
VlP6CHir2jA+U2et7mg46ZsyX9JTnBx9jzPOTN3r0hiGPROwC6KVaBtWuGHBAP2V8jPK9K1kGN8M
XLCQCRHOWjpFaoR15Hw3W3yLIwgiN1jng1nAnqZFLuZo2egeFhOueQ87v1QZZ1Vl0Y9MXwyiMHc9
glStpZ5pOJMAj4F2NjErKh1tf468nhJbbLesOGuq8zIcEPfqfBqZW26xs8tps/sBFFyDaE4ZJchB
1g5h91hP6GJbP2FNt0Q7uFiIOmZv2HRzfFc7nrtzEP0fmZ4stXdfosX24g83G7Kr7jPG+sn6Ib0p
nB6PTjLSrzcgl095dMTGYl9NpAiJBE9n5wZHADbxxdBC1CEZJA3HT298D4N5GqdbGKceFn8vuOAV
eC7jskZUYif32ZjvjdpdY65hghxn6b1Bq7Vy6q8AZOWDlobENlD/wzvhxtSjU/Aay/CmjRoYw0Xo
ZCP6r8KERlAqVZ+DGZdLEi9ufEqhTHSj1T0saRCsIdm+pVN5mJshPugif+1z7w2Xx76rjCtvjD9i
JwA4W9gvWnOJiTuuO9iNCGTIhEu5aQ3hctN38xsGgR2SopU+5hHLD1w5kRuCFmBki/VZ4muPLEzO
mUgphF7nibMKoXrXubmxHX3ej6yKm3gYDgLN1qHXzH07+yH9EQjp4EGZ7rIGXGE7dPFAVus8diXy
W7+xXdJgQ+dqwMJ0svr6fUiXft0nzr3W0pOG+UIAX1hk5yR+zkYfdrN1y7V7K/rsJbQq9xR0MKIm
/dp2qS4ysVcfRJHQONRVdqhDuldtxY2jsgxiB9B1eMsLxAPzHJZcxzFmx209YIQcywpTozz9oPSM
rIIoHyDrOIdBYB5DUBGlrFXPhXUgFdo9kdOZ77NMuxlIrO8cYR8RsdRbT5bUI5P/qR0wQhi5OWyS
AAi2PvcPDDx3SU/CXlowiSQ+FOxyw3Jka40gXMcC3hvF8ygtV/NNNaXGEYEIhBhJmqNKHx617lMD
671uAq9f0y7SWAQ21/5ELkKSwSyfCxIs1P+PV7Vn1SPTNXznZFu1QxdmcU5BTKqvw+dVFfkqduRg
7JV5lLMc04J+fLCX4i13uxuzJ9KtH8d5U2rMo5jLPBo1iVUEG5IMiSh7hYzhN7MhErmjCFB47Ox1
03kapxA5z6DdCzANRn+PjjYjeX4kj84rEAzl1/pCXE60VOma2+uz7s5oKNz4QtTOZ+GjB/UHYZMh
vseYSs5TloP4yeMU22RGP6if9vaAykEHUuqNSbxBv/k1ircW5cmDaX65S/BcTEm0MzNY/CC7gAJb
0Ehn39zn8U0xj/SBcHaDusG7nLebMJ4MQqa6D6M2DiJmyrSY3p72/20aGb96Y9OK3jnavf7WUQM8
lTCfHJl+2PV9eijpQoVttIlTC4yM8R5QkVg5dYcJeHa2IIFZxcw19gLzq9Lq4HLdz0Hwy6RSBhip
7gsAplTGIj86u61PybqFFFyb3Q5Ct76K58gmiBKJU2aNNx3EASxQqbnD/LqfkiK9Mpnqr7umjbZ6
jhVwaAmxs7cQfFfEmRGs4Rif45STkdbINQCVEc5L9xxqEZkhKeEHpQVUYOSnUqd80qsu3S4ukIfC
WTbtBIwLAM60zgkb2Wo2kRVeC6Dbt8ZsM/TQCuHSJqushEulJTPWCFbANaf1oclxhy35bSbqYzeV
XzVrXYIfiBL1Bn+t5dNN9RR73X6cwMvGzXOgocTJ4/y2DYgbaJNf+MHKle7ktLaWDDOe9xR3DGgl
pZDFvOa6xpVfQSIrviqwPnvTqs92CPbJaUZg5wP4uhDzsImsd5jzlV2Jdx0qVY1vv9ZT5Es0ZbNQ
EipseG3gqGC9T4fB4i4XWC2tVbJrC5Zx+J+3WrdcPM/hvlAyZ7GI1WH9kdiffhp/UjcM4vRhIllp
m1kWB6h5zdzsjZbhV9sd7YYjZ+B9sr1+74TOHYEPlFmH/B3z92WYsEILxFJ5OG6yWDt6XXiIdPHp
426eykls8845oQ9BIxSLLWki0qnuDuuh0482+porFlVnPdVuK5hSVHtuoiZ9TIYKVhp2SUb4Xcr8
hsnRPdcIBLY7kQxfrlmkTCtdJFIEHLl8OZQo4DncU2A6Jab2kYSWu0IXtquAE+LCIvaAYZ4gkkNI
QpRRFzsGNW0FTO226Vz8dxMj7mDHzFpflqD5vYz2FyqQp8LGAw86KvXH55ao7EBMv5Mwg6HYzBct
sT60qX6AT7ce0uRz0I17bxkx56BOywQOTQN3XEn9yMlgoJHqNWkVuuZx+oRnSc5fx+XDcWChcm2b
lE1ZJhyDxC1XTmQ8Wa5znKvsGCWgCFucJ1X3VtbO48gqYCzTXc5gnpfZAUcxSSlo02JtT1LBJvZK
qq7OgbaNZnFAUY5klZFij7c+/TgAE2GQ3EZeKWWb/BnTHH9j2N57rEJ0krZXna/VMPLazexXH5SB
b+OjXXyWMLe1prlYDSArXc+IfR0x5+f2fCm7+qMzEaMity1HTGhIwp5REoCLNiApZ8zLOl1CQfOv
2T4KLeQMz+Xqxi8Os70nWOGzCcc3e3CQyxjMH0tBtkolbmoE3Zp1S3AL/bdnwf9eoowLOKcicNp1
sgnrDpQLdtkoC00QZTtbgrQ7wNJwl4Hst/ArXRIWYbLn8YpcIGgLPXPr2NEeRMwqKEzt58x6yqDO
Bw71j5K3L9SgOwEhIWqmP5WNULrKgidQhvMKPMdb7CODc0JrOVqpjtibakswxn9aYV13DgqZmqp2
7/foRHqEmrHQL3X5NVMHA5W2TazY2oseqpvb39dLYR91Mo6ocdCazeatTfbEs9Pft8FE4rs/hMcu
iC8h/iNW5TB/llBstSS5IS6LiSnFHFEn0pPI0Gs4BhwlMe6bQbeORgyPbAmnDxRLv/AtQuDGIx5L
enVIUcVA+O3PjYRt9Oec1kR8QM40IOcMBWvFaINFDLliQ1nKrrjqtJ4UKz0lBzDgjue3FEqaGK9k
AruQAOhyvtK4rEzQHRimIO7kSJZbr7KPeFkgthY9E09MZ5pI3904Go+TTrZAQdNQ49RfOROEet9D
n28mjns1ZXtrwk1pahoF84ICv0dcrc8cqCdxZXCeIoNvebwGH/wu8t/kx1tPfkyHoCGo0JQ0FEjt
Bo4AB8VDGQmQISjItLwh6WJokNIBewBvBUDT3saCmZYYUmvXmpCv076kXG6DS6wpftaQc4ImwtcV
IsFrnArZWNNfOzdL/1uvyFQZl9LnLjczbYzJiNXmcgPf6nE2dSmGuV8qjOitR0lC94J4GxMhkKEi
prEz4h4uSaKosmnPfdE+mFMPSKDL2k3gyGSVUDyTqHXbREBRgtxZ4Up8yTo4T85o3wwMWoFRm/vE
DW712iYBDCW5Ceri4jYESODatNbd4NxXLdjyObZZtmTDRxNHjx0JLyu7jRh3Iuqqpdls9bZ98PPO
ZzQIvA3xAZDdWEweOxKyIK5zXaUVd4iKQj3NZq5OP0Bf39o6cxErDm5tyG6OwWxtJsCi4zy4aoKF
PKLOPGQdueqm7/8RaVCsweEc3MUQ26F2D3FdztskfWlmrbq1Ixh/DadhJ6It4TztVi8IISM/Lwl0
ojrMZu1VHjhOaiLMQPLffamhlzCfosyrj1nAIswJCjJUouVX6xQu5zVxHEPc7Iq8fiK9uN1ZMDfX
zkwAnRirjVaE71W/4N4wzHg1WAERRTPpHaRhrbKB9XY9PFPtx/DfAyuZT5NVfI7dsGlNyMyL5r7Z
rrhZcBe5ZUWkkIU6blheRZsh0gvEw+TxR+l3vgdEFiEZM14Sau1fpjc++IISRmAQU1g5FBQiVOaa
WOodq4oaZzI2R3dj9yNfNahhplxwIvVkl9oiPxhTezA86CKZBlyrg34zh0i9HkJKOgnZL4jxWMDp
2BaLMYTo7j20QC6YFlD6B5pPGRM3DBxUj2s8aM2RtSZeV7zrFOut/n5ubITrHrX0Vs/fY34Y/8+f
Yv505ubi6eCTjIq2H8qSexPDdZAy+bb3xZxeV0Xzqxk7ztj8zWG6607TFY4psCrU3TXcIw6wJ0bl
4TaTawOLXIU5v3TFizvROcSxxJxLr8GaEWsSF6xSKHdZewmZMqfxhe7iFs3mpjG9E47fPwtfyeDY
X/6UgzCp+JQxOhSce4n1boUtiMPiEyn1FAV3+EemtSGdPsF4Zeou3VeApZjE7hqHIIE2WwdRtvXc
6FIn7a/Wy7YNTBdmefYu6f3rfvIumptuogYv2ko38seh714rJzzJz2qc7CJK+8yMdd9Zr3XQrOlY
sNgCb829NbHHPVrSM7Sj2hOvgQmAS3fvgx4CVbjH7fNqmt4VRxKh0caEKwzEZdNiGoIWG9XWdhbG
3mSIJJ6l3zSls80ZpJpOrk90wC/lwlKnmkmXYKhMCqI15+UxacXrRKGjQ4s/ecNV4QIzHcun3H7k
W9twlR6JTtj29EOaKbhxxv5GHq+e9Mu0SG/4ldfIDvXSvQu79tdYUdVaUpIb3J619jTCXiHzVQsP
4Tge8JalxFw33FoK7ow2tXVE1oB+5vqOkKsXyCR83S13APPedP2V1pH/4i63ALS3OO53tLPfUsdq
sWTUoIPvhOFe13N8bPx55xJhKJgWr8baeU56c4caETGwuNRNT/JHphGTSx5tgOolpVKlkQGxKmNi
r/I8fZ606ZOuIklDLaA2kK5Wn+HDFwi38uEwdc3ZzukbtDjmY8n4qgb7pjajXdrHn2VOwzWuAUVO
yTO155iRsCHyxCT9xgVi7l6H9i8KW+d8HswNCl6wiulBD6K9GM1DySq5WDYwUahD3UbutO04RzRj
viS2sU/S+Nin8aOZMvHWrN2C3j1rq0MIThWODP46ui4VoudqoqtEurwfRgDM+oeQIrD0PDDs7icb
WyKD4pVZJltSCx7kid9p6XuZU/XgnlYO1yO+h4HAaoKZXnE4nhstuM4zB/eJ/0Sj/XXMSER1pjMr
bIarWn8xRh/25PxHWD7C16K9m7nkV4aLbawcRm09GuLM1AM4oH009WZftAYqvvDRpPpQMX8pC/Ma
cBJxmNU77eu3dvIPRtrRGzeLvTf+FrYgEBBfo7ZsGiYuGiOq32kfi9F+9oX9NJv+UxtTd6cY8Sk6
93HGIKZpYO26+pk+5i/gvE4f/tIdeGtL+yer8QKIbJc52R095+MIpyWbabSirwhEeqOTX1vWj27c
b2hS7ZIg/zB1+sCu9SAiqCRO/5syzIEAsLnP3htNv2/y9q3gqtdEdUVU1atZjW9jR7BPhJlrIPSR
sNLbhRYsqAjKmybRRRk3IMknKYIT/NEN95ij70ZPpmXclhwTy/c/+VtX9RgD/mjwiD3pdNJc7p+1
Udym0yP9pa9w9q/ryLxu8+xXXtGM89JDHkdXyQLuEaCppUE7sexzY1VfyZCRdDucHa1/tbioXAT/
7mwUm4Seaabf5W3yRtTXKW9M6nkscHsGEy6wF0dzrpwkgRxM/KUH5ziprmMPktxAM0XvxhtrqW5G
szl1i3WtFQblZ+6XfnRqw+wKyOYjxaWHhnvKaqEjUhpkBc3Ltis5tRk9HUOXgVOnkEQ2rArH8F44
o7YiTBFF3drtuzOZs6y+mmYLCn3xbpwZdtVAHi4L7Tley5MlNIvbMLo1wmYXV7jbEupXjDPI1ryW
HLtQULRCyBYW1ox6otpB3CEs88Ye8kPQiUfD9reDhUm2dKxVRxRop1dgcGfkdw9WOh4JYUWcQIU/
Ml+dWVj7YqIE5M0PniurMSMmEqe5WQb7ks7mLclaH9YUHyJcu3GxXIV0UdtFZpm1v4o+uS+LxyCO
8bR43svs/wqD+Tg50+9Sq+ikGOZ112b34dqX0j6jfh/73dC0EHna19ie3zzCq4oseI59Ljlhr3K7
7X7PeKtsquC0RfYVRqe1ZjKdspryOHUmHPvokHkeyMSOzga6GOBJ5zGgFlfQjM7KSxov+zBjjsSI
sYUzxMIM6Z43ud4KzY0peWe7mmnWWtgPBC9Em8EznuhuXQJBslvknVjjHBI7f7YHLvtxifj05axT
fiDD7yCMhtOPwpNj3zLn/Zp5PTT8bRDMu8m4ceviscybfWTdTUvygmL5gVATzNZM1fWecjlJh5W0
QVQ7TYspUJO06xr2H/l7oQze6VZwjuv4EhuBs2pMpDryFxa28UBwGdiqOLiaIpA8MQj9ljMlTp7M
wtx1Q/nsrXF2XRwDqgkAJNYhSAzBkpGqQf9Z/tBU1C+9F7HcS77MNu7IQnMfS7O66+MdcELyhfNS
PPhISmzohFkRfJgt8lDLcu71ZeFOHmwWFnBQ40gasckzb93lWQYepQ5wTw1QJElSrk1RRCNhmK58
1RHqSYG5zbQLwnXsX1hayWo8NN5wg2GJMqF9DMf2ZtY8sH7WkYicfbpYR/t16Cliz48DCWxTMh98
v7+xk7dIljLH8gt/4wfVVmjb9ECJiXIjnKfBEy2aQxTmX6HtX8KYKNPZrY++3r4voXuP+X479vHR
F1RwIK3zC7AQtoAjF4ZInHl7SnjrfvZ+oRLVNw4d8jwvT0Y28lViM9ou3LXWnvAAbNFWXacd0fED
sgE6UGJNii1z28J8k0Nm1E6vblGLNd0f4k/bG9fvrHWQ6vUJHGlAGnOIauLiYPDEAj+chPb/JaBf
/xsJKLrL/5cEdPOeld3/EIDyxr8EoAFJRLaPJM8PLMexXZ+XZHnv7/+Fosn+m+7avmXL5phJ9NA/
FaC287fAtnWaQr5Jvp9nAX34RxSR+Tfbl3wJl4AiCsq863+hADUsTyo8y3wmQOn4+ff/cvSAzzB1
HbQEpAtkp5I/8fv9Hndp+/f/Mv5PQARkR6Kjdk61RILCgXsKrpN1b1K/m9rs2EYMyxojLatW6UIN
T8gUXpdCu83n0KOpDW8pHYkpG1xvZw4LXpjDnOHEtyVnbLwF8JZ7yUKMOQ6QxqfaoYer2RI0pO08
35Uyc89IKVkHWDD6AANrWdyD1H61FgIiUBVQXBLX8ST2de3fGvIKIenUOVqNIXGWoaxAv+mN9xAE
5RM9jOvRnn4z5WOaZzNUFvPZFsyMiPUOMnHlZEZP+RYEIrHca93M7ssu+bDSBQ8+tzNMibXe3mf0
gCBpJd626kFgdE5JGTTHmj45VxjvMcgkG78AfTRo4k+c53vdns5EfYuKWMm2vwU/CDQ0b4/DBOor
JDov5oeTPKkQYtlP/WizBs6eNY8CI7locEvJVsvGFnEj9T0c3y5rKPP3YtjbuRtRrdbmfZ1nJ+Ku
HgDHTisLSztmyGDjN9qvzhkeq1q8d6ilOhwsMzaltGnWpoV1LCuXrTY1T4YOUkofWaBxE3EQRa7d
ZFz3kXvRPK9Dvv6sp8NlKOsegjFU5oJ/N+NbwKUl0N0Mt2heyjW8UFYkGJIy/ehSGO4ojfsLYmGj
z64W5r9rfwSap5nJO8uOYaXNIDUWP2MNcJtFzg0d1we7j3Yun7HL+ormRZI0m5FGtGkRjBENESZP
TbsOMWGtE2f6aIrsSotB+UMoTHbBck+WWuX+1if3Mlb5eOr4EuaqnO7nCRXsPGTb4MPPkjPmMh0K
ffjoTMttzLE2cXvuR+nS1TMcdVPtHQ0bqywqpW1jwKyI8/ipt0YgF420zpnVufKGRyzfEIbzHiO8
k+0Gj9m908IK4WCuhpYo0zk1XgoCt0h+VL2a7Mota6zfzbqyUezAIjo4bXxtDUbF7IbbVTyI18Kv
XjPUJyuhP9te9lJlFXbMgQRulD/PmRC/5+GiB+JiFhkcaXo/tY273HA9hF3TrurKh3J075fCJ+zC
xgVTjacGWHHrFj1l6/DWJdXYFNeeFpHKS68U48K0BhTrLNhCHavptzq3VasEvzWNxtrqrOzys2nh
w2xKIfOo/YgImCwTXNDj/Eqjkkgp+qR+90XbCT2DDxN0yRHLznXxVFUcIuSrW1p+hJrbb7UsAnUx
2jOBtGVTAT0Xg3WXd4NNO0Nj1UX5vB6adAPQfhM0zHSdjmaULuADJIhYR4kHVns/z2k1C1NaIzIM
SW16WyYkyYet3JOD8Xay/de/XpQumlpZuHr7Z19bKmdT9KQ0fL/2Lx9XcD+2KzJOK9PuT9PYYf0n
akw9yhq+pq2R0I+3zBLo8xTSKKkLDwSH0wVrmwkT+VzJb09nqVr1et0cYGChFKQcXAgQL0kYHOJU
zvhpB0LDCsruFC3TX3ujVd3OM6yon6fUT6SgcpMp8XY/P8965q93ztxLNosDoUcrpSNGOt8qa9kX
i2fuG+VoU8/p8gX1I2ojopDYAzqp8k0/71Q/hXUMHxwGaaK8YF+r574/CWgCr6gnBviiUTA0O8ge
1coZyoe2p1+QicR+HAuN2LJ9BdnhnaW/R++D4ca33iidhAv9maBO/H1devWtISeIYzfZZ7Rf+77u
0vM4lI/jTI2sN2Pz4Bri2pUmHoQiES0bkRxBJQqmXmiclnd0qRBxN9RSKRVSG9thqqH+XYOUKEK0
GvPwWCRauRVD6a5CbyGRYsn9U+OZ9cGMyqdWSm49S7/SqgrZM866bY49rYuJHlio/VB6wNCPVmF5
ZdLOElB7WyyfyGetWfbTBIahzNpjZurlqVra97o1PGAOTPOLufywJ8y8nVPHhxi+/FMShKRmetkB
1Zu7rTTi8CAZvNVz/yXivr139bC8NcGLWHRgJUbmcRF9clpKcduHE6GtxLJT4su2xRzfg4QGSt+6
zbaKXRk8rL8OHQuXLKr9UxZww22B7sdQuqfm2ozvGs4usItw6+C4tydDIJCB2VBvQjJcYA2uuIwr
YnEilOFAaOK9iybblheWMlzHDSaCg3rsD+vUGoLjNPqgY5SESW0Q2N8MAxIAZhPFaVLWxK5TiWK2
rDINTsgl0nJFeh7Jcnl6cidJhFWG86UH++FMAUIhaTBUm1BavNJAnow/j2fp1asw7cUTvaW1Kb1X
atPRLB/gupvYttx2rk8TicOupomjspsrp3lDU+b07TmXez8PvaV61gQyImX/Vs7vWXB3B2sxbhPm
Cgcj90LKTCQjq1ftqkwRKmGjLLqE0FPXaFeVmJPjD6HAMSwfRZ4kFny7rDFeuu7gb+ekr08OswLT
HjBm1FF3ohDQnVREyM9DI6YLintiQHvuAhecJPzue5fFHc5S+VgbIR6mWfXbjpYWMh9L/BRrP2ck
XwMsTABX+ezNB6hK605KsMoZf0KQDs5aHdelKDBqxNJT71SFi4U52KmjHKfw5VnbHQZpMvw5ysrd
3kr3ntpTL+Rz9oUsAVEMNcZv5oMCP6gT4YcDofYW7BnrDgjO93FXxna1SSSRQJ0LlSIShI0b7Qq3
flLH3jYWtAJq12DeQMlEa19pgjtbdHjVUU8+FKsh1ENEipGgmaq+VvkVqbyVDvPGthc0a9RDtVHf
d5S2xt6ZuoMCRPxsVFDKz0O1p55b3Le6TLuj3420j9R3qk43tYd21EWxhTlJnWU/m59z8OdE9HK6
lVxY+0HTZWB07t9kolx2P7k2CPk5Lgq+qZ4ck6pifKq/FHzg+9h9X6MKjaB2E9ExtGWYh/554LxI
I+zjPx1DZJ7M4L0euQq+8EFds99X7ve+k1a/PUmtUAfm5xCpI/Zvz3kiGNZ1LqiqyUtYXb3fTAJ1
7NRj9YoJQ2db02w1pK/z++JtWhlLKB+3ylNJfHpxZNoHCwdJ1UpdMupSiqUZWO39PGdExt5rTTrf
MugSuwvzaLF2vHbatzLTRsXLqNe+f0A+V0YdIU1OTyaSzniIKwKf5j/3/u05ramJb2DuvrJ9GWGY
sHLYeXlCdTdemnOQLHtTJhJZAysdtSeC2CBmvvmlDiE5oX/FFamHhR0ypqkjWiXCPbSp9n0Jqkuy
bOOYGJ3IYKR0Mn9LqzE6NIaMQ/0eZ6+DsU6/L0nL9YhiWVL6VvKSdCGhrYw2j7fq4nSpGP71JhRu
d8jum5060OLbsS+vVnXJhsou3tQhJ29Pf14RQ4Ifjsi/PG59l8ZqDjkQbQx1qB/qhCJRfJMpiqGD
pw4F6Zs9IcdoB8TZST1Ue2qjDr16LoT/HIo6ICvhH8NlHi7IQNXI+b3L57+JIMKekbX2TtncC3nW
unOG+MxX/8JkTf9AERRm1JD7In9iMpgfHdSuepvyyf88jEAzzmvT1T6GCjbMR9hlBAbIvKMB191J
7f1s/tNzQsNuAzqQt3xvCvnVqN1/+/GJtcqWdKM/6vlcvY+42bPjWMk++nnbf3rvvz2XxdAmltbi
dPznL9Zz7x2+3Yj5mL+lnLq125LzajTdpzHK25EwpJc+4gakNkPL1/3z3Ij5K6fipu10uoP7aczP
hdYXewsSIJIg+bZoTthVb1Fv/k8fo174l/cEs7d1CCgW8p+PG+vFiE0qzPJ3f3/c988O1VRyxPk2
DIvAK/W62sCGIwddvTosNkmPnCgaCI2c0hmnVmWQGsTdrR6PLZSA7dCXojkM/7ROJ7HPtECI/SKv
UUNuJnVzr1QYalca2Wl5KOWMQJNxZLWaJUDP4BCGxWuj2w6R9OBz8FmE5EeNNG4A54S46OjVJaG4
mrWwWYF7/Vc3vnroq5FXmd3p2AOVkzTkn3jmRA3b6nEF0Ip/Xqaw+gDgUTh/FnbVbBUKQXnblJVd
PbS/ccziyfcs9JnSmW7LkQe3huBrC9H68b+op9Q/pDZRarj7ocj3XeBM1aGVk4FYzhISeWv0A7ol
ilKsmA0aNwYpiWWagTAuI1RBzOvYTxj7FJNXgXjVXtsV8Ql0yiIHUCfX35wR/09PWsuplRu1R4DZ
Bt9qf+jk0KtSfdVeAxwYBMxyUIG+KsE3G01OwW92rhzqRzunqISyyCYQCO62HB88co8A/zo2o2T4
2g3LuKwVD+CHDLDoTkTwL8JZa8G7Kv9PvwbOrPYwbyCCW/pLWjvU803ZyODKlZMqtXF7Ol0idOC4
oGY9Uc3l/9blhKJkLY/5Q0KM/D4sNilGmNMYa7uYCuB+yccIRbK89GYtuq2dkogZeeKoFGCk24zG
34HAiEhlx++qDqLlqGKAdepZ81rtKlq2oO69FwhJLTkHV1QHtccx4r7w86Q+xBqYsxopjPwnfjaF
n3p7kIwU0v/xvIoF7iJkKF0bUiKxnWY3adqd+jSFQlZ7P5tIzgs7o33pSYXeqg/K1b1L7bpTwRdv
p6QyNINz6GwWY+dwiPpDTLfUkXNwtanVqebEG7B/00HPNA6wekErkS74Xf2uuNnqbPODAkuYeoxu
mt0YRw0H13o3B/Msigjdpjr51CahRqivCxH9odhXb03KnHw0HrAFHdexriCLBRGMMV23Afv8PKbJ
S7oOiG0FzFYg8RIKOn5EAr4QwEt4dpIk/HGO+A1VBrJ2QMhMFLJRD//Hc2mz1jB3w1m5AvBT3tRI
ra/7sLFXYFiZ11AoAhONry3cLQXBY52rPQw+/otED71dbLru2g9KsfcAHKKRLerdTHtx2+j+cmsU
97MuCBANAGVX9UPVLv4ZWf/jYodkbSYIBDvLfTONOb6SbucG2NFt3xvlVR4dqtC/MN1OL/2sW+fJ
QNiWelwQUq1kzN02MXCP+uifqOY++4jMj9lQiQ1izvsUDQxVmA5Mtg7tP6NQOaVDeGiAt2ThnBxq
gJ/nahyuBssNDyNJdhpyxR1O22mzEKHaeyw/5jatD5C2SH8dkdYGU0t7ps2vRUisKqZesbdnzmi3
dvsjyulDECGqi2rHuY685SpNeo1S8PwyAjlfj944k6I2QnXXIBCb2LmOnTneUNmqz02K3Fftgd/8
aq2C2J26ra6sWE1yYZ5n2hRvIuqca2J+kbz1zSDtdHCoIiiVWojK0cnt5BrkH4VPVuO7AgBmjrlK
t+zykNJJPghU9cvg0UzCAG71ib+bTQiBgAQxywh93EdkzhHAQPgqUYaUQaJ2A0wKfS95U7MV9Vem
L/T1UPXDxrLNdI3jFo2c718s0YidRzN7FVObscmLoFR451TaYx5Y3d4Hf4L31LkpLNrtCeF2gTlu
KbXuezLWEEiwwRtVbKwp2Nrh8FnK3KrZoHOKQKsOrUcHCcglrIjftJ35adJBONap6HBb4QOo4sUH
2dj/KskswcJk5OuGyvqc6h+Qrj5LMXyiWiPtGJAWYXKHBWLy2nL7i2htlCMWXP0GuufVkqf3tQsc
HTdetwulIVo4k37X2twsR5FvFl2YpDARY+Vzp1jLXNGhi4j0CBziO8gPnWrsIo4G6UBDS+4B0FoR
rGlBKSyXq2iO+pXL1H9nzcV4rBYTttFEMvCIWjg/dMQeWkxhrxYt/dKNKF71zPPwMQjZzgQn7BXl
xbK0lFITv7hyLG2Vz0Z8jY54Zi7rYSa1AO52Pc2MxK+/OkfONy16nRkLTIzF5aaHYsZKNOJu3ukd
FYhin1gdudkIjELc6BurxPgSJqQm1W2woeU8Qr71b0hxOQeEhF3VfnfQ86o4Zln9UaFAWZeG1W1U
S+r/wnePvsrb7z7ON1D8d1nNzX+zdx7LkStblv0iXHNIByY9CIQOak1OYExmJrRwaODrewF89fLW
7bLurnH3BBaKESQD4vg5e6/NkLr9x93/8f8qId40sZP87yZ4TxDifzXNr19M6wpCEadlIPavn/rX
+M7V/yLFjGQCQ7fW+R38lH+N7zzxl6nbpnRgt0hzIbj8e3xnOn85LvMU8AW0RtcZ3X+M70zrL881
HUDWHosWE+z8f2d8Z4j/BeBC8JrH5M4SuukID5TMfx7fyak2tWiwi1OkS81fS5+VRDRYZgvw9WWt
vEoTRZE/48T2NVXi/v53TbY+rRGHRhNjqcrW+2tptt5aN3/KtaJDLTN2UM2XkdFa4jRLESxC4qC+
73/fdMkeNDKvPRQO6n6qBfShLMHkgh5bb62bbu004JOZ9poyb5eW1Vlfe4PrzSEovRmLAI+upTax
ZjQKdROafbloAyB0YI8ctJOynJAjENkMIQsv9oJeU0g+NzbGuXa+DFS2Y46VElBP1mPIGYbNaBQ6
EsXiEs9cDPNG4a7zmKghcdunUfiJ8hYw9lg9Q6weEAIBHr41LfEOyyG6mYwEfNOo7VNrDo4RixC8
VkD3qyq7bUV/N1gRtr1pKP1JJ5hwImMeJ/Ym60KT4Q/FIYwBvFBhTFQilXc4xpe2laRuQbgRRfRW
1eZlGsMErg60KotoShmScU05Dmm3OcQUwT5tDjUzVRie06iP9rld4f8bWRYN1d7AygeU/KkZkJU7
gcfSMMO+XowSiXp+j0eZaGtUOr6lVfbe9R7dUO8phQ0uibr7VjBoqqp6xFWHrnUSkDV6ITZ6jr6e
gBuoi3BwyB/3dPL7EBxpilY5iotSzM9a9DC0yXvGEq+I5xmvCGItpHbblJqZ6V03bKVnYTZHfDa4
GnBkMjqN0H7MpW4dRVwjbI4hf3TWHs6OxuoZoIuODctwacInkXuNV288Wpb+Wys0Z1vEhndWWXVn
prW6N9Kz3deSURVpshNepVBIa8+gtkZcZVjbQtc7tLPzgyQKbh81yP4nwMBx5sHJpbM71tR9nTm+
GzEYybSMdcQ4gP6LwPkxLO/iTNdpMr4REdAeyaEF+OPOHzE2PUjPLD6XI2h+bLIy307GeCcKRqcU
Zkgi48H0rcj6CtuFum7KlJk4u02QVCeQBgauwfrQEMbjt4YDgQeOf57h3BTDA9hNVKIqaPaDcrmM
htOi292PUettndRNmUyZlM8Oa7Q+3uNxIrxs8KvaQS3McGEb3HtGeiJ6cFu4fe87tf1oxP2PrNNo
/c/lfdsKCCREtGkdF1tOa8DWjOkUYRjXoTDpQYV9lnkuc6vmoagHHCdj7JcjoWeabW8xiHIgtsfC
AT0OnVeHfA4CqFL6BR3bUy0wM9Iwv4j5qCzibo0OV1ea20enFFdUMqvmPdqMSyCVa5Y/2DsQoXWg
PkXsmKjfy4XeR0iTBj7HnDxMUZIEpfqNrl3IaOKwLvl0CHwBIRIXXQwo7icSh1smTGR90TvCLVos
EihWW7tGCw8xacYZMxmtREEIwsgD/1Pdl4CGqml6awaPGsUyjd1kQdhUiJH9zgxbQiDC5gTeINed
j1Sil9P3sS22g8o/nMYDyUCrHjh4D6t6P1BeyF9IBduj4zoAVReBpmVYEPjT5jVjNztKE0xDOOCr
mVngaAXJ1sSG4p9nguVdE/XE15NvvH7RKtnFIRFo4iPPa7bI2JKDVw8ZGjv9p5pOYY6xLMSmrNPK
wOAb4aPn0ACvAMCguHWWDylVfphRnR4iiQwgWKJn8RGbY23fdcL6mUHHKkPUEvF4N/Zxe4N6Y4ID
WYcwnB6D0QtfGmljV5ji8YjZ4FSzj4lucvYz2RqbyNAU3Vnw9T1a+RkZoe2lHq4N8WWk3CPo8DPU
/Dq2KOxSDEYL+SbP4GRED1MYaNCyOHNCPfcrG5JUm+3CpmJvjMg3VGRjepbzYo7IHsYYIcAYLvG2
oI6QkC+doi5H7C9DOF9YtOZBIXBFkAA5jL6xAlqBd6MvkF/Zw+Ts+sH9ZY2cXnpAVMfJ4zivTh2y
gY/MYUgUcKVy6/zNtn5rOYkZumaTY5HFGNhi+APVb7csjHMa9Eet1rtjOGRPYx4kjGXq+lCkfbZl
feDcgR33k6LZIlkLTrPOebP7WSngI8FsvtAI67djSpZ32gywnQrPAFss+z3xVDjJ9V2YTSfJystl
FacFnQ/qovEHzG7swtpwKiZcbrme9wgufuCG4X3M1r4gVAOn8tH36sNkFbSxdETxqkPBKTAQMu0p
fmC8/hynfQVNwO+0EcNThS1VeGcaXgQ4erdC6liLizQ7SSN4r0sxnJYgXGOIgG3k0cG2yX60WtIC
MnPOjhoKIBJHCBiwLYFiZc7vNCaamDOtTSCMxWNUNqdocphBtpBRx0ujc0jSng22dZTcT6wk/eal
hrVCHBv/vGpue6wMxCB444jpW+Uge9DUJqj+SuWn0GBuiwU9UqbRkyK0dDcbA8gkkZPXUXDSGNLf
dtjTXB3MjEXnhD5JdMapgUBSkc84XVcdJb7LXNqZs1fwODap4wiUlkArOy5+F56jAU9HVltE2K4K
LiphM92C/3qqnabdp04yXfWkelE2KNJWTesh1ONdos32hVbshfP0TexU4d421UsNYvIwCedGS/a0
MMeD1ojbOKkjbERq3sHH0wjpwRLmWM6DphHWY7N6Lkpjv5QvDOmCrRPml0QXN7KwHzly3sQCPgDj
Ph5gVxOCRQTXukkpJNImcXfSeKhsF2kVZko7GigfegKsVFQ2IO+JAVIEeRHnLs7lsjEj44MZdbIV
LD1HMLQ7O+WkPqfZfcQo3MfY+EFHhHBwFIdjaJsH2tQj5zpLLf4I+0n0wN+jYHoXLpi1AeK25kYY
DhGwG9gJi08WmoT3LCCLPtXoUrd5/iDSpIfWnvhhAr44ruwji6ENDUy1D7yfAatC9M8BtBz0rrg/
gNtQTxwHTfvBOb/ZIyW+Ddve3q8ga0ezTIIfPEaJjsU1ywPTSSIiFrsJFkQ2IWSLp0VbisM13Qa5
lp3aTS3sfvbFcv5OsPV/jxSNold72oMP5jKlGBiekpaHogpvmzS3g0mTOTUfQCgxBVomLuvgGDIK
cT58ZrNIVvK2BEeBtb45OIs7iQAWSYTRcR2S0b99Mum/4reOr1eQhjSN/jA2yTl0Ins/jNHtaMLP
IEu49mnLKD8CDH0soSGsc0U6YQpMjPtQNC0+yfhxil6w9aJB7zB1rb+O48FFSuPoJL083mc9ugpd
kWA8BukZBQkJKwCXEIjHJJwxxc49I9trbfX0PWCfqKT33ahd00CxT3m34maszTotChdgviCGY0em
7S9la+0uzR3MnQ7eRqnAOSo9wK6M4LiNe7UVcYOkKugISFgm3evELg8+rCZApEexTCsg3HKQCNN9
IAuhPg7MAk3DafagtfqIbuXQkAXeTV2+SaXVHoEF7GbUDfu2dt7csBHnhiYQKYmIpuosnM+lEM5O
uvlHHjNOnbPie+grqaMW+DpU8A/VP+aJ+2uIOV9EhJcWia4dSiM7e8p8Hlnapyp9ipVm0JpZkCnN
ggZInE8vptc7r+l4dNv5NwQYowayEJZcPD3MXmavw06CYy7MvTfqwAgZFOkShRPv01LsgTz86iFA
7ZiiB2EK301Ev9sxu+gd0OVKPFXAQE9ha8IQXhYRmNn3kdPYNOWq2u8InqcaFdIvvFJt2I2wn4W7
QizBsxVU2WJM7zVlK8zw/c52hSJEiTZ2kJWNT9FX+VXRTKfce6gnB2H6shnCL0Idp9MMpmhvqOLF
BA+ab8Ssewf4K3AtTQA6YVTDRbSbg8nCzcI/xryzeqei8DZ2zslGkroBWY6mqiAXPZ8JKRqLZ8XJ
du8Q2ltN/SWO1WM/YD0ivLu/aO7oT7Orn6buKOdMOzdx+0n18AJDG6ai01yIOYbZmFh7hG8CosmZ
JDaxQcuith399XNHXyhWtJAbuyO4WULDr/LMOBOaK0+yfEVVM+4yzuXfB7U15PeGMvDmLbISwmrV
mY6cOjtWSUJnJifgxaW+l/2HBEl4CqolFVFotU9W+FU24iZKHM3jtGJA7chHjm4XWhcrQizv9HQ2
3oSHtvZClGQ5XLo4vY6DIT5Pd7mddf7Q8nbSDJ/KCYpxm7TRpctn59QySsC2i7/DSfK9F8mXUMJZ
i+S8ENnYSWxFYiyNYdTfqPD47K6CA9yh7AwDRsBl470AHaVeWLIRVx3DFAGc4cSD/tF5l7HxEaUw
9mE2XSWGfnFMswMzN1+y0KYQsjFLVTPZUgvyoxaU1NKm4bcMtdKsB0f8kRd4zI0y77fK/b2SRNaN
EIsUM7DNe+xB7KPL2tUCrPy9yarupS+bcb+Ec38/pBysTGbUV7t1EziyBolKA1QIgsYp0nczQ+k/
ohf6djpYBfVpmzPAhRjlO9aznh3TbreAr/tzjDfgTHwbmsjUIamVloSTW+0+ygBpZJrq9+1rzMkI
tZawzjG4iu9b6eCgx1CcrbkOEWVlNyTKkKe8KTQ813hTNDgIQ0cQE8b4oWZZaak7qBXRQThKHmfY
Q1IRxdYvz/3ZrI9lCWPIUBurHfRVfrLMg7OTJA/Y7+R+nMoUCeO9sWD9wiKYviz6Kv60NFyTEq3n
pnS8G6WF4SFyBFfmhbzeKuaK2PFI0Ktdd4es8W1YZpm4WZLNUBKCrcfiV0VnH5JoR68gT11MFVmN
ZRqS0/0alPKtOFrmZMFyldQjqt1EtfN53aD3RfLcGVsT1SinjZIydlFbrpuF9Wlqzmm9rP152MD8
Z3MMTTneQbFs5o74hdbyEIegI5ti6zMguW+vB8ZwmSU7VcIcYzezjx6B0C+8vuFSOH1eErlFfC4B
pIqleobFDHwQ3vTA8PacAwRXlwjrfZRbd+sm18QP0ZWPdisbv/X0Z+WZHRfOYBfXBBenSXwpaxs1
h9FWh7oxkG3a1qEhg16SqHsdsef5lh4WWzPVrSuRyIakZ9J3zPB9LB5QTBVdi2qgKMNthF330+o7
CHeZ3VyCObiPilo+VhWlgXD9CoTGoWE0eBd4MefVKPvZ1toh8HpGzBVpsWh1yy3M0WkHh6+Ed4h9
vYvMiy2xfKdYu8GPkPhdGx+zyAHGe9170SQ9vsBNWSXma1MlBlnogdigHSwvqVD8s8LUHxLC3TtX
jCfbsn+1XfYUidw7QgzDNWTKQzSwPAsixNAzVP25KD4JbdS/CkUKgzO8TkZuYspzIMgm4P2M0IjO
g9sjzQ3HmypWP4m/JVZsZmlJ4jA8cpX0l6H0TnZryOtetMQ95hP8FHfwruLqh07m2KW6HbPcemAF
YmCozYH0xh7UZ86I5TSTXINgfBtW+sIC6/Cvh6VFCnvBnADB0YHV7bZWBUm3Qb3EuY3BVWglD/bw
OY1R+mFYBFGLFkDiaD4RyPnpvmahju/ShYJbt7b+BHKCoDaQHSOa0E0VFdNVyyBkP5MTdpBT411F
JQFUSdPqPpTLrRcC2SKf/lxVtr7tq3Q6SPN3TQTcybGT4TBTjrAAcbVd1gRP5TxRxQoKjERa47Vq
mmkHjBIQtjv8yLS4ubWL5jVCIu6vYrxVH0besdzStaQOXC7C2jJwnuKUfD1IuYHZ4VrAqe5jqRRn
XPHz2a07iD5a8rQ+RC00ne/Ukqu7bqYFgp8MJpm8xkyU3NJj6pf+bbtsNMYUHvq31PVwF4JSY4rA
DpjposTeHj6nHQyouge4FZrRfhVsrTKeyajvWNUj01wm08badK0M57kdFWikRRyxblYhpOuoPTAS
yKfLFUdFd80Sm7Q+v0qdmlVAUUTUCjmxhr5jNBTXq1x3FTqtG2OEfBKw+wqBGLxzInTXK0trLXqY
EAEIXf7yTE8y9MP6y7rSKVnWyDzSEdnqxXFkR3F0/aeu3OgAPe+E5xwNiENInhEu0UI9DUOPtgqG
QdotExDwKuTL68fMocr1UB6MrChVd+CAKTZAGzh/aHejnpo+vDgSeegXbKzR+dVPQJ8my724bqLT
/luEL+RmZeVDFELL04eF/ga4IwlS8jHNhMUL3eN4weeQTJ1uq1LdJorP6pWls7HvQiMMdn3ggLKb
huCavZUx7lRyiiyNbQQqlTGvO0e3brurhqI/lIwxQzfDQoOOgPbRAhZdTjXhXWfKu6S3EDKmIVgJ
wziR2fOQhslvmlrYz7QlJnlfRVjSAeERtVj1z2kCmMtS4W5yuxSoCT2Dmq9gU2s4deIJarTb6NO+
Tp6z2PzVTUXB4gijzRBGn6zjb7twPKReSqenCdo9OTi+QXOR02O/HxWXaER2wYZvKdWJfdQELDcN
ii50iJGRJOxATzc4l7sTDoCYf7acVb6VRNIzsl6GePbGGtyrFIzftpvljyL1ILRkV7maiCDlWAV9
8WoP8pykO2WM6a3yMnp0EPKJs4F4A923osm75ZMpblKHn+6Wc9g8X7pJTw+ymx9HHS8MxSuhHTHd
68bEHqTM6gquAa1NLdFvmZJuc0NjB3VjxsU0e3WLU7ljDHvGGbBwPHXt0CvNGCqOgp7u4Cmk5bTR
zTr/gBBIMGEeTKTUM95s5xu9YfBrulAOW+2RRv/jTgXMXyr9rW9o+y5lbDF8ClbXm8TAc5TP8Rt0
auOhqfizG0VSpdXmNJwpB+MsfGQhkJjXLQNPuuIR6Z4VQXUBVzzkIn5R5U+OEV5LamI0HNH1uHzR
arLUlUz8sQQFYjnGl1TuvJftS+FlziaDnMXo58W2Gn0XdZZ1kG12PUhaIZ4DIot2MzZqF9I/zEEu
GSQkRoE8NZFuHJnbX2cJV7NCSwO/ExgAxtcuieUJY/6T62Z73Zm8bcU5i6tajVbKJgmnQ29hji3N
fJ3ETR0PN5jDY2Y7D4bBQCDuvWAnwmE36861QyuuacDxZXlVn/MGxEgO4TgN0DBomMiMWsfCIvci
gLc7OZjhJ03RCBigctlpz7SXxPqQUU/umR7z3F+a1/40jQhXTFn5oVZmFMbvYXQXdYDzJgK+6RqG
zPhTfUPjhAYWRm93icHks6/03DR8HfY4iSYxJuJZ8c8SnFQAIGr1h11bv8evgikhgfDFtTYJ+yoP
o9ci+WKlGtG8a9MdCvtuBlAtHIMlGy6PGC/B7NG1srQ9gIDqqbHYQeT8qGzhsl4yt1ZoFZcu/ii7
liNtcAJ/dt4SfRhoD5iwrydA6mlYbzt4g1UK/7oqp30/0BKwIpAwoTAhHtBmWWjYdp5A+3grk6Tf
JtCZrNb4EZvQk9SAXiaay5cip1WOsDrdxDqAg64u9+0SEJvSTSwm/YlpuKqnfRhwzFWd9RTEXn0M
FiJGmT6lFhl6XjIXW4dEBCf3CMxNcKIbBGiEOuP9ykbbDxHYN5mc+Lp6kDRGBqqepjWHvVNA54R3
nVqMh+LqOBdlv3Wl9gDIr32MLOO1nLz3Iq1Gum6Rd2g5pTeRc4Or63eYoJOYhtDcYPtbFmgJM6OC
q1FEBZWEKOKbhS4lM2oPAjHPSGO3BUQT7dQN9I09HFw7xyxhxpQ2Vm3dCzdc2JJNFms/GgzJdoAx
Um+AWSzKazniynNrTFeS8Glb++Jg30a14GssxgWFabC4jjRfGrdmful1jjSVPCPRwGAMIx4gNsOK
JtRfZNaSPk1E6uxi9i1Qe8Tj0sADJGGV9VVKUPdhyPbUNLcNSsk6A0AvzKjhba5JpCaUU08fVWX+
Nmps1YxM2HcALEg450HkdadcZdfRE143zoYXxy6YACmHf4PHW/RRpa4Dbdg0WvaBH45iJW5fGSLY
vjKN24TmIJQn7aJs/G4WgV4EdVCBZO0tmEGiNvo5hxhayv0McQeSWmUZGkTpfV1Hjt/KAv8VZHhN
qRIKuvfVBmCTo7lyrsNkPvXLAdXQIwo0QCce8QKqYjlgVxwiXCca/HNMbDi52Iu+ohlZg05dwxpI
yJ3rgKIuAjC3DjOHqvCBmX7Q3fxSyD33FgbLcThJ3RNPcSkZB+HDNJciMTS/4qm9kF66JOIRNTHm
J0csLiQZ7tyf8qAXOS6JAhsXgbC0jJYEYPCikRC3mZF8MmFT+7gFv0H33t5aWvJYl6kDLDR96Cd2
MTEysCs4pHFYwtbJqgLvZUEwhdNApZDlOc/rZO8qYkaQiz/IqBKEJrY1R1fESVW6JSGvmxgawczc
6BzWco/ZBFvtRCNHUK6rMT9S/b6Rp86uacAxUr1+HTPgHLLi0/pK7My8MSoQsR25b7VdWidMR/48
SGeHJMHZREVT7oCkk7vpNr85x0hfCen6JBpfyE5lsMI540CQHWm1c7eDwfED3u1FzoyCMfjS7QGr
EcDo0ZfWYdlbZeYeWuh+h2Cpcf9s5JKyuWos//HYn7sa8bgIPBcVoioaHacnGsNiVb9+C2NXTSxd
BOUzwqn8aXWocGUrz6sw8W+vrwOD+XeePVfrj6+v+dvN77db3r5cmgmOweGxZlNBZ7rVZ31miseT
62b92T93v4W5fz7vb2/9j5d/f940gKINCUzej0ECCOrfms1VQTmsaV7rR+tOpB/zWeBEDo1nMaP6
lsAd4ey1XzTFpmPXVinWOLc8FlTXuypxvhC4H/v+NVaYG3KTDIkpKgm3wN+jQP5ADfyIyD4vIimv
XKMDam8QlMtiibHLmrr2z5trJJpyWeCgt/tYZZer8nfdJKvXaL35LQJeb0aGR8jjerMRMjnnNv1e
6DXlImniK//b8+v7yVW7uT6VrfFvy4vWu46B0PD7ndb7nkW8ClprKmeuwd8PLS/+82t9v9ef+//V
a/6rxyytdU+yOazyU3tRow5LXJ+0JvNbnLqqn1cd9PrsH0X0n7vrY+sbrLf+vPgfP/uPu+vr8o4Q
mMTku6iX4cg/lOV/hNl/k5uvD5pVzZrjz/PlIuaOVzn6+uB6f73lKFY/nXsaltFB3bFLM6/mZlBK
dH/rzfWpdQP8gxaZdvrz4//4iPWuKRBX/n8l2v81S4JQsP+DEm38bP6zCm39if+ASJh/UfARtsOK
xoCdKv/EiKEy+8sxDUMKVzfWILG/q9Asz7E8JBuQuv6TCs2w/3IXOZtrsZiRrif+WxAJekto3f4O
kdB1ZPYocKSB3M1BsLrEjP0NIiFaTetVyaXVSur+6DT9o+obBMkhpU4pKeY9ADpGQKpGyCXNmyfw
tB6dJsSeEy8xMgS6wVzCG3T3tssEzs4/6wZxiCbkscINF4n+ybMAZJledM+A8xFP9hX8NsbIs+0H
fdSRpGI9p5pT+qkwmiss7p8FeFSNskURLTXGcMZ0ioFYP+sJU5SuQsNMxQJd/nUuCBGxouIKNXiC
7tym99ncwPV3/bIYWN94I3IRBTO1I0ygaObD4KZ7/IIXo2vDbTgTXKx9wVoHbJAacjPUEsYE5mSp
G9uhjCmcdNjW8gQvVGxI4Kp2bjofOr17yWlAz9Bh+MOKg6bFT43HinKQFv0GktFmNbQbunrGQYQT
OIN87wbNh3L1fVdbV90KYTWiE8BqGlzmIPuzjqutlxNLRpVfykHjFzAw41d9aFzDJxcXmdDBXO5h
8DWu11t67ZinTIhrV1r6zcyamT5oTHYL4VX8FVZzBTiE4b1mOqh/Zn3LTEa7LewyvAvAId+VSjsU
5TBfzRNXqzqjq8coW9yFs416nlPg992uDNTdZG1SEXt705gioGEYxWVPt7aUvcVMqY9AUASvYVBo
twDgWCWGLBak5ga36waOnXZbGeVjb/7IvVEiqJAt1OnMASUVlkQr5BiDrZzHRK0gvvEtJ7GWwPLN
oYLPaVNuTbs0qeUN1jhVIelGsHv7rZa6VwPl31U9AQallX+x+1FewQmqOWUG1TbO+uhurGV8Ew8Z
YTBd5mL87DoiVI3xkA3FnUfYwrWTwnFvpjg6TCG52GRVto9FbVv3TPF7j9GKXj8LrWQjPkJzDh7X
OwYmDGso+7sl2lIfEue5z93NmgtDCZtdTEFLDaRj8jZXMAdZX9IUbcy3sWymp8BsX3osJj+SISdd
YLas+x5o1rlUxQhlVQxoNkVHM4JIGC3UfilHYwceq5te6damz9xyJzANnT1I5k+GY954DpZ2Rwyk
QNXGIyT06aer8lM4MGkAI0yrByD7ezlwiGceSgRGuQA1nIcIr/+HjqSfRVTpIhunpEeCF+2bwfE2
btHPGL6BRSu+53uou70fp6794c7hqWI8+oPevR+gS/HGdnhuZDkfo0Vm6TZm85bO5Y6EFOOWplKH
zJHovFGziRtk4fcCaRgmNSDFnbtolfLUxFlmh4K1Hc96g3HQYUT4iSVdHB/d9Cob/XVKtfKusegE
jTWcGzewgWs2Tf8z/9TIXn9IsdWhM1KXLO+9m2ZEmRXqjnfIxtglRQpJHJ386ilyQFUlfHTW4GWg
bdOTyVM3Z6c3nj3DumagG37mWqw2dWjNd6UupusojdCM5+g1XQ62C4s4AoBdAJRZ5o2PpTaMj4Vh
HDubaLmhKRBnLo8PEQGHLdmgu/UVUNw82LlAR5Bo+Fhlp/sUf8G9bbXDdRHH5z8P8V2mGCjiS+w4
TDXGonoVlYkkzC014gW4OyFYpH8e8FvlTCaGPnslVes2AGxwj4IufZ5I5XPS4cOhhXSNwaR4aors
Ji6a8Ha9N4ZDuEXHBVaNYwKHo/vEGYg6NZ/CK/rf4hUVGLga236axqG7q23vxUYYCiYjA39nZPct
zpdiaBAYOcDxcZzl11Y9Ztca3ZzS7Fg8hQYTmoqZyCUwnixCrqnpXbkvZWA/VpZTb6YsUL/oDnRM
Lq56JY2to1Ue7o20uC5YpNzy/bEW7PuI4UBQwJgsX0JLax61Qs8vHZfLbR7AfpaATI6VY96GiCp/
uq5+62ZC+xppWjmnTIbTq2YV9rnzFmf9cndb9pG1rTtlnOrGghC59BcjPX21COVmCYWKjCWM+wYD
DmQ7u9cG+YCJAjks3whBM2X9hospuGDrVuj42t+9xvFkOPptNeT9i6ORgCliPT/VfQAHzmvwmYRa
AN/TXjDmzOqDVhIv2yvrrp6awu8Fh7AqXCbHXl5s+64Ojo4VVS8Smpifg7G5jHFxE5SVR9IdEroo
lOGZXzl5lnZGMZ5Nb0bgQXe2wvgxF2V37/b5JkYT+agGi3N14FRHYvOyKyNpr1Ll9ncEMKDSdJPu
tbY1miUlXmRC4Z7Hph58SxbNqVIxpLla0XQW/EXrs8xtZKpREeTzKQxFF2yYEc93ttPd6+FM/sv6
2HIXonS5q3LxQihNe+0um/UWEfBcLns72rUjKMdRGixol1vkKyDjxeazpRVEiEbI1XcsOD2JunGW
bHvsHYZR0Q6jCZt7ubrL9OEo0+Y3ZlL94PUdOSQWHGJE7lwGnewcFwGzTbSLeE0sBMueezSRfPjs
+ADL1bvp6MMpjcNjlAk6MGUM9jHhwj6gzzZqGVxV0JH0ok1uDBp29V2ONOVe4yy76UKYL5rzS58p
iCwuCodcEDWfGo269AsdyInF4xDEia8ngX6czYB5tFt7+zKtTqap3kMvP5CwZezGPh2O9lD/4CQ8
byalebfhRHwOxMhXJdPkurfGT0uBqumQeBEQy0wxZTpaTY9xD8/b6OG34mXhY5EeEyxISLH8klPy
NCfEIU7MIbWIvkw93us2YQhNrX5jdPG7rhZEtouWjp5+R2uUqbrR/zTH6UQuNjF6jFX3rWarTWnh
BsOZiNPKAiWG4BYKus2FNDP20hnVfoirgAzQZFt51VfYpNj9guIF2O0MPXHn2Sbi/DDfebH3Yirj
S8+161aKG00Eo99Z724VHQbdve9KTIZJNvySnaR3qWAj0QN4DrvmJZX2ocGccFAdmPRq+pVWDd2c
TPO7dny1g+oLVkzve3AZKTWkOehbMYlty0B7iKL7cC4B4e/FIPpd0AcfJVGSm+In/BJ25rbzyZUF
XtYF9KFrnbQQ0qcGmqE282S/j8NFFptgYbbvK2YgKvtCFfg2Wyjvsv5QTDWRJnF+FRDxrBbq5Gzr
r2UrHpF+PKC79yBicDyJ3wMZT8P0EkzmrjJYO4c20E/tHPbtbTAz9wNqxd5E0gJws/5ubFwfbSsm
90h76E3tcwGOiVCcGrpUieYcJ1keU87EG9cYnxAkIXjVKpIGcFJvQNMAUpl9Mn1heWcPSK+ejHjO
t4h5Fk+n2nL0I1V26VQQu7J3DQ7JOjkpw242Jkh/pDMc2aaDwoTgIEs9k9y6aT2u9eSSVupWLZO6
OmquqJ9I9WCJjqxwM+ojDfvBQ6E5NFucerjiDLjWgUIMLW8bD6ZWbeIGLIKLobi1lN0xHPxdHr5B
ty1uMq9/l7m6EJH2VbSiOjTa9CQ4HrdtPST8G81jbsxXQ6XoNyoORE/oPguxRWw13ekTYlMzSQu/
dUmhhXVMhlH3OKX5JReQ5wtX1P5kovMPan3Pro7XzCWncw7FiyjNG1qW9NU8M94pO3mflYkDLePv
btzQ90AMzZ5Bc63pX5rcfMcmh4RHt9/RNd+YHdOiyQVoNBF+Z3GMmJr66quYnm2HdtJ5lrn3IV39
R+L+5ApwxwSdX7Uij4MhJlaz324+/WDoc2W0IJtFkddkcXZ3aWMPXCedbayRO2e6L5Nu/erJJJli
dWVVGKaQ8uZlfmUV0clu+MpJlfiK7PiejB6UR3b1qYOLIk5v4vKF+FtwLerj6gMcHBR+5R5cezyW
UXRNwfzGpHTpKsPzc27cyrvPAHYTCbPkCY3vwoXVDnbDgj5IaYQEvY5+4idnWMEOCP8aPWHZ7Psu
qTf0jm/r1IHHhIbGBnFDp01m29Jt7oICHdz/JOy8lltXli37RYiAN68ECJKiSHlpSS8IWXhfBff1
PcDdsXV69blxXxQSPSmwkJU555hjV3GQLLi1DYZ1ozLeKlp2mzXmm6WmtzHnX1shFaueFjrSvQSu
ae7bwSDrlRBMtPZZV94OQ9TsGEAiVYCL25XlTWxLlqyEtjZxTIpM4gDyMD2qNzNHTYYB51u6I+kX
GE97ZL6wQZMsinyKBpIWFjvfG2N60xc6OXbacOuSygnVFbitPNSKg79n0Fq/gCZXTelJtgNoa6Fp
OzuNA81s1f3cwpdW6nd0hPJgMngAF6dYZ/b7tAqbjnqj1qmW2B9rLp+BR0DrycxA0nl9cut0ET3w
7iefe5BVA+E0RhFG0Co/4/vswZXGg+1V6WNeGy9RxKkdyb0SKNF4NVh9GVJl9QfL45CqPInmX69u
zFbAbDBJVCShGFHsDCuafL0uIKshYew7nhhaqvdK8Zhii9noVmMGhQE+UQ7E6rVkFc2sJvEwzUHr
pVfmnBAxaruR3w6ZtVMm5O4SoX8iUtrUbnXj5DO6aQ8VO+7oY85/7ajwTpluHmZjiLeNWtwoyqgH
reXejKPbo7AoQzvzgO+ZHcNHCHeMkCQoLWV6sztHHtgnHiwww+RMueUe1vxrmtX6VVeyi6969UsT
HSq4QmHG4EGYa0gnpyCeQ7JP2z894BTRQW5i4//A2Hi1ktnvumGMflyz9r1hVzWRTJvLXrjsm23+
+ZvWQBlZp85dMkdMzirXbzv3HiYLm4nOeFZ1m9NlV8CQhRkUC/eGlNS7OWKBxzZ96qUybKsscmmw
EtKrBjTlBYIRkw16MytPPbQAZfDSoPPSP1YBTrOzxtNYqT8QDwtOZWm1b/Iy3mqtycY69sJegojo
bAQeGBVWdsa/f18uNDz7JdcXZ3u5fCwh1tj9/P/f7nJ1pqZX7Mba3eWuHUFcdUoz4q+HvFypRlSE
5qReXx7yctHY4oJoIUwuNJv9yIirIwQWTETI+n0w/71hHcauPmczjaRq/E5Kilkxq38mnbXl0CtE
0emKONS9uDFFB6FXRzIukDNJ+4+FxSlvlm8nm79bA5uIREzfk6JrjOP3kkOAquvkkZPYsUz81hMT
Iq0VSEDmE8m1+vdMLiiCuqBrtFM9pwgpv5aFcVdBHhPAIO26bUiUSNFJMKZVfYdAGb93G42VE8ke
zFhxNczI9S6/LQVpW8PYOr4uHbmXowqWiSsvPxIhynAZrac2hzw2AM5ET2ZfkWS8H0YTZVTjIH9H
0zPpwiP2iORU1YT0yLyqv2p1SKMQ2gFcXf5u2ONfNZKIkOKutjQV/RviO+Y+4yaimzSD2L7K7YLY
RIvqbNHLl8JcknBxVo8lvh7mB9nb4mJ0HoxYP6qDgXNr/aH/+5tN/49SKuZLPBG65w64yxh8bCo9
eyjWbLveOCuO9aXb9ODUB6HHz8UYH/u8DEjwPeGt+ERE8uSgVCNCydKnc2kHY15ewwXY6goyYw1d
WLacDG2sN7apX8dKuzUZ4elSDdJ62JHKwX4mKAgqjTg22KSssFTS+hgmrbYhMoZz3Gp3Fwn3DM/P
drbCU95aLebM4FRgFL2vZnYPaY+2gRLBImdm00U4E4s7qVlHp1rVVXcQstHpEExJWhzEIFgAoFYR
4tD7o8RHUI5cr5XJm7aoJ6NlnNUv8bAiR+mmdIJmg3rrVl4bJPdVrkd7Q45nD9/pRjEppIpw6c0j
ebg2IdC50lxj+NqVE6oo2Wqc9/UbPcpu8jUTbMqkvenIIBrYUDOnzXmbDkdw1RaPtaRxWRdXFrso
t3icZ8bWCAdfNGXYQXpnfwH8Qr8xnY5QvkJ8RC6UhS6LrACAz62eHQxV4BExmp+8IdwUQbY7u/1R
F5LgYToCLhC1YfLqc8PCv5moWtCJHvRqmjdFMzQHcmG2k9ug2JXXbRk91Y2tBnA2UD85ONqbm9ms
3F1nvs5R9KAUIK45NV3V2a20UKuKvnH8xEos6kYNJanYlRVORIws4ViXL5F0t5NmoIJPEzqsSfrY
mDtZOqusil0ABQeHPulETfewUO5vXI9Aic5GB9Cb8xNicdaRocOt0b4mtB3chVxpt9uUXf9p1s6V
wCODGij7zOrSxUtJxZrPY6CPJzMv3qZIdldGz8FZxR0RUs2eFOqEbHTMzHWUfM2zIc+pSfUI3GDK
OY0VrveS5SgIIikfM1KOHFtCRqlGRrapn4nie7T7F81EUp4vnwKlMDKpnLGv7rAyRCO+nIdC73RY
ZBJpz0Sel6pA98FJZyb1VTJLHRSydVRTEjnS+9JRb5Acbyox3w1xoxw08cc0+70iXqSTYu1ptqNs
D2ph3mcV4RWqo51H1B0+sNbVFmD9dIpBjka0BVd7U7fzhgr9VECM3CzGbNBDIUBh+G4XgOnZraG1
L+gnGoQrAPLVysbkaLOiWZZAcJJce0MUv8qm/tTs/GD0yvVkypsofgZYcWcMVCEuqU2NG91pCPGD
mFIEWOJD26svppUdSX19iHXQxQWGsyI/LqgN+87BrNEdTFG/5+1Myk4KeaI20KWLXL4mpocIcDE/
osyGy09Qi19a9WOS5A/l0vwkLBT60v40iIJQkNwVax6ko11PPQCTuvpY0ukjYlHQtPLH9bSTkM0V
qeBvc9a8SXJ9WKeC3qwgHtf0/getLkP0176TL6hjiNR67cwp23vL8ti72gMaZjMyoeIqT3jm7grX
fWvIP/T71SM84pTmBS4nd4JBPT/JUrhhPDPvXktV8ux/hCLwgyNGMCID0mH6LmPtxvQYGqJ43mhz
FdaLE8LcQiq2xCdOfSHdtrsCWY1ifeqcwhpsghzBr4Z2llRv9lyd62UkXzG+Q+V9b5sUZQudYhhN
rtUG9pjf4l0ZeSvKzUQ+am8hYvTMU6rhskwN56HN7Mzv5oMFz5+Or0t3WnsdVe8+AaARu6m+dagN
1TUYbmwxLjoFb5csYT5tUt99faaCLrZ2TMGz1NPd+hHLsnn0Cg+BKCtCbiehLpJPhX3Zym+mzOEt
JEyyCXCHBxOQxISpKvOe9Ek7jTZ/VMRzdwswHZu42INVlLdu+jn01nwy0wRDiqX8KdLi1SA+gK0V
aOwlf+5iTFzj01jVGndLby5fJFFw6Dc/FB9PZYpnNJ6wbQoEPPDFW5tEvnH26LYruu47pMTQO1M2
szq9wAuAixZRsyskLtGR4jSZLyddY18E0YPxGI81ECnPEcMZvfXRsHS7RKofUQJ+LU9u01H7wHbD
Iu+1t7Em+N6jKZvrhm+lzgfYZXSw1+02jh9kjbF2bTdQY7TcO/PfP2C2S32X2NCNMuFNjk3aRisY
NXat/cy5wwcbD27cerJa+22yQNw42lOU0OAYxh9q3GdZPFh4xcJ0hno0EgfPsQVoySD0lLET55XU
hSNFGCd15AytnQgiNn0/1miryMTcMJ/m+7jh+Qs5yBANGCdUXf+AR9pCYbvKZis6WVI+jQVI1F5t
zwtSzb3AFoM/7qgXEAEKm4026UybEicPLVfq0p7mk+pukkFj6Lb4qHBr3Bw6o8MqzujQaa+L9o4Y
53lmBLMpc1Sl3rpCtv0r1pB32wCj5Y7J1i4H7dotqEMLl6QWDpVuM9WWYB0VwRRxbh2mir67bqK7
W1DbiB4JjAMcBxGNLeGidwjjGYhgQaHBDcE6w0DfCPTHBG/dOkpiI5YVa+uVZEORuChvHG2TpckT
URATK1ZHlpT3sgDtMkbxKVvXJCNxmfnOxTdO4d31Ol1SYTyIdnppDO88xMwyilb5Q8fWUisyz5O6
2mPNg/NLJrdecUJL0/kjTeZ9upDuxzbvZ7EXzE0De1bmfP486eCFHU4Eo5ehS7O8Q5R+0LZ3+AqB
1jGJOzf0137tpnDa+JpcdWuWDv+4JM+3S+MPsebcb+wehSGuu+fElNta8AKGRCXqpKOrjLltq5V1
fK3gLEXePmy0ep1uDiTytKWxa/GYhkLzPilvnuKFXW6/KEEsl4GaZP6ZEvFZdmYoUofa1Uv1TaSh
Q4uiUK0IlMME9Kx57J9kfzOV5LhER0IzsZLU441SJ0Ygh5USID3MLfmTQwLoJgkolqR5dux2Og4q
UWQFJq5rpLRsH5AnPquNTu7RGHtbJmy46Pt3c7EJuRtIVo+GUzWZKCRdkntEMtFe60OW5zmwSOZi
asMGq4eZoUyPat6A3mDN82o2aHmCLdtr3k2dcVISH0Q50cQavt1GJTOQfZOW6ZtRK5+mMZ/DtEUr
PCRZaNkwHnJ12dbafJ7r/rvCqge02QhN+vxa86wJ5tJ26tDMS9OP5jj1JQTxASw3jn8ru7FLUpHy
2f2WvUv/n7letYK+lXUFKE1G0OOWl1aGZVt2m2EowXdW6B6bGGuT7sGK5hPv4uG9knMKHGrraasD
2ZAqinlSW3vnjg3tYxKN72QiO5tZuFuD8PqdUI3XrnTmXSRk7A9T99YX9Le0lATOZEKAjtuMk5NG
4lkaWJHawAZk5TMUIozgwA9TYtJUz7Y505StHnFKp2SHOegAwINPQQlauHt42VeztKagHFaShP01
mio7GAfeiDRIX1Y1O8gQ/QeIpr9aRmb+WGWPDgnUG51OgN8RKbpBW97xzDoTgQC+CmEvSv9mkWqD
f4bCmJS9ree4qa91yzMeo4i1B5bg6CKZtCt3DqQ6fUqHiyzillwJ7MmdrmImLwGNMS6d7oUlF+Lh
kRkk9XHw+v2qSd9EJLL4mtZBakBR3+gKutZ6ucd2EgWztkCMbyux1V27DMZUXUUFFJPWS+QYd+YE
xCBK6RK6GhYOp3qtY0AH8llmZBEmtTfvce9qR6NDmei0IUG21LaPToN2eGCBuSoX6GlCD1PG+gSo
FXyTmTwZ+8xRrI0Smypek8HAzctJprG7mfOP9p2y+fOTiROtZ4VdjUoIsMZYFod8nq+TsR/3ZbEQ
/GDah9HjFJdV3YFa+q6WDHuyMTkpBtOGtJgOaQ6pSy3UQ1xoqE9dyhDbNBG9Lv7k9dFOkTmScSMN
q54Sweym0IXIyQlGIGO32ZAvvfKn7hwMelEOOSfo2/pIbPjkqzENFaNztS0Obv1qKAYc2PnCWlTj
cZnF/AHIYzkV6oA7vkZOXd6D0Fn8lvSfSOYTQ1q+GFB26jrLr6sofYjkSOEBoIX27BqkYOFcgMmQ
JnmYMZ3ciE7es48Npap6uJuZ1A6VU1wNVb1b0qter26tisFCwz57o7jF/TjE3ksE8jHFrmUpX3Tn
touwd8WARnzmNGN6/U2kg1zBBZHueL53DJCsmoTnCgTk/gQ4PDSG6oPw5qDusxi4iMMaqxhiO9MR
MePsbMGZ4BR63zj2YQAIGFhCwkkxCb/MbOrNCGiAz71otjmf6H8qbGBlzqoOBEDjHGXXMAdrPWLo
QMdnZB4ZO9pHpcT9UTbKTUuOPFrBJ3eGXhZFRX6jZL7VFWHDW9rHdZzg8HGORLQQWRTTDkEacSCG
xEdytABVKG9nuVwbTloEDHc2quhvyy5n1EEmhIY3iLMDmRDOIGKGS+yYOmfZLnnyYLiV4bcxiUuE
oRDmGcWMEhXjqfXq+yERWHNgFbCKGU9p1IaLuULtGDoeSM/A4u7hDaDnH6p9CcWkWm4L5YzCD2Ki
TsMgV86IClB+rLD7ZaAvwR4O8U4KgnJR3tske3L/0NA/FsrzaM4HAwx6MMaW7esepx712xiJ5xJ9
QQAH1GV6QUwcJBaN+spuUAghb7gbBnABXs5/cjEmKle3tLemTSA50+iXQXcZv1VGiPOtRdyy7Eki
vxtmwHZJ7BExWkJzMWrbpY/knlfnetirVHt6lZzKrnDOSu4c48xCBGWAMorka4p6aDeT3sZhHtGo
OIGofqU7yE5EEFpu636uS3fDjoLwqC7ZMvkwz8WA85gEHyjNe6cssfkzXFawsgykZOp0sjndHhGz
an7TDx92bSoby2xxRg5/WNsb5pN4rHq39TMnIwHEUN1t6clTuXOjIRi7BEo6sJ8pp/7N5bDzCsLh
WspYmbKloinfGrBZmFli/NOZja68y62Ws2JbkG66gca3ZaOxb6NoPhsVCu0MysXUwKDKJbJQpCZ7
0+l/Yi2jzZX/IIZ3g1VO7Q62sbXb9ArNN7oIOImJ+TGn441nKVe6lm2jGW+0mw5Pos4eMtKF+Jdl
uH/Hp5l3ow/ibU7fhSXAp6ND2SLVDxLbQXdbVcW2nlUO9QEiS15m98Io7V2J/gdkFDZPL6j4r7Hd
Lx9ycxIAEHG0D7UDRLXOv/SEKY9q148RKUPIJl4l43dSU1iIvJbcsCzZU0mrzuKg4IYASoLtD4Oq
Z5TCLOU8P11bfOjy2dGmUz+7URjNtOvGAUl6VcNqSYt3e8aBktn6EbzpV2RXVLTU/tS37uNg7xLg
m2GdjUSHtGfPE8TepQnJPLHcRjRx/bHW+52b91+5NuZsPqmAC9Vp72RrHuEdettS5GHrKBEGPP1B
kKDOVIVBoQqAMoleGEx1Ic0K/jeCpOOa7LG8x5BUcvI06Wj46QQFyXXEtl5PS24yse6DleE8jkA/
2zXl0G8VzpjWxH6ysRGv12X/zSiOvHYD4VVcMUSiT1fNXgF+11hTIaCUM+yio2n69sABx0OzMmS9
ueuOttPS6TC9ByUpLMQX/RfSLjZRWCo2uj2L3WwYWO16CHCWDuIhpdjUtOdFVb66eDKv+qY+dKqX
37vXhBZOSXXsY4yfdWbT74wfbOPbLrL+ts6Wu5g8Eh84QTQl03laNnxF2HH1ZIsaMHkwsy4QdjBT
LOVwqgVIKdcAtpdCsN60tgCO0dcvMBnUP/Ac7jvD+qit/E9cEjdvZrMasqoNzr1Fg3VnkHJBAgru
Grb+TMMqYZ3skgUyNwlmRxEcqA6gj9hysbu+5P0ywSsgHUO12o8aP8VV2RBIF8lb0RiChYESs5Y0
fJpOIR1WNEEcW7tEIJGc+ybetq25qZTiHEFePWjDPN9oTgYtFlJPlHbkOy3qDY0DetjZsutIN21Z
jNVEtkB+ARKl6aiuRnlO6mtWUzz2FNhjf12nWfSVlIzYprbBpuHtFDsqAMf0TaDqyla20xjQHNlN
VnQGfc45y+AwcIfsPM/2g1ZHxr1Z1AdvJCB4irWHlFnUflIJ9JqxW9WWrRFjSxoFg/0rzfXIr9Lh
5k3ak0aH0DKHJcwjVVl5QNqVbrjvGbZgnxzmIsS1zvAQ10atDexaoONpphR83/GRoO/Kj56aPmtL
nxATK957mK/wsgqgKfjf5o4OWZSIHQ623tcKE80arISNBSjhgA5EZSl5I3EMFuBYKSGzdwKgUsZA
/EaQb6re9m0JgAYQ6SKL98FqtRuS07dj+RGpVv5cRMVdWhgfVkF6UlNCISqwoHTRNm+9UCbjfcGh
gKJWdGSpr7tfhXRUG+O5eFFa6W1TuwojB+ZXUevWruW8rDbdF/wgClMPy7wpmptR6Jwph6uxbkiL
BoXAOsVuqkpexkxh9TWQ9pVetJvWHedX6orqbKbpa1NzXi5pV0PfAjHQ51clB/XecM0rFWXSwWip
rcd6TVTeOgbl00xiuMFmGKiVbze4NtWaKUYq/kR6l269XLz2ehf5ES087B/ie+yagtRewpE8smIC
aCvYPioKZDniT3WcsFQ4XpdRkomOkKRQO16sXnl+DAmO158xhnCODYuNs2YpD636olLdBw6+ezUm
07hd28RmjedW1oIsIE9gnrNnek4WNoBEzriiuF+WR1ezRWxj1pOFq1ulr9cgyxrdGPxuUapQReKP
pDNpt7Exv3ei/BH51CCUcm5rCPE721ussGi4OcKV5zylBByX6lmOfG6mQRxm4ZCgrrb0ePWFrLRm
fFQHKAxtQLb2TL68iwyht3KfEdUBD/3EGzWTo7dmNKiW9X+DGuinINb83y/T2b3DGv/3hvP6CL8P
01AK+TaA3uqoZVXrX254uU3T2muAwnpH+vguUS3/PmOUN1x1+TudE6663OE/fv19/H+uAXSBe+3w
P76Kf17kP8/I+a5ftv95SQxoPHBayEdHuzM4PtbXdHn2f17I5dl0bBHl/veJGyWnhLjctM3tNZpj
vdc/D3759fdRLr+pzkRIxMBBevCGt3jli7hlXx8gJesHsaY/aGtu1uU3jGwrDP3/ucxd1lia39tk
iKzoqv17y8tv8bpS/17Ww3rEJUQK2nr5P49wufafO/8+1+/9/noYC2AIvM5Y8zWbPvo2lZpG3RDf
/L6QVleYQFwe6z9+rXuOVbIMeN7Lg0OcxvM/WU95eUkKyaFJuBJS2RplcPmRrUiaZP3x12W/f15+
q4Rz7eSVF/51+eX+l8suD/L750IVyt4H/PTl2t8rfp/s97LLTQoaWXTg15f212NdLvvrYS5/eqKF
gtVbiU8HZPf7eP+83cvfl4eqZJMt/l8P88+N/tvDXu6TL96V18tmZ69Rbn1FWaaZxNpd/nQiALXW
+uOvP9VJgEL76+pRBcHqhpm3dlxUgGmXO/3++OsytR5IS54A2P0+w19P83vfv57qv91O8yJe0+9j
oS8kG+tquVx8uYPZEMPwzzv7fYD/uP6vJ7n8+ffVilc2+zmT2//6Efw+7O/r+K8Pc7nhX7e5XJag
INuODgyDFDsyOl9khJfQnGoUjD6wcXfiNhZjGv6zXIzGs2LBGQMQozdPl9WgpoV3RT5ffTCN3IFb
tnYfSuzCuUJLkS2bbSjrSQwAg6a9C1wHO6a/3XFGhnS01t/o1nUmW2y72ZI/Yu14z2c9p3WmuuWj
GnXq3kuyXT4Nj61MaTkqtDQdwoE2E1noqBfisImGm16rT6RFoCyT1Mx9Od/OzfAF7D/IE/QERibY
ezCHpQdI+ngxz0D8CIAgMiLalZr65RXTo9Z4eZi0iCLKqUZc1FkbkMTpVi+pkuL8VNZtsunwOeKe
aZJrGxXUKV7nMLXRMwUpz6WGFoAhthV4QFuOKqUwU/QGL66I7ppWHiZ1dgCRLiqJJeQmL+SKGTbb
1cl5oTRhayOI2Bx7Ch3dxUGdwuXtILwqQ8lWn880qNmrsNO7MXXIeMx8lG2EZY9yECko3hd1XJ4M
szhUTXNCpYvpuSdVciTCrJ6BDMgh3Vqc26lQrpOYiRRk4Thgx14HfXWYE3lNV4I9RkYbUFGBIMaZ
hsefKUAkzDQcWz47Sxj7yE2SRwLYyQTQ8eBHbh80bMx7d77Jh+mnd/hg3MF7ZabOeHTwQNDnRL8V
PM7KcdEaiIzMzq71QU0QPWXsW7rkpR1+sogCUlWpCKbFcnfRsnGURuyFzvhb6VxgzjaftEk7velH
c0tt/EwtOYV9q9Z+IfovJ70tY4b26AK5r00reWco83yvr2FDkBmozIvFd6L8rR+8ZMv4vtwTY5sj
REjIZVy0cWeKInTRaGx1kzceo2sESHg3re59sB/q9bSg+YyxAlypFf9o4hMTHNDMIDHUx67K2IDv
ktDZ2SfKj4jKJeim03oE6ZktTkWyfDPCpkzuGQ+05ptQnOhc6/KzLfXJ1/n6+cgAh800I5VLEqfx
TTUz2U8514wpxqDDG0Ik4BSA8QwNM1d2S66idxYzQ5GS2SLKl5cozRHzk7SJZm1APajxgnkuGyVZ
UIllIJxmmLE/WujolLCM++hu1oBKtu4HoaMmJOj4fR6UULgwpkaNukwzTvQTkmNSYeXyki9MzTBD
wA5ttWn547Uzfn1zrynfjgfwTU+N9GBoarkGcN8tIsIRPxcAbIfHWQN1ACVbulTftULnNR/g5Cj5
Z95qMlxaCmMaj02ouM/Q04DjZsR7dEUlCeyp6IUo9fXCV9ofxUhTXNNuYiIltyXTV6m+W61J2YPp
HGr4Q5+3T4jpC9+jU2l7zasmhjMztNJ3DRGSqvpcqxGk6T6jM07UAE2agf2GNhG5EdcR8inGHZmT
7C1TUamTNXCW5jPwq9bEtlYU7JH6slWDKiPGzNXirQrkVjMQXBbF/AJb5z2K246pcf2VLX8WHZKh
gzpUTRNm9/qT2yZPmOGrY5UK4OBHCOGqPXjvYpJuQLsKAghA1pqC3I70H2IJA6Har9londFlvgAK
uIZ8GfulBj9ZRX8nFjPbriQG0fTXZIYSU1zNuzxJ7E26VMl+/rCH3RAVj3kl3zRZMRcS862ZKaQr
4xm06SRikmDtNhmEtYCOtErSYO3GIOaYICJFoo7L3olfR//TIITBZnFoJixY2LRaX7BHTFRqdge/
T0/WRhN2pRXdoUYR2zGCgrOOkO2JtI1KshAodByK4s8IOjDQvGJVxtOO6PvypSEG0rfEHBTAOQMA
kEtgdyoNmYmJGCr7LRiGZzvT74ZpbU6/DDZT3zbNsVIiiEj1r1rJv8pU/+xbrN80XH2pEvginRLH
jKRcK6McHARCGhfmzyaZ4z8aKoWpRNc5zvWDmrXntgdlAh+rkTQ6expW+sgLTvTQ67HeqULvtpNi
r/HczQ1zK+LtbDMwnJh9azwdauiE/Eeq3G5C9CK0RwXQ/Uw7kH114/QO5qGiPpc5jS3DObSt/d6n
zbaezFtAfWVgqsU+0Zx2E0dCBJKM6NB2xyuwaZvYXuEGnHW30sjQtQP0C2yF2Q3ivhl9QzUFkaF8
ui0DvmiYdkZqMBkY0Sg50HWn7pFUSGAspbmrTX1nLeMpT6qnalJDUysQoifIQ+a2eE0Jk6mV+o+n
1uTm+XHibqymvUcD/Air8Xle0Sxm1z+CKPmsJ/tFr9HV0BomfTK04+kE3NLJabhqPVJWzbZPdYOM
pu6ZpNYMZWyTBNgIhUpq78YUGEaKUu2Vqf2bFxePdiOvJ9vaZOqIwLXY92bxmk8cE5noQ11SGxjD
dbIgIoLJvlU7mlokUN+mRAcYHd/PHDltsWfXjfqwYNaXjjYS+3om69l6m8X0FvfMBJ0CSahb0yZI
mfiW+efopE9GO72CG/7OGNIOsQEGPD1Is3xkvspETq3vG1ylMlWYjucaP4zkwVwQpNRLOmwBOkkw
FcvO9OL33u0PscSWQ3eTkPgS6YdwvnuzXwLBGRbwOhKGymT8pCK3UMwRerpaEX+OR0hUd3kMZ0ZD
GLHFFLWbwDS9ln22NsgIsZ4Y02NSi31lNutNknJuVvRjW0j2y9FK5XL0/aqjbpuo2jQOsdXWp1pi
PFLHP5IXdVCbl7TJgUHNxbNH5g4r30PaRcQiSIePPj5rDWWCpe9ENu6nOgr7PfTtEOyexSKBVCLF
crUZGRO+JTODQek059Rd1Qui36r9bAeTd53X9UMhgcIyFMKkwrd3dKPvogDWnI9QmKbuBVXIte6J
W+kWviPHu0bEbxbhVMwhaENlY/HqeB76A8yefr/Q1DJMesMLx8bKvyJzh7Kh00Yqmglsh3rNV3Jn
ynk5wH2M6vKMNwC1DWYgPDN8XeSLLWjLEWc8AZWpb4qMBgkuHz5NEz2nUcIetYvvZjWulKIYkV7L
p5RG/L5LmKog6HFwLeAxQHdexcMR6VYC3Cd6wwYTsOTqoU0MldMPJ6PzTqJu4EJFaOmLFM8Xo3VD
QVeAhbrMUae6saNsjMWiyW/wITt8jI6Dg6BEZRVI3SFJHA87fRYmq+UDeuqGYw4xExrqjdV36b0Y
tiKyxSMnOCrJO+9LnaS8BoXsQ/6w9m4kHhVzZjfnyTc0v5t5VlLssvKt670wHlymGunMtUjmCpo0
HVORoq4JcFAVvjwUYS2awDZmfMasD0FqmYPhGNwDcZ4vJCsRf4c0Z2jQgVMbQ+HC1wk1J0uvTfxY
QzzeTF7G4dKm9xrLT9BLvmtRlDMmbK/jtP5x+pT2uMa4PDeeot49Izj50CZUKUvXU3pjEooIi2Lc
e5IxiFeKxZgm2+DFZ0qQTdZZJz3Nn6m1n13baHwLmggy3emTrhTDFneYzq7HqcaeA3Cb73GTcja3
7xTya4GItki3W74dIykP9G6toWTaZBdkzLnUYHZhhlmc/gyhZ4qjVWsEPFkESmvT+GTV41bTAYXP
pcK51WEfbMtbbKgMe5X81qA3zsz1g5ZYtWPMdtO2C1PMJRmIaNoY4EMDza2eUBB9sFNufStvkb1q
TPwdDhrlR4/097TOD5HNdDBNiAszz2WjwotKEBMXJYXoYoGx6nPX9zDlZIt16qT3SOzkN6MdwzOv
0ynaInknVwOBJVajrRjiFYNnIiJpX6cuu5LVcr8YNGeG5q01FdSqHqIxODJPjYlkdGqiJ5ewhk2r
xtSdmPLRymIAd9FyqCAEEKcwXln25AIQN2u9Z7JMNgNJY2Zs66FpzI+6inkp4xuY8AnnZhqvkrNv
C0FJUACVYY+YEK6Y2tMbzDrmPk+Fw7e0LMd2W2p8TuZonuOpPAGTxxlnuzrlWH/qc+tFgTFAWBc/
huGP3h8VLbTViTGApTyYNVkFJtsxFqkaY6CLD3R+dlfv7khIXJ6zsCnGES7U65AYHwSYzmGkDw8w
qrez0ABjxQXoxo6K0PI4+mtl9rYUJrADk5yCyuBkgaSvzo0fg3HFxp7kN0Pty7pJfoKl++Qu3qWo
6zdJ6wS5x+xeIcFq41j6u+W63ynzJayC9cHQx/3wf9g7s93IkWzL/kohn5vVHIw08qKrH3yeXa45
4oVQSArOM2kcvr4XlbeBzMhCVn9AowCv8MxQik4njXbO2Xvt0fSYPBj3le0hnTI8RMUwyPSEaFd+
YB1FYHwRYO0GN2EwTm6XgShSGsplHxCXS8NDwoO4A8hZta/99qghUAR5A7grLZ/iND+HunNQNQCn
gv1z33rM4A2zWjjpbPmLV4uimS60Al5L8TEiSSqzKQanhZjMarqbzPtvsunfo6zdTQy1HdP4jr4T
jqDVJ8scBp0/1Nj6pp6BABdPKR5UIm8dw9DFGGdnhWNJY0a5KGLvW2yjP0H/9Oi3953QGYRSusPs
BUysQ/BlqHRObXESBpPPJGjXDmlpq1qX15KqQwGWIBZGv/NE/2Qq7Un3unwThOM9Dje1Am1wy0ju
USr2wVxOr653T+YuAepmJiHhzYaFNmaDzQZzjtVbxWaxGnv7gGxsoepu28oQ/RCu5/SpwgFKgKe/
45pc1mVorYeYoHLkdvxV8GxrzXToPB+INkPk3uDzCwg99Dq8pwQC9JX+qqXpAUqpufWHcVsM/qZQ
KaaXSnZIqtr3sILtaVt79hd4wtlgzGEb7CqpvvqrnuzZSdt7bVaeqMhDIaMcfg1RHKkH7tfyXvPK
QoPnxh+jDF/DNlzDPCXTQ3XWMvZMRFfjSyGidO2bJJuY7iJXUN4aXC1OzGhPdK9JzoTdZ9q58mO+
Nc+p0cJ4PW5HAwun3PHX4ll85SRPw8DT2y4QtJZA+ZbKaZee25Qg/7ockZB3EMVH6ctgkYTlpQ3C
jZXYEabX4VgmJsxXH75u3FG0oUeu2veoH58SVGxwVD1vUXHHrz0NppblcSv1fXPJx40HbXokHQWt
ZwvzLAkYhRY+4Ct/LVJVAqd1GAz49EKi6KPw05Mu0TRRgtmU9Xa5mKJmFw5FS+5cIxd1YX70FqaO
9Am4dL5F+PZdomaRE/C50SNPzio/CmZAG1mkH2RtvrGj7jcV5MMpQKha8TKnTiwGfbrWobeTgGC7
79yKxFTkb5Hpb0xb/QTJcvE9fF4Ra5Qh63Wm5LNnDMex1lByVFTxBWEcqhboypj+SaZXiWdutbkV
HpbjKbX1lpTyvNtECBgdhs2ESvXP3KOoQYwSkUsvnHVNZgw/t4A8GKwgoe1JyXzCg6qtIqZ/z8JE
O9JX/q0NP7zhpXKtF/QzjzLr2G1CXbHRWSwb348WiDpQJKGllFQLbHi5N9HsFtW2qp2N9U0nGaUy
rOch6zROaH1fcPIWeW/dtDQZV62wXhXcDyMAJkmKIBLJ1AtOWAgeg8nZGbPuTQRhw1aYIBUEIy41
LCZF/F2dldGHw/WozDsvDG7lJwuvD2+zr6wTWai3VFCpOTUM97gHISf01xA89WI0i4ud9o8DOoUN
gQx3MSBF4i21hctMVjCGXVEEwkRm4zlaD8YbUuo3iXO50bkwE/tZhs6D6cC5DaJz6E3bpMWCQjpI
U3O3BFinXRj5lv7atfYPTSIJ4XPtMVVtcOPSjIl5/oObJ8zAVPuquySVc25YADxBOEzdGt/8uXh1
teA01Wg1yBFNTGeicde8l9UwawWe065CyxAi1+oB6ui6jVjE52phF9PlBemQOm4qmwly4bc/cqFu
ZdgRmRvb1DTdA8H3R0QWzZIhBXsqpPYuE0sOTCNaPIs/2QAYDGXMdiHi4j3Mwl1sJ4cab7Ge2B+h
W9OnquuSGHIj2AzR1hzLS+Ikw7Ku0n2pBvwkOnDLwn5LjOZQm0xiPZuolgT/bdxaP0I/v9WRveYQ
jl14ldAQmqk/5Rr0m8RBuhGBv+ite7/VcGf4P6dcezRnzxqOnUct+a7QONiTSUiCXrLnMtF2ZuXK
ao132bV704seIOIE+yJPPlp/Ptlh+n001AtwY5YwC6dxU/CZo/4yJv25iKMHLBRvbCHe9FnmLAuS
S8vxe1cG/cLVeZBrmZcAUSSPajIl8ubuq1M5bAeWzJU10prVI/OAap1uQvid0KhonqmesjQ4ooK+
h9otFlLXvk1Bf9Ir7xB6+dlkCQeKsm2LAolBb6KqIQ22j16jtBbLn5VdvttW+sMvS6I4zOKWadUC
CRuLi4M7xsf8AX5syvu1j+3VoaOXJkZ5tNLsATHkIpdoSHLUL2OPhSk0/Jc4RhVrd5Bf4BISvics
xtSI6bUi2DpVDh562U5DvJAySjZTII9pkb85ovqOdPyqMt9dR1yn3CEvuB3kWutWXl6co84NtmYd
L2VPLobU8qUVTxfNJ2wwVdO2sq213UH64ZGnre106ZrcXago1c5WKMxnPfXgYrGbP1RpefeDpHkD
pomqnB0dV3F+ttJnCDKrMC3u6rB9DRXa1/kSnMbKXORsjzaBw4VCL/+C3W9LR/zVl+2Fzu3VJ2aZ
KoGwiLQy1nZcHlORPbSh+S0bHNJV2pBtbV9uXdIOQwHtXOXRA+oFnsM6TRmax+WOauwB9O9r2cbv
VL+Pvdu2e4kfxMqnOSwgfbXLU13639gedPswZIvi06g/aa5Y1+iolojtyffOzF2tCdp6Mfi72KyC
UzZqp0KW2oVa82XI6O1OndzUZUQwle3MYWoIcTDU0BkXaULw7TkvNAYE/AdgWGnv1L2LsVOPIvLd
3TBpl5KqnEiyhCamGxxU1FM0EtZojY22LGNE9yXk47HJjIOWomWuJoDjQSIp1NxQ32a+sR1Hr9rb
moscf/TcJQ6w7F4bGzQ1kDm2X29//2d+tou5L+eYGJmSaVjnpcmzqrUp47Nim4bEkeTDqyuiM4Of
buNIPFWVN+4LmSU4DuR3hz6ygYF6Ia1O2/F5NpPBRrUjoLnOYNZT2jxPad1sFTv0uucZpmoakFH7
QA79W9eCgIocnj4TsVzCUN5W+j+lJK1lTBkNVfSNp6ZSyCVRETR4U7RubLEwsbV3euMTNzA3DTvs
zPd/WLEAm+PQQoeqJDws8gR68JkcliUX9F8/b9lCDdGmu5O+fA89E/MLaPuRRdjv/L01RSdQ9eBX
PfPFSy4dUgQ8wudq/nXRPIGxHLIu+/B777nProCI4eY70iWRqY/xadKd+6y8ljEYBpQ1D3mAwx0j
074uBS1NecXDuKil+1EPgJFFAMnLTm+ERtKS1zLahkN9FMCbcUFY3BFePq47vT10Ct1jFRCzW4xI
1hC6cVtb+1yJT4+YsI0OPwWdeJWEdEIdv1sYsmy4siy5MEeMdyCkrnWsXuEjsx0aYmyNVvazj6bm
3CbtNqC9rdtUylbg8YCFh+zhqlp7of4ajfLsBT9RQcVHvZ69CBScZeTmLI/xQ9Y/+xa2FOVSo4UB
8tgC6/fQFqiEC5QZXkztLJHlwZDZxpFuvCQeq3XSAqlLaLFAg7K3BiEnc+Kyo8SFGvvR0bOXJnPT
tQYeeKUMEBSBBivMNbfRLIWLUWTyJQYU7fpO0DmkSYVOk7Ynxt8pZVaCpbkknWbSnMtgJ8kWZRA/
ZR4tZmEb3XXeJgyJWU+r0lcMV1TATzUz460dqOE0C8JSnrrLxHGMtT+pRyMt2KhaFc5iSD8Li4aV
XX4kcXVXe3m/S8fZXZTiGTHFvs1awkoDBlPNRPNJyuSto8nH06bQMJvSMUuLcB/Eat5Am99sB/8r
3cpgy9+u7/QMzVJvIm+bR0/+94oOC8Yljb1re8I4gGkQQ2WQQtNjM3LzwbwAmaPZ2emat1UXRabW
ssw6IlRyu2bPz9jDUb277yo6ftHU9czLuGA8KyAdMyS7hu3dYqiT7lZlDIEau+Gr6QtiFONzYMNV
AEd+GlLkyD1tTfZShFEoLDRUU9uwEmAHyJ89t4zdcZSyiElT4rGJzrnQr14prK3Qu2qjRjJLqhiD
RpKvQ5MYySng4RAEojn29NsTF0tDnAzPTo4PVG+fmJrx/ecTsDk6sn5Eulda0Fanbs0wvjrH2lKb
XLfqZV/l0amVzE+rmqZ9aQ3aseYqhgEGLLBF7kkB8ep5RKna8/6zaO3jpPZ2wkqaRuC6SR7Y4TmL
WcKK8SCaeSZU69qiMzJ8WzKp2dem9mKGh5OlyGWh9cI8Mm/MWm40yizHfs5SbGPSyP0lIRa5CSXC
7kt8s9yiTUmSn+Nf04FfkYzcwlZakzwrhIWKrjrhr31pHc6tb7QOlL0EDQ23/SobnmuHT1zZ/Eoz
wWA2BFCbG0YyjqtebM8m9AfDt0tT8hgUN50WClcUg26+lXWYNFAeQSKsfX63UY4bq2IJNeZdlmTW
s3ZIRFjGgdoJCveFrmXa2uxEvmVYDOk533jIMMNQ8fuqN90R7X1GEKGKxxdwDKdSSQU1IS7QU2Kt
IAkNGzwAgSGa+EvaT5ER9GXbwY/SIrRQuiTMMEOlceiZXg3Agra5U36YbcopGuM7NTt1Xd99TkPl
7vApkXBCOt+iRYO6Mqtq1+XHOudKtn1cU9xIkFnKsxiJOCuGnOQGE2cn2wqba06UxgcRe2+6+VMN
00eXVzePuALbru6mxiHtLMJY3vhvaPf4aWE6GLoffchSq6FkyUzZ8Thary49M2YH/1QcqnUTat+8
WrhIFWp9yXqHpEBokmAI9z1MBDMdxl6g8tnpUOeQzMKOlbp2axasldkwJise2/vY8seDgxVnEVH6
iLxjMxsUw4asx21aRg+tluqb2r0zhcbGUB+f1QCgqtHpCg/1U6uYiDg9vrsgb8AAEZXqDOnE0Qfn
sGm/wUdvGiDmKrpzqfYpgnkqKjW8CJNyoMOvtgg9jT37ri7s8BqA9dYKi7EBe5W+Qc9bqG/AI9B0
++ekSxSJEx+9S0O/jGnBq0B7bGkKEPLmLQIzd2h+WE+kfdBtTdtsjRbkTaN0r0M5Qg6LxD6L4xuR
zjMxH7qNnEqiJz3614ai5oMaR/O/zD91q//RKp0di9PvDNaebZIXsD7THzjKfX4Wc4nmUhmbsr7n
E8VcVfiK6tJOt6EFxhMGeaLFu0yHLVT71l3VePGhQJe8tCr4SHgBx5JcE5y8sPLx2oRt319KrFmi
RsgygM4Ku7dxLK48YWN2wQR+lkUEEzVHB1JuxrhoyNel7sCCVd7pU/kRN2hB2jB+MHXPX4YVrdew
sCH0VTROMNB119xZRpn2Tq+9/64FO6avyNg1cVENY7ZpyN+lhA8qBaVR3Vyq2ZlDOOW0DaDaXaP5
xab7lmke/PL5HT6Vd2XTeZizCXgUuI+AC4ZdhkB8kSCBoEGUbFzNgyxYq3FVVqzDfmk8xl0Ucx3o
L00Z9ivDNOUysHaug2dMTN4L8RdAZWp62kWT9evap5DJ+om90KIeimpfDc2jkuW0NTEgrRUwpSER
AbNjpnOwQKotNw8uYheLUuvi/TWYxLGFY411UNlTeSXF2qqb7qJK9z7NOaH5hF+1NOpL67WEBEYg
Kfl5BPBay3ij6uNr7Y80+Wkz4ij80XcGTFLJWD7ujGfLqSTqju9llfvbcMBgXYAuq+U1YyJG5KlA
Toxy3i+1jWLEaqRasyqAlsWYtnxHYQ0vDkndDUDOK+Bh/gUo2TlwqFUoy9DBlvBiNeIACgM9tFeS
9hcNnyy5wNike2dY9a3qEtowDiSOkfmn4LkUpC2VAN5MX93FPq7xyLbUqs0zglhT8G+V4f6UtsJ7
2D4PLUozUbPdkCMK2wYrvmVNH2Ig+M6Czhr/lA4X6JSl7xUIeZqfLXs/DdV/Pgakr5dPdYKYouXi
MpvHIWmOXo3CB5/mGp35k5HANSD2+V2oGp+8ZYCW80yLIDBJMni5SJm/rFXg7D0kP4cyHp6MCQtf
QPyJnRacACk+4AZsOzIXcIqkwNfdeNXH6SOECOamEic/MnLkdONVWUwPbOF/C+9QoLCqLP1+Wndm
u9JUfQY8lm6RZexH5V/LhgGxpBeRGERg0NOLWf7Hlyy3P+tpOAvwBuxSSUQJjxiS8wVXp4YgqNkk
Ap9WMu/OmKNcnTjE0p00GDaVtavsdm9ATOqy4UEbJ+PcoQUyS5vHQLSDS2Gzebc+zcQCZwwrQiva
iT5XwsOA82aSnF0heqrd8NgyS6Pn9maKtj2h/2S1d8eN1rbeqoGj7IkZiR/dUiLMlwFrfUG8uDD2
jkp5lANIXqdGSeJxhLVuwK5kap+B3b0lIvnRQlTm6je3fcX3IqJ+iQ8q2ThTA66WJmQcZ2tNi5mg
Wfj5zAIkiMDFRoeBia3NaVZolhE+scIe4jZ+4vu/lz9q/JKrgH4BbVqa/o2n4zukrLKDz6EZ7htT
fpZp++KOzQNTCCiksUawvGyZO+Muq3zKAWHM6h3mqBqea0eAN9JDz12Qp1hR8pP8g+zIOpaV8cPw
ezBLOTqxeZqVtyRJUKkBC8vLvRqcoyKQi4xhyR2Uo97LWLh9R3u1uuhnbeLEhmU9ENOBrM3HPV9/
5rJ5ISiabnReXCtBth1PTtZ00my9XSbUeQAogXe2Z3iy7twISZ1OAmbARrUqZbq2Z5sLi8+HND8Z
aLrrcPLOA5K0VW6I9zQLbpiFwwMMocNgT1+G8nMJIIyNe3ZyAAUmOfHd7Wjra2Rz5KvS+OlyZ2v0
Q3Bq2rLaBE11jw9srdtk25SJONQUpUFbEfvcgR7IvKplhcdIFn+GENcwLbR7K9f43OAUhUMXh+0t
RZgTrLWxxwIRekc6G8uhyefnYESqu8wfw7K+s0ilGYA6cBjRqsdHu3Lpli9ren4OwNxFxbh8GY0w
9KSVnGKnugWwbhfmUDKxGhhiDMTQoJzakooEoKS8tpNuQG1WG1wT4NUSNmVlsytyUB8dPeEoh7zT
DvnaDadzBL96SfpMvtbL9hC48Z44YoTqKI4MAIxr+DUvEcViOuB3UQ1bgDaAA8emHwDER8BAr4oB
K3iBFq200Xxz2uoq9HaXERq8bg32u2mLO4R9tUbsZgFru79rA+tHKY6Bxao5RL1kHPbTQ+NQCBti
pfI+5di+0fwSlfvMBGU75AGzkuRoUZSGAduIITCvMh6uxFZfo54w7c7Yl0GabQzaA07m3A0mZjja
U/W2rPQDXBnQZrX50gzwbioapnYGZqVV8dLLnUs+WQ++Fd8L1pSNS4ReUk9bryTtkie5cONlVzAg
IxtlHcd0I7HAxVgkzGqwVsgoeecGbHZKdDFz0rzeZvuoAFWtSI1sW3YlNBu9fEACoKUnMdQffqw+
koZZBXFURnWfVl3HTTNihSle0d1/RIP92aliTeTaytLTcqtrA/My4tWMiqrdCX/QkmVgj4GM5pl2
tYqJ0D75HMthp5N5iymzWmmteYoImQIvi0an44FoN3htTz/RUq8rveSB0dRL5YmNXfGE1fsfSNbv
0uSHsGbAQbKnqXvDEmby/RUvk++tatAHWJ2MJ6+oUSN538IO1zmTzpMGJmGB0K5DODuc7Mx9wGtF
gztzn/RanTq/uP7/5IP/5+QD2xVkBfzP//2/3of/Cj6L1Vv79o/PvI3a8fKWff7rt5e3JozyoC3y
P8Uf/P5j/x1/YBjOPz3DstneuZ5l20L+9o/+s2n/9RuSTPFPaRGAQPoBoQg50sHwX78J75/kpAlX
Gi6EZF7d3/7RUOXO/8r+py0Q2zF0NiHXGhzd/z22uyIdgyJvfnn/D8ZXd0WUt82/fjOc3/6YeyBc
23NcwzMQ5hhMkAzBL/pj7sFUTFWnNZ1zSxh+AEtPxn3TQoYIYOoGXZavM4uCmXYzTwqC6BzaE7lO
NOOXxpz6GpwuDO847fQzc6iffziT/320fzw60/rr0Xme4Uls68LhBJl/PrrAHkQqw1bcHKMAVlmI
MxNX+veuZuPhN26F8O9to+ARWcRIVAtaVRLUwo6QdZz8mRutk4COlD/hsXLteFZgeuiraBzCZguv
nR+xyYBVM8Hvswr/x384/Pnk/f4d7D/4puaTixJKJ6LCdaTD9//nw6+DNsFdaIjb5A3lt3oq4ksF
gXiZyHmPOwlzhdPfuwv1BQL5b2Ogt3etYR4z5uHk94mI3SP8XJzRFyahS8Bn69adV4SyZs0D8Zhn
PkI6s6r3SjX3jFSIeiVvqvDnJ1Spy1Ompbf/8JnmU/7nzyRNlOy667l8NuPXz2RaEfLrOLVuXOj5
tiZGZ6lqMsj0HjOeSdEnQ8NGZtYbmzJx3Z1PtMLBNsIRnpbfbyO3enKHsTrKzNp4cWXQdgTDG3Vs
mBJx76Q1ilcenUDw2/XfH/p80/z10Ll3BHcUd5X1y9WUlwCagtIzbzwnl/j+4vvR2PZZNSf0Rf5S
Bio8oqBgbjYmZ9Wlw3f0ka3bb1DJKNpDhrfm9sX2GUzDhr0jytSkj7ZA7ZcVH+GoxeZZU0AwRgl+
xazz8Opq1ppaVD8C+2pWktJjSZvJm6Nt0g3XRsc+MIRrCquYS7IBn5qZ3rqKpniZQGneVA7uea0v
i520rnZQAGsXBXWtPxEigpGi8qnmOs0z9tUYXEjX8c5fLwmeM+VkW9sJiXdI9PNIyuXejrR2YzAB
Fr4O3Dgoxu8erh/QQ9GL0oruHENLWLNUDNsGFTaDTgPEq96q69ef+kTdJTE5gJDPm3vLZP6rVz7C
Wm/rzobAfqY5O3OeqEC+QJTmWjNEi+ykrvZDo9erXis/RnzR+yxqXs2cJ/U0uOIWGnDYs6be/f33
bf67S9WhxW07pm3oltD/fPu5vWt1gwzNm2Z2JyWhDKRuXW99ss6SLhV7V5qX3hJoN8fmKaR+JLEZ
7GsBO4KWMfmQwF62HRIPgy3KCabSrQcKNCPFLW9kzIQyjBml9/IfDns+rF/vMMpNz5EuSzL//+fD
BgzMZsuujdtkY5LVnfA+SJyrJeFPmk7mbipAlXzx7IJc6eZnETaY2pKHxnvTPZ3uqB79dIOi3vUu
PdAm8+h/hNnaqvIJEX8Xbf/+cI1/c5Ytw7Vc6ehAOtxf12hFezeB/Gmg9nGrO31EUjwmpImmp7Ar
OlQxObVd7h7cXJwMcmpORhA/kZrR7v/+QCzx1/NmEYsnhatzNPbX7f/+ds/DeX7w/Q/QCS2PJr4l
hrMP1ZyRXb+kYezg57ZoXmvdc6a+JUUuHqIpOQfm4C1b2F/Xr1M5Ni1MsT691ESBr6YRXdCSGFhz
T8+jXNQNSa1RrJ34cnrsuvlODZncm5G6V4koLnk1HnrfQMHp4yuvZYXqVcvHgxanr3FCWf/3H9X8
N5eIZSF/tWxD2tZfVjLalIVX6b5+Y4v9Lro+PvazvG2qLblKYxt+T/LTKdybRgD2uvSH9HvsWGdj
VM4aG8i0KWP80COSzn0oTXToGXqKSRu2E0aRVaWh6f37A3b++iCXks0Fzwz+h0xu/u7+8N0YJaRd
zVLmrW5ad2WCHt6ySG8n2b2XYyuvrg3PAcgk8HGZ2GtGTcWRtEGB3MNcdYl9Z4QTOJ1ieLdd5Z4M
yF8rOJ7fhY4+igcw6UOulewxN5MFgQLFdJS1dwXS4sDd6aFVwwBAI5jzG3ZdY6EcwBqQ0SHZ1MyW
oCPK7NRlY3aiR29hNDlKc7iny+Ce2kR5azeujZ02IMJMGH1MrrqQFsGEV7nXeADZpOfmHTki9k8t
7ohQLI2b1smDFXcBAxPjgTxO6ykbtBqwTCEO9FqZemfDGTWpdshC4JzzhzLnucrfn3cxrxW/rCVQ
nySnQdgWhKhflsA4xQvnjp5x87xyNllN6n5EgEFoc13vHM0Z7jVP9fR5ivQ0jhMzlX7c02fyGCVk
Nb1d5shdIw4w8rci1y5dB5fBFjBdYz1Q+7hC/usW47EMnro5ttpyvQ0lX7ly6EWA6mJvmI/iIcgd
b6NicLBa7jy6LuMfvHiT1Zlnpk9gJka/P5uJACOc7Eq3SB/Q+1t46cUmQ9a2GXgOLvpYluvMJlrZ
LMgX+PszZbDZ/suZQqhOoJjgfNn6L2dKG8yOyCFh3MhhfyFoGuVQF74m2AuOTWWIFdpFSsa+hlsU
ZdnRZgwednR7gamUx9FPyQgox3NuyXH190fm/LptcRgfMXtlI2nYsLR+PTKoh2asw0C/9aVVHOM+
ae48285h+Dz5leaeagmrlDSXBcyyGl9HmhNniYTddWgwfl2+pZUgFBnxTramZp1rF4NC1Cn9NPre
eR6OLgPfSWkq08ClGI02kDnoLHcA8nNrFyANve+tl97huaj1tHdA2YtdIts3LQd3aswZyhNBsKld
rQuBUWCgih6ryUNvSwQgYz2q4fnitxxSuYEaLzM4BoMfApOKvHBjyKLGdZHYtBtm7x4Z7KserAGN
1PGSJG8xgQqnqFvTXxMr9h4MGArzOUGTv1GuBTGuLLONF/TEA3izTCEwKb/BKKytqAhWMo/S/7T+
emLOg/vjjUW5pHNDWaxqppCO+8uCNrmJJ6toDG5a0uMa0gDhoNimzUF+JQrlE0Ovj8gf2o2c4DS3
cXTwrDx8bCet3gNdQUkqf7jMfi/2iPuNHu80rUQJUJet915KOqSY6cZ2YzOmRdX9I20CaptYIYn2
ev1SNNEGs0pypxvf2rYy7ungMqdy9HNX3MVectUVvShOmL4N4/o96kABoZccaIXZIfgv03nIWnLW
raBbmLEJu1SQuhING5dbGsBT1J3zkY+kBH2ZIp69H3T6eeLExy6G9jWk94CziAkP2SUpMuwd+pox
cqJDGcKydNwx3+p1SRjRIEzEmrI/WbRRTr//yexuQyYAGQ7MYSPfPxkRDpWEXHQbChNZzBWujFpu
ZUrcOvSaRQNaco0c0NgFiXmPswJv5JL55il3+lk8FL8Yvax3sVkcBgbQDGeZANTTyJWWTs02RG2L
rjK6YplC4xqXaivjRm75z1qAcGKgUr1PMdbhpU3sIV7pBRaNgU0vI6LXsTaMfUd5vWQiiGR3AOlW
EfdDzypb18268dgPkG8/3Hy3nJGbHRwYl4nz4HvO2hqyd9KnRoRHIZ/TFpdBdCfN5mjQVXRBfbWi
cGbONhACrd5aDEBaF5neFpCjUbTZ6jM2+/SoI8XNVKpvyRsYVnWH9HvSuhsaVIZZHXdvmckPI9Z8
pAVoZqYeE4Ovq0usPOtOtfH3xprecjcPN7SanNuY4zKhVtor17kTtf+KvH66i4p+I4hXWtUGF0RM
qjfxKcWOtmq6sYvmQ6SmuR/kxJhKufpj3RbA6/UJ0zhGGc0l2tYbjZ1lE7wCZOUCgXJax+VEOk6S
IhobnTu4MNNuKL32XK6of/ytl4cnt+g+XfLW6CU08Tk1RrIXHKvZhH7TAPeJmktK833KunoPazA7
mt64pp2BQsLneQuGGvtR02dkKTXnLpIYi4Q73GTDALw0tSUYPOK56eiQgYXQPnPDEklvCJOYZjM9
8gwD3AhXWPlUYcG0B5mbXPr0Z5Fygw2p9HYGIFiYVGefLVcRNMN5tPxg1dmCEBLS2PHKsgNnQQbz
RcLgsXVUt+1rD8prUtdXDN3NVaQTZl7L5LSGenqsU3gwBWC7VSgcLjV9eBb81EnTkReWk+a+EBuH
W3DalY2H+n4S+l3atvrdOI39Xby38wyDY8tJamIyV7oMyVLmQQFKwii4lMo/tPR3T1novHWgita2
nHZROzhXI1XVllASxAq2ZjNaAbvoSAtrde29j4wlU2WBDnc1EPYNrPihBXkmufLXw5BMB8ISWWvD
9lO28XDx5hdZguCpXJpC1Hby6IO32Koh/RizILib2r7da6Z/VzAT16pJPNLAOte1H5wjxzIWnVer
nRHWz1mVmA8OFPyQsdIl0reS3gNePjNZaFy2P6Jp+hh9TeLqAxJotJ46EYuF65+VEoAl6nb7KSyp
hRKSxZeZgAnvTfLuay8TxGSYDFp08WWN+cUPYZZk/nYW7TFDt9jfqUosWQicddio4tCDM68ckDhd
MXwHgUVC8YCnMIGPbROfSRLJqx2OFbxShlhGV+EoU7J47AXiM4kRBTAS61S4Asexa0zE0zJs/I1M
1MpyYI+3Dn5xAxzpLlTaJz1ea0+42Z1FoAODw048GYb5pIXTAJiekIMxgmq46CjpDn/4I9U777eD
CUiKarZCqNhVB8qi8ve3ZjMUX3VudXBj78qqPG2EBwTGzt1JXyN2Kw+/v9cxI6Pywbg0g1wqEzLM
1wvBhahrG7kZNE5rV9n1H15qDBlRae9/TzVGDdGspWt+fMUbC4t9kSN9uFT2nOM5v0ioukx7ySZ3
TLWrjAgjG3nAYa+gnJvZPg60cZ2N6u33fxxGp9Axk23Z5t0BCkNHYjS8yi6CiuwIO14RJNAcMoFu
kpJ+Fw3DSMKWRorE10tokCKh6by0mLvJKqk3DtkiJC004xppyMisJn0KRPBUO12N8p3ZkZdn6Tp2
yZFIx5QHUBh6KwuHCWEK3CxTrXSYeeODGbJQZ2aWshU65N1g7xVqg9/Tt3/J1P56O/VxvpoA5jIh
buJ1L+AEYzJ5NrUZ/zf5xeHrZZKq/P1PX2/rURM7RUiSN+ctf0Ua8ywuD19vv/4U9IAHkfLzr+Oh
2NT/h7Lz2pFdybbrr/QPsEUXNIBwAVV6V1l+mxeiaht6MmiDwa/XYO5zb53bkBrSSyJtmUwmY8Va
c46JM2/l+NW1naznbGF7waCI8bb7JGVysl/biUYiYofrgSnXDnTOi7UIKMeYdJox1w8mAV5rI+hP
bUOiom/9MqV3UYqEKMdEM9P66BTzAD1tj+AVS1mDP8gFqt03CoO5wqqispqsqhcYHek2BuewMezi
XYXdDtm+YGbtAUgekVFEinhCLzIwWSClSwSQdF0v9qgUw0lT8kbRrziq1vyNS+s9JBYsNQhaI/oO
LElfHNoMxQQZnFOXk8gzKqi2WXsOcl0dBPK+oGHtL3C/79PqvTKw4Qb4rLCY4rgR8bAy6vFsT8Vt
r14gHTSePZGii46AcLaxFICsgH4B7TvRGtqjReSAuGGF0gUflC8XLF+HMEZUe7srW1A+t+fdrt3u
+3zun9f+Xx/+/AkioTnYjwaQn3/5neWNGPT5axiypbvF0PO3n53fnoO6v1hou0epF5nP5w9neM2E
K2l+tZ20Zxjg/Bf1jRaUj3BI1cxe7w+XaHnk83W3P+V2M4+lTc1PrlOsjbVoM7Df1bTNMr4hdSAc
vn1skIK6/5llwHMnB2DDDCXA/oPfuTGElovZtiGaZubNOc4JX1tbW48gvi0Alxge7VWA+XKVCd88
mV4e4NeDbUCvnGaYtH8kWeodUjMRx2psxBHPMrbtSoQm0oHkWQUB3+Tbw7eLgX3QMQDXvLIbiVmz
clJ3dXuEVVAcdZad2gw24O15t7tuF7ebpajcvSHEult+yO1+5IB/XZOFSdfAhNH/+QIqeXxS7JaJ
2NDBXkSAKgKjP2Asno+iZfGMDLOzVwUkU1SpYp99jVX0LEpBItNyDoli0c/AxrhalUY3kwUT4EW6
3XG7UJ4pzU0WU+aiocvuhsYJ15HFCnC7CGsAEZ83kywqWRBcxoafdwIQ+vtzPl93e/bnzdu1Ke6K
TdgFnGOUObtw4wDgr+zl8MxdErKWmv3lxiKymQH8xVu7IYhuF9UnhO12+4ZT+3z4X27eHvjEtN1u
xjdA279/CeXAeOdbOX7dgV7HH8BaWcKf/nMVyi1Wt89f1qWorgVLjnCJWkvItYkCdPl/YHGfT/v8
pUbK+/h583btX553m4Z93ve3f/z2yL+8RIWomWfnEjoSEXNIw/HPL58YoVvyD49ORog6n2+Ip6gE
G7S/vTMyxziIK4kMvtIX+9tn9vmJ3m6SIMMGrKwLLv9cv939+dTbtdvHSxRRPNNkWV4wYixZEMnl
vHOydI9ribpfzaHcdIRfN2zEh+U01+LQhG+3HAHTbGfd12k5X4S3UwfK3SWmS7Hx6RaBRoWTr6N4
quzpr4u2CxDbf96OEJevjA4RsrRATREyyw5j+dHLD01EXh+FbcX0JYiVNRj2C2wYqRmo1e1dvX0u
LYXv1m7qF8mu7g9MFP95j6L7tUh75CT/iRz8/HRu9/3tI5K3w/T2+N+u/qHzpcPwPRjiHz4u3qMQ
aX3S9TzhXApgKDd+9ThM0WlCw7ok901PdZ7nMbRK5wGXc4BccJtm0t95EUSqaZlhurlacJBDspHI
THZkw5G/RSl5l9lze2EEcSHSvPkiHiCOOuegeowsER9yHB/gf4j1q2OEFon1MVude9/U5otQwDDs
/p4M0IUS6D42QWvvabR8pNuUZJF718+LDVojBCwFU6KuaWFqNx6Oo+Rlbg2fEsF9wdeX4V4KPmpO
VndDkZmk+47JxiCyYQVm6XvTVha6BsQjk+tEB1MbpyKStMY883uYBN52tLMlNM76JvJ43oCfuBts
5PR1DLQzn5ttO2CNikg33YJ7aRhJ6Pd0nr5Xxlif0owOlGmyeWLCtOSnht6WPGt2+DkuscmppwO+
zR8zA+CtQpu5kFjjB7PbJAAMKrd9zGL9hpjfP+jK/1lFxN2Z3RDuI6EUfrHwCRJn+uR3c7OTY/Y6
lm6/YTiMbFLLGClPHWyyUol3e6Rh5kC933VxeiBKnfjEmm5VmhQIwtL6Ajjpi9AutokqChGaTjg+
zRaHbAB8o61+GMBCLqPE/YXkb08fFIYGo06SG5IDwS734C7GQ+Hlj25oli+kQgCNcN2PydbmW1vs
TXLdT6im/G0If2SNzGw3eGNA7TKiEwrijdI5S2GG861z6Bnwefwg+Az4ghSnFI8BjPd8y3Tod1nT
p8xNMvjMrrJWAmDE3bFkDnQuhwAyQ85ezHkh1Th4L+IUgo092HurjoudT8YRsKNz7nFSEFbXPNgd
cRiis3akg4fnpgak0JPJpY1oxps4XkcNT9e3Jv2UJu1eDOjifDE82j2imckhtA5hSn6KeyKb/CJj
o8dCZwT+/exG8YFkwIjpEAhIaNRD/9gPWb4eRjc44yt+i0ffOgA9PTTI5reDpodoCgmIKQLXG2B3
PU3K+D7si9x91FMenosEH49ZJuMptT4MohVRwjFO0F0MwHbuQ7gTjTg4HkS7hzFEzh6A3U7lfUgT
G55k0P0swzi9z0LrjfkNFSw79K1lKeTmor6fGg4srTBVlS16rdZ/TqRjn8v3mZHzWx9+2FI/aQKW
H63U/e407vQQT5E41lpfGOGV92KhkVOrjIe2nswVURpvLYaiZ7vJL+RmZeeOGAfs9ygjh8S7aKNU
kIaYI4XEvxBgObzgG9woM5s2VZm3e2Lx3pQTyAP70wOiCFI8nOk8upr5RTpC9xXsf6v2NFrkQdl2
xl/HGwyS1zUwzsyvmSzaF/IGssieHnIHA2DcPQaka7e1dzRSUdAqZipqFT4lUgG8e9bTrsUAvGNo
M60oNuO7BPfoGURRvYPihmViUcyGqbeqBKQMm3W1zXvsskhPTj3K52m0kWV1OJ9HG5osqm5zrc25
WDuR65wovKZVVdrZ3mqclZL+KgJ4BUMt+4oBEzTgHEB6b/uvRo1D3x4RzBt+9Uv31ddE+lueUm0d
rK6M7gZ5akCvPCE9eLZbm34CN+HBLHJBqjJm8R9hMVv3lQzuhyTvDto3vsHdx5ossQ3rxF7hoEiP
eTEjYSyDH7ZZv4TosvtYE34l/X0t5ktWyq+YA+890U47E9yBEZIKCzFwXSOl2WQhoXzL+NFyfpnZ
QVlh+24B263mi5EYm7Y9SH+wXlL9PfUd51CP7ndlD95+yEYCO7LfIs/a/VQwNxE13dwyWY/sZV/A
5EDd8XV7KPVTgPRygygUX4NXzc8KJxeZIXwAjtftfHatBZCBV8s29z5y5CKzXxInWE+MA86C9EUC
6EJ/VYKxvtNEtpw0cco13L1R6C8zAUUbGXf9vRirjDiKJoQw8Gwqtz3HqFJXAMXXONqCHamrZP0a
frzL6EehIgUjkWJFNgvjIqDE9YN8truAlpYjr8kAPSdILdCG80etdPsY0K7DDPxMKedtFNODqVD6
q9PlF8cpzvjfkucw9hJAJ1lzbLpWElWtklfDicZHH4V/SsDPWs/eQFTBj9R22w+jQ1IsiX4jao2D
lm5kxTZaodP2sVC2kHDoAeXyUfesaUHRSUIeGPTxhWj3w/w49iB0b/cQ69meCEr4RShYQQD9sCp1
jaV2qs6BKwxcItRQ9pwm6y7iCyPrbJdKfo+bjfISZ9OwVULxvRgwbFpZnr1qcJFtXCdEJJbZFR9T
y2FdMvFAJ7xWU0WOgyhwiRcLitpZdZ59GjoWBt+TIB17/dMTPU5tROYxWQCG2fqHmHwVnGf0onUF
a66lqKT0Ilm96Cda9xrRwwAuhBrqwff63RE0nThMATYac1xM16ZrPBfIRgPX/V3pQb1JkR1z00sR
ipDT12GtuOvSGBl/Nj8kYf7uJLq+dCMhPR1z6mP/aPgMAT2UxRkn+h1jF7byrr9rdBXT7yacsKcr
anuHsfbUK60VDl8DZXgrHCAMsXtEe77USuqd5ry5KzK28EGjQrKAQ8RDBCuHUz7dt+oxlt/4lfNB
8S5sSaj5mnigVbSZyFWOs5/JvaMXLDcybd6Zlax8ohRyygsDEX3ZRv4dWWdfMA9ETPSIekmU3W1b
T9OaM5ntygjzoNklq5lKlTDC4nVULhUsLdYwQoJMVgMmgGR6yUk3QVzm5lul4uvU0v3MPP6IzHB8
lNXFHiR8AMTcoLkSA7j33hneWQQfDzveSKS46ptTddbGQz8eoz1e/FDu4wTNCKVzcvbDhykevbVd
Fc91zKE8LiRuMl+KDSUMR4Wer9bsZMeQvbLq/e6K7bfbQHl7S9k100Ge05fIGy4xkvVVI/S8m3WI
0cvdO1n4M22mYmeOfF17BESbzO8I7oDLDqeBLG/X/2K6v6nqin1oK39diYrDZZC/GOY8iYH0Bvix
NJJJ2mX1kpuclHbLRVclC/81mcv5PYk9gkkzXOmdQ8TiNObByc09kontxtiFPm4tQ6jw0MVHllDz
zWyqD5+MpTAlgy1KQUZpdzZos0XDeY6T8Cy98grvgroe9cgmLYZ03+XsNFpqaVAAtJGB3BjdUnlF
xZ4EgXyXW8Hj3FTtvl/aJeacMmUjgoXgkkZu1eStkxgHRIfA9y4pFQKIDLZIlGfeN3B33wOiuO4g
2cOvWFCb6NRPkBmxReTK3Pd5E65U7JCOWgYPgmBTnPK0bVR6YiS4p5VN+J47f2vCsj41nAzAMjRr
a6ANV0PgRL5NDEAzOE9gNINVIbx+3xh4ImsvLw4Mq3j1xMCuoNhPyOJbmaF9RpRAv5gA4rvsVRJz
gYi4Lza9byJECoMHOYX6mNvmt6ks5LqwWFDA91fVNJ4pFUhoZuHbS3/62QjrOmnYMR7n6tKPTk0e
PqACvdoWzRarqQ4kFeWECXfrtBT+Q5PV36SVn9IBr5xp2d2dMeN2zJi+7TrFn0NZlaGJ6MdDYpVP
mTbGQ7gYkyYj+E3B45yMlpTaNnTnw2Spg8fadrVB57WNoqoYg4oW7vTudQxgXGNIX4WZX0u3O05T
RNnkdfM2bZt8kwOoCmrgH6S9ww0uEJLjQgPq9R3GhP+rwlfo1t9Sx5wggppXGHffML2FVz+UX6ow
t4697cLRlJ2m3lQRU0Ah9oY1nPD/y02SIvVLKqu8eA07YBYW5JZjeY8W65gsP7MUPe7mldeE1stY
yD3UuJJJ2xyQoicYfZnBE46yTaGJNy3qnogojXYOcWG5M+VI3Bpmow1q29/0xp+SpOLNqgn19Yme
96Sn93NsfatVdKE86o6B4+3aLJ7vzRS1QTs9jPnZj8tvjausBzsJCbhpGrkWdT1fMQN6d9IhZiHA
KhLhu6mt3tlFun8gB2045ILECffZawr3YvW9WOEkqi/2gnXJyFmrvfQSRoXG8VyNpIRLfG9WsvKD
INnd5JlxWtgbl5CSLefXFf2SjiGHaJkGAfapk1Gu26UYz43p/uMWuTxk8d1NXlISbxyYpn+vdPfD
Cmp07qN3HgO1N4NuPgwe8BDeBc0IGAe/k6Tr2zGOTHadx6U8kJ3yGxniDgwbr8XriYKkYD5qM65G
tM8J2z01Q/GriUlJR4ZDJjWj46OHetSLSusJR+hbEhhnpjQ12LLvhkSoGQA7eEAQjReqYb2/XeSI
XS9Nqb+onHBrKr/yPJdiXwYN+7MqKbEHoUQqSEpLXF3u2d68wKiksPjatS5SydCCoefJaOuiG9ko
PCUwxpHQ1PZ4zFTkXLKoefurNVCQNhHnxqnmzik/87xxq5GbzkKG54r9yF3Gxnmds9js8zD4ycR/
z8lgODVd/tjkuUW6kuduoUSdtEPgHskbxsUN1byKGttbW5Px5Cr9i/016TJafNhTRTSoAWpWJQvS
0mDjLsRXBnwwA/MkRJBr/qxneHA+eJit6YruNAz4Xfje7OVY50zEDMB/xkBCiY0FFsgD4XoufaGa
HrzbFiHA0yYn8rRsDrSA7UPTczORk4uOQJtHw18IZy6OxK6CGJkx+NixI8bWyZcLi6ssTlUNjlOX
84NXlAboVHiMLbObihjNuyVtd4M+AfXVphuHPYMI54uof5oz9REE0HPPbuxAHf6FY6Y7dc4TSFb/
MSdw1JB0aXowiaSPmNODxq7Z94m34jDFWxS77qMglJ7+AmnLWXUpemdbxaWz90zMrmwJiRWXxKgm
0WKCpfN6xNM1rMaio55H1rWNoZgRsZt+6egpXkSLBV3EPbRxsEqbIvHJXtEmzp2ALHjDp86UqH5P
/DDtEmrm60bvvc5D7dYCpjCWBsmCy5bpGF0mGT/Y8XhN0ijEvogJtqhwGbHu4l+TeDfB4UHZcuxj
BawRlYNLXARCwY3jF+jkxLBh6tvclwX8qD53QO9oievNyaZ1jVcVu8oT7u9ftWLGGnfVtMsjMZzD
Mg/3AIAhYffWb6MznYvf4eQf2uaqsPKvvTQ9zhylq6kNhn3lMT7Pl+F2EhXWvVHu865OzpKRF0JI
2M3Mh6Zj7YfqIZmzo0d/xkjUVXXeq5TGxXN0unV9C5puaB4Qd+hLn4XuHUD6gdDK4mo0WL69ZUMS
NyK7h7D1ZR6SrT/mAMRG/64sQ6Bp7mC/Kk6JYe+lLzicGfyOPqxgu/keYsoiNeeHjT+J/bj93Agj
3ecRKgo7dJZgsKF8HDwqEliM28iQJEnj+qUylyHNiuoB+aVziBbXdCGTDcUY6Zy9l218eg8r1DrZ
Gi3lsmVQAx4lz+9ADCp/vNgTEbFVbW98EAB7qDYuvSwG56qtZo5IzW59KUoyy8pIsGCPwPiSSbts
90tqK3gvxI4A/V4cofkPGfMzMCACcsrwYvT5kSAnmLtRsCZTMdrh0F1C57AwdBDhmd+Z7yEVlGha
3uNcfh3h/h8HYWdPpFIFaOgCt9WrmyUhCNi8mC4G9kTG1XqM4w9X5CNjxqeY08U9sO/fpbZXwmFL
HuQTUp4EtIMeEVx2Q8V5fy5MqDV4LJmj4P4t0mOMS3sFpjA7g57Hklyxb9QRabBAjoPuFURbuMmD
FEx1GTmomWb/ro+WyNKamX1Xuv4x7zVlGqbabV+nFgMnd8s3ukIoyRe1ZZYXGVe7mlb52LqbODOH
k5mDQk5QNxVEI0zJQS6nWaWJc4QiKHf12DznpBYjAr+AfPL26LzJVK3c7Z/+mtk9ZSEVdStDfdUz
24XWKLLtXEVftCQrILYDiDaF7K6OemA1Ss9G53+9tWAKXy1Gdtva59+curCY4SIIqlc9X7fZnRgi
jua6i/NhZ7S/0hZ005Qq96Eax5+i9E5hEalNl5ko9Qvwu/4knkVXkXRH6O/BaPSSghg+jnBAD7ls
2bM6U0SXVP7m3350mvQVLq+97miZrjAGs5OUIAH7kS6KWiQcSWR+h6CZrYM4N5Hd9lBrCX/awu73
rvZgMulzt9PcpjidGaCAkZq3RhI1exsL+R0jOObgjiyebKt4Dcb0KZxi9xDH6bRxRwoQzxzLrRnC
96xLcT91/nCSDBHMe7eGtyCk82tAYnG2SggPVtavwxD1RGq2HG6hB6y0hFcc56xwKZXKek5hcDcD
GeV4dSgwRjSOnRSXJB/LE8FGV1WZGAbBoSl5seckODslfaQyw30isvlnbizkdXPgeGrn5jCkaUTN
Xf+6ieGjKfioJI7kO3pV2V0igmhn8k9uAM9h81dk59qvYprUbwisK82OCXGcO+5H64OCK8XkadP3
a6fi4gT1w+ilNBvrwtlmNfLUnG/zim7zqlRDe6lVcAZ7Wz3RtwW2nXr+mmrqtc+adMe4GfVAKoIz
gqNvrpTtqYnxSAy+mwLUj2xYigURmk2H4iGYGH203tmL4CKaJZqkDDjMOJhMtkNm+2GcvGhGEkh1
0YcQEL7KGgADqIqHfWda57mQ7iVCFg0yX7n6WReJPIikjbe0lbB+Lq3HLG5A4vUPdj7RpTd0vnX7
7GvDZhjrq/FGgGu8C9B8nuJcXrt0ES+Gxtp2mJ6SThYfVfgk/cwnuoqLwnA55rryqcDIjHLT/ZWw
R0U4jHruThnVu87uqZLrMxD26UueAkXAQl9ZCfaGKg9fpBs+F3wRTnEHCKYLl291TjNuKmhxYcK9
ooTrrrYMdmFkFpzjN2ZA29XAZOOHxe8mHM0N1AQWsk4SplmaJ4Ys/UHPLQVJnfRHgeYfos8ZKnfx
mk5Z/th+2F2zq2D7vrI6W2d4KlC7ACwYdvZsoqyHfLskeBEReAktcAmk9O2mDmzW2OFbvfUWLPgY
bWPsTSVTQMooDBPmH2bQpnvz55QYyakZOdvnjvFc9dyyB7HWvRVedJkfjDr1kdy3zRED3Pe0wQNt
LVnT9RKFogK6vOlEKDNFre9WgGZ74kHxtDgwahuIN26611kJNwg23R6FCHIhXdJbKoNgNXqQH9iM
eGsjap7Nzpl2ykq2feL4T5VPwnePVq8OrPuyyr/386KgGWX3VOULV1KBqGGvdpI1YX1ZRaPQSuv+
1BjJrp5s85pU9RtvAUEqMyW4dqwHJ+Hfr5hQrhC3l9smWODelQ+Cn4p4h0a3JRN6KwGBItnz7LMu
jA9wL96uCuQM67OttjJ96zG17olyJtu88kYaq+mFIMdkFcPqOBcBOIVoGsr7Nv8IAYWkgV2+Z5xN
SZNp1zh+4ovMe7WBA0RGp5VxNvLSei0mTBwGgRlfBYxiWh1f8rogKbIzXhzZy3tsz3oFGSTaQS4n
GjqcH9tprB6i6Tdxx/1mTNhd0PLRD14SZdeJ2ErTr762puzIsp4bpHkmMpp0HtHIVj3wSGlvRsH+
AdirpUZxwXSEvzzMf5QxcMc60MaVYf8zGQvWinZdez8tjMQINlPbPrPmhBD/S/9EAm7UEfkL3t3Y
j+ETfe/82TB+F7qvd8wMR6jLbHWUzM8TnZFLYYK1DQiV2+UZVmEvd64ZgbvX0PLL+6J7/XPDHjku
kGSvjBTBnudWAGkcBKtGRYBL6rq8yWzOXlJbcZBYMVTPHu7BOECTUe3s72+GC1tRQQGEFStGRfUu
MJE3Zl5wbkZGVnZMJIjS2ZcBZCPsR/OhZmDVJYO3KabGWPmgSOhEEbfjUz3xL6D6zUDAdj2fb8b5
PhA9AlvP39npPKz8hQWdpDTvpmx6EDE7zjh6bBNruvIXUKGDjiiUXWzyqJ42aH53NR/WiprGAhcP
Rs2bm/e5zMYt8AJxbGLL27pt/i1ezie+H8Hi6Y3HuMOibo562qNjBOE5+v5+1M2GTfVjUTkKamNv
7BqFuRw2Q/soO5Z9tSDhXRi4pP1dUSoOeyQx2Z0cWBxodgXkLesQhAMM85EEDtPwaD6xDjdWhybL
rzZZ1J0aQf5hJ5HNjSN+M/4nNIn9uAsGGnLxZL2NNduyRv2ggZnvtauTbaTKYGXJFqxEipzfsXvn
LJV1kuacXdknS7YCqVgFiWAWUckas2hMw7UX1gsN/ZFONz3WvfCVfnEzN3uMOWUtrvjR9PWz6gTP
MAG9o31ejXIpz0AoRLMNkQel6ZxBrde1DtZRCz9KYqHRVmK/+A7/KRLe0rWx1zi0eVUgf3lO7h4M
6uL7SskVjThIOqn33cGj6HswWQan58Q0BCdrOXmWvjnsTT43g6zmVmqP4s/K1y0UgL1d+/TvytOI
mg8XbSLQSC/2yZQWIUOsYx03IK3oZ6y8iVZv12f9USK3YKbpgR7q0zUgKnFuPftL5H2fYq9/48N6
TYlaZF7RqjvhDKgLvIl9p5m428S1X0en/nDtRt1Hwc4uw479MxsgGYXUH175NCcYkieYD2KQ32zf
2KgyfS5tBZR68PqHuS4PbgO0XCSgnJbJHDg+hd5BBfvegpzm2mDY28a27m1o7r5+GVwE6LomSkYT
WXOtkwmBlqe+icDhnySX3a6dvcFO6Vy4HwZy3F0MZYKhRMOyOfigMkjV04UHYqUmrgIYbPRWJj34
CdwjlQXVuYJ9v0lbwDdBjIK5mN143WlHEkpKC7ZXp0GP6uElRqx0EvDiyuyN0qlZI2YGApUTvTeA
mQ8ih1GJ4TkHuypfkUpPp9Cd1EkzKZo64RwHlTeXFsHKLgzmDx/C1cm0nfJ0u1YLWZ1Ubr3FDQzS
CKjCMYbkeLxdm2ZoRpOh8RoU3cWHi+F5GG17gU6gtSK9sm1kY0EKo3ga6ieFfYhJMh9zRVwaAynY
LLVPCKaZz9aLbuN21fjY2Ns4cO+mKpkuAJdWN3tZxXj1ec5+IMSCixJ53zr2K0lofZOTPzw5JHyf
fNVgflcQcj3DPzn5YipIaQZ29XwhkFk9Otl3ZIniuXcBwutwRGA2mKvyVMtuWFu1TcJ1/7tOy68J
lf+O8QNdXdTrLMqzv6W2PTIyo/4q02MaT19dEzy6lRBAFgYOm8gye7/pI6YYalGk0uYyuwocc2yj
LlfEnTZBAHmVFKckzOyzkXCmpA31PvCHZGj17lBT/LZ6QUqY4Gvcmt6iV+lPo+u+ldb0hDwPrg18
4iydy50VGUtAgUXcuLi4UUAIWY97N3SHdZZqNobBeAINY5zCqCSHJ87XaqH7ujVVt9MP2DVCsiCF
8xrjez9SJnnrnik33VNWh55g+D8S2da+T6V2tukiXK6MQDIOJImsGMqORO9YbNB3B9sOtNgqVaBM
dJUwS5YvQxEQXBpwlqjMCOM50ymQNoRr5APRst1Ew7wNLdqKCgLP2ObZpisHkrXyWjymqVegTxWH
DEq0Hb06HdhRwdmeQHgUKalf0ButNJEUZbM3xTE2DO9CK4uyn8zftDNJhyr8X2WDLop1c1cyeSmH
rkH1HqS4LunpzoJ8nErXe4RVaq+QIFQJjedm3DvKNPdG+YHRhRiOOr0mNGRJWLPIcAEk33lqlw+Z
/0PtibbcqFkNT7XdXoNEtetWGAVxUPQ/AUuQbZGPQJvy0KLStq1rM/aXzMW2XNZfAViCEnBdYF0W
DD9b+v1WRezyfEQTOqyazT4k6GHXwZHdTnE4oegri8tUDT8mgpDiPMoPjvZfG4sRCREsxt3kZrjF
exhlvSRUirkFFsGaHLMgtC5sUB5bwNBHKdpvsWPe29DMHnpYUE6q4ksXWA96SGYatfBtORHqYxJj
qDcrk3kY8yf2f4vmUd0brm8e2rl7uvkJyGZ+QeBZH2BBtfeuSxA6hLz9XHlvvUtKWy99jUvF+CkU
K0WZ5A3InzDEbqOw6TF1IijEcs5V37/HbdOf0lEvAlLxx/j8P/5wPh7+mL3+sDR+1FK3aZz0/3Lz
P+7fx/5X8z+X1/zXc270jc9bu1/1PaCQ7t8+af38v17+8btu/3F53r786zP/20/nL/jrL1xIJP/t
xuZGJXkcfrX66Vc3FP1/ckCWZ/6/PvgX2+RFS9gm7yRyUUPzFU9/9P8Nb+LZJjbFf0NF+dX1/3hL
2xi60fv/4ZV/gVF8/5++LRwyriG/3igk/wVGCex/esJxLax3rmfzBKyt/0lHMf/pOdSMPspdzwGt
gSX9LzqK4//TCgOPqYIXmq4deuH/Dx2FExtklr/5/ITLqAX8iiuwLzPCBJbN438zLsfaVWi54uQA
GizbBnb9qxwJobAVjhK/b08KgcKmkLC24Aq99+BmaXKec8qZexr7eHsOahgRrsTwc4E6VFUewcos
jbtOEZLp+Zzco+swYW+j6ogIQIpJHyEiihk4gn0VR5fUo6kye6hkyAJnhtvGVIiD3eYbZNtfFGxx
RrDzQGzAwKI8SEKjY7lnoEn1hBWF/Dr6572znhvySIKJUFCXMPBRGzCtKvXux0l5doFcZB7OTSua
TmNczGc146nySSGKk+YKcJaUHdbXAvB7kid3qrCtQ5h0ya6KqotRW80avYO3seznIcE+5uTDyCxh
ZD/izA/w5g28HZ67aXDXLFUZXlCdh1RlMtxMTtiuUOmUOzcAwl/HhknqQj4wK56e80EEW8A07UjR
rasmXdnDe6sLl6oXPxcrPadeG1W6zIB4T2rjaXlp1QSGJKWE9xr2spbBWJiJP1DKphn5nLAEpEO2
TRKZrW0ZbxNkTS/OGACY71jWSW4nywvYguguiGvvrH0p7RfZj+psJsaLZVsb3XdvXqIeBaCLkSCz
xmPm1GqiUxrkPl9mO71L8ag1pnFSMrx6lArjEL6avnx3WbJHiaQud9ot2hRMF31wWB51ClQTfeLD
P+m+q4wmoqgo5foyHO9My73vlwLV9IhbI6gOScoEws2qgAonNB9776hi4hO0Mx7jWhSnwKQNPQKR
rrv8PGubPdlk1ehvgOU0TLtT24hoDsgej5pr7bJxBrYVoNWJLCQimdsRkZIgJO6YttUc4Hc9iI6V
2fjiNKRF8xV7Nr4cMH5+ywEXoxFmB7iWFrFKDa2yWtvxDjBcugqmH3T0X0y7lFtrad8qYlvtNiEM
zHSepGWfmT08Aje91nlCpoj67saFvzDfvzYyaa9tYYItm9WeoWxwl1NoiJRZ6rDIXQxCs9LWogw0
8uTMpuWuxOGPucfaYd6feSebYzfeojrCnaMHDZ7NS4g+ZwY1xNGmHIYvNhuKQ4zJdUPc6JozAV+z
SSIY8bs72UbnqDUeR1s0a7/ByscuMOrandWNal27DrqNst4UpU/X5n+zd167kSPbtv0ibgSDjCD5
mt7IZMqXXgipDL33/PozqNsXu7sa6AbO83nohKrUpVRmkhEr1ppzzCh8TBobWd9M6dU25gp03l1r
Z9UtYrxd37bDc/iEx5pm0QMc+yX4JQf/W84/4hYIEeOCH8qt7nyfwJVccC/aTYbsrsb325P8Rhdr
2BZuG74N6uKTMHTwxkVeMjcgZnwHLxlM5eQtjh/AFiO/HcpN78hoC8PnzqljgjsCIjWn19wcfzKk
d/Zhr+4qPR47s0Z0S1oknZ5pNydmQQekv0wkfhI2r4Cru0RYcM7bxANZmqlXIWgOroCsdp7wr01/
70tCz2sv5Cekd05eMJtNtLWWJTRRx0ab1COO3gQFQSMeJ13C8cRBNB+03NXabD5GGjobRzgbRj0f
ArHsNghmXH3S3jl+t3d6tHh13AQHwyV2gZit72hQ0k2W2fY+redjJdFHpEM/rYTlP4yV5z+HGeCk
9DELK0KD8QFRh9hoL8KAhGuAN3UR/iyxUpjeYIG0g1efWs69Ffj9aQyHF8ezCFC2X3woxGjZUlK0
3GOUhO61R9SYlH2GpGVm+uHVwTK0htwbchYdyvYmc9VPHf+KDP2C4ZMR0+S1G5XInwOBL0PG3GTS
nLINJZ6cLCPpufkeRNZwh/Q3WRepINM0K9AwanPj4RDPiajMJjfcePSzQuZAFibrjYvP1a2KeT9S
aCLXtoMrLEWH3nNrgCkvIzTnYR1le19NG93WzarHSrWywZIkDifdxDqPJUIFGtvrOrSfSTLD5hWW
1aaJ6ZYyxPFJGwbDILfItJAEmMYqIxx4F8IBE5bTMS0PnitxgOt/P/TDHn4zbG5aIJueXdKvfXnN
PIEGBt1URVvj1MDK2JgKFjR+GoOxHXTRbTDQKYJFT8YJvdqVNsECT/kj8YDTOvWCmBRd7117Tn/I
flG3vsWuzWQpra7NVI5Hk7AGNM/4vu5TJg6pRi01LtOhssNTu6D+W3SOTBsIswrqvaXLbO17ACsi
4kQqvNGXlKZLrFDwptELewFkh0Qke8cIzLs+tI59zbaGguNiJY17AeOFSpJ0MZvG3whG/ayXk//s
kEXZ5khuMEPfRLq8bQ4oL417G0J2HNLBdOyOHRJlpS28x6gxrFPRk0hndIKHdMiORqwPIcRIFTuc
e7rH2amece08JT4XSpC8hkXu4hAeXkHMZSdzrHZD2S0REBUSXG3tCVeGI215xyoqSX9rjqyrnEoM
sEDIelzwVFfkVyVEUbRY9Z03MFMsZkbjrsP/V8/ebuq9K9SU6ep3VX2yJ9jdEC1W0Vi5O261dyZP
D107Gei1uP49YOZZyYVJzTEcImZ3a1R3p1CuZNHRK82KewXTuyiSctPlXrgpBg4jdvkTMXW3q8bi
Z9VNGikN7SMzyrCS29g6FMAwJicndP/5qW/Cb9loPdWdm+w4qT4EFCBRGvcIvbxuG5LY6HXkvYhM
HFG63DQ1tlqL7SgCCbzpOTayKfS3Tv8WyejgQ5naAJ5d6Sw4qDHL7vEa0E6UwXvlOM0uMo3kgBIy
5G0Jn/sCxdyUyffQh+01e2zw2DC9ZnzVNal9ssqezMR5VeCM+cFrfQLv5R+s0gy3Fc35g/ZaIpOD
BQFqmjQcow9lzAO94uB7EZp4DMmNs6R11tXA4c/lHRMGRmhLes89RkUncvWN1DaptsFgbrTjsY0p
Ceaeuov46I+4pdMK+HvlVMAbVFXotWH0D9nUEmfUzxsC0QMyyXHGMgSbAq+9CUasrxhMnyuiB+jd
sXI18JZvixgBlQMf/JaU22aFFFiWn8KvrDvIqkz/NHEXDElO84SJLQqvkYnPICnVR9lH9das52tE
yl6kAlAEwRuwb1bE6l3XxhOUMNr+oQ91GbMaHXtCFKDu3TZ2QgZIOl9TAjxXlRUrmAnmryyjU4j9
nWPrTFwH5dMSVRIfyybcpu6iWfBfQXB5u1rGO4fP+Ui1kt645kiJxFoXDX69y0j53bYNYi43UMWa
Y/K0qyZGX3VNIjy4tdn5jJNyWI2LwHggGoQ4NMMY+3Uvkb8YUnxCDnm3ZaGPDfpGBlHR2cw8Gplz
iWPlPhcs0fkwlxw38we/qu5NB5KP6uIHyPVVEV59O8m2yBAoKVNawrnnRmtzrrNVWWRPDl2borEh
L9RyQ5IEQ0Zh4XMRDwWjhruW2scJKdE9l31sKMOVksviHtvVHmoW4UUPSgwm2R71lWbWjZuBIwAL
sCr6EQeEATRi8BkZ2UbTsMvOQG7H3jiwInXbuZnrb5ldvVLyUtsho1lbPeNCOLUXRIlMB00DGQ/m
2dK2qqekBW6d93F3CyygR8JpuNzdvN8OhmFI/Rc6B4wm++55dEwSNPIaz6VLqN7cZhPTyDja2Ja1
SkYLkOQ8DmTaye6UGoxWjZiavMveVX90KtAiVvdSi2ZnxA5Fqi3v+sAl/JvXvBqAmgJdrUFZw/Ue
PWbDjarh0rOuOqZHbWbMtIgml/hHw0nuY1/MFNZd9V6VoyKequwWTB77mhGEWyJgbdpFw4sdOVCn
8tvJwdlc0Nh488v4e+9SjZKBcd+E/c/OagAl2xqWb6YupPHaN6pjRYHoPmbkiFq+pleyfIvrr/Dt
5khz8rOx+rNwuUaRuRqAYuVnmN4YmEixcRTRLhyq10lNP7F6PDDvL5eKFbPoKG+aW0IH9nlF0qGJ
eLtoGnujYiaWDcMDR4SfiAe+8hDeQeQdXbSC43yhG35quvKDU9RV99PLgDNOkNlBMuU5SysS7Aei
ZXKTvtbsPWR9sFc+AHl0XeGSXE8CCPlVD7r0HtQYfCAD4R2GOKzQGeFzIOn8wze6o1fjHaLvFHC8
ceyF0JQiRzGJrAKSgMPwJFLnGGVMTCVjPFrFG/RMB+2Hn575PM6k7HF660FfljjZTe092w6Bc1CO
R+/Jn7zvVJ/fnJ41BB7h2qB9bt56ZEnUGsovW4srUs4GOQwJlj/Hv8zQIfKwfIkMhhMG8EC3uZDq
3MPGdh5QAJAHCr9ZmDnz/RiGzBiv3ZbzZtCflh8Vp9m1tInN0tbJzMjMQ1KTraQx3iuNammoL/Es
3/K6OMSYGVSPadFnhTb8bYr8XqBkLxTRkuYIQ4R1YeTd5HIkWxs+8rUQ5otV1QeM5ymbtvoE9uAX
xS0kD7x0VfLk2egAy/oem8lFEgLS6G9dWWyNpLgJQGM4jbEpkbPMZRndvNVRHu9MSzyFucAMwqps
Hv1CksgS24jN7feqKJ9oz99iw8f6t5VQ3t3SYVSEHNZT1HuV+uwy74b6l/ZzODKFtGnyVXqHIg2x
V7guzXSTVCNbAYUA1vyK0k7HkEZlt8UK/t1T4zX1RzoCMcc+6VwUvVyr7J+iSJJcQdNg+WjyiDA0
L9tl9cELObwzwTJk9RgXdIbNIVk5I4QMiWOzNLLTWMgTdPgDHhBM3vLVnRm2xKztAzvS8p4bg/tU
F/Z+ETb45W0/lB8OnqZcQt7qtV4VytkgY79gFcEbBkK16beej9+EiAnaIM+UFS90L1LKKE7PCFku
ie530D9yhm+2enwodVifycfrtmObAM7MkksCF+RoQT0r6LjcGokQN5FqsDrMzbHtWTQIJ+iHmXNU
AXvC5WNKhT4GuMdi3ZQclI1qbbn9nr2fqBWrvY0CcT92dADYuGIELEiKB+MxKiTKGkZYho/6p20w
I0gu/AKHBvp5/5wH482cOKy76KvqovpZwKuntkFyyz00k+d231TOK4q2/lBwigj1MDP8aJahK0Gn
szHf4ZpYJcR7yg66rBDhB2zva9QTSJES1yBM5lXQvelcUcYF1h1hHt3OudPubV1RFsSh5DAf3lI7
fiKxZDJ/bGrKuHhgt9BovNdcPXewvbvVyBENTUZ0IFnkE7mie8zssl/T4BvWZjbsQq+5lEEVrluj
eNU6JpUEMLnfiM/aYNwoovvK9QMMFSQm+q16sgP3lq3v0lsxPHEB92kynnRv3HfW8CIbWjBFQ7dK
lN7OiECRK2xnXTG/4/le9EnM6VqXoImiO3Bd7mQtFjMMRPIhT26xC7t3UWAScSDDnYuKj6Si8GQk
6a7H4rsuwFdsU647vI7dPizlOxgWiuiSMAdmCCNRJXGR4hkUzjaWllgTrfFR+GDNBoD0s3NDZCgY
1CBqn/KIfGgv3oZh3Z5TOp4bBRM/mPdiIIgh6smedBqMuDohrMQqmcX53h5BFed2c/iRxXiQoHWQ
mgaMAee/WJm0OrdZAjpr6Bd+PaRGxZGjGB9j0oEot/x1lrfvMKThgVPYDCmIVduYjgqfwxrdwnkK
abC1nf/GnG+FHjBaD4nY5V6DUaa2zINZD3dI7CLOozQnoxn2fqV/ZT03aOdUnCRV/6bbhPPC8Jhi
H1qjTuhWEVGPDL05lQypY4E2n/UOdNwVi2C+4f9GVLUYZnAP7EerTQ5S+pzuZnVgT3VWqYtwpWcW
fk8pDsCEzXZwwHokSh2mUZ/qkHh4tA9b2/bh15Gss0hw+oex+1FYAxYpJiTs3APdKuu26mz3SLLS
sPHsBsF1R10AFL0taVSi10MxVV+csdibtGJXw9iP28rYJWb1Xfm0AmMd/5hHUrtQNtprKtHvxNX+
zBwz3w0pgJLOdeJzX4rH2msOAhTWxu6CSyuCqxUZzIPJfPY9B304Bu6SUw614NitTbCuxCXHlzK1
v0eE4mzcuL/BE3U7m/4ukfVyi1rZpnaWuTAxCWsE4cdcPvlzvp3Rrvr40dYoQu9SsUhx4pYUDOup
MwqaA5OBZ1paG6bkp7Zn3o6UBnGMMBB6UZkYkK0EYCwdUbcJK9mrrCfxZE8Q9UvRBPRjA70tPRIw
7ATtiLQa7JZ0RlERnjoM1UCrfhhMuvRMR0rHASQlRdoYDdWD32cHbC7EgETptHLqMT8tXq+S2SEF
WUaer0Pxi75iHfYe/Nxj5d+kwLeZH34nshEhC5fycmS6eukkT87yEDCJO4VxqnbabC4WQudDFJsI
dGJqi0I7pyFs/viKKe6Mth51rOcbxokbhRMhZ52Ncul9fj1kYapPky31SU4VF+DXX7ZexLzY4lZv
WDNPXRB1O4uGFZlQsjoFnUmo8qR2RQVPqMyJs6c1A2MoKouTvTxYQYD+Bn1wcZqIFUhX5PSRWe/W
HDZi82BP0bSnnVydyrk/DFmGYibPy5O10Hq+vhpaihp3OqYlGxhj+WNHCKlZRcwmk/rsDx5Hka9n
D3GHnkqQRpro2XRDT95Fysnzfv0yX1/REl/i4f/yd1ShjLxLeYBuA5mO+eRq8EjvRqlDeBnBUyva
0OjEtfzjIcw5tjJZebUWFsi4EBLCL1zG15fOFwyjaqIcyQfgi6hl/8mluqkigZu3sRXJ31G8584r
T8QRwHCCNoY4rLPXZs6b+PXQcddsByk+/vtXUrknqtxyj+mUltp/v8Eg+I9/9fV38ZSZyONY2v/7
jaFggGFVFHNM6o50AJs9R8ni9N8Hr7bwuH/9OYL7UJFWTPQ2d4G74NMy2Rl7pzNOQFrbDUDNZONm
1aOT+tltEVAP94SmjQMN7CrzzxnaAeCx0SoV/bw1O5P49z6zNjW2HkbULtNXoNfgVxj/ruEJQ2/w
DIOFJ8EhFUTXLGfjhygnHlK/ZtBNjRSzl+JcmSX7KSFuDuYeEqNp8gK5QtnU65+zNNpDmfdHzgTq
ppuiPRFD2bakK2WMjzLAp5lR3dKFRLEPM50ZNAADXAPwwbLnKW5wVUzgDrgoz7FtLS7Yfj0qOhDJ
FD+ZflreGGVCg94Jt6zRpykYl00AJ4SSg9wWfnchMbo5izncmsVU78o8383AlNhvrPjA4Jdd1QlO
s+Uh60N2sZ574nW8TozrLBGHXEwdMcn9t8rInsWIcC2mHwRQDLPvlXMi2bWqdI6p33FcwpnJImkx
D9pDzOWhoIiTwSdn3/RSGma00/6SdpYiILSHTZ2XPypZ3DfiLrDlobI4qhB/kzr0PTP1kphtv0pq
6ydhOY81h2ocfme0MynD7ILWJ0mJdhpjJZbPGPcmhBCrLHGPeHlrhiewqYJ+fGom5xQnT71EoR9Y
w73f2Q9ejQvJi7FhLdFexQvNeM77OZKB3s+fJ5DFFpaudd/172HmXZanLV0oH5jnVth1xSaM4h95
QUg9HXwGcdObj5AV2Tv2R5E9Ms5/tdHc8W2SdUPxlnesrMVc/xhq663lFaqYxsgC4IOU23wLJ3rY
hXys25uii/SKRiX6oal5XV7d2qbdcJtoTZjK3H44fXDxiBFWBWgmWrsAfIDm9Xdx4HJyswFMqqfS
p/6ZuT3ScmHGluK5asc9OZ6cEqPuRzO0lFecc+mAs1eCwl6EH037JOPR3yqREQSbukeJrDki5Ze1
kV2+WmCKUfYzwTvLxKRHdzat4gjAaxjU7JZqXE1+jWTLnJ5K6X3XgZrPTUkPykSKswZz22IaADPm
DRV1Xwuy1ghrOg571dGmx7OssFK4PUaJSF9QjnIoWPiSzDIIWiauom4hMM+8hJzJ3vLWMSiyPirM
+L1lvN9lBadUbKXeyunUm6GHTdDqR7OL90wp7VsS/lZxTwyyL+l5+yYNXx8Rk0bquHweNTEbO6I7
8fkXDTxt97WvxQdrpbXJC+tbT3oXZ1lec1X3qxQvelKjmcS0G8gar+2QIpXx6ydtJzQQJk1hY90T
/IcfdajqHf0amF2xApNOz1s7hTilbfw5EVaE7/Ia6eaXk9AInWd4RhnZpYGCcEFqHVo4BhGCT3Fj
jcEKY+T7jNqN1D9SpGzvZvaqB7+zfgxZj4UCfjEFdb6CrbfAeXmFfCuKiAZOkuaHbBBPufaLjrhJ
/ajndixease89xCF7TCHAF9D5Z1WLxyycB0wu0eba0MfGOr46PnwdxOOlFmmnpio21ykNH89iIqb
GS6341RbCxf8Kmp6Suco2lTfRDdXG5WR9xRHfCRufVZO8Yph+86OMhCzIETD+bXpq6O0h/uWrPSo
XfwOkrzPJOpQFirz0OvwKQ5VtXN1vZSpDO9cw94HARaK1qhYOImQLhJOW54kvFnTGME7s3IPdLPf
jNDC/uOymZ8TNOB1rd8rSrBGkUk4eAkZU+5D5elP12Fyw2WTW91PWczXsro4sthONm1AHHV0/PgG
Ge8Mgiv/bbnglyiyLvK2RFYfLds4jQ0y27Cz8ac5G2OKP5o+OHiaPBUgYZtO04sD73uZfDoxFAty
o6bxmRgC/KSJ8ZAlKfmfn0bg1yu3b9EbieNUxfZa1wHpiSbDQ1hiFrFRsyJGHKF8ugJRufEt45Do
6Y4+1VU7+mKl7TXviMTNNTl91v3X804tyWoiQWqtWyLanOIhbMinlagSzJmS2xYRVydYxxUFEhVR
Mu06/PEOammmrgG5vzm+Q6/dF64M2XmWM6KiyaYkSU7dQ+NwLyEuxRNa57de7j9oVJ3WNNT7zP4g
RwHNsVLfS9atYWJqW1fPMVCipg7PCvC45fWnKGRVHL2LSzfJQm3HrYvjninsB+m8J2Ny3lvX/eWm
n6IAfsfs7AnsOO4aeL65Y+J1ZepeiwOL60BTmA7rKA7zUL/Txl2EqjHHyHafs9AaefURB9kDYor7
2lNrfBTAjVCb4TDF30MNchOK4ERozZMS9msJzEFnvABqy2M0OekGyfH7FKBmQMK5UCNXJWOYlUH7
lJp8y/T1FCtAFxnjzo6WcZeWz3E/gvB8EKr9LgJqHIkHm3y5lPuEjXafEsIh2AzMkJGNPR1LJOR8
LvQlXTDE6wqbRlrD8IgnZmJlLPc1BkkIMwDWo2g7CfutmsUyvfLPBWDOHHVC50wpp0RmKQLnUVV+
i7v+tUlasSbM5N4Ka8yTcXQd2vwHfA5G73b35qbVtmmbz2qy37Mqf8lTygJM25Xuv0GagiOWg0FO
y3zH+dFhA4jGdTokHyHeSo/pBHY9Bg15/an4PH0XZ0PIQH8szK2bmsnBnR6D2GivcSFuynEjRVWt
mfVZ96lvYr+uUCtxbpvXRMCeCmsTOXyiZTeCwxkirgRVQ/eNcLzJcoldIy+2aplLmglJ5igCfDYK
xmLWTrfVrciYF9u8McgJYjiYA/NbGXxr0GeLqTrnLZWP7bJTIiE503m9KEOEOC+O8Wh/DH1CVuf0
5E7mB00zMJJDvzc8NA1Wln9f7m8fKTJ+PL2mxVauMwnYb7T1E+z5Yx/2rD6aKdxgTTfKYdLm1pqA
Z+lMLKXdIXBadd90CQdQST59xU9Rxku+mA6aCm8xHGQgOPYr0oCDnet6SWyZjiEt469y32l/SE1/
qg3gJXmGuWzN93nvU6hULJmg1cyk/W7g4KLFbH42uKZIf4cigIQyzrcaIc9a1spD1mEecWfNB+ME
sPU5AUC0C4oElqd7EfgLzh2TEotMumKemcgUDEgL/8mL9JsImQsEPpxkxMet6M+6cZOtWZFP1IV4
KPPy51TlLBlyvubwF50ogc6ZJeeC4xBdBUYhrVsRpRmjanI+rCaaV4mjNsSnmzSS4i0s8UOOa8Bm
wr8GXKVxkrtyxfRg2BeGegX8MgA7I/wkNplPOtFrJef7jiJyT3wjBAaZXCmB0ChMzhvCm0NNmsua
cqsGUgbmobCYcXcLZRrRZNrdTTRX+44A6VGgG6ddgZefdYUP197lRvhQERC/Nf3CJ6VgBycf2Xbz
JufY3A6jNW8MhEmNt7hBQG6YFqh+picnMBDtiekNVuD5B8Ogc9lwqigadWf6vbO33PGZSwFTHxAu
NQy4GgtAK/HzIOBMIt8J1lHORkYG0DYeh2KDPAwPH5g3qmZeOUvUMUc75E/0fZom5VbhXsFXklDk
OQaCKe1Bp4nz6lAGxxlKK4Fy+UlUCPx7NNXUi/ZAn0BfvAlhSIETJ6VvtWfmLPa9mTxg8PssgwQj
sjp6yV3NIfvamfN5DAPryMisFYBbgjajsmHDwn2BpRDe9NEuZxTwQq3mMkYrRTev7DLqyFCsYGY/
t7SFBol9DnN3BakePXX90jZFtrHUm1d+11ATNgZh0isho4csmh9yizZdzcwS0Nfw4CdXtwjOMz0R
x6AtBuX7rLt02AHe/FXPhJ4sFBeWZcxgWPSPSnW/pEcqfepPewKDn23jHRrOT2HPpC7K/GzlKGes
ProBPjJvvUCS1CmsbTTkd2TevyyWeT/3SiYY6AnmZgNaLt8ZOtS7rgwOQ9Pe9eYoNvYkaQ6SUeiH
ZrSlH+2uZIL7brYEa+KUb0KLPYRPjdomPjYQ3mmKYuUicH4uvL0ewdEWubN3xxfaM/QI0aPvcIl8
5pKxTFb6j8PovJkSBExXPXc5dne0MPXeyPQdEl960dMPs6Yjm0Ln8GumNgH5qeus8yuWieNcCrIY
XVLqzSFQIPDZSIy0uYAbgJCCO2sDwHrXgoKpPHr1gRt/YDBcyS57G1LkT373jjl4l7c1c/nSryio
hlsG4kRPMTkQVaCvzGYdK/+p895dJz5Tj67D6zBw/Azm7NDM5MBEYOeyGdYwKD/zoGd5TwIChRat
TmXtwiba9wNI8HI0P8EaI/xO8VMGJGsbQbAvzOeOcOA1Y2LEJ2kGDMwIMQVnl1iFIdVZf/Vy+dg7
P5o4w40KOpxq/bNsuzcdr/2yzm5TFVPb8N+MZGnlOWm69/35xhIdx1wJ1zKX9olx9yGJ9Lb1Znrp
jSCyxCQlygVdFd/W41YX2XMUoZTOSKMv7draeGIeN2249rv8V5XDQvC6wET0rj/tacREn4Ee7yPz
IbRFexwHMkubSb91n24hw0NSMU2ixdg5sGPU4hSPW45ceQkgniNtMjy7qroNpY72rqtX7QxnRlXP
kY+z0cvmRy2N5BRx/1LwpfG2lSUo18VCXqed3KKS2cu2ZbKWH0yrHdbMtx7nACuqCu5VTWfd9KMP
7cro2Mv+vjGI6azHrt+kYxavw2icNou42st758FQxBJocQMFaYDOyJXbFDmBnjV8xBHyrpkeGObg
sp8GAkmMgyz77poE/GYy7lHo9cxwA5xLYvzxpT7+P7H2EkT5r2Ltr3iSfxBrR813qPvRXxMsIW4R
avKHUNvV/6Ehgz5a0aZz/p8a+48ES0/+x3VNLT0mmC4GBPUnobbzH+ESaeCafEc6zhLZ9YdQ25b/
QU4NfFMhZYGvwnP9f7n6X6T3RG7+8ec/B0Wav+dLeZ5ylEVkpsWPM7X1m0yb0JQQqXCIoX7BJIGe
HxFgPSgT/JOqxmnnIma9UwyGUZhYxzwowQyKaRs5bGUdk+2vq+0vzoC//Dq/53Mtv44jNQeAJbJH
m7zuP6vGE94UtI+ZOlsK4e1UEjgRy+/95JT3Iv/wlsaLQsBBonZ5vzSAT//8/L+H03w9va15d4lo
dKln/vr0Xszs0JOOfa5H/1vh9t2jGv0DymEsV4LZ86CRN/eoFVHM/mse3PJW/zkZhyfnUuFaIXdP
OML+7bXX4RAGXWLa5ySDqQoIgNTQyUII2bmbuI7kkxGzOZOkVTgzSL74h0armRQxHv/GbvfUevUK
1nuImb6Z/yUS8G8pT8svZy4prK4ryBX9Xc4PqKafhFHb0GubGtRZ9U0tOLCq8k0ERJBQu4ZDFsEA
jAFywjzQUKZdwKS8l49pwWiNorUaRnf3zx/YV8zqb28ad4PpSaVNV7vLnffnC2YsUoDOY2Sfw96n
a1ER8YIVVmzgzP7iTB482yJGNZaiwcX+tWnSHhA58pRTsQRSJocmpi9qNT0xBxVkoKl1doYAOjw4
QXwvzJPn9Rt77OpHqyBjeCIwDAdZZJ4HPf5gJq6vXfFNV41zQAx+iAjOpnUZFO/MfQF2SPvBSMoL
N1mCBz7fCHrMVy3iXRrI8tR50xUt9a9mscT6hUG0VONaxzB2vpH18Cpk7t3887tlEsD72yWmBbeV
Fq7paMeWS2LWn0wZsQmSh2Qz+xwVhQA1g2JGKzgymLobcgToJM0js7Wo0HQM8/p7AfkeDcP/7hcx
lwg+bCpLHO9vN1oQY20Kp8k+M2pitiTC24zczIe5G/elbB9BiexVOTVn27dxM2ULo3V8+uc34/d0
MJgZiP9xqEDj4Mb7PX4xAhpjaBKnz70f/jLkAXkqR030obbnXewIEo8s/215+/tqy3NqaX49N1vC
b1er6GPbaWVqn4mGOIw1em+jkXAKUcn6mbHDlTGfM4g9skUMA07uFsTMqq5M66Wu1b/cOvLv640W
lnRMqS2bD+L32EdsqCb2FNMC5EZfPBmsG4ukHhdQvYhT70G403cFvnuT5U6EQn7od3Of35pjQe02
k2BPc9y8JXrZpeRS6jQwgth6On2wBKVuMZFzUNWJf0RJdIPlYNolDMkZq6A3RUf3Lyl08u8rtxY2
+xgMcr6Qv1/ZdJ2h1+rEPg+LVTifS/++Xnp7asQfM8a4jBbfcWng3UflD5SsAfXkT5ipi7J6AKu7
GkrB4apLcqLQHfTiQ51sijJkrjRY515JAwxAsPUF6SY6I8CKBtSEoDHAWI0xd9VqupeqpM6Ovebf
Eln/aqYi/pFr1bYtD0sXl6vze5JdAjFyzBKy6K1EVYfRQJEtBL/ukHdwEvu3LhiLfwn9/Vs86fKc
GpcY1i7KEPn7/TGWbl0wabfOkfLA+NEQvhCTdzFLIGWegpHqkQe1B7Ponr8eXAlH90dS5dm/bMq/
7T1s9DYKb+F4NhUKSYy//yZl2BYp2D7j1PqJgehYPDJwg7itmbKHCG2R5sRiVy4lPJJu65bTBjth
U1sHV6JN8dJgEwR18Jibff0vIa7qryvq8rs5LtWYRfLQcgEuNdyfV9QSIanUpuOdQFauNUF2W1O1
ZBD3xLHowENT3cXIQVz3VjiyOSNT34Bvcu+XfSXADYYsmtitgBHLeVCczPUYHVQfWDtcY0hvlMfo
hMs4z5VzGAd361GVraIF8zJK/mE8KeicyKBGs1M3Y5UGsNbJhuaAVB3AGHpkzfhXEbirMnC9bd6o
U1sz32liV+zHENfEF+QnwXuGL3fcVTWKJ8qjBChwxMw1Lram0XsHyBbigmbdLIrzPy/DfIS4Dv+0
KzGsQ4v9lTbsCYuxh/5tM8jdMbbHzLJPQUCzslH6mVnqvCsibex0nt2DbhrYtDsBj69t0G25TCSQ
R62p0MJs5dfJcIpj9pEKuPA2cvHbioJg2cyakmMM3DFtkUxELR0myq73zM6Oc5wMXDvwH+DtWeSZ
IG30HH1llB3tseQD8MV6sDFHDsqJdE45rfP9oIe7KiDTLwvwCNJEaPC6BBMYEj9ez7OdMJwfSYeK
s3ya1/aSGfX15xGqxKbxyMwStcUmUwKJRM9Rr625DI8GUmEcMDAGaNMjfotIiBrGg98NE9iHeecz
OT/LIcjXrdTtjvKAS2hIzm01WvgHGL5YHtOJ1oKwAaJ2FeWvKXEXxznMH8iXAXEiwsNSFtVp/z5B
oIJm1DyGsipXPclAWzI1xnWptQ8rG5e0yOxLyxp6PxhtsSFNNNwSnkIPDQpZFYfNTda46LJV4GwT
a9GzTI130wb0vAuPLLtGyfEEt8hfV3NKlPxYUvZg/zhZzUJZkm+OSJcLuEtpDI0fDZswAqn3OI/f
LHWAKx6hG2iZgJKpeNPYwHTmQbzi1gmwW6mPjsHkFlEsJA2DEXVB53DfAJzbjI4wGB/31mlX5OBj
7DKyj6q/izpL3yIl2s9Yfs553azT1nMeh2D2VoX2ge20LXNfH/3LPD3HC3sbMOhBokA7EgPwMx9B
79CeoZm5aNYJeAS9x9Rz44RtcOl7dDoCpq6VNuF78j/sncly29q2Zf8l+3iBumhkhwQIVqplWVYH
YVsW6nKj2MDXvwHo5NW5J29EZvazA5MgJZMUuIu15hyzmu9MtzrSkRsfHbRGYjJYyPfDo50DIo2K
CgWCFVVBmxUOy3hMbXnrkOIddQAlWHiUZYdiyO5PqdsWFOKLD2GL+FEZo49I1aNgsuh5jEmB+g1T
nC+sYrmp4pe8Qf9CbIufDlVy20flvNMX132dmm4tTN+02bSmy5lUICGNUUByJtD0mOHBlnSkKQwB
/fpwUCL0mGLGYpeE5EHJW4X4KgPmFtpaFWYZl/VJA2Wx7x2FtkNzq7fortTCWo5cawbgdvBMisbf
xvAoRiV65fJVKiYfu0XzeYV3FblXZcSVilGPsnb04aWduNRL/e7FzMGet9T3k7smBhS63ySLF8Z0
PUlBVWH5D3i7hPil8NX4Fhk/smp69PJUvy4TKwuDnXTYJKBApmq8UQZS4tu5fRJGHMbmFN33mDKy
WdAEzpDJePaftHL7wCq77iAwgu69fKxPkF4uAjIdEPIsOdhLFj/MWfvTBP127ARgTxEXPymjE81u
e7f4a9p73mCN2aBzTpEOSdeL5ktf1h/UqacbRFIq8kqDuh5/1R0ezvQZ2/5VVojQtXR+MaOnTkeQ
EA+D895frWVMwBfQSG6IDtqbjtHdiSr3F8LvzoVaGXh/Pjw8B1TbBL27vr0zHaybw/IrVqs1VW0W
gZUbdZin3WuqnkA2O9+R/b2lWuQLUCo4akGexRHSndn18psonvbT5BhnBNoEltRo8kCyAeNa+c+k
490OZjeHCOTVQC09yp1qohJ2o2TXulVeOrbDoTXhU+zo+jIQ1L9LlhS7XFCL1LTmvsljcRrd/FrW
aQQ7lzwhfameVJlEB9vDKaYsb4m1srNbiC6a4hSndjTXVtVblwB0LQXlMeEQPbbrYgCeVE8Hzb6m
rnacRXSTESvwYFA6pTVBbwq9rUm+Fl+7WgSdIC9bqXXtuXKOce/Ez4NmjDurKL91ZiavG96lNc0/
sSqJ31rmnG00rwQrkfFQNOhuS3vyXuBj17ck6MGCdYrRrxKq70zW1TF1QKJ0xbLTova7ZIWGUDzu
jh2V2Ws5es/JjLyjFWNoSM28UxI7kCvOvZVC7ozKmp/jq1RHVtcmRWwnVm/T2svfRppfk5bFGH7Z
U5eE5AnRKqex1+7bqOXHiUCNhHBvlAVCDObzbXNWsTM+UIrkI+u6BMixm9YhwTHOfqLOznrxaRG4
iaQ0IZIwOj3kULDrSgYarsvLnC8IqzEFdzok47LEoqRm4pkyl3OJS/I9AF2/RaVdP5bEnO+znhg5
G6rpims1vo8mSqmGYA18GWVgQHm7Uu79s9BR8KvJGE9VFNHB1TRrN1ntEFR1OLFn8JPEnLHu55KL
RH+IFTLcbIu9hKdH+JBbwkewUZlBUxXPjiKLqyGu89gpR69uBx91eDxfhqVht9jIe+FiWjSJkCUt
0ro2uvINA4a5i5RR0syLrVAODdv4vGPOJ/SZvhRjik25XSqrul51jDt9wjif42nT28l7bcX8CpKz
O9KmGkLda38oOOBfgRqAC9ZKO1AhaSFWwb+WLzBvN6iRa07ifc50nOdOql5y2OA7Uo6KoDWBgQoj
8V3FMq5t4jz0yH3uXIFSxusbeSgHCJtj3z2wDl/477wYdb51KBp6+IUw8d/Tfjgr1qFxEI+ClDYR
aCEkWujI1olCMpRBUdo1UA4mOeCEWbK7NHrf9JQxBImqHiQyTgUmyY50GYJOYI4iwsw6/o4D4dGy
Zvdvrk3y1u2uLdkuAB0b+B96se+WcTozDqsVW2LPmR3241i47RoVt+bZd11Nq3lchc2ZmYAMtDX1
Qr7IrTd0SM8MAjridQFGX31N15XCpDGWDbcislMc87kXILa/zVqDQh+q+FBWRo9ViZKXDtmCyR/j
Wi+rzkfgtK6Tc/cY1aVczZJT4AodCoBnAn80yuhQGml2g+tI03dtq1jB9j8SywxDD/4uAcU/gMZN
8K48dU8lD/WijmYoWUbcxmWnX83ibJQ96NNqtk6gxt0gGuz8RjKD44IVgFI6xOVdQbgv1ShgM94f
uq0fST0i+XfNt7Gy35smY7trqkEVwe3UPPUXzoKULQkRJJMy3o9lb5HWK7n+dRLfOxR5qLquqgHj
ywZHBdPyh654p15eiHNtwlJr/piW9mZ4Ot8u3bbwBGahJlPmDhOYypRAFC1fBxAAxzFPGaZJOBGa
/ShLic/StWy/rZI3276sxTCZGEno1JL+rPUhqwWRn16izhm+WyInvtc+2Kn0fFx3MYs4i1T5lbG1
iCfJVzYQJIKTLfMm3CYPS6kRV1XSrW5lf8J1HCGvqPxuBtNMn+7GbDtIQpm4UXRXHtXqUA1af3Cf
R0iKu04aLy7/zhp/NuK63yyZ2wfiIU40ZPCUW/3M37r+qZbzz0HLjsOs/baCEcg+bb7iaZwnwBUu
+h2zMY9l96IMeGtgMJMtZSGL76x3vcB/j06YZFKNVuFQ5DvJH6M2BUtsDyNS3ejoPaR1O4/g1qeW
NIe5IEndaBBhVZnCn6WljUnAJgK86mFU2/2qmgjo9MC1A0bqEpyhzjAvscrhGUe777TXVsKfIgqB
nuEUd35VtKx+0QqtWXCFagp/SuvbOiNHqx8Pjo7YvpP909AgTCtaWqr01oCvqqan7YWGuAaICmDe
Ec/FIo/aKn1YgMrtEf8FidWw2enFcdYJ4UFXSVHcyoMGYSbbYED9SyPMnZahvW1h32qYdQM2fXWf
ksrkFMmq8u1xF9y1+a1i5D8IQnvDneQeTFva+x46nWFVd4pDBEqk9vvRY0Bnp+azRiRvWqSD75rE
ELfpH3a8yCkgpXVmBAu5M1+YGPBHJu/gymvGJGbu2Gl81p2Tb0IkdhU4i7owD0aH8AwM5GNRaRV0
dDQDOfRwVug7fEanEvABQyijnEOrUGn/zBZbDKPOQ4bN7ySHk/9HKckySpaVsaLBQNGf1ITRoiwR
Ki5OfTEz4BulkaNU7M8LFgg4p3Q/eaFhFRuY/Gv76A1N6mOnQBEsYm9XwHYKo/wdAuCfSQKnJcfA
OYg5C2fpPKdROwd5mzARZHAwysTw7Ti+qhqWcKNHITG642qjiR7KhiBvd3psWAQzfhBWaCre79Xl
uRs7yvS0feIDbjjbVVaDmW+M1pMxmQsm1ugbWqt3oyEFwxgonJdIo7o2Hf1WP0gPgI1ma/S2a1aO
NdMPchloK8MvA8tfAc158hTLz3G1KfZ+Wqo1Ttio/XK06OnXvwoFYGlfxeIIDhxZIrbCerR2BWpI
R0GMMVfiWrsIu3rtx6hb3Spru8YsBOkMj8fK8UjjQ5HMSCuT75BcW3HrRta4jybYuoUpHnTgkIES
oRPjhZyI8yTuTsVmOyJ3V/h1C9Jqs+luS7tgtw6gekwgpBsWalStOFv2D6tb+7VmLe/m8YgHFpN3
ZuF0GxNlNzl8xly6Lp9/fovTF9eXxnbcpFiFqoVEHHYTDBW/0rda4nY1pfwJ2oSpHkVHuQI53MHw
dhakdsE636IVq3YEWrqortIqfjRtREJNjlsrItAgELF9zTpm11KzQlDYaP87DF3hGHfaUa+wgdvj
z856LfT+XfFylie4H5nCdDkPfixMuPppsWeXY5C/rV3TboCLr/a9rwz52ZySo1PGL5XafGgxw/NA
SzubPLbDFhYGt7iNmeUwWyb73LPvlX5uDkaR7xfK00eHZvpeV71HFFx+IarxSgl0eoo9NGHsLQib
9KgSGQu5hZZb1cw+UN00tTgaGv6v/UpEijzzjYqneu4iYzzQLoj8ZByKoxa7WHtGqR4GpcK3RyTu
vm2BhzlTqsPOaP9Ynqvd2HZ9HRmGz1rKQhvsxkEdQVTram2DSpfZLb8nu91uFbLKbpO4vDfmZMF3
9L/OC5Qy5KIAJTTtOmVHpWK41PlebHe3A5uSRuVjZsZtDASMg4nIQIqxD8eiTW4bw8hVVrPjfG6j
6dSv57rt3Nwn7wnw82Mtu/h20pVjrAr17GDzv90O1r9u2QY+WkCB3U7G7jdjsl/NwhiPgy0pOhVi
8k5JrFzp+XDXmdorXn4uIdKCyMM4xG2qB01aNG/FoW6GBnFYUR6r1UA4ZzPGRAfVxqAQHaiX6hu7
Yuk70H4OW+g8ijFVi4O0bN5Fla2xLFm/F6RzudPRwxXCbE1UUoNLglAW1jAJYQYzWdxwEJ0zb2ms
xGFAOItPVNx0Fh7CsSfkm+YhA2dp+o4N7s3q8IgjH8tj6mO447GMDU9ZFt8NiOdD7OsHfu0dRRmE
UQu7OU/zit2OLm1OtJTuAZqYn0Vr/JxTYftsTz4GxEdIIlu+QGuNMTFY/eMoKjGm5XtKohTSO6c7
CXNJHl1tvArdSO4R0uSwfm4mswplSkXUEPZ4XUfKCXckMzeIdKNac29iiO4u8pATqmmU+yRQk3Lo
uRfYK/3VFS3ZOUN1J6D93zZxUZMRQYgcCX4rAjdVHq0BexHeDJ9NtH4SqiRZplzeZ6NOnuhe3Dg6
QVGuC3i6axCOyzmCNDUQhiy6B4xj3rFjabFbiLN+0iwmkygmyUhJ8vIirPJOWBaTdVxMx6wk1CTP
Z48RG/2/A7JjN6NJN5IWjWuqZSdZEyChAM8U/YJUUiRp2Oljfa9SKttJJL0OXNRrlC2Bo0/fSyIB
fdob1lVU1ZMNJwGFZX6tV0t76xAq3oBoctGkQEXT3ZB5cyJ79L5ShQPZw9UerOQxX0GPU5TG30dR
3iJxTX7VDfpcSdHNBpjdtJbhKzocW74tP2qlKI5lQaDYJ1x4Lrpj7XzLnJ7hfZKE7fFW4RodOsk8
EA9p91Rkp0I364uV1L+7thN3ZlFjaB1diEUzs6tuyTdvdF6Iq8Yb3WnlhbeehE0JDkvKGOiHcWah
moedC0J1ZdhdJIYZh81tjif9Zprv9YUoMBlPcUBL0ttBM0YFI7RoT0eQ+ASrmx8blvd9PLSXOq6/
63WpIpMprKPjwCh32+rJg8fuKfWqamf+7/uivNYl9ZN4ZOMjvfg70RI/FaQ5Z7t2H+c1lw/BxTet
sLQLPnWwAdTocKYp3xA11uQ/GCe22y6MEGg22+ZTr9v4RC7PDZWi+B6LBbjXCnt4bsRtWFI/vGnU
Ub0pzEy7EWpRE3JhegchVETN28ntOVNljTfuU0Xgl2La4gEZE2HcUw5bhR4wBSuWAPuJaLUZtyFx
BmZ/YirE9yYJKAEyZVrXOpIYPW0DsktpVuMOXaR1hcZLdQR4nuM+a40Cm4aMeTw3M7YrgoNatj/H
abKfV4jpse3K2XdQqtuURcNmaj2AJvTAeen0tfRJPTUZ22cg+1iRMFZyHT8mi/aqyldSegYf2qvY
m0Z+Fao68jdIYKk3Ekg2kHrfqFh6MmCp7EMDghaMlG8jr5ZBjrieGPoEIrD0OGWEr5V18p5iF+dK
8nWzWk36yIhTqzqUpucP3Z3Hhgw36lyUqIuT3wbZGMGiKPOZcPP9kNjeEZ+5fibdwz6p8Qsiqfm8
HfgePS5m9ttUXEZSV7YMu5RaFpca/TBRs99uQXOhho8IXECFBIma9TH8Ajb9UKQiJKyOPbMut/hU
CpeSZrLU03ksELDZ2plg4fQyjmtTjn3/1GNprYGMudrOmkYgd7HEHkIYJBsM6ieucbUJzbqoDM1q
rMiDl2gnuM/OrveKAgM5mxB9tp/myf4tYqw7mb2Nr9rz1EorHLXmYerwuEuG60Ba8i7NYmpS4y6J
yMbrDMiJOJ0qtpOMX8KAHq0MGYFcgjWe0eNXHeCxmvLkmOICZIdeFUt13y6tU55TjW7j+sPqSFti
9D9ShWvwUZnzMXfDtGHLN9uohauhK87kvXxrQDk9pNgbXCL5BrMF7DPziqWlZMHYMzqyJdupRRff
aHaFlrZE8ZkpoAybCgcsymfjyC42Lpx01zJy7pqUDIyklSbbquKGQlMeqD2hciqlCHwW3osxKvpl
KpQnuXrWbFy0CuZcz6G478ZkK8nJu1NzClRe0b2N7CVPILDDSUN06Yxc3Ej94SGZwSAtOFRCzQ9D
UfJ5o32cQS8jaqEMNuvzmW0nSvdsuTc0zDJyNRUkYWybJDfgfbaWAYAqfN9lwNzWY1YZMlTxAFCS
sFToY1jIBTPWJIQ+I3R3FgqbivEjJVE0VAqQY2ZXngqp+TRvCetqipCWAiZgEFGBLn9TmoN0x9YJ
6DYDIb6reEXCL+27SpGoLMgHmNu15CPLPkgAPuR6cpvIhwW323HJ1XsthlmDckbQJsbKX5rkpOpg
ngdlwIU1Dfu67la8QRY0mKwCiiEjLO/SB9lPNIY98N5WfppTMd809p/WLMEeePmDwT6bjU+2L1ZK
ARPDIcaJ52omudHRD/BlU9BqHqmm0FPwCy5rRCP4uaUh3Ek6RCWyr+aX0UwhicG3mvphzKPooDUo
6oFO2d50rBMvov76iMe/8Hs9eu9s5Y8VQwwd8XjvWPi9peh5dorH4tosaKW1DvugNHFQYTfmgQHi
W6KVTyr5M0FsRz+m0ibqbHSrgyQ0YD/BKaKiBFW6I/DA70vnCHAz8CrjJYrjH3hiAW8Yc0MIAoSX
eSZMpyZiMajYrSZpzZwY0Uw1Ih+HFE7ZSiJrZ98uhKHfOnP20kPqCKa8e8y64fciey7FjylltdDS
dtLTqUH33DiMFAc3oyiSQhpSX5cupYSf4t8tciy5DdJxgIhpoNQ2jgI0/mzgbTn99pq1xEFHGmZB
vs86kvIU4J8+SGc7U0M6wsx4hUScpc1XjRLFARkZES3kmU2ieLHsDpMHK6sdDnW6Kg0057SEUp4X
9sOimG+zOtqMBy5U+LQKZttEdKsb6PuFmPw5MhksjPXyVj6sbFb9rmuLwJ5RslKcpuShXeCBA1cz
Zsb4uX1HIsbXg4RoNRK6L3sg7n2WNL4+aAAFKAJN7MfxXav4YilkkP9OvuE3pawfvIW8EkXtj6Kf
1HPbjG3QoPq9BwmXrQtJil8AD9KUHilVbRpxAF7CWMueJFv4C7p+A+2cP7P0PhtexpqUGIk9yhoo
8ZNN9iCxq2crBRNptssPB0/BN6IfrDs7Ge+G0YsfdBEdPWvKn4u9S2O1i4iUmQrGBGgBWagr9JMn
tan2pTmPl4m1HTzV+rAq8jW7uaIhrjzrW+W6P21woVh0nGOb985dUw87jzr9YSGL7EDQ73UqdbZP
mijuCMK4lIMhn0pahkSX9c9LrESXxKzcqzkkrK/MlVgXhctgemHjsFBqSpFRcjLYB+vsjkCuci22
QS1s2vkzOEL6Blx/g/aNyCQZ4PT2q7w5K6MZP1lL+mdQDEo59VLdlLW8tQZ3CmdiagK1KX9X+LuP
FPHEEZTVTyRb2BIaQ33R4yXa98Qz61Uujk2a7ofcbWm4y/uKBdeZjJOLaXrf67XZEYGLM2T9nQBm
bUdzLT6yKv2t17ybGgfw3i1LWkbLIsI+I9ah7nuD1qx2r8Yk2sJGAOjesFxJG+WgjQAj8xQQhwnA
MMY3UxE45lFqwnFZq7SC6RJtSc9WXL3XzvDbbMH29JF2Y9VEbBjpeMxRk5w6F9RLbRT7IqmNkJSm
KTAsZmh6SK4vEvKzB4K9jljUVaiPLrluQwxuQ3UFNatBC9HF/KIf3e9pDz5ANzcxnRTZfrZbCDKi
Q39Y9RmYjJkkOQhhOUCAoKN6mVoNHS5pPsRaGdoGO1EyTxEvdL6VMroNJoufOSpZbZkt4n4P83oz
ayFOyMehs1So31igY3wBAcLUvWjLm8qa4pAgxDNanTgYFQePajXQlqQfDhsYo3nMpBslswNcXP8R
jfzlEsQRhS7xNsv8pDJy7t2UpigF3Zy0ztMycrVHu8SUHVVI1tBUBAFcimNEiM3ZgGrLdE4/M5Nt
8tIMq1+FpUhN52avoksNxiWnXuCMM1MNKQfAeLWDriJlB7ma0my3mwuOLxyj/akau9fOKatwXHuD
pgq5wYqyD9gQUAwm45e0cMgP7nI2i5kdehvHfi/mENNQce1ywFyuNB2QxUlMhGKuPEVt6OaW36UO
HUMT7YgNZndf/cFDuY9lY17rXto+EhVzVynoP21LPxJtW/FXIoOEparRMXmjntmbCcihwUnpnuFw
SyYvgAmzg6rS7hO74QpN8J1SBsVbBn8gkhpas5bttSC3zqjJD8V3Sj2NbVGs0xJX0CntqY2zQXCS
9JCWbD5jxwzAUXtnl4LxPSIqyFTQ/epUvy3A0RyI3aj8TG+jUGsJPH7VJcYt6jMrdjrnN2Y/2GW7
zK6eCjrU+mjdSgtgfSJDSY9lWsZ0QNJ12hAoqb3pzAR6OxZ9aLItvbMEDFFFE1e966Az2DES2qG5
jnZ3M2KMOhjkUptjTVjUorH/XDSHysGWnstn181y9O1R4jSLQQ0u6qz50dh+c2a+Kq5SfMMSs5os
JurlqrgsItEx4FfM9qO13A58cuhp+rPp8F83Am81SbyLH80xTTWsoOhijrHeHw2v1dnhKtqegkRH
64G9K4A3UgUxOHNhI7taVfNAy+igEFexzzSgwnPmzPeTpbLojIQbuEN7RbXQB5W53EP7E4HBLmyv
6w3CBlKh9p4wiUVqtDkcZ7vZdbqD4yTr2YIabnTOx5dsbwsVfFINhE9GUPeAcz1BB3V2w9ASVkPy
XzBLOjnNSM/ELcfHGKngEyGLl7zjc2u1LDpHKthuOQRCGb+nfHx7FQM/XqrOz2LvMknvGyShX9qQ
HFkXAoRIs78ftnPjvz+wnVMKFdaqYRDhp+ZKYDY0o0Vfk4ih1+fMITwFsQ03t5PboXXcbE92wrQf
uqoLaySaUSu6c6Zn3VlZNFjY2/2vk46idueWuatgpc3N7Zki4jpLAB76peOw/54YLUiB7uBJrb+t
rJZLVDNN5mrNa9j+52R7OdtNtazKE94DJhCYL1+HdlyNv1/3nZl1aGpnv5UMYErL2zvj3X7scDof
TBANoaKvJAwe+3qC2kZ4eXTAuoKWzOerxX8mYOOtb3E7JOstZxivIzwZlvV2fy51yWH92Ce+/gWc
u6OzRIRyGOpTmxvlwVrvEa1259k2pdD13nZqco36IGLzySzBA+WELMGxy2sMzR6d4NWhFdYkdh7H
iDYr/N+f9mK9bz+er3+ZxnTBYlfPwiSMjfzLZa94SB42ld3/t/H8X9l4sGxsH9enD2VNdfgrrWEN
mPif/+P7XBPXEP972sL2M3+ZeDTV/C88rWucAYnh9GXQbf9l4tE0jYcczzUQNZmoGL/CFqz/oulj
ogvdxLue/hW2YKr/hcEE05nKxaOu8tr/Fw/PvwvZLRVFLEJ2w7PgerOoMngJf5egaotOn9MjZ8lo
XxMsuysgVjlUkg7KPVmyf/tk/oNhaDMEfRku/vf/7R+C1zY21EZOa6rTzfwhx539UoOZZcx4IHUS
nqn1vc4v8Q3tjucUPuVrE6R/yHA4magcwIfv2eBepxftShH8BJ9+rW6h5Qt6FoP/B2WpRkH635Wl
2BxcMnNoGBimZ/HH+4eydNYEFT0EATeOUCkstIuApMQBerkE4bEqOMc4YQ3dEzdnVM+OWORJKecR
+klrdedem7rzdotBumfh1Zl+ohMMhqRjwcHJ7LodRm2B3m2qb9Cz5Jn6tTwbK9C/zODJbeeqCOcs
DdzGbzPP8/NUkFC+FhoWl9ID28jqvB1ckYBgYN2dBSaCop1RuNU53cZQ9mxQtdb74zbCr3epMd5X
bjsdtqGEzL9lX2sNPdJOac9fhyGuuzPkVvsQL/Utuq72vB1KUmhCtJyr1OuvU52WwuhbHCZ9PiQP
CSzVMbVQqZM5DWPzMDQ5JVQn/pxXLGfSjxWr3m1AM5WRApq9HbcT6jq8L+aYUsDX5v3kdhFmxfFQ
ryM5aEn2Ievgvd3y/jWMi451mqafLPaPbCoShu5tKN8O6GdadLVK46PVxWm6zkhMrgznlQm15ut+
jUqc0Lzoe1u0R1RtOmWznCG+wzzOJHKjpn102E71i0Lgl6sbdhC56Q9XbQWItvzDHbMW9Sv3tlPb
4euu1mav1kQzSln5Wl/zAVVDiYdifefbX8Xt4qsjEFh/vcvtVjQaK0dm/RBUN28O5ZI9fb1DPVcI
OtruO/20stiN4b1JiPTa5ldXNlykX292u6WZlPP5OgDKGMRZUcGDbbeIAx/D0VzIim5pOTvWy/ZY
kUbxSbCWHenF81fDGyFxQLN7K/ivPb2PD+5Qv3zeNVyjOs+hvl4JluUyaa+3tquDYrd+nKg6bOe3
U/zFaWB6XPOxl/MRtSt/rUXKvOy1pFeAi41riV9x4Jq2Fm3YPqfD0rKqMwgjOSNJ5GZckSFIxH2M
dCOV51Tr5Hky6UySHHl01tewXbbj+po/by3DQ2mxeP3b9dqg2/tLly3qGvBx1N1sr6beXtK/DtbK
rGOjyctcz0UrcDKtF4sgQy6ayGWoKNmanre720GuD3zd/cdT4FjnO2wvxCHWrIfUmSuUIg5rKFpK
Tmh7sBU9Lt3t0WW99Y+7VYTaA3w6TOhsBP5foE8w2EzDblh/oQ3rKGiK4fXr12+3euyqx6EYP59F
55pvnZyzfWfyeVH/ac/zethubeco1TN8V10KFIgUOLZNPHHRhpj9jFcEnw//7Zm9+kcZlRJhPWNW
PkPF2G4hLmu61+3mDD8Z9tD6+HZoXetnwpRBM11h4/L1wPbT7dfJr9+2PUdxSwoGlZv52yef/+vj
t02KufByH4ekhVbBPLvs+Y6Qt2CtQxRMRe84UR6ctrfm0Cf6fL/bm9aNEf1IrBIws75x04aIvkvm
ddT7fDzR3YB+/fd6ZjtnZ8Y1mtn7rL/k87nbs7b7tab/9Zu3u9sD27nPX/e3n6mUoQznqbhobC9C
Q1UOmAL4kv2nX/N1Tp8Md9nrXf+O9pyUGY/EzvUydSdrVXA7P7d72XpKXa9XMM42/kPuTti0ztut
r8M/z5UrlNG2jDRU+DRKRaHouD2nWpKPeX3z//Fntx/7eqTefu7r/nbrn//Vv78ktCSJ6vExzPq4
71T9g4ZME0Be7s4GDR1HNsURxfGrGaE9hwrFRmY9wIPgy7mA6isUihfhiBAEtVhP7QiDKfGYoMPU
fkZjte6TtoPLXsHI4Gh8oiU3vuR6UMHKfUImvx6g8vpHpA0ysPX/URtat5XI5D5bF+nV1K8ao0kf
wFhS5RzWi3s76OuE/HX3b+fWWa+DFM14VayXPSVO9qB8yNUkNH+YSekUaOezqS0Pumee3GKoD2xU
3/g4xpOiQQOwkyKEHCXJuDlbajkypo9P5p2Z5/nn/znybT872zeoNevclzkhiK706iC1+Hg6wq5m
q3VQI8B21Hu6K9E6X46lmFiyrTc3eOZ2IJfG2iV2zOacGHk5zdGxGX9vH5CF4plwvqrB+kdxYv1E
tk/JXjdBqGbJk1qyMBbCCvAufwyZ0a5hRzsIFj9bkcQH7LQ4ZMWMpsEfwM6czfhbkvHlFesKS67L
E88Z2EaOTfSY1uPKBufcejlgky+Oncx4wUJZvNOkXyeNKYSWuPBZLD3YmvfSs9ad5xhaw3SpOy1n
iVQCVid+rF3hnppiaJ+HxRzu6PTmRzpTR0iYLummiAr15RmA5XiAoXkeJ5KGNBY4teZQl4OX3kWV
85CZXbPXe/o1eBDL83ZYB9uzV8q/7n4+QNwjSqkKb1oGBnQ7fF4B283UzlkE5xNpl+ji2G0ot07i
6FQNKQWQKXOd0FHtHZ3yb7+s4vkpvuultbYR0blInXWrPTh39lJglVVhzEKO1j6EVEuaRgyB20Hb
ZunVgLTdhd+hhYuNZKA23yGA3FeoW865C05ru9VmpaRYSIpTAgqKTfC6AM4hfJ3/dt9TGeyQcKyn
cyLMPh9zGTpGqyvCr1PbMz5/BxmSLMnYXZP1S7jWXqxzS7seisI11jYQNxH0UKBMx953zIEVkTp5
eBS2pzY5a4ztSdstuc5c262vB7bnff7IItP3Ym3ebuectvVCl0BwuwEw7q4HdakoWmz3udg1MGBV
6bOH78/bOUcxebjpruQeWqft1PZgEk/DutXvz7WSx8CgeHnFgLfGcdWgmyL3VA3WvYxs88CVwpSu
J6cCdWI44VBU95/n+u5P7MZdAO+5RW/F06xSU3yVzsSuX+9+PfB1d7prWOGi4qTxJWELBa7icwFo
2K5CzR1vizBGHm1cNC+AXzd9r/64WnlDbkTN7Bgiqnsubtl2PKJm9aDaQGF7nOFkSyrtaHd3enSh
W0tfcu4exXTtUnjctL+pSJ3n8WXQf46kziV5CKUm14MkfzGzOy0LV0WlcqGG6GRhr/OdCR3t4o5i
B0Pdq64ovVp5xQaBMDbyCAu49MrJ9ZD3P8QqkkA/Tk95ecrnet8hUeZ9HexzdXX3SB9pVPe/FwIk
gvIDhE/XhwNCSeVtxYfy/p965wQab6/Od2i1yvy7jqAg28V+8g3HevsLQb2ZEUvyPCQBzkAToNMO
pKyhQ1Q/rAVmI3TUg12e6N7H6YFKYmveYWfLvnXZvVB/FTf4SHdX69z8dHfZrdw1fEX36X4545DZ
Z2/zVfhUpw+A85BOB7WvQDfbQYJE8xLKPUzPd+2hCqZT/qr6zUvru748kkOT3BnH8Qhac5feO4EN
rP2eTWe3g5brlzfasflFtnPSI5iDRx6ASCvSQ0Rq0LSzr4R4NMNBY4Xd+zVoTf+X2Bl31Ql19rON
zTDIH5Tb+M/8Ti3+o762V6Q+RPYG5SshaRTunW995Vu3+rN4Nf0//XG5nIa36MSrwuYTkrPywHcO
HsL92ZBHJ2zm3WzibwjqminLp3trEG8c2O1rnx3T5BFVDl1bXFMYTKODh4K5KBGDA0xz9vbTAn65
36vvZv2QQGD6QT9MUQP7v7k716a2kSUM/5XUfsel0ej6YbfqWMY3DIGEQMIXlwGvLd9kS77/+vOM
ZIIlk5xshqpVndpdr8HQSKOZvrzd/TZDFHe1LZAtIO6quSWshRXfrY4AB7Zt5pIwKYHqkLmAqz5+
iC867o3Pbc1aTkAd1LbtMa3gPGyJDaN/7+W+GQ0ae4pw11WGnblfGBrU7Qyb/o1Zo2Skvn1Y+gF0
nJ3BiCF8tbHfHIQ1OPF2nyfjmuPTTdBkSPim22JAa+R8ogV01oNU3tjXv0HuMTJvZmNSAlebuvE0
Pzuf788hZTewEEyjoAzn0X2mj3PNrGsm+pB5MC66uMKbQH4UfnV8t9gFF/bt+qx6diHq81p0bz8P
sYOULTJwwO90Pw0oIPy2ngW7bjB5YMLZmVQfWmTLmnRn3vrzjmk1jQ6+183kQfQpvAaZMB7pu5m0
1z2qI0eLDnN68X4aNIbNA39ACQHVITRxBNQahoKQsWrezxpL+oupd7hzHtc302vv66K1hWOBpApl
Fx2O/9m6Rbnn5jO53mm3unoeBHEfymtLnM+cACbWrahPojqD4rhCxJMgWzLT4lK25Q0D4mEO9KcU
7VTDvnG56Z09Ta6t8yggSLs1vw6ex7ckleHTXjEBoboMulfj+8U9pTQ3oAPM+DlfXdiwVl5FTebt
7b9OWtbV3e6T/fmsKa9HfTic3AEMhFW4tP4mA+K0t3WakMg37RrxF8o+byBruDBaNOnGd+awRv0t
1qqV1LZV6/zsq0FVXZ3MfHVVW92GDHFgJHlAVDBiRPukthCKTQoSYzb92c36YdqiJokSx5HDYMyq
0WHCQGNwb4k2IO7nqFvj1qPzKaXLVZPod1NlVlfda85u/G/jmn8HY1Vt3xw/0AV3fjYPQu+jJA1N
QXWA0qwNYM0OaJWBIb8adThu5IuvZBN82L5nH3aYcieqQF9thn9w8k2aVK9GQ+Y+1ulYunnqNgcd
Is/mrLnnoFL2610vm0aLdsN1XLcob0cDysCgoKC2+MyatpYXzNgbM+Y8mLFTB01oRwewTdE2zbG+
pquJ+pYtNfIBSQsgcsnOp1PmyqVuI2AaUNLoAu80Buck7xqjb5vLKP5C7DWCZh+Jft2+F2T52Hsw
OHS82qC16NBz03buLK65QbaxuR0HH+kgdC9ghpk3JTYlYGyMGwyAI+EsG533dx/HHb9nXY+/DC4H
jeHjjDk5V9vJdBO8mj9vtgDwSU2kRG1MSVk1AY/aBumixlB2r2hvg0FdRThdxZMNiSzz0jYbCX+K
yhaYHqRkgP9qbMKGZlTI+2oSBKwNmRwAmno3UAFJ+m5jMxWrmb1lJqpxPpqsL8YW3d6h+plJGt38
+LclPHTBIjEJSpb2qBatHGaWR8mF59IWNHMJqIb+qr36/jKKjVX7TE7gMVXv0g+SZP7AiAJoqRdQ
N/qbmEb4/b4+pPG8lYBceRsSYPu9haZM3zLzdk8VJEMHXceinyoZ4nBuqLKAWg4uVJLXlMdNZ0PI
HiUYxCj9uuvykSsntR0Fq00nVuT5hmKd9z2govTdcqiCgtevmfVI9DE0Lpw1lNRzhgtWTUV8b6gX
V1Hcp+9evyf89aYxjVfXXWNdY8JqEjg7HjDhCZHuYibmtd1InDW6g48DaGraHpMMIO+cidZoGCeN
lfKl05fl2L5a7M5EfaPQhdeXQRoFfv+euYEkYLg2PqYoW5pWSt/F1BOiEL5nvairDEkRx8PzNK/k
mKsAhkKrmcLBSwUJpu/Sfv5wbBpMxvZVSd9nSoK6dc8Hmppv12P4VDET3dV8wSB3QcG6RB+v7raL
3aa1CTf0hG39xiuAZHizVbAbO+owhqspo4yW+/Z0DxIjlzFanWZayinwPFc0gW7tlcy+NDYhFRG4
Sv66e0ty1WDEwHajZpuI23nsLcg2shHIA2zbvtjKhgy95mCvnnhs2ffT3dw7X08ocg5GCq+zxrS8
uhAsU+CxJlJRT+715fV71C3uWma3M9sIBiWuY+YVWKtoV9tZC3LSyZVL1CPdrtNcKyAuhejUyGlm
PTFMKJ1FbyUKTMnA41cw2TTXD7ZNYZ9xFlGtBSF+m6HzF8S+QzTr4nG3HFNpvoFEph4l9JIy+ZzI
jRdjyuhng/RxElP3n6bZ0gecvrx+CbdMyE0SGBr45OnjFSq0h9JYEBgtoCCe7zZedbfzgHfS9GH2
ojBkex7zTTgnalOf3kcob7vBUf4zzRNmX3vGdprRq/xfJeSO5qVT7wpf3tGI9GygOyRzKpt2TSHY
8jb6vR96Ya97W9CvjVU3DcsrpvjSi0qv+GcyJj1ubPVMFlB6FR+SPtMkwQfNnGFA3gTzPQOI0o/P
XKfiGsyodh1bMNvcNMjnQQ14tEg/Woaf3+Gnk5Hzp3J+dgf99NG0nv/8w7Z9EmA5usJ/vAhuBf45
AFOF2SvaHZKNx4vA5KSKA2+XKYUvpe0b8OH8K4vwFK3oSd996g/CKEe/yFX/2hoUJBxtBB+GRdsX
lmWTtAUi5B6P18Bno8DI5JkQ/vge/2U7r0QbgayzYvvS2wl+RZrSlR57QC1F8TioxLfjkhNzfaga
5b+3E3rPJO9rYbKMw6flcQ6frD35Xq1FcGRFQJNHgt/jSPimetTHW0HYEqVgmY7PURGclX/lLPxk
BdRT01oBaVZorbMhQvd58Syl9Y5XwIPf1DIkdw/7muNYRrbvSnQY8NTMTEu9ln/8Y7XoVWAKpHcJ
CyF4V1wFVAIHhbJBF6AepVE+2+B5UnsR/AoFK8K0ISfEBHhFjeDaFahTLQiNsRAUXhil04sk8M1f
tA6FM/VqHSy3YqFeqfHiwEPHV1wFbCfLAOcEGtERVPaUTSdQJ6SrE6wK9s/nJLDjpVPwk6A1tuDO
daXpC0Pgk5RuG8A5So2Unlq0KqYvKd8iKe9D73diGJR1dNgHtit9F0cic8zKpBYtz8gM1u+rRerY
2OFw90nXVcaxqBY9vyJgvabG2jCwH6byJstlId2U8VpvK+AO+p4NTTdkKm85SoZdsWGJpBaQ03Co
RCzRRuDRae8DUWGf4ygzyhhH4CRqcHEiqA8yLOjMhUfYkCnhEi2CL6Sur6jiR9wkz/PpjUID5v0k
F0Z3tCXlFMyeNZVLWbajIARswJpq0cRPgoqbqMAUAgup1F7OW8Q2uETYQqIThYB4uWyrIKXQNw4C
D8B0OeysqKXI5POr4BNaSYnTjFp0SnkcaEE1dB0lIgcOAvepWNkBTYpQgidxpBSdMW4UJOBljBxk
OpNByzqAl3DnNlrPRTtC/F3YC5iECp/aNn6zKh4vl3kUlnvwYDWcBIvYCGZfw7IdrOQbrpJVYXdY
eMs+XmPZloCQQdtPwjQ4lqn2OD4joVNxE3gGoJp0BGGDAtWIp8u2CuB92sZBWhUIvLEMHhoBI1lc
BShrKsIguFa8455fwsPARJD0wfz+YZB+BfIcQmc2O4S0YAZ50wCcYjKbgekjQmEpmIjy7QRDdZho
KUVWAaZ0i41g+CzEib+I74BKsC1hgD055QNTBLhv9mB+fydYZsUALMH0Gan6L0aQPuYRa4FKUO4i
i1Q+nUAyQBdltoASwKoBWX3TeQNT8mwiB/ItEMQTtAMzlu48cE497dDBrRAYmviewOlpJF3QCjZa
wcUQ2XhMqYUom1aQzmmP3T8FWTkRbHgbV9FBMahwMr8KaIMKuak0+ybK6Cz5ppcd0t/XCpLOQOB2
bhUsmb6+oo30RQVn0mdgDWlKm6xL+eB22iB1z4NlVyTTcUg9pVmFk9DB8SuEVmhGoDVMSBn9JY6q
7l7gPAgbQIEtT3/nqb/kgrrAeojiJP9USt2oEGJdj8lyKjRvShsTAFsPeXmW9RhS8K0KDhWf2gAO
QO7lgxRMnp/uKqg0HI6zCh5AEk0csOM1AGdFaeImMImGBShhRpo10N4JRFHUXfjcaYqgpUm241VQ
iQdKNwCfPOo4yqgbKR7xskTA71sI8k9MyWEyJIkVnyKVIqwiDDYDaSm6wlU6toSZB2l7lm4KSmXh
hCALx2wo5SCf+Aqmga+AYqREwSKaLJu/RDztaK8B/hIHnmBSoWzq/3mtQD7WIabGTJb2PJjkCzRj
SQsriO/MGDvXoC7ppGwLsNWjVoVFAseBbKF8uAKeruKG0IqoiaPSu6f84M2sNBkYJouCqrAIOGhl
9Ji+B3caulFWHKBUMnGkoggaC+dBZakA3zwgZxcSD6UzygW3kkwXulpBgieTkrXIOHKvLgBDYRXI
yZKtZH4wc9JxnMp3HtCNQhtdITMtPbwBQkmKFU8KdlwwZ9ZGlYip2rUSFikob047jqIUhcQmnjFD
E01CJdTMscfk4VViRfmHeFIVcZUOXWEVfN04Sp0IapKoX2OQDyj8CdIGrMBQXIFfAkoPl0/pkGcY
xPS9BYm3wLxxk/pe75BjON4LpPzwmDzWgHdljKLw5nR3AvUqJB5IPAOvUJ9GQJk/DyTpPbQGBsRi
1HXmS5TMQgCI6yZm8ZhwCXGYJOuACiz6zuAKFugFFjRNS5YQeSZHL3R1o+Q8KKeQBX2jiI2MnIdz
TSYK5xEDUj5fQa2Bdt0OGTlcDlXtzkT3N6rYqGXk3lXhL4mIEuZmJX0Kmp4z1oFqHaq7XzoaCjqB
jJzkc0B+oOlS2kiwMW2dILGBRFAv7lIaHxxbB5cMNmlLn+KdFHQoH+4M37WnrRnxCqlppV4FfwE0
sagZwdlcICjQBpQn7ab/JDP5C8Vu33uqYPGZPKfdVGE/eavp6kc/8NJpdPr5oYNItQmpDpncD97u
5v3sb2e9ROrrv3IF0GmX09GHL11P6d85/PrhBk//dO5vvdzVyzebYT/uxU/DXfrB7nCZGS/jfya9
x960l+/pUCjH65X8+UfuOo90wf8QnIwLclXSQltuHO6jWV5wWmusL3jcmzHR9eUS1WOkoJZYUVdy
wPCrv6N4FuauOusk05YdTaK49xy9XKW66qzgVl/ybNZ/WoZPq2VOeFrKqiu81p/0Nr24fyw5a5/Q
lnzoUvoQ/f0hiJjb/Zhf9qwKVfevwMsQh8+553mo7dSV3OhH8SB/yYdKQV3JTVY8DI9XnHoom+Sm
ruDWc2+Y24CHkjZtuZNJOIvC/InMSuq1Rc+ew15Bi+Cw45doS442+W2R1bHoir041U1Zz5W2YASs
nsa7lztP1V5Wb6ErusP4m+RkmbMMvq7sy144y2kPEpTvYV4ue/Fu0ps9Hy/HofNZ/5KTpPc0XCX9
5TK3p1XNyTtY3MvwaRgOevlO3ax+SPvSQ2xBEi1zO/uQedaXnSQh/87nOd10yOi+h/RoFRdFq0Sp
tuhotizokEPyUVfyVf8x7hW8J7qkVR5HX/S6l7dbeNmq2FBf8OZDszedJ8Mwb9aRr9DA95Df7sdJ
P6epDjj2ewi/7G/Dp5wZQ7gqyH0P4d8YIPgiKY0PstyktmgIQIYfgl4cYSnzhzNLc7zPH6j14H0t
ilddnrriPzLI6UVKuiwZIK8tdjzBI8lHNQeUW1s0FIJFMoQUONYVfN2fzZLdZN0rhAlmhsnqiv80
jJ77H1rJiW3LwE5d8Z8ZAfL2RjzgiO/zB0434gGi0xV/y+r3k6SfcynI+CvoS1/2Nh9VHvqfdOV+
WfaGL1enDs+BkUJX7F0/nmLZcpKz7Lm25JDIprC9D8Caruj7HnZnNljmj+ahCkZbeD9Zfrh76+Kz
vhVt+WHyFM2g3sqteYa1acv+8dyNlNNGAUtvATxvIU3fiXhO8acXgp23fi0PrqmfeJr0e/Ff/wUA
AP//</cx:binary>
              </cx:geoCache>
            </cx:geography>
          </cx:layoutPr>
          <cx:valueColors>
            <cx:minColor>
              <a:srgbClr val="C6DBEF"/>
            </cx:minColor>
            <cx:midColor>
              <a:srgbClr val="2171B5"/>
            </cx:midColor>
            <cx:maxColor>
              <a:srgbClr val="08306B"/>
            </cx:maxColor>
          </cx:valueColors>
          <cx:valueColorPositions count="3">
            <cx:minPosition>
              <cx:number val="9"/>
            </cx:minPosition>
            <cx:midPosition>
              <cx:number val="500"/>
            </cx:midPosition>
            <cx:maxPosition>
              <cx:number val="1000"/>
            </cx:maxPosition>
          </cx:valueColorPositions>
        </cx:series>
      </cx:plotAreaRegion>
    </cx:plotArea>
  </cx:chart>
  <cx:spPr>
    <a:ln>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2.xml"/><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5.xml"/><Relationship Id="rId7" Type="http://schemas.openxmlformats.org/officeDocument/2006/relationships/chart" Target="../charts/chart39.xml"/><Relationship Id="rId2" Type="http://schemas.openxmlformats.org/officeDocument/2006/relationships/chart" Target="../charts/chart34.xml"/><Relationship Id="rId1" Type="http://schemas.openxmlformats.org/officeDocument/2006/relationships/chart" Target="../charts/chart33.xml"/><Relationship Id="rId6" Type="http://schemas.openxmlformats.org/officeDocument/2006/relationships/chart" Target="../charts/chart38.xml"/><Relationship Id="rId5" Type="http://schemas.openxmlformats.org/officeDocument/2006/relationships/chart" Target="../charts/chart37.xml"/><Relationship Id="rId4" Type="http://schemas.openxmlformats.org/officeDocument/2006/relationships/chart" Target="../charts/chart3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chart" Target="../charts/chart51.xml"/><Relationship Id="rId1" Type="http://schemas.openxmlformats.org/officeDocument/2006/relationships/chart" Target="../charts/chart50.xml"/><Relationship Id="rId6" Type="http://schemas.openxmlformats.org/officeDocument/2006/relationships/chart" Target="../charts/chart55.xml"/><Relationship Id="rId5" Type="http://schemas.openxmlformats.org/officeDocument/2006/relationships/chart" Target="../charts/chart54.xml"/><Relationship Id="rId4" Type="http://schemas.openxmlformats.org/officeDocument/2006/relationships/chart" Target="../charts/chart5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 Id="rId4" Type="http://schemas.openxmlformats.org/officeDocument/2006/relationships/chart" Target="../charts/chart5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2.xml"/><Relationship Id="rId2" Type="http://schemas.openxmlformats.org/officeDocument/2006/relationships/chart" Target="../charts/chart61.xml"/><Relationship Id="rId1" Type="http://schemas.openxmlformats.org/officeDocument/2006/relationships/chart" Target="../charts/chart6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xdr:from>
      <xdr:col>10</xdr:col>
      <xdr:colOff>223837</xdr:colOff>
      <xdr:row>6</xdr:row>
      <xdr:rowOff>95248</xdr:rowOff>
    </xdr:from>
    <xdr:to>
      <xdr:col>19</xdr:col>
      <xdr:colOff>223837</xdr:colOff>
      <xdr:row>37</xdr:row>
      <xdr:rowOff>133348</xdr:rowOff>
    </xdr:to>
    <mc:AlternateContent xmlns:mc="http://schemas.openxmlformats.org/markup-compatibility/2006">
      <mc:Choice xmlns:cx4="http://schemas.microsoft.com/office/drawing/2016/5/10/chartex" xmlns="" Requires="cx4">
        <xdr:graphicFrame macro="">
          <xdr:nvGraphicFramePr>
            <xdr:cNvPr id="2" name="Chart 1">
              <a:extLst>
                <a:ext uri="{FF2B5EF4-FFF2-40B4-BE49-F238E27FC236}">
                  <a16:creationId xmlns:a16="http://schemas.microsoft.com/office/drawing/2014/main" id="{F12352A2-B519-4A32-BBBF-D2CF755F88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
              <a:extLst>
                <a:ext uri="{FF2B5EF4-FFF2-40B4-BE49-F238E27FC236}">
                  <a16:creationId xmlns:a16="http://schemas.microsoft.com/office/drawing/2014/main" id="{00000000-0008-0000-0100-000002000000}"/>
                </a:ext>
              </a:extLst>
            </xdr:cNvPr>
            <xdr:cNvSpPr>
              <a:spLocks noTextEdit="1"/>
            </xdr:cNvSpPr>
          </xdr:nvSpPr>
          <xdr:spPr>
            <a:xfrm>
              <a:off x="6319837" y="1047748"/>
              <a:ext cx="5486400" cy="3657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3859651</xdr:colOff>
      <xdr:row>39</xdr:row>
      <xdr:rowOff>173678</xdr:rowOff>
    </xdr:from>
    <xdr:to>
      <xdr:col>8</xdr:col>
      <xdr:colOff>553057</xdr:colOff>
      <xdr:row>58</xdr:row>
      <xdr:rowOff>173273</xdr:rowOff>
    </xdr:to>
    <xdr:graphicFrame macro="">
      <xdr:nvGraphicFramePr>
        <xdr:cNvPr id="3" name="Chart 2">
          <a:extLst>
            <a:ext uri="{FF2B5EF4-FFF2-40B4-BE49-F238E27FC236}">
              <a16:creationId xmlns:a16="http://schemas.microsoft.com/office/drawing/2014/main" id="{3312B374-2ED2-4C54-A58B-714B9FEFD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40</xdr:row>
      <xdr:rowOff>0</xdr:rowOff>
    </xdr:from>
    <xdr:to>
      <xdr:col>11</xdr:col>
      <xdr:colOff>625002</xdr:colOff>
      <xdr:row>58</xdr:row>
      <xdr:rowOff>192121</xdr:rowOff>
    </xdr:to>
    <xdr:graphicFrame macro="">
      <xdr:nvGraphicFramePr>
        <xdr:cNvPr id="4" name="Chart 3">
          <a:extLst>
            <a:ext uri="{FF2B5EF4-FFF2-40B4-BE49-F238E27FC236}">
              <a16:creationId xmlns:a16="http://schemas.microsoft.com/office/drawing/2014/main" id="{F5D231F3-FC1F-4C3A-B95B-BA79B89DD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60</xdr:row>
      <xdr:rowOff>0</xdr:rowOff>
    </xdr:from>
    <xdr:to>
      <xdr:col>8</xdr:col>
      <xdr:colOff>554071</xdr:colOff>
      <xdr:row>78</xdr:row>
      <xdr:rowOff>192121</xdr:rowOff>
    </xdr:to>
    <xdr:graphicFrame macro="">
      <xdr:nvGraphicFramePr>
        <xdr:cNvPr id="5" name="Chart 4">
          <a:extLst>
            <a:ext uri="{FF2B5EF4-FFF2-40B4-BE49-F238E27FC236}">
              <a16:creationId xmlns:a16="http://schemas.microsoft.com/office/drawing/2014/main" id="{EEB16C4C-2992-4F5F-BE9F-4DE9025EC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60</xdr:row>
      <xdr:rowOff>0</xdr:rowOff>
    </xdr:from>
    <xdr:to>
      <xdr:col>11</xdr:col>
      <xdr:colOff>625002</xdr:colOff>
      <xdr:row>78</xdr:row>
      <xdr:rowOff>192121</xdr:rowOff>
    </xdr:to>
    <xdr:graphicFrame macro="">
      <xdr:nvGraphicFramePr>
        <xdr:cNvPr id="6" name="Chart 5">
          <a:extLst>
            <a:ext uri="{FF2B5EF4-FFF2-40B4-BE49-F238E27FC236}">
              <a16:creationId xmlns:a16="http://schemas.microsoft.com/office/drawing/2014/main" id="{EF02CF63-4F24-430D-93C8-13018E2E9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4076700</xdr:colOff>
      <xdr:row>80</xdr:row>
      <xdr:rowOff>152400</xdr:rowOff>
    </xdr:from>
    <xdr:to>
      <xdr:col>8</xdr:col>
      <xdr:colOff>510702</xdr:colOff>
      <xdr:row>99</xdr:row>
      <xdr:rowOff>154021</xdr:rowOff>
    </xdr:to>
    <xdr:graphicFrame macro="">
      <xdr:nvGraphicFramePr>
        <xdr:cNvPr id="7" name="Chart 6">
          <a:extLst>
            <a:ext uri="{FF2B5EF4-FFF2-40B4-BE49-F238E27FC236}">
              <a16:creationId xmlns:a16="http://schemas.microsoft.com/office/drawing/2014/main" id="{1731FEAC-8E69-4197-AE34-8C00D72FB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81</xdr:row>
      <xdr:rowOff>0</xdr:rowOff>
    </xdr:from>
    <xdr:to>
      <xdr:col>11</xdr:col>
      <xdr:colOff>602590</xdr:colOff>
      <xdr:row>100</xdr:row>
      <xdr:rowOff>1621</xdr:rowOff>
    </xdr:to>
    <xdr:graphicFrame macro="">
      <xdr:nvGraphicFramePr>
        <xdr:cNvPr id="8" name="Chart 7">
          <a:extLst>
            <a:ext uri="{FF2B5EF4-FFF2-40B4-BE49-F238E27FC236}">
              <a16:creationId xmlns:a16="http://schemas.microsoft.com/office/drawing/2014/main" id="{216FBE8F-03B6-45AF-8235-7576705AC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101</xdr:row>
      <xdr:rowOff>0</xdr:rowOff>
    </xdr:from>
    <xdr:to>
      <xdr:col>8</xdr:col>
      <xdr:colOff>526390</xdr:colOff>
      <xdr:row>120</xdr:row>
      <xdr:rowOff>1621</xdr:rowOff>
    </xdr:to>
    <xdr:graphicFrame macro="">
      <xdr:nvGraphicFramePr>
        <xdr:cNvPr id="9" name="Chart 8">
          <a:extLst>
            <a:ext uri="{FF2B5EF4-FFF2-40B4-BE49-F238E27FC236}">
              <a16:creationId xmlns:a16="http://schemas.microsoft.com/office/drawing/2014/main" id="{D069A8CE-06D1-4F8B-8EE3-B144CC327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101</xdr:row>
      <xdr:rowOff>0</xdr:rowOff>
    </xdr:from>
    <xdr:to>
      <xdr:col>11</xdr:col>
      <xdr:colOff>602590</xdr:colOff>
      <xdr:row>120</xdr:row>
      <xdr:rowOff>1621</xdr:rowOff>
    </xdr:to>
    <xdr:graphicFrame macro="">
      <xdr:nvGraphicFramePr>
        <xdr:cNvPr id="10" name="Chart 9">
          <a:extLst>
            <a:ext uri="{FF2B5EF4-FFF2-40B4-BE49-F238E27FC236}">
              <a16:creationId xmlns:a16="http://schemas.microsoft.com/office/drawing/2014/main" id="{1A3F5F1C-843E-4B4B-A4D7-CFD4BB915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121</xdr:row>
      <xdr:rowOff>0</xdr:rowOff>
    </xdr:from>
    <xdr:to>
      <xdr:col>8</xdr:col>
      <xdr:colOff>526390</xdr:colOff>
      <xdr:row>140</xdr:row>
      <xdr:rowOff>1621</xdr:rowOff>
    </xdr:to>
    <xdr:graphicFrame macro="">
      <xdr:nvGraphicFramePr>
        <xdr:cNvPr id="11" name="Chart 10">
          <a:extLst>
            <a:ext uri="{FF2B5EF4-FFF2-40B4-BE49-F238E27FC236}">
              <a16:creationId xmlns:a16="http://schemas.microsoft.com/office/drawing/2014/main" id="{E9A8D215-9D45-418F-AEBF-3D6ADFD63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0</xdr:colOff>
      <xdr:row>121</xdr:row>
      <xdr:rowOff>0</xdr:rowOff>
    </xdr:from>
    <xdr:to>
      <xdr:col>11</xdr:col>
      <xdr:colOff>630271</xdr:colOff>
      <xdr:row>140</xdr:row>
      <xdr:rowOff>1621</xdr:rowOff>
    </xdr:to>
    <xdr:graphicFrame macro="">
      <xdr:nvGraphicFramePr>
        <xdr:cNvPr id="12" name="Chart 11">
          <a:extLst>
            <a:ext uri="{FF2B5EF4-FFF2-40B4-BE49-F238E27FC236}">
              <a16:creationId xmlns:a16="http://schemas.microsoft.com/office/drawing/2014/main" id="{91C100F1-F506-4EA6-B14D-1E678F577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0</xdr:colOff>
      <xdr:row>141</xdr:row>
      <xdr:rowOff>0</xdr:rowOff>
    </xdr:from>
    <xdr:to>
      <xdr:col>8</xdr:col>
      <xdr:colOff>526390</xdr:colOff>
      <xdr:row>160</xdr:row>
      <xdr:rowOff>1621</xdr:rowOff>
    </xdr:to>
    <xdr:graphicFrame macro="">
      <xdr:nvGraphicFramePr>
        <xdr:cNvPr id="13" name="Chart 12">
          <a:extLst>
            <a:ext uri="{FF2B5EF4-FFF2-40B4-BE49-F238E27FC236}">
              <a16:creationId xmlns:a16="http://schemas.microsoft.com/office/drawing/2014/main" id="{121C1739-635E-4D3C-A6EF-751D587BB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4286250</xdr:colOff>
      <xdr:row>47</xdr:row>
      <xdr:rowOff>123825</xdr:rowOff>
    </xdr:from>
    <xdr:to>
      <xdr:col>10</xdr:col>
      <xdr:colOff>77821</xdr:colOff>
      <xdr:row>66</xdr:row>
      <xdr:rowOff>125446</xdr:rowOff>
    </xdr:to>
    <xdr:graphicFrame macro="">
      <xdr:nvGraphicFramePr>
        <xdr:cNvPr id="3" name="Chart 2">
          <a:extLst>
            <a:ext uri="{FF2B5EF4-FFF2-40B4-BE49-F238E27FC236}">
              <a16:creationId xmlns:a16="http://schemas.microsoft.com/office/drawing/2014/main" id="{B08E64E7-1FA9-4662-B082-B7E116145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48</xdr:row>
      <xdr:rowOff>0</xdr:rowOff>
    </xdr:from>
    <xdr:to>
      <xdr:col>21</xdr:col>
      <xdr:colOff>434502</xdr:colOff>
      <xdr:row>67</xdr:row>
      <xdr:rowOff>1621</xdr:rowOff>
    </xdr:to>
    <xdr:graphicFrame macro="">
      <xdr:nvGraphicFramePr>
        <xdr:cNvPr id="4" name="Chart 3">
          <a:extLst>
            <a:ext uri="{FF2B5EF4-FFF2-40B4-BE49-F238E27FC236}">
              <a16:creationId xmlns:a16="http://schemas.microsoft.com/office/drawing/2014/main" id="{67CAB92A-035B-4F7D-BC40-ECB69DA8A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68</xdr:row>
      <xdr:rowOff>0</xdr:rowOff>
    </xdr:from>
    <xdr:to>
      <xdr:col>10</xdr:col>
      <xdr:colOff>101127</xdr:colOff>
      <xdr:row>87</xdr:row>
      <xdr:rowOff>1621</xdr:rowOff>
    </xdr:to>
    <xdr:graphicFrame macro="">
      <xdr:nvGraphicFramePr>
        <xdr:cNvPr id="5" name="Chart 4">
          <a:extLst>
            <a:ext uri="{FF2B5EF4-FFF2-40B4-BE49-F238E27FC236}">
              <a16:creationId xmlns:a16="http://schemas.microsoft.com/office/drawing/2014/main" id="{B3B11D37-4691-4EF8-8F89-978773783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68</xdr:row>
      <xdr:rowOff>0</xdr:rowOff>
    </xdr:from>
    <xdr:to>
      <xdr:col>21</xdr:col>
      <xdr:colOff>434502</xdr:colOff>
      <xdr:row>87</xdr:row>
      <xdr:rowOff>1621</xdr:rowOff>
    </xdr:to>
    <xdr:graphicFrame macro="">
      <xdr:nvGraphicFramePr>
        <xdr:cNvPr id="6" name="Chart 5">
          <a:extLst>
            <a:ext uri="{FF2B5EF4-FFF2-40B4-BE49-F238E27FC236}">
              <a16:creationId xmlns:a16="http://schemas.microsoft.com/office/drawing/2014/main" id="{8B46BA39-6C95-44C1-96E0-795CEEF89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88</xdr:row>
      <xdr:rowOff>0</xdr:rowOff>
    </xdr:from>
    <xdr:to>
      <xdr:col>10</xdr:col>
      <xdr:colOff>101127</xdr:colOff>
      <xdr:row>107</xdr:row>
      <xdr:rowOff>1621</xdr:rowOff>
    </xdr:to>
    <xdr:graphicFrame macro="">
      <xdr:nvGraphicFramePr>
        <xdr:cNvPr id="7" name="Chart 6">
          <a:extLst>
            <a:ext uri="{FF2B5EF4-FFF2-40B4-BE49-F238E27FC236}">
              <a16:creationId xmlns:a16="http://schemas.microsoft.com/office/drawing/2014/main" id="{D822EFC4-F15F-4ABC-8373-592A49611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88</xdr:row>
      <xdr:rowOff>0</xdr:rowOff>
    </xdr:from>
    <xdr:to>
      <xdr:col>21</xdr:col>
      <xdr:colOff>434502</xdr:colOff>
      <xdr:row>107</xdr:row>
      <xdr:rowOff>1621</xdr:rowOff>
    </xdr:to>
    <xdr:graphicFrame macro="">
      <xdr:nvGraphicFramePr>
        <xdr:cNvPr id="8" name="Chart 7">
          <a:extLst>
            <a:ext uri="{FF2B5EF4-FFF2-40B4-BE49-F238E27FC236}">
              <a16:creationId xmlns:a16="http://schemas.microsoft.com/office/drawing/2014/main" id="{9EFF4841-F571-4448-9E65-D142FB31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108</xdr:row>
      <xdr:rowOff>0</xdr:rowOff>
    </xdr:from>
    <xdr:to>
      <xdr:col>10</xdr:col>
      <xdr:colOff>101127</xdr:colOff>
      <xdr:row>127</xdr:row>
      <xdr:rowOff>1621</xdr:rowOff>
    </xdr:to>
    <xdr:graphicFrame macro="">
      <xdr:nvGraphicFramePr>
        <xdr:cNvPr id="9" name="Chart 8">
          <a:extLst>
            <a:ext uri="{FF2B5EF4-FFF2-40B4-BE49-F238E27FC236}">
              <a16:creationId xmlns:a16="http://schemas.microsoft.com/office/drawing/2014/main" id="{437F9E98-B339-4DEE-B218-189B5144D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108</xdr:row>
      <xdr:rowOff>0</xdr:rowOff>
    </xdr:from>
    <xdr:to>
      <xdr:col>21</xdr:col>
      <xdr:colOff>434502</xdr:colOff>
      <xdr:row>127</xdr:row>
      <xdr:rowOff>1621</xdr:rowOff>
    </xdr:to>
    <xdr:graphicFrame macro="">
      <xdr:nvGraphicFramePr>
        <xdr:cNvPr id="10" name="Chart 9">
          <a:extLst>
            <a:ext uri="{FF2B5EF4-FFF2-40B4-BE49-F238E27FC236}">
              <a16:creationId xmlns:a16="http://schemas.microsoft.com/office/drawing/2014/main" id="{820F6586-DF02-4067-9E3B-4BBF716E8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128</xdr:row>
      <xdr:rowOff>0</xdr:rowOff>
    </xdr:from>
    <xdr:to>
      <xdr:col>10</xdr:col>
      <xdr:colOff>101127</xdr:colOff>
      <xdr:row>147</xdr:row>
      <xdr:rowOff>1621</xdr:rowOff>
    </xdr:to>
    <xdr:graphicFrame macro="">
      <xdr:nvGraphicFramePr>
        <xdr:cNvPr id="11" name="Chart 10">
          <a:extLst>
            <a:ext uri="{FF2B5EF4-FFF2-40B4-BE49-F238E27FC236}">
              <a16:creationId xmlns:a16="http://schemas.microsoft.com/office/drawing/2014/main" id="{FE5E0BCD-69CD-4260-B9D3-E334C377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30</xdr:row>
      <xdr:rowOff>0</xdr:rowOff>
    </xdr:from>
    <xdr:to>
      <xdr:col>11</xdr:col>
      <xdr:colOff>1067214</xdr:colOff>
      <xdr:row>46</xdr:row>
      <xdr:rowOff>152400</xdr:rowOff>
    </xdr:to>
    <xdr:graphicFrame macro="">
      <xdr:nvGraphicFramePr>
        <xdr:cNvPr id="6" name="Chart 5">
          <a:extLst>
            <a:ext uri="{FF2B5EF4-FFF2-40B4-BE49-F238E27FC236}">
              <a16:creationId xmlns:a16="http://schemas.microsoft.com/office/drawing/2014/main" id="{94D42B29-458E-457B-BFA9-F001D74E4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1786559</xdr:colOff>
      <xdr:row>30</xdr:row>
      <xdr:rowOff>0</xdr:rowOff>
    </xdr:from>
    <xdr:to>
      <xdr:col>22</xdr:col>
      <xdr:colOff>231914</xdr:colOff>
      <xdr:row>46</xdr:row>
      <xdr:rowOff>174172</xdr:rowOff>
    </xdr:to>
    <xdr:graphicFrame macro="">
      <xdr:nvGraphicFramePr>
        <xdr:cNvPr id="7" name="Chart 6">
          <a:extLst>
            <a:ext uri="{FF2B5EF4-FFF2-40B4-BE49-F238E27FC236}">
              <a16:creationId xmlns:a16="http://schemas.microsoft.com/office/drawing/2014/main" id="{30F63BE0-CA9B-4B90-B358-D573B4BFE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612913</xdr:colOff>
      <xdr:row>48</xdr:row>
      <xdr:rowOff>0</xdr:rowOff>
    </xdr:from>
    <xdr:to>
      <xdr:col>11</xdr:col>
      <xdr:colOff>1067214</xdr:colOff>
      <xdr:row>64</xdr:row>
      <xdr:rowOff>144117</xdr:rowOff>
    </xdr:to>
    <xdr:graphicFrame macro="">
      <xdr:nvGraphicFramePr>
        <xdr:cNvPr id="9" name="Chart 8">
          <a:extLst>
            <a:ext uri="{FF2B5EF4-FFF2-40B4-BE49-F238E27FC236}">
              <a16:creationId xmlns:a16="http://schemas.microsoft.com/office/drawing/2014/main" id="{4DEE8B26-87CE-4C68-BA3C-990A5F022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48</xdr:row>
      <xdr:rowOff>0</xdr:rowOff>
    </xdr:from>
    <xdr:to>
      <xdr:col>22</xdr:col>
      <xdr:colOff>443095</xdr:colOff>
      <xdr:row>64</xdr:row>
      <xdr:rowOff>144117</xdr:rowOff>
    </xdr:to>
    <xdr:graphicFrame macro="">
      <xdr:nvGraphicFramePr>
        <xdr:cNvPr id="10" name="Chart 9">
          <a:extLst>
            <a:ext uri="{FF2B5EF4-FFF2-40B4-BE49-F238E27FC236}">
              <a16:creationId xmlns:a16="http://schemas.microsoft.com/office/drawing/2014/main" id="{DC17E247-BBD7-4C6B-91C5-DFAAC7208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28</xdr:row>
      <xdr:rowOff>0</xdr:rowOff>
    </xdr:from>
    <xdr:to>
      <xdr:col>9</xdr:col>
      <xdr:colOff>827408</xdr:colOff>
      <xdr:row>47</xdr:row>
      <xdr:rowOff>107576</xdr:rowOff>
    </xdr:to>
    <xdr:graphicFrame macro="">
      <xdr:nvGraphicFramePr>
        <xdr:cNvPr id="2" name="Chart 1">
          <a:extLst>
            <a:ext uri="{FF2B5EF4-FFF2-40B4-BE49-F238E27FC236}">
              <a16:creationId xmlns:a16="http://schemas.microsoft.com/office/drawing/2014/main" id="{C1D22A2E-19B6-4970-A242-14AA01B6B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28</xdr:row>
      <xdr:rowOff>0</xdr:rowOff>
    </xdr:from>
    <xdr:to>
      <xdr:col>20</xdr:col>
      <xdr:colOff>55883</xdr:colOff>
      <xdr:row>47</xdr:row>
      <xdr:rowOff>107576</xdr:rowOff>
    </xdr:to>
    <xdr:graphicFrame macro="">
      <xdr:nvGraphicFramePr>
        <xdr:cNvPr id="3" name="Chart 2">
          <a:extLst>
            <a:ext uri="{FF2B5EF4-FFF2-40B4-BE49-F238E27FC236}">
              <a16:creationId xmlns:a16="http://schemas.microsoft.com/office/drawing/2014/main" id="{6687D943-661E-4116-802F-991BEB631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49</xdr:row>
      <xdr:rowOff>0</xdr:rowOff>
    </xdr:from>
    <xdr:to>
      <xdr:col>9</xdr:col>
      <xdr:colOff>827408</xdr:colOff>
      <xdr:row>68</xdr:row>
      <xdr:rowOff>107576</xdr:rowOff>
    </xdr:to>
    <xdr:graphicFrame macro="">
      <xdr:nvGraphicFramePr>
        <xdr:cNvPr id="4" name="Chart 3">
          <a:extLst>
            <a:ext uri="{FF2B5EF4-FFF2-40B4-BE49-F238E27FC236}">
              <a16:creationId xmlns:a16="http://schemas.microsoft.com/office/drawing/2014/main" id="{D03EABF1-70D6-431D-8854-13E19F5E4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49</xdr:row>
      <xdr:rowOff>0</xdr:rowOff>
    </xdr:from>
    <xdr:to>
      <xdr:col>20</xdr:col>
      <xdr:colOff>55883</xdr:colOff>
      <xdr:row>68</xdr:row>
      <xdr:rowOff>107576</xdr:rowOff>
    </xdr:to>
    <xdr:graphicFrame macro="">
      <xdr:nvGraphicFramePr>
        <xdr:cNvPr id="5" name="Chart 4">
          <a:extLst>
            <a:ext uri="{FF2B5EF4-FFF2-40B4-BE49-F238E27FC236}">
              <a16:creationId xmlns:a16="http://schemas.microsoft.com/office/drawing/2014/main" id="{F7B82976-9AA6-4CC8-A33D-95352A837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70</xdr:row>
      <xdr:rowOff>0</xdr:rowOff>
    </xdr:from>
    <xdr:to>
      <xdr:col>9</xdr:col>
      <xdr:colOff>827408</xdr:colOff>
      <xdr:row>89</xdr:row>
      <xdr:rowOff>107576</xdr:rowOff>
    </xdr:to>
    <xdr:graphicFrame macro="">
      <xdr:nvGraphicFramePr>
        <xdr:cNvPr id="6" name="Chart 5">
          <a:extLst>
            <a:ext uri="{FF2B5EF4-FFF2-40B4-BE49-F238E27FC236}">
              <a16:creationId xmlns:a16="http://schemas.microsoft.com/office/drawing/2014/main" id="{10A0E806-D8F2-4FDA-A471-7CD20BA8F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70</xdr:row>
      <xdr:rowOff>0</xdr:rowOff>
    </xdr:from>
    <xdr:to>
      <xdr:col>20</xdr:col>
      <xdr:colOff>55883</xdr:colOff>
      <xdr:row>89</xdr:row>
      <xdr:rowOff>107576</xdr:rowOff>
    </xdr:to>
    <xdr:graphicFrame macro="">
      <xdr:nvGraphicFramePr>
        <xdr:cNvPr id="7" name="Chart 6">
          <a:extLst>
            <a:ext uri="{FF2B5EF4-FFF2-40B4-BE49-F238E27FC236}">
              <a16:creationId xmlns:a16="http://schemas.microsoft.com/office/drawing/2014/main" id="{DADA7A3A-B84F-44A6-8F37-9E60CA551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90</xdr:row>
      <xdr:rowOff>0</xdr:rowOff>
    </xdr:from>
    <xdr:to>
      <xdr:col>9</xdr:col>
      <xdr:colOff>827408</xdr:colOff>
      <xdr:row>109</xdr:row>
      <xdr:rowOff>107576</xdr:rowOff>
    </xdr:to>
    <xdr:graphicFrame macro="">
      <xdr:nvGraphicFramePr>
        <xdr:cNvPr id="8" name="Chart 7">
          <a:extLst>
            <a:ext uri="{FF2B5EF4-FFF2-40B4-BE49-F238E27FC236}">
              <a16:creationId xmlns:a16="http://schemas.microsoft.com/office/drawing/2014/main" id="{108022CD-8ABA-47AF-944C-EA63B9B67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90</xdr:row>
      <xdr:rowOff>0</xdr:rowOff>
    </xdr:from>
    <xdr:to>
      <xdr:col>20</xdr:col>
      <xdr:colOff>55883</xdr:colOff>
      <xdr:row>109</xdr:row>
      <xdr:rowOff>107576</xdr:rowOff>
    </xdr:to>
    <xdr:graphicFrame macro="">
      <xdr:nvGraphicFramePr>
        <xdr:cNvPr id="9" name="Chart 8">
          <a:extLst>
            <a:ext uri="{FF2B5EF4-FFF2-40B4-BE49-F238E27FC236}">
              <a16:creationId xmlns:a16="http://schemas.microsoft.com/office/drawing/2014/main" id="{67F72F61-5817-4A7D-ABE8-495B32C1C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29</xdr:row>
      <xdr:rowOff>0</xdr:rowOff>
    </xdr:from>
    <xdr:to>
      <xdr:col>7</xdr:col>
      <xdr:colOff>329727</xdr:colOff>
      <xdr:row>48</xdr:row>
      <xdr:rowOff>1621</xdr:rowOff>
    </xdr:to>
    <xdr:graphicFrame macro="">
      <xdr:nvGraphicFramePr>
        <xdr:cNvPr id="2" name="Chart 1">
          <a:extLst>
            <a:ext uri="{FF2B5EF4-FFF2-40B4-BE49-F238E27FC236}">
              <a16:creationId xmlns:a16="http://schemas.microsoft.com/office/drawing/2014/main" id="{EF7E50B5-4120-4EF8-B294-2213B79BB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29</xdr:row>
      <xdr:rowOff>0</xdr:rowOff>
    </xdr:from>
    <xdr:to>
      <xdr:col>14</xdr:col>
      <xdr:colOff>415452</xdr:colOff>
      <xdr:row>48</xdr:row>
      <xdr:rowOff>1621</xdr:rowOff>
    </xdr:to>
    <xdr:graphicFrame macro="">
      <xdr:nvGraphicFramePr>
        <xdr:cNvPr id="3" name="Chart 2">
          <a:extLst>
            <a:ext uri="{FF2B5EF4-FFF2-40B4-BE49-F238E27FC236}">
              <a16:creationId xmlns:a16="http://schemas.microsoft.com/office/drawing/2014/main" id="{99F17BB5-1B92-4BDB-B753-5693AE7C5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49</xdr:row>
      <xdr:rowOff>0</xdr:rowOff>
    </xdr:from>
    <xdr:to>
      <xdr:col>7</xdr:col>
      <xdr:colOff>329727</xdr:colOff>
      <xdr:row>68</xdr:row>
      <xdr:rowOff>1621</xdr:rowOff>
    </xdr:to>
    <xdr:graphicFrame macro="">
      <xdr:nvGraphicFramePr>
        <xdr:cNvPr id="4" name="Chart 3">
          <a:extLst>
            <a:ext uri="{FF2B5EF4-FFF2-40B4-BE49-F238E27FC236}">
              <a16:creationId xmlns:a16="http://schemas.microsoft.com/office/drawing/2014/main" id="{5BD2BA1E-70C7-4E8E-BB6C-7AAA25D19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49</xdr:row>
      <xdr:rowOff>0</xdr:rowOff>
    </xdr:from>
    <xdr:to>
      <xdr:col>14</xdr:col>
      <xdr:colOff>415452</xdr:colOff>
      <xdr:row>68</xdr:row>
      <xdr:rowOff>1621</xdr:rowOff>
    </xdr:to>
    <xdr:graphicFrame macro="">
      <xdr:nvGraphicFramePr>
        <xdr:cNvPr id="5" name="Chart 4">
          <a:extLst>
            <a:ext uri="{FF2B5EF4-FFF2-40B4-BE49-F238E27FC236}">
              <a16:creationId xmlns:a16="http://schemas.microsoft.com/office/drawing/2014/main" id="{23262203-3F46-4D29-93D5-CA3BA03BF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69</xdr:row>
      <xdr:rowOff>0</xdr:rowOff>
    </xdr:from>
    <xdr:to>
      <xdr:col>7</xdr:col>
      <xdr:colOff>329727</xdr:colOff>
      <xdr:row>88</xdr:row>
      <xdr:rowOff>1621</xdr:rowOff>
    </xdr:to>
    <xdr:graphicFrame macro="">
      <xdr:nvGraphicFramePr>
        <xdr:cNvPr id="6" name="Chart 5">
          <a:extLst>
            <a:ext uri="{FF2B5EF4-FFF2-40B4-BE49-F238E27FC236}">
              <a16:creationId xmlns:a16="http://schemas.microsoft.com/office/drawing/2014/main" id="{CCBD259A-05E8-49C7-BE82-6787BA423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89</xdr:row>
      <xdr:rowOff>0</xdr:rowOff>
    </xdr:from>
    <xdr:to>
      <xdr:col>7</xdr:col>
      <xdr:colOff>329727</xdr:colOff>
      <xdr:row>108</xdr:row>
      <xdr:rowOff>1621</xdr:rowOff>
    </xdr:to>
    <xdr:graphicFrame macro="">
      <xdr:nvGraphicFramePr>
        <xdr:cNvPr id="7" name="Chart 6">
          <a:extLst>
            <a:ext uri="{FF2B5EF4-FFF2-40B4-BE49-F238E27FC236}">
              <a16:creationId xmlns:a16="http://schemas.microsoft.com/office/drawing/2014/main" id="{639720EA-6D2C-4D18-A27E-9A30BAED6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69</xdr:row>
      <xdr:rowOff>0</xdr:rowOff>
    </xdr:from>
    <xdr:to>
      <xdr:col>14</xdr:col>
      <xdr:colOff>415452</xdr:colOff>
      <xdr:row>88</xdr:row>
      <xdr:rowOff>1621</xdr:rowOff>
    </xdr:to>
    <xdr:graphicFrame macro="">
      <xdr:nvGraphicFramePr>
        <xdr:cNvPr id="8" name="Chart 7">
          <a:extLst>
            <a:ext uri="{FF2B5EF4-FFF2-40B4-BE49-F238E27FC236}">
              <a16:creationId xmlns:a16="http://schemas.microsoft.com/office/drawing/2014/main" id="{6351DE18-B204-4C7A-8946-99E9128A9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66</xdr:row>
      <xdr:rowOff>9525</xdr:rowOff>
    </xdr:from>
    <xdr:to>
      <xdr:col>11</xdr:col>
      <xdr:colOff>495300</xdr:colOff>
      <xdr:row>85</xdr:row>
      <xdr:rowOff>47625</xdr:rowOff>
    </xdr:to>
    <xdr:graphicFrame macro="">
      <xdr:nvGraphicFramePr>
        <xdr:cNvPr id="4" name="Chart 3">
          <a:extLst>
            <a:ext uri="{FF2B5EF4-FFF2-40B4-BE49-F238E27FC236}">
              <a16:creationId xmlns:a16="http://schemas.microsoft.com/office/drawing/2014/main" id="{02105776-C367-4942-875E-AE6929744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xdr:colOff>
      <xdr:row>66</xdr:row>
      <xdr:rowOff>0</xdr:rowOff>
    </xdr:from>
    <xdr:to>
      <xdr:col>22</xdr:col>
      <xdr:colOff>533400</xdr:colOff>
      <xdr:row>85</xdr:row>
      <xdr:rowOff>38100</xdr:rowOff>
    </xdr:to>
    <xdr:graphicFrame macro="">
      <xdr:nvGraphicFramePr>
        <xdr:cNvPr id="5" name="Chart 4">
          <a:extLst>
            <a:ext uri="{FF2B5EF4-FFF2-40B4-BE49-F238E27FC236}">
              <a16:creationId xmlns:a16="http://schemas.microsoft.com/office/drawing/2014/main" id="{0E6E1EAF-66BC-4713-B597-C04AE50B8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86</xdr:row>
      <xdr:rowOff>27214</xdr:rowOff>
    </xdr:from>
    <xdr:to>
      <xdr:col>11</xdr:col>
      <xdr:colOff>549729</xdr:colOff>
      <xdr:row>105</xdr:row>
      <xdr:rowOff>65314</xdr:rowOff>
    </xdr:to>
    <xdr:graphicFrame macro="">
      <xdr:nvGraphicFramePr>
        <xdr:cNvPr id="6" name="Chart 5">
          <a:extLst>
            <a:ext uri="{FF2B5EF4-FFF2-40B4-BE49-F238E27FC236}">
              <a16:creationId xmlns:a16="http://schemas.microsoft.com/office/drawing/2014/main" id="{8C64CBF8-5050-4229-8929-FAB96D0F9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27214</xdr:colOff>
      <xdr:row>86</xdr:row>
      <xdr:rowOff>13607</xdr:rowOff>
    </xdr:from>
    <xdr:to>
      <xdr:col>22</xdr:col>
      <xdr:colOff>576942</xdr:colOff>
      <xdr:row>105</xdr:row>
      <xdr:rowOff>51707</xdr:rowOff>
    </xdr:to>
    <xdr:graphicFrame macro="">
      <xdr:nvGraphicFramePr>
        <xdr:cNvPr id="8" name="Chart 7">
          <a:extLst>
            <a:ext uri="{FF2B5EF4-FFF2-40B4-BE49-F238E27FC236}">
              <a16:creationId xmlns:a16="http://schemas.microsoft.com/office/drawing/2014/main" id="{7E8AC84B-AF52-4D17-861E-243F4F753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106</xdr:row>
      <xdr:rowOff>0</xdr:rowOff>
    </xdr:from>
    <xdr:to>
      <xdr:col>11</xdr:col>
      <xdr:colOff>495300</xdr:colOff>
      <xdr:row>125</xdr:row>
      <xdr:rowOff>38100</xdr:rowOff>
    </xdr:to>
    <xdr:graphicFrame macro="">
      <xdr:nvGraphicFramePr>
        <xdr:cNvPr id="9" name="Chart 8">
          <a:extLst>
            <a:ext uri="{FF2B5EF4-FFF2-40B4-BE49-F238E27FC236}">
              <a16:creationId xmlns:a16="http://schemas.microsoft.com/office/drawing/2014/main" id="{FB413B9A-0E7B-492F-B74D-D0B40BDA1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106</xdr:row>
      <xdr:rowOff>0</xdr:rowOff>
    </xdr:from>
    <xdr:to>
      <xdr:col>22</xdr:col>
      <xdr:colOff>549730</xdr:colOff>
      <xdr:row>125</xdr:row>
      <xdr:rowOff>38100</xdr:rowOff>
    </xdr:to>
    <xdr:graphicFrame macro="">
      <xdr:nvGraphicFramePr>
        <xdr:cNvPr id="10" name="Chart 9">
          <a:extLst>
            <a:ext uri="{FF2B5EF4-FFF2-40B4-BE49-F238E27FC236}">
              <a16:creationId xmlns:a16="http://schemas.microsoft.com/office/drawing/2014/main" id="{01A27FB0-825B-4BDC-8AF6-7C4AFBF1A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90</xdr:row>
      <xdr:rowOff>0</xdr:rowOff>
    </xdr:from>
    <xdr:to>
      <xdr:col>10</xdr:col>
      <xdr:colOff>1018143</xdr:colOff>
      <xdr:row>109</xdr:row>
      <xdr:rowOff>38100</xdr:rowOff>
    </xdr:to>
    <xdr:graphicFrame macro="">
      <xdr:nvGraphicFramePr>
        <xdr:cNvPr id="4" name="Chart 3">
          <a:extLst>
            <a:ext uri="{FF2B5EF4-FFF2-40B4-BE49-F238E27FC236}">
              <a16:creationId xmlns:a16="http://schemas.microsoft.com/office/drawing/2014/main" id="{F48B4948-A6B6-449C-B610-1A8B22C1D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90</xdr:row>
      <xdr:rowOff>0</xdr:rowOff>
    </xdr:from>
    <xdr:to>
      <xdr:col>21</xdr:col>
      <xdr:colOff>475631</xdr:colOff>
      <xdr:row>109</xdr:row>
      <xdr:rowOff>38100</xdr:rowOff>
    </xdr:to>
    <xdr:graphicFrame macro="">
      <xdr:nvGraphicFramePr>
        <xdr:cNvPr id="5" name="Chart 4">
          <a:extLst>
            <a:ext uri="{FF2B5EF4-FFF2-40B4-BE49-F238E27FC236}">
              <a16:creationId xmlns:a16="http://schemas.microsoft.com/office/drawing/2014/main" id="{DE7A0376-FFA7-44D3-90A4-0D63D5B62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16809</xdr:colOff>
      <xdr:row>109</xdr:row>
      <xdr:rowOff>163608</xdr:rowOff>
    </xdr:from>
    <xdr:to>
      <xdr:col>10</xdr:col>
      <xdr:colOff>1038786</xdr:colOff>
      <xdr:row>129</xdr:row>
      <xdr:rowOff>11208</xdr:rowOff>
    </xdr:to>
    <xdr:graphicFrame macro="">
      <xdr:nvGraphicFramePr>
        <xdr:cNvPr id="2" name="Chart 1">
          <a:extLst>
            <a:ext uri="{FF2B5EF4-FFF2-40B4-BE49-F238E27FC236}">
              <a16:creationId xmlns:a16="http://schemas.microsoft.com/office/drawing/2014/main" id="{81FCCB49-5DF6-4EE8-9613-25ECF767C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63</xdr:row>
      <xdr:rowOff>0</xdr:rowOff>
    </xdr:from>
    <xdr:to>
      <xdr:col>11</xdr:col>
      <xdr:colOff>28575</xdr:colOff>
      <xdr:row>82</xdr:row>
      <xdr:rowOff>38100</xdr:rowOff>
    </xdr:to>
    <xdr:graphicFrame macro="">
      <xdr:nvGraphicFramePr>
        <xdr:cNvPr id="2" name="Chart 1">
          <a:extLst>
            <a:ext uri="{FF2B5EF4-FFF2-40B4-BE49-F238E27FC236}">
              <a16:creationId xmlns:a16="http://schemas.microsoft.com/office/drawing/2014/main" id="{B5F89F1F-4E67-41C8-B93C-3219CD117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0</xdr:colOff>
      <xdr:row>72</xdr:row>
      <xdr:rowOff>0</xdr:rowOff>
    </xdr:from>
    <xdr:to>
      <xdr:col>12</xdr:col>
      <xdr:colOff>672627</xdr:colOff>
      <xdr:row>91</xdr:row>
      <xdr:rowOff>1621</xdr:rowOff>
    </xdr:to>
    <xdr:graphicFrame macro="">
      <xdr:nvGraphicFramePr>
        <xdr:cNvPr id="3" name="Chart 2">
          <a:extLst>
            <a:ext uri="{FF2B5EF4-FFF2-40B4-BE49-F238E27FC236}">
              <a16:creationId xmlns:a16="http://schemas.microsoft.com/office/drawing/2014/main" id="{0CC4583E-762C-4DEC-9382-AFB8E6783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72</xdr:row>
      <xdr:rowOff>0</xdr:rowOff>
    </xdr:from>
    <xdr:to>
      <xdr:col>10</xdr:col>
      <xdr:colOff>4911252</xdr:colOff>
      <xdr:row>91</xdr:row>
      <xdr:rowOff>1621</xdr:rowOff>
    </xdr:to>
    <xdr:graphicFrame macro="">
      <xdr:nvGraphicFramePr>
        <xdr:cNvPr id="4" name="Chart 3">
          <a:extLst>
            <a:ext uri="{FF2B5EF4-FFF2-40B4-BE49-F238E27FC236}">
              <a16:creationId xmlns:a16="http://schemas.microsoft.com/office/drawing/2014/main" id="{B2E7CBF5-7E46-4834-A3A6-0261DF936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92</xdr:row>
      <xdr:rowOff>0</xdr:rowOff>
    </xdr:from>
    <xdr:to>
      <xdr:col>10</xdr:col>
      <xdr:colOff>4911252</xdr:colOff>
      <xdr:row>111</xdr:row>
      <xdr:rowOff>1621</xdr:rowOff>
    </xdr:to>
    <xdr:graphicFrame macro="">
      <xdr:nvGraphicFramePr>
        <xdr:cNvPr id="5" name="Chart 4">
          <a:extLst>
            <a:ext uri="{FF2B5EF4-FFF2-40B4-BE49-F238E27FC236}">
              <a16:creationId xmlns:a16="http://schemas.microsoft.com/office/drawing/2014/main" id="{E5CD3EB7-3879-4942-A5F5-5F10DED4F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92</xdr:row>
      <xdr:rowOff>0</xdr:rowOff>
    </xdr:from>
    <xdr:to>
      <xdr:col>12</xdr:col>
      <xdr:colOff>672627</xdr:colOff>
      <xdr:row>111</xdr:row>
      <xdr:rowOff>1621</xdr:rowOff>
    </xdr:to>
    <xdr:graphicFrame macro="">
      <xdr:nvGraphicFramePr>
        <xdr:cNvPr id="6" name="Chart 5">
          <a:extLst>
            <a:ext uri="{FF2B5EF4-FFF2-40B4-BE49-F238E27FC236}">
              <a16:creationId xmlns:a16="http://schemas.microsoft.com/office/drawing/2014/main" id="{ABBB1014-F401-4637-A052-B3D231BBA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112</xdr:row>
      <xdr:rowOff>0</xdr:rowOff>
    </xdr:from>
    <xdr:to>
      <xdr:col>10</xdr:col>
      <xdr:colOff>4911252</xdr:colOff>
      <xdr:row>131</xdr:row>
      <xdr:rowOff>1621</xdr:rowOff>
    </xdr:to>
    <xdr:graphicFrame macro="">
      <xdr:nvGraphicFramePr>
        <xdr:cNvPr id="7" name="Chart 6">
          <a:extLst>
            <a:ext uri="{FF2B5EF4-FFF2-40B4-BE49-F238E27FC236}">
              <a16:creationId xmlns:a16="http://schemas.microsoft.com/office/drawing/2014/main" id="{B325040E-FB0A-4FBB-838F-88CD7A32F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112</xdr:row>
      <xdr:rowOff>0</xdr:rowOff>
    </xdr:from>
    <xdr:to>
      <xdr:col>12</xdr:col>
      <xdr:colOff>672627</xdr:colOff>
      <xdr:row>131</xdr:row>
      <xdr:rowOff>1621</xdr:rowOff>
    </xdr:to>
    <xdr:graphicFrame macro="">
      <xdr:nvGraphicFramePr>
        <xdr:cNvPr id="8" name="Chart 7">
          <a:extLst>
            <a:ext uri="{FF2B5EF4-FFF2-40B4-BE49-F238E27FC236}">
              <a16:creationId xmlns:a16="http://schemas.microsoft.com/office/drawing/2014/main" id="{D7C70539-B245-4ACD-B9EE-A6169EB99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0</xdr:colOff>
      <xdr:row>89</xdr:row>
      <xdr:rowOff>0</xdr:rowOff>
    </xdr:from>
    <xdr:to>
      <xdr:col>10</xdr:col>
      <xdr:colOff>2958627</xdr:colOff>
      <xdr:row>98</xdr:row>
      <xdr:rowOff>163546</xdr:rowOff>
    </xdr:to>
    <xdr:graphicFrame macro="">
      <xdr:nvGraphicFramePr>
        <xdr:cNvPr id="2" name="Chart 1">
          <a:extLst>
            <a:ext uri="{FF2B5EF4-FFF2-40B4-BE49-F238E27FC236}">
              <a16:creationId xmlns:a16="http://schemas.microsoft.com/office/drawing/2014/main" id="{FC110A88-06BC-4CBC-941F-239023C26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3228975</xdr:colOff>
      <xdr:row>89</xdr:row>
      <xdr:rowOff>0</xdr:rowOff>
    </xdr:from>
    <xdr:to>
      <xdr:col>11</xdr:col>
      <xdr:colOff>4130202</xdr:colOff>
      <xdr:row>98</xdr:row>
      <xdr:rowOff>163546</xdr:rowOff>
    </xdr:to>
    <xdr:graphicFrame macro="">
      <xdr:nvGraphicFramePr>
        <xdr:cNvPr id="3" name="Chart 2">
          <a:extLst>
            <a:ext uri="{FF2B5EF4-FFF2-40B4-BE49-F238E27FC236}">
              <a16:creationId xmlns:a16="http://schemas.microsoft.com/office/drawing/2014/main" id="{BDC1242E-DD9A-4056-85A1-3EB3BC330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100</xdr:row>
      <xdr:rowOff>0</xdr:rowOff>
    </xdr:from>
    <xdr:to>
      <xdr:col>10</xdr:col>
      <xdr:colOff>2958627</xdr:colOff>
      <xdr:row>119</xdr:row>
      <xdr:rowOff>1621</xdr:rowOff>
    </xdr:to>
    <xdr:graphicFrame macro="">
      <xdr:nvGraphicFramePr>
        <xdr:cNvPr id="4" name="Chart 3">
          <a:extLst>
            <a:ext uri="{FF2B5EF4-FFF2-40B4-BE49-F238E27FC236}">
              <a16:creationId xmlns:a16="http://schemas.microsoft.com/office/drawing/2014/main" id="{298CDD5F-DF88-45CC-B105-BFDFB3F21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3228975</xdr:colOff>
      <xdr:row>100</xdr:row>
      <xdr:rowOff>0</xdr:rowOff>
    </xdr:from>
    <xdr:to>
      <xdr:col>11</xdr:col>
      <xdr:colOff>4130202</xdr:colOff>
      <xdr:row>119</xdr:row>
      <xdr:rowOff>1621</xdr:rowOff>
    </xdr:to>
    <xdr:graphicFrame macro="">
      <xdr:nvGraphicFramePr>
        <xdr:cNvPr id="5" name="Chart 4">
          <a:extLst>
            <a:ext uri="{FF2B5EF4-FFF2-40B4-BE49-F238E27FC236}">
              <a16:creationId xmlns:a16="http://schemas.microsoft.com/office/drawing/2014/main" id="{507E5780-1A67-488B-A22E-5B9551EF4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27</xdr:row>
      <xdr:rowOff>0</xdr:rowOff>
    </xdr:from>
    <xdr:to>
      <xdr:col>9</xdr:col>
      <xdr:colOff>453552</xdr:colOff>
      <xdr:row>46</xdr:row>
      <xdr:rowOff>1621</xdr:rowOff>
    </xdr:to>
    <xdr:graphicFrame macro="">
      <xdr:nvGraphicFramePr>
        <xdr:cNvPr id="2" name="Chart 1">
          <a:extLst>
            <a:ext uri="{FF2B5EF4-FFF2-40B4-BE49-F238E27FC236}">
              <a16:creationId xmlns:a16="http://schemas.microsoft.com/office/drawing/2014/main" id="{39842360-4D2E-42D1-9C7C-BBD8112B5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27</xdr:row>
      <xdr:rowOff>0</xdr:rowOff>
    </xdr:from>
    <xdr:to>
      <xdr:col>10</xdr:col>
      <xdr:colOff>6397152</xdr:colOff>
      <xdr:row>46</xdr:row>
      <xdr:rowOff>1621</xdr:rowOff>
    </xdr:to>
    <xdr:graphicFrame macro="">
      <xdr:nvGraphicFramePr>
        <xdr:cNvPr id="3" name="Chart 2">
          <a:extLst>
            <a:ext uri="{FF2B5EF4-FFF2-40B4-BE49-F238E27FC236}">
              <a16:creationId xmlns:a16="http://schemas.microsoft.com/office/drawing/2014/main" id="{08E8AAB7-2752-4CD8-B01B-4A54A15EA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47</xdr:row>
      <xdr:rowOff>0</xdr:rowOff>
    </xdr:from>
    <xdr:to>
      <xdr:col>9</xdr:col>
      <xdr:colOff>453552</xdr:colOff>
      <xdr:row>66</xdr:row>
      <xdr:rowOff>1621</xdr:rowOff>
    </xdr:to>
    <xdr:graphicFrame macro="">
      <xdr:nvGraphicFramePr>
        <xdr:cNvPr id="4" name="Chart 3">
          <a:extLst>
            <a:ext uri="{FF2B5EF4-FFF2-40B4-BE49-F238E27FC236}">
              <a16:creationId xmlns:a16="http://schemas.microsoft.com/office/drawing/2014/main" id="{3F0B3832-A7D6-4813-9736-5699BF7FB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22</xdr:row>
      <xdr:rowOff>0</xdr:rowOff>
    </xdr:from>
    <xdr:to>
      <xdr:col>10</xdr:col>
      <xdr:colOff>320202</xdr:colOff>
      <xdr:row>41</xdr:row>
      <xdr:rowOff>1621</xdr:rowOff>
    </xdr:to>
    <xdr:graphicFrame macro="">
      <xdr:nvGraphicFramePr>
        <xdr:cNvPr id="2" name="Chart 1">
          <a:extLst>
            <a:ext uri="{FF2B5EF4-FFF2-40B4-BE49-F238E27FC236}">
              <a16:creationId xmlns:a16="http://schemas.microsoft.com/office/drawing/2014/main" id="{8D9D1198-2870-48D6-85B8-56BC5F399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25</xdr:row>
      <xdr:rowOff>0</xdr:rowOff>
    </xdr:from>
    <xdr:to>
      <xdr:col>10</xdr:col>
      <xdr:colOff>805977</xdr:colOff>
      <xdr:row>40</xdr:row>
      <xdr:rowOff>144496</xdr:rowOff>
    </xdr:to>
    <xdr:graphicFrame macro="">
      <xdr:nvGraphicFramePr>
        <xdr:cNvPr id="2" name="Chart 1">
          <a:extLst>
            <a:ext uri="{FF2B5EF4-FFF2-40B4-BE49-F238E27FC236}">
              <a16:creationId xmlns:a16="http://schemas.microsoft.com/office/drawing/2014/main" id="{787646A0-0C71-46C1-B726-15168A6DE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scualj17\Downloads\table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005"/>
    </sheetNames>
    <sheetDataSet>
      <sheetData sheetId="0">
        <row r="58">
          <cell r="A58">
            <v>2008</v>
          </cell>
        </row>
        <row r="59">
          <cell r="A59">
            <v>2009</v>
          </cell>
        </row>
        <row r="60">
          <cell r="A60">
            <v>2010</v>
          </cell>
        </row>
        <row r="61">
          <cell r="A61">
            <v>2011</v>
          </cell>
        </row>
        <row r="62">
          <cell r="A62">
            <v>2012</v>
          </cell>
        </row>
        <row r="63">
          <cell r="A63">
            <v>2013</v>
          </cell>
        </row>
        <row r="64">
          <cell r="A64">
            <v>2014</v>
          </cell>
        </row>
        <row r="65">
          <cell r="A65">
            <v>2015</v>
          </cell>
        </row>
        <row r="66">
          <cell r="A66">
            <v>2016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42DCCA7-4308-40F4-A205-17A0C554AF5F}">
  <we:reference id="29673e3c-d826-4f00-92ee-162334a52b1a" version="1.0.0.8" store="excatalog" storeType="excatalog"/>
  <we:alternateReferences>
    <we:reference id="WA200009404" version="1.0.0.8" store="en-us" storeType="omex"/>
  </we:alternateReferences>
  <we:properties>
    <we:property name="claude.fileId" value="&quot;5137e643-0626-49e5-94eb-b4ae1c8deb4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www.ethanolrfa.org/wp-content/uploads/2015/09/23d732bf7dea55d299_3wm6b6wwl.pdf" TargetMode="External"/><Relationship Id="rId13" Type="http://schemas.openxmlformats.org/officeDocument/2006/relationships/hyperlink" Target="http://www.eesi.org/papers/view/fact-sheet-jobs-in-renewable-energy-and-energy-efficiency-2017" TargetMode="External"/><Relationship Id="rId18" Type="http://schemas.openxmlformats.org/officeDocument/2006/relationships/hyperlink" Target="http://www.esf.edu/fnrm/sem/2013.06.factsheet.pdf" TargetMode="External"/><Relationship Id="rId26" Type="http://schemas.openxmlformats.org/officeDocument/2006/relationships/hyperlink" Target="http://energyrecoverycouncil.org/wp-content/uploads/2016/01/ERC_2014_Directory.pdf" TargetMode="External"/><Relationship Id="rId3" Type="http://schemas.openxmlformats.org/officeDocument/2006/relationships/hyperlink" Target="https://www-statista-com.proxy.lib.duke.edu/statistics/183429/biopower-generation-by-source-in-the-united-states-from-2000/" TargetMode="External"/><Relationship Id="rId21" Type="http://schemas.openxmlformats.org/officeDocument/2006/relationships/hyperlink" Target="http://www.ethanolrfa.org/wp-content/uploads/2015/09/2014-Pocket-Guide-to-Ethanol.pdf" TargetMode="External"/><Relationship Id="rId7" Type="http://schemas.openxmlformats.org/officeDocument/2006/relationships/hyperlink" Target="http://ethanolrfa.org/wp-content/uploads/2016/02/10823-RFA.pdf" TargetMode="External"/><Relationship Id="rId12" Type="http://schemas.openxmlformats.org/officeDocument/2006/relationships/hyperlink" Target="http://www.eesi.org/papers/view/fact-sheet-jobs-in-renewable-energy-and-energy-efficiency-2014" TargetMode="External"/><Relationship Id="rId17" Type="http://schemas.openxmlformats.org/officeDocument/2006/relationships/hyperlink" Target="http://energyrecoverycouncil.org/wp-content/uploads/2016/01/ERC_2014_Directory.pdf" TargetMode="External"/><Relationship Id="rId25" Type="http://schemas.openxmlformats.org/officeDocument/2006/relationships/hyperlink" Target="http://www.nrel.gov/docs/fy17osti/66995.pdf" TargetMode="External"/><Relationship Id="rId2" Type="http://schemas.openxmlformats.org/officeDocument/2006/relationships/hyperlink" Target="http://www.eia.gov/totalenergy/data/monthly/pdf/sec2_3.pdf" TargetMode="External"/><Relationship Id="rId16" Type="http://schemas.openxmlformats.org/officeDocument/2006/relationships/hyperlink" Target="http://www.nrel.gov/docs/fy17osti/66995.pdf" TargetMode="External"/><Relationship Id="rId20" Type="http://schemas.openxmlformats.org/officeDocument/2006/relationships/hyperlink" Target="http://www.ethanolrfa.org/wp-content/uploads/2015/09/23d732bf7dea55d299_3wm6b6wwl.pdf" TargetMode="External"/><Relationship Id="rId1" Type="http://schemas.openxmlformats.org/officeDocument/2006/relationships/hyperlink" Target="https://www-statista-com.proxy.lib.duke.edu/statistics/509875/production-volume-of-biodiesel-in-the-us/" TargetMode="External"/><Relationship Id="rId6" Type="http://schemas.openxmlformats.org/officeDocument/2006/relationships/hyperlink" Target="https://www.epa.gov/agstar/agstar-data-and-trends" TargetMode="External"/><Relationship Id="rId11" Type="http://schemas.openxmlformats.org/officeDocument/2006/relationships/hyperlink" Target="http://ethanolrfa.3cdn.net/d775222feae8a2c6fd_bem6bkqtv.pdf" TargetMode="External"/><Relationship Id="rId24" Type="http://schemas.openxmlformats.org/officeDocument/2006/relationships/hyperlink" Target="http://biodiesel.org/reports/20131113_GEN-431.pdf" TargetMode="External"/><Relationship Id="rId5" Type="http://schemas.openxmlformats.org/officeDocument/2006/relationships/hyperlink" Target="https://www-statista-com.proxy.lib.duke.edu/statistics/281494/us-fuel-ethanol-production/" TargetMode="External"/><Relationship Id="rId15" Type="http://schemas.openxmlformats.org/officeDocument/2006/relationships/hyperlink" Target="http://biodiesel.org/reports/20131113_GEN-431.pdf" TargetMode="External"/><Relationship Id="rId23" Type="http://schemas.openxmlformats.org/officeDocument/2006/relationships/hyperlink" Target="http://ethanolrfa.3cdn.net/d775222feae8a2c6fd_bem6bkqtv.pdf" TargetMode="External"/><Relationship Id="rId28" Type="http://schemas.openxmlformats.org/officeDocument/2006/relationships/printerSettings" Target="../printerSettings/printerSettings1.bin"/><Relationship Id="rId10" Type="http://schemas.openxmlformats.org/officeDocument/2006/relationships/hyperlink" Target="http://ethanolrfa.3cdn.net/8fabfbf8fbcb08d399_xom6injp6.pdf" TargetMode="External"/><Relationship Id="rId19" Type="http://schemas.openxmlformats.org/officeDocument/2006/relationships/hyperlink" Target="http://ethanolrfa.org/wp-content/uploads/2016/02/10823-RFA.pdf" TargetMode="External"/><Relationship Id="rId4" Type="http://schemas.openxmlformats.org/officeDocument/2006/relationships/hyperlink" Target="http://www.eia.gov/renewable/data.php" TargetMode="External"/><Relationship Id="rId9" Type="http://schemas.openxmlformats.org/officeDocument/2006/relationships/hyperlink" Target="http://www.ethanolrfa.org/wp-content/uploads/2015/09/2014-Pocket-Guide-to-Ethanol.pdf" TargetMode="External"/><Relationship Id="rId14" Type="http://schemas.openxmlformats.org/officeDocument/2006/relationships/hyperlink" Target="http://biodiesel.org/docs/default-source/policy--federal/lmc-study-for-nbb_economic-impact-of-biodiesel_june-2016-final.pdf?sfvrsn=4" TargetMode="External"/><Relationship Id="rId22" Type="http://schemas.openxmlformats.org/officeDocument/2006/relationships/hyperlink" Target="http://ethanolrfa.3cdn.net/8fabfbf8fbcb08d399_xom6injp6.pdf" TargetMode="External"/><Relationship Id="rId27" Type="http://schemas.openxmlformats.org/officeDocument/2006/relationships/hyperlink" Target="https://www-statista-com.proxy.lib.duke.edu/statistics/251420/revenue-of-the-us-waste-industry-by-category/"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ethanolrfa.org/wp-content/uploads/2016/02/10823-RFA.pdf" TargetMode="External"/><Relationship Id="rId18" Type="http://schemas.openxmlformats.org/officeDocument/2006/relationships/hyperlink" Target="http://ethanolrfa.org/wp-content/uploads/2016/02/10823-RFA.pdf" TargetMode="External"/><Relationship Id="rId26" Type="http://schemas.openxmlformats.org/officeDocument/2006/relationships/hyperlink" Target="http://www.ethanolrfa.org/wp-content/uploads/2015/09/23d732bf7dea55d299_3wm6b6wwl.pdf" TargetMode="External"/><Relationship Id="rId39" Type="http://schemas.openxmlformats.org/officeDocument/2006/relationships/hyperlink" Target="http://www.ethanolproducer.com/articles/9550/" TargetMode="External"/><Relationship Id="rId21" Type="http://schemas.openxmlformats.org/officeDocument/2006/relationships/hyperlink" Target="http://ethanolrfa.org/wp-content/uploads/2016/02/10823-RFA.pdf" TargetMode="External"/><Relationship Id="rId34" Type="http://schemas.openxmlformats.org/officeDocument/2006/relationships/hyperlink" Target="http://ethanolrfa.3cdn.net/8fabfbf8fbcb08d399_xom6injp6.pdf" TargetMode="External"/><Relationship Id="rId42" Type="http://schemas.openxmlformats.org/officeDocument/2006/relationships/drawing" Target="../drawings/drawing2.xml"/><Relationship Id="rId7" Type="http://schemas.openxmlformats.org/officeDocument/2006/relationships/hyperlink" Target="https://www.ers.usda.gov/data-products/us-bioenergy-statistics/" TargetMode="External"/><Relationship Id="rId2" Type="http://schemas.openxmlformats.org/officeDocument/2006/relationships/hyperlink" Target="https://www-statista-com.proxy.lib.duke.edu/statistics/479842/import-supply-of-fuel-ethanol-in-the-us/" TargetMode="External"/><Relationship Id="rId16" Type="http://schemas.openxmlformats.org/officeDocument/2006/relationships/hyperlink" Target="http://www.eia.gov/petroleum/ethanolcapacity/" TargetMode="External"/><Relationship Id="rId20" Type="http://schemas.openxmlformats.org/officeDocument/2006/relationships/hyperlink" Target="http://ethanolrfa.org/wp-content/uploads/2016/02/10823-RFA.pdf" TargetMode="External"/><Relationship Id="rId29" Type="http://schemas.openxmlformats.org/officeDocument/2006/relationships/hyperlink" Target="http://www.ethanolrfa.org/wp-content/uploads/2015/09/2014-Pocket-Guide-to-Ethanol.pdf" TargetMode="External"/><Relationship Id="rId41" Type="http://schemas.openxmlformats.org/officeDocument/2006/relationships/hyperlink" Target="https://www.ers.usda.gov/data-products/us-bioenergy-statistics/" TargetMode="External"/><Relationship Id="rId1" Type="http://schemas.openxmlformats.org/officeDocument/2006/relationships/hyperlink" Target="https://www-statista-com.proxy.lib.duke.edu/statistics/281494/us-fuel-ethanol-production/" TargetMode="External"/><Relationship Id="rId6" Type="http://schemas.openxmlformats.org/officeDocument/2006/relationships/hyperlink" Target="https://www.ers.usda.gov/data-products/us-bioenergy-statistics/" TargetMode="External"/><Relationship Id="rId11" Type="http://schemas.openxmlformats.org/officeDocument/2006/relationships/hyperlink" Target="http://ethanolproducer.com/plants/listplants/US/Existing/Sugar-Starch/" TargetMode="External"/><Relationship Id="rId24" Type="http://schemas.openxmlformats.org/officeDocument/2006/relationships/hyperlink" Target="http://www.ethanolrfa.org/wp-content/uploads/2015/09/23d732bf7dea55d299_3wm6b6wwl.pdf" TargetMode="External"/><Relationship Id="rId32" Type="http://schemas.openxmlformats.org/officeDocument/2006/relationships/hyperlink" Target="http://www.ethanolrfa.org/wp-content/uploads/2015/09/2014-Pocket-Guide-to-Ethanol.pdf" TargetMode="External"/><Relationship Id="rId37" Type="http://schemas.openxmlformats.org/officeDocument/2006/relationships/hyperlink" Target="http://ethanolrfa.3cdn.net/d775222feae8a2c6fd_bem6bkqtv.pdf" TargetMode="External"/><Relationship Id="rId40" Type="http://schemas.openxmlformats.org/officeDocument/2006/relationships/hyperlink" Target="http://ncga.com/uploads/useruploads/ethanol_facts_printable_mar_2012.pdf" TargetMode="External"/><Relationship Id="rId5" Type="http://schemas.openxmlformats.org/officeDocument/2006/relationships/hyperlink" Target="http://www.eia.gov/petroleum/ethanolcapacity/" TargetMode="External"/><Relationship Id="rId15" Type="http://schemas.openxmlformats.org/officeDocument/2006/relationships/hyperlink" Target="http://ethanolrfa.org/wp-content/uploads/2016/02/10823-RFA.pdf" TargetMode="External"/><Relationship Id="rId23" Type="http://schemas.openxmlformats.org/officeDocument/2006/relationships/hyperlink" Target="http://ethanolrfa.org/wp-content/uploads/2016/02/10823-RFA.pdf" TargetMode="External"/><Relationship Id="rId28" Type="http://schemas.openxmlformats.org/officeDocument/2006/relationships/hyperlink" Target="http://www.ethanolrfa.org/wp-content/uploads/2015/09/2014-Pocket-Guide-to-Ethanol.pdf" TargetMode="External"/><Relationship Id="rId36" Type="http://schemas.openxmlformats.org/officeDocument/2006/relationships/hyperlink" Target="http://ethanolrfa.3cdn.net/d775222feae8a2c6fd_bem6bkqtv.pdf" TargetMode="External"/><Relationship Id="rId10" Type="http://schemas.openxmlformats.org/officeDocument/2006/relationships/hyperlink" Target="http://ethanolproducer.com/plants/listplants/US/Existing/Cellulosic" TargetMode="External"/><Relationship Id="rId19" Type="http://schemas.openxmlformats.org/officeDocument/2006/relationships/hyperlink" Target="http://ethanolrfa.org/wp-content/uploads/2016/02/10823-RFA.pdf" TargetMode="External"/><Relationship Id="rId31" Type="http://schemas.openxmlformats.org/officeDocument/2006/relationships/hyperlink" Target="http://www.ethanolrfa.org/wp-content/uploads/2015/09/2014-Pocket-Guide-to-Ethanol.pdf" TargetMode="External"/><Relationship Id="rId4" Type="http://schemas.openxmlformats.org/officeDocument/2006/relationships/hyperlink" Target="http://www.eia.gov/totalenergy/data/monthly/pdf/sec10_7.pdf" TargetMode="External"/><Relationship Id="rId9" Type="http://schemas.openxmlformats.org/officeDocument/2006/relationships/hyperlink" Target="http://ethanolproducer.com/plants/listplants/US/Existing/Sugar-Starch/" TargetMode="External"/><Relationship Id="rId14" Type="http://schemas.openxmlformats.org/officeDocument/2006/relationships/hyperlink" Target="http://www.eia.gov/petroleum/ethanolcapacity/" TargetMode="External"/><Relationship Id="rId22" Type="http://schemas.openxmlformats.org/officeDocument/2006/relationships/hyperlink" Target="http://ethanolrfa.org/wp-content/uploads/2016/02/10823-RFA.pdf" TargetMode="External"/><Relationship Id="rId27" Type="http://schemas.openxmlformats.org/officeDocument/2006/relationships/hyperlink" Target="http://www.ethanolrfa.org/wp-content/uploads/2015/09/23d732bf7dea55d299_3wm6b6wwl.pdf" TargetMode="External"/><Relationship Id="rId30" Type="http://schemas.openxmlformats.org/officeDocument/2006/relationships/hyperlink" Target="http://www.ethanolrfa.org/wp-content/uploads/2015/09/2014-Pocket-Guide-to-Ethanol.pdf" TargetMode="External"/><Relationship Id="rId35" Type="http://schemas.openxmlformats.org/officeDocument/2006/relationships/hyperlink" Target="http://ethanolrfa.3cdn.net/8fabfbf8fbcb08d399_xom6injp6.pdf" TargetMode="External"/><Relationship Id="rId8" Type="http://schemas.openxmlformats.org/officeDocument/2006/relationships/hyperlink" Target="https://www-statista-com.proxy.lib.duke.edu/statistics/202141/corn-stover-for-us-ethanol-production-from-2010/" TargetMode="External"/><Relationship Id="rId3" Type="http://schemas.openxmlformats.org/officeDocument/2006/relationships/hyperlink" Target="https://www-statista-com.proxy.lib.duke.edu/statistics/479861/exports-of-fuel-ethanol-from-the-us/" TargetMode="External"/><Relationship Id="rId12" Type="http://schemas.openxmlformats.org/officeDocument/2006/relationships/hyperlink" Target="http://ethanolrfa.org/wp-content/uploads/2016/02/10823-RFA.pdf" TargetMode="External"/><Relationship Id="rId17" Type="http://schemas.openxmlformats.org/officeDocument/2006/relationships/hyperlink" Target="http://ethanolrfa.org/wp-content/uploads/2016/02/10823-RFA.pdf" TargetMode="External"/><Relationship Id="rId25" Type="http://schemas.openxmlformats.org/officeDocument/2006/relationships/hyperlink" Target="http://www.ethanolrfa.org/wp-content/uploads/2015/09/23d732bf7dea55d299_3wm6b6wwl.pdf" TargetMode="External"/><Relationship Id="rId33" Type="http://schemas.openxmlformats.org/officeDocument/2006/relationships/hyperlink" Target="http://ethanolrfa.3cdn.net/8fabfbf8fbcb08d399_xom6injp6.pdf" TargetMode="External"/><Relationship Id="rId38" Type="http://schemas.openxmlformats.org/officeDocument/2006/relationships/hyperlink" Target="http://ethanolrfa.3cdn.net/d775222feae8a2c6fd_bem6bkqtv.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www.biodieselmagazine.com/plants/listplants/USA/construction/" TargetMode="External"/><Relationship Id="rId13" Type="http://schemas.openxmlformats.org/officeDocument/2006/relationships/hyperlink" Target="http://www.eesi.org/papers/view/fact-sheet-jobs-in-renewable-energy-and-energy-efficiency-2014" TargetMode="External"/><Relationship Id="rId18" Type="http://schemas.openxmlformats.org/officeDocument/2006/relationships/hyperlink" Target="http://biodiesel.org/docs/default-source/policy--federal/lmc-study-for-nbb_economic-impact-of-biodiesel_june-2016-final.pdf?sfvrsn=4" TargetMode="External"/><Relationship Id="rId26" Type="http://schemas.openxmlformats.org/officeDocument/2006/relationships/printerSettings" Target="../printerSettings/printerSettings2.bin"/><Relationship Id="rId3" Type="http://schemas.openxmlformats.org/officeDocument/2006/relationships/hyperlink" Target="https://www-statista-com.proxy.lib.duke.edu/statistics/509823/export-supply-of-biodiesel-in-the-us/" TargetMode="External"/><Relationship Id="rId21" Type="http://schemas.openxmlformats.org/officeDocument/2006/relationships/hyperlink" Target="http://biodiesel.org/reports/20131113_GEN-431.pdf" TargetMode="External"/><Relationship Id="rId7" Type="http://schemas.openxmlformats.org/officeDocument/2006/relationships/hyperlink" Target="http://www.biodieselmagazine.com/plants/listplants/USA/proposed/" TargetMode="External"/><Relationship Id="rId12" Type="http://schemas.openxmlformats.org/officeDocument/2006/relationships/hyperlink" Target="http://www.biodieselmagazine.com/plants/listplants/USA/existing/" TargetMode="External"/><Relationship Id="rId17" Type="http://schemas.openxmlformats.org/officeDocument/2006/relationships/hyperlink" Target="http://biodiesel.org/docs/default-source/policy--federal/lmc-study-for-nbb_economic-impact-of-biodiesel_june-2016-final.pdf?sfvrsn=4" TargetMode="External"/><Relationship Id="rId25" Type="http://schemas.openxmlformats.org/officeDocument/2006/relationships/hyperlink" Target="http://www.afdc.energy.gov/fuels/prices.html" TargetMode="External"/><Relationship Id="rId2" Type="http://schemas.openxmlformats.org/officeDocument/2006/relationships/hyperlink" Target="https://www-statista-com.proxy.lib.duke.edu/statistics/479868/import-supply-of-biodiesel-in-the-us/" TargetMode="External"/><Relationship Id="rId16" Type="http://schemas.openxmlformats.org/officeDocument/2006/relationships/hyperlink" Target="http://biodiesel.org/docs/default-source/policy--federal/lmc-study-for-nbb_economic-impact-of-biodiesel_june-2016-final.pdf?sfvrsn=4" TargetMode="External"/><Relationship Id="rId20" Type="http://schemas.openxmlformats.org/officeDocument/2006/relationships/hyperlink" Target="http://biodiesel.org/reports/20131113_GEN-431.pdf" TargetMode="External"/><Relationship Id="rId1" Type="http://schemas.openxmlformats.org/officeDocument/2006/relationships/hyperlink" Target="https://www-statista-com.proxy.lib.duke.edu/statistics/509875/production-volume-of-biodiesel-in-the-us/" TargetMode="External"/><Relationship Id="rId6" Type="http://schemas.openxmlformats.org/officeDocument/2006/relationships/hyperlink" Target="https://www.ers.usda.gov/data-products/us-bioenergy-statistics/" TargetMode="External"/><Relationship Id="rId11" Type="http://schemas.openxmlformats.org/officeDocument/2006/relationships/hyperlink" Target="http://www.biodieselmagazine.com/plants/listplants/USA/existing/" TargetMode="External"/><Relationship Id="rId24" Type="http://schemas.openxmlformats.org/officeDocument/2006/relationships/hyperlink" Target="http://www.nrel.gov/docs/fy17osti/66995.pdf" TargetMode="External"/><Relationship Id="rId5" Type="http://schemas.openxmlformats.org/officeDocument/2006/relationships/hyperlink" Target="https://www.ers.usda.gov/data-products/us-bioenergy-statistics/" TargetMode="External"/><Relationship Id="rId15" Type="http://schemas.openxmlformats.org/officeDocument/2006/relationships/hyperlink" Target="http://www.eesi.org/papers/view/fact-sheet-jobs-in-renewable-energy-and-energy-efficiency-2017" TargetMode="External"/><Relationship Id="rId23" Type="http://schemas.openxmlformats.org/officeDocument/2006/relationships/hyperlink" Target="http://www.nrel.gov/docs/fy17osti/66995.pdf" TargetMode="External"/><Relationship Id="rId10" Type="http://schemas.openxmlformats.org/officeDocument/2006/relationships/hyperlink" Target="http://www.eia.gov/biofuels/biodiesel/production/archive/" TargetMode="External"/><Relationship Id="rId19" Type="http://schemas.openxmlformats.org/officeDocument/2006/relationships/hyperlink" Target="http://biodiesel.org/reports/20131113_GEN-431.pdf" TargetMode="External"/><Relationship Id="rId4" Type="http://schemas.openxmlformats.org/officeDocument/2006/relationships/hyperlink" Target="https://www.ers.usda.gov/data-products/us-bioenergy-statistics/" TargetMode="External"/><Relationship Id="rId9" Type="http://schemas.openxmlformats.org/officeDocument/2006/relationships/hyperlink" Target="http://www.eia.gov/biofuels/biodiesel/production/archive/" TargetMode="External"/><Relationship Id="rId14" Type="http://schemas.openxmlformats.org/officeDocument/2006/relationships/hyperlink" Target="http://www.eesi.org/papers/view/fact-sheet-jobs-in-renewable-energy-and-energy-efficiency-2014" TargetMode="External"/><Relationship Id="rId22" Type="http://schemas.openxmlformats.org/officeDocument/2006/relationships/hyperlink" Target="http://www.nrel.gov/docs/fy17osti/66995.pdf" TargetMode="External"/><Relationship Id="rId27"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eia.gov/biofuels/biomass/" TargetMode="External"/><Relationship Id="rId13" Type="http://schemas.openxmlformats.org/officeDocument/2006/relationships/printerSettings" Target="../printerSettings/printerSettings3.bin"/><Relationship Id="rId3" Type="http://schemas.openxmlformats.org/officeDocument/2006/relationships/hyperlink" Target="https://www-statista-com.proxy.lib.duke.edu/statistics/509075/global-wood-pellet-production/" TargetMode="External"/><Relationship Id="rId7" Type="http://schemas.openxmlformats.org/officeDocument/2006/relationships/hyperlink" Target="http://biomassmagazine.com/plants/listplants/pellet/US/" TargetMode="External"/><Relationship Id="rId12" Type="http://schemas.openxmlformats.org/officeDocument/2006/relationships/hyperlink" Target="https://www.energy.gov/sites/prod/files/2016/03/f30/U.S.%20Energy%20and%20Employment%20Report.pdf" TargetMode="External"/><Relationship Id="rId2" Type="http://schemas.openxmlformats.org/officeDocument/2006/relationships/hyperlink" Target="https://apps.fas.usda.gov/gats/default.aspx" TargetMode="External"/><Relationship Id="rId1" Type="http://schemas.openxmlformats.org/officeDocument/2006/relationships/hyperlink" Target="https://www-statista-com.proxy.lib.duke.edu/statistics/197247/energy-consumption-from-wood-and-derived-fuels-in-the-us-since-2006/" TargetMode="External"/><Relationship Id="rId6" Type="http://schemas.openxmlformats.org/officeDocument/2006/relationships/hyperlink" Target="https://www.eia.gov/biofuels/biomass/" TargetMode="External"/><Relationship Id="rId11" Type="http://schemas.openxmlformats.org/officeDocument/2006/relationships/hyperlink" Target="https://www-statista-com.proxy.lib.duke.edu/statistics/660310/number-of-employees-in-the-bioenergy-or-chp-industry-by-fuel-type/" TargetMode="External"/><Relationship Id="rId5" Type="http://schemas.openxmlformats.org/officeDocument/2006/relationships/hyperlink" Target="http://biomassmagazine.com/plants/listplants/pellet/US/" TargetMode="External"/><Relationship Id="rId10" Type="http://schemas.openxmlformats.org/officeDocument/2006/relationships/hyperlink" Target="http://www.eia.gov/biofuels/biomass/" TargetMode="External"/><Relationship Id="rId4" Type="http://schemas.openxmlformats.org/officeDocument/2006/relationships/hyperlink" Target="https://www.eia.gov/biofuels/biomass/" TargetMode="External"/><Relationship Id="rId9" Type="http://schemas.openxmlformats.org/officeDocument/2006/relationships/hyperlink" Target="http://www.eia.gov/biofuels/biomass/" TargetMode="External"/><Relationship Id="rId1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eia.gov/electricity/data/eia860m/" TargetMode="External"/><Relationship Id="rId13" Type="http://schemas.openxmlformats.org/officeDocument/2006/relationships/hyperlink" Target="http://www.eia.gov/electricity/annual/html/epa_05_07_a.html" TargetMode="External"/><Relationship Id="rId18" Type="http://schemas.openxmlformats.org/officeDocument/2006/relationships/hyperlink" Target="https://www-statista-com.proxy.lib.duke.edu/statistics/251420/revenue-of-the-us-waste-industry-by-category/" TargetMode="External"/><Relationship Id="rId3" Type="http://schemas.openxmlformats.org/officeDocument/2006/relationships/hyperlink" Target="https://www-statista-com.proxy.lib.duke.edu/statistics/499736/waste-to-energy-recovery-facilities-in-the-us/" TargetMode="External"/><Relationship Id="rId21" Type="http://schemas.openxmlformats.org/officeDocument/2006/relationships/drawing" Target="../drawings/drawing5.xml"/><Relationship Id="rId7" Type="http://schemas.openxmlformats.org/officeDocument/2006/relationships/hyperlink" Target="https://www-statista-com.proxy.lib.duke.edu/statistics/197217/renewable-energy-consumption-from-waste-in-the-us-since-2006/" TargetMode="External"/><Relationship Id="rId12" Type="http://schemas.openxmlformats.org/officeDocument/2006/relationships/hyperlink" Target="http://www.eia.gov/electricity/annual/html/epa_05_07_a.html" TargetMode="External"/><Relationship Id="rId17" Type="http://schemas.openxmlformats.org/officeDocument/2006/relationships/hyperlink" Target="http://www.esf.edu/fnrm/sem/2013.06.factsheet.pdf" TargetMode="External"/><Relationship Id="rId2" Type="http://schemas.openxmlformats.org/officeDocument/2006/relationships/hyperlink" Target="https://www-statista-com.proxy.lib.duke.edu/statistics/186267/us-municipal-solid-waste-combustion-with-energy-recovery-since-1970/" TargetMode="External"/><Relationship Id="rId16" Type="http://schemas.openxmlformats.org/officeDocument/2006/relationships/hyperlink" Target="http://energyrecoverycouncil.org/wp-content/uploads/2016/01/ERC_2014_Directory.pdf" TargetMode="External"/><Relationship Id="rId20" Type="http://schemas.openxmlformats.org/officeDocument/2006/relationships/printerSettings" Target="../printerSettings/printerSettings4.bin"/><Relationship Id="rId1" Type="http://schemas.openxmlformats.org/officeDocument/2006/relationships/hyperlink" Target="https://www-statista-com.proxy.lib.duke.edu/statistics/197217/renewable-energy-consumption-from-waste-in-the-us-since-2006/" TargetMode="External"/><Relationship Id="rId6" Type="http://schemas.openxmlformats.org/officeDocument/2006/relationships/hyperlink" Target="https://www-statista-com.proxy.lib.duke.edu/statistics/480427/waste-electricity-generation-revenue-in-the-us/" TargetMode="External"/><Relationship Id="rId11" Type="http://schemas.openxmlformats.org/officeDocument/2006/relationships/hyperlink" Target="https://www.eia.gov/electricity/data/eia860m/" TargetMode="External"/><Relationship Id="rId5" Type="http://schemas.openxmlformats.org/officeDocument/2006/relationships/hyperlink" Target="https://www-statista-com.proxy.lib.duke.edu/statistics/197211/us-commercial-sector-electricity-generation-from-waste/" TargetMode="External"/><Relationship Id="rId15" Type="http://schemas.openxmlformats.org/officeDocument/2006/relationships/hyperlink" Target="http://energyrecoverycouncil.org/wp-content/uploads/2016/01/ERC_2014_Directory.pdf" TargetMode="External"/><Relationship Id="rId10" Type="http://schemas.openxmlformats.org/officeDocument/2006/relationships/hyperlink" Target="https://www.eia.gov/electricity/data/eia860m/" TargetMode="External"/><Relationship Id="rId19" Type="http://schemas.openxmlformats.org/officeDocument/2006/relationships/hyperlink" Target="https://www.eia.gov/electricity/data/eia860m/" TargetMode="External"/><Relationship Id="rId4" Type="http://schemas.openxmlformats.org/officeDocument/2006/relationships/hyperlink" Target="https://www-statista-com.proxy.lib.duke.edu/statistics/499740/net-waste-to-energy-electric-generation-in-the-us/" TargetMode="External"/><Relationship Id="rId9" Type="http://schemas.openxmlformats.org/officeDocument/2006/relationships/hyperlink" Target="https://www.eia.gov/electricity/data/eia860m/" TargetMode="External"/><Relationship Id="rId14" Type="http://schemas.openxmlformats.org/officeDocument/2006/relationships/hyperlink" Target="https://www-statista-com.proxy.lib.duke.edu/statistics/183429/biopower-generation-by-source-in-the-united-states-from-200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epa.gov/agstar/livestock-anaerobic-digester-database" TargetMode="External"/><Relationship Id="rId13" Type="http://schemas.openxmlformats.org/officeDocument/2006/relationships/hyperlink" Target="https://www.epa.gov/agstar/livestock-anaerobic-digester-database" TargetMode="External"/><Relationship Id="rId18" Type="http://schemas.openxmlformats.org/officeDocument/2006/relationships/hyperlink" Target="https://www.epa.gov/agstar/livestock-anaerobic-digester-database" TargetMode="External"/><Relationship Id="rId3" Type="http://schemas.openxmlformats.org/officeDocument/2006/relationships/hyperlink" Target="https://www-statista-com.proxy.lib.duke.edu/statistics/478335/methane-potential-for-select-biogas-sources-in-the-us/" TargetMode="External"/><Relationship Id="rId21" Type="http://schemas.openxmlformats.org/officeDocument/2006/relationships/hyperlink" Target="https://19january2017snapshot.epa.gov/sites/production/files/2015-12/documents/biogas-roadmap.pdf" TargetMode="External"/><Relationship Id="rId7" Type="http://schemas.openxmlformats.org/officeDocument/2006/relationships/hyperlink" Target="https://www.epa.gov/agstar/agstar-data-and-trends" TargetMode="External"/><Relationship Id="rId12" Type="http://schemas.openxmlformats.org/officeDocument/2006/relationships/hyperlink" Target="https://www.epa.gov/agstar/livestock-anaerobic-digester-database" TargetMode="External"/><Relationship Id="rId17" Type="http://schemas.openxmlformats.org/officeDocument/2006/relationships/hyperlink" Target="https://www.epa.gov/agstar/livestock-anaerobic-digester-database" TargetMode="External"/><Relationship Id="rId25" Type="http://schemas.openxmlformats.org/officeDocument/2006/relationships/drawing" Target="../drawings/drawing6.xml"/><Relationship Id="rId2" Type="http://schemas.openxmlformats.org/officeDocument/2006/relationships/hyperlink" Target="http://www.resourcerecoverydata.org/biogasdata.php" TargetMode="External"/><Relationship Id="rId16" Type="http://schemas.openxmlformats.org/officeDocument/2006/relationships/hyperlink" Target="https://www.epa.gov/agstar/livestock-anaerobic-digester-database" TargetMode="External"/><Relationship Id="rId20" Type="http://schemas.openxmlformats.org/officeDocument/2006/relationships/hyperlink" Target="https://19january2017snapshot.epa.gov/sites/production/files/2015-12/documents/biogas-roadmap.pdf" TargetMode="External"/><Relationship Id="rId1" Type="http://schemas.openxmlformats.org/officeDocument/2006/relationships/hyperlink" Target="http://www.resourcerecoverydata.org/biogasdata.php" TargetMode="External"/><Relationship Id="rId6" Type="http://schemas.openxmlformats.org/officeDocument/2006/relationships/hyperlink" Target="https://www-statista-com.proxy.lib.duke.edu/statistics/478350/anaerobic-digesters-on-us-livestock-farms-number-by-biogas-use/" TargetMode="External"/><Relationship Id="rId11" Type="http://schemas.openxmlformats.org/officeDocument/2006/relationships/hyperlink" Target="https://www.epa.gov/agstar/livestock-anaerobic-digester-database" TargetMode="External"/><Relationship Id="rId24" Type="http://schemas.openxmlformats.org/officeDocument/2006/relationships/printerSettings" Target="../printerSettings/printerSettings5.bin"/><Relationship Id="rId5" Type="http://schemas.openxmlformats.org/officeDocument/2006/relationships/hyperlink" Target="https://www-statista-com.proxy.lib.duke.edu/statistics/499556/operational-anaerobic-digestion-projects-us-livestock-farms-additions/" TargetMode="External"/><Relationship Id="rId15" Type="http://schemas.openxmlformats.org/officeDocument/2006/relationships/hyperlink" Target="http://www.nrel.gov/docs/fy14osti/60283.pdf" TargetMode="External"/><Relationship Id="rId23" Type="http://schemas.openxmlformats.org/officeDocument/2006/relationships/hyperlink" Target="https://19january2017snapshot.epa.gov/sites/production/files/2015-12/documents/biogas-roadmap.pdf" TargetMode="External"/><Relationship Id="rId10" Type="http://schemas.openxmlformats.org/officeDocument/2006/relationships/hyperlink" Target="https://www.epa.gov/agstar/livestock-anaerobic-digester-database" TargetMode="External"/><Relationship Id="rId19" Type="http://schemas.openxmlformats.org/officeDocument/2006/relationships/hyperlink" Target="https://www-statista-com.proxy.lib.duke.edu/statistics/481791/biogas-production-worldwide/" TargetMode="External"/><Relationship Id="rId4" Type="http://schemas.openxmlformats.org/officeDocument/2006/relationships/hyperlink" Target="https://www-statista-com.proxy.lib.duke.edu/statistics/478335/methane-potential-for-select-biogas-sources-in-the-us/" TargetMode="External"/><Relationship Id="rId9" Type="http://schemas.openxmlformats.org/officeDocument/2006/relationships/hyperlink" Target="https://www.epa.gov/agstar/livestock-anaerobic-digester-database" TargetMode="External"/><Relationship Id="rId14" Type="http://schemas.openxmlformats.org/officeDocument/2006/relationships/hyperlink" Target="http://www.nrel.gov/docs/fy14osti/60283.pdf" TargetMode="External"/><Relationship Id="rId22" Type="http://schemas.openxmlformats.org/officeDocument/2006/relationships/hyperlink" Target="https://19january2017snapshot.epa.gov/sites/production/files/2015-12/documents/biogas-roadmap.pdf"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ers.usda.gov/publications/pub-details/?pubid=82454" TargetMode="External"/><Relationship Id="rId18" Type="http://schemas.openxmlformats.org/officeDocument/2006/relationships/hyperlink" Target="https://www.ers.usda.gov/publications/pub-details/?pubid=82454" TargetMode="External"/><Relationship Id="rId26" Type="http://schemas.openxmlformats.org/officeDocument/2006/relationships/hyperlink" Target="http://www.fao.org/faostat/en/" TargetMode="External"/><Relationship Id="rId3" Type="http://schemas.openxmlformats.org/officeDocument/2006/relationships/hyperlink" Target="https://www-statista-com.proxy.lib.duke.edu/statistics/200143/employment-in-selected-us-industries/" TargetMode="External"/><Relationship Id="rId21" Type="http://schemas.openxmlformats.org/officeDocument/2006/relationships/hyperlink" Target="http://www.cotton.org/econ/cropinfo/cropdata/country-statistics.cfm" TargetMode="External"/><Relationship Id="rId34" Type="http://schemas.openxmlformats.org/officeDocument/2006/relationships/hyperlink" Target="https://www.ers.usda.gov/calendar/?month=2&amp;year=2017" TargetMode="External"/><Relationship Id="rId7" Type="http://schemas.openxmlformats.org/officeDocument/2006/relationships/hyperlink" Target="https://www.agcensus.usda.gov/Publications/2012/Online_Resources/Highlights/Farms_and_Farmland/Highlights_Farms_and_Farmland.pdf" TargetMode="External"/><Relationship Id="rId12" Type="http://schemas.openxmlformats.org/officeDocument/2006/relationships/hyperlink" Target="https://apps.fas.usda.gov/psdonline/app/index.html" TargetMode="External"/><Relationship Id="rId17" Type="http://schemas.openxmlformats.org/officeDocument/2006/relationships/hyperlink" Target="https://www.ers.usda.gov/publications/pub-details/?pubid=82454" TargetMode="External"/><Relationship Id="rId25" Type="http://schemas.openxmlformats.org/officeDocument/2006/relationships/hyperlink" Target="http://www.fao.org/faostat/en/" TargetMode="External"/><Relationship Id="rId33" Type="http://schemas.openxmlformats.org/officeDocument/2006/relationships/hyperlink" Target="https://www.ers.usda.gov/calendar/?month=2&amp;year=2017" TargetMode="External"/><Relationship Id="rId2" Type="http://schemas.openxmlformats.org/officeDocument/2006/relationships/hyperlink" Target="https://www.agcensus.usda.gov/Publications/2012/Preliminary_Report/Highlights.pdf" TargetMode="External"/><Relationship Id="rId16" Type="http://schemas.openxmlformats.org/officeDocument/2006/relationships/hyperlink" Target="https://www.ers.usda.gov/publications/pub-details/?pubid=82454" TargetMode="External"/><Relationship Id="rId20" Type="http://schemas.openxmlformats.org/officeDocument/2006/relationships/hyperlink" Target="https://www.ers.usda.gov/topics/crops/soybeans-oil-crops/related-data-statistics/" TargetMode="External"/><Relationship Id="rId29" Type="http://schemas.openxmlformats.org/officeDocument/2006/relationships/hyperlink" Target="http://clients1.ibisworld.com.proxy.lib.duke.edu/reports/us/industry/keystatistics.aspx?entid=78" TargetMode="External"/><Relationship Id="rId1" Type="http://schemas.openxmlformats.org/officeDocument/2006/relationships/hyperlink" Target="https://www.nass.usda.gov/Publications/Ag_Statistics/2015/Ag_Stats_2015_complete%20publication.pdf" TargetMode="External"/><Relationship Id="rId6" Type="http://schemas.openxmlformats.org/officeDocument/2006/relationships/hyperlink" Target="https://www.agcensus.usda.gov/Publications/2012/Online_Resources/Highlights/Farms_and_Farmland/Highlights_Farms_and_Farmland.pdf" TargetMode="External"/><Relationship Id="rId11" Type="http://schemas.openxmlformats.org/officeDocument/2006/relationships/hyperlink" Target="https://grains.org/sites/default/files/15USGC-037_AR%20Export%20Stats_Fnl.pdf" TargetMode="External"/><Relationship Id="rId24" Type="http://schemas.openxmlformats.org/officeDocument/2006/relationships/hyperlink" Target="https://www.ers.usda.gov/data-products/cotton-wool-and-textile-data/cotton-and-wool-yearbook/" TargetMode="External"/><Relationship Id="rId32" Type="http://schemas.openxmlformats.org/officeDocument/2006/relationships/hyperlink" Target="https://www.ers.usda.gov/calendar/?month=2&amp;year=2017" TargetMode="External"/><Relationship Id="rId5" Type="http://schemas.openxmlformats.org/officeDocument/2006/relationships/hyperlink" Target="https://www.agcensus.usda.gov/Publications/2012/Online_Resources/Highlights/Farms_and_Farmland/Highlights_Farms_and_Farmland.pdf" TargetMode="External"/><Relationship Id="rId15" Type="http://schemas.openxmlformats.org/officeDocument/2006/relationships/hyperlink" Target="https://www.ers.usda.gov/publications/pub-details/?pubid=82454" TargetMode="External"/><Relationship Id="rId23" Type="http://schemas.openxmlformats.org/officeDocument/2006/relationships/hyperlink" Target="https://www.ers.usda.gov/data-products/cotton-wool-and-textile-data/cotton-and-wool-yearbook/" TargetMode="External"/><Relationship Id="rId28" Type="http://schemas.openxmlformats.org/officeDocument/2006/relationships/hyperlink" Target="https://www.ers.usda.gov/topics/crops/soybeans-oil-crops/related-data-statistics/" TargetMode="External"/><Relationship Id="rId10" Type="http://schemas.openxmlformats.org/officeDocument/2006/relationships/hyperlink" Target="https://www.agcensus.usda.gov/Publications/2012/Online_Resources/Highlights/Farms_and_Farmland/Highlights_Farms_and_Farmland.pdf" TargetMode="External"/><Relationship Id="rId19" Type="http://schemas.openxmlformats.org/officeDocument/2006/relationships/hyperlink" Target="https://www.ers.usda.gov/publications/pub-details/?pubid=82454" TargetMode="External"/><Relationship Id="rId31" Type="http://schemas.openxmlformats.org/officeDocument/2006/relationships/hyperlink" Target="https://www.ers.usda.gov/calendar/?month=2&amp;year=2017" TargetMode="External"/><Relationship Id="rId4" Type="http://schemas.openxmlformats.org/officeDocument/2006/relationships/hyperlink" Target="https://www.agcensus.usda.gov/Publications/2012/Online_Resources/Highlights/Farm_Demographics/" TargetMode="External"/><Relationship Id="rId9" Type="http://schemas.openxmlformats.org/officeDocument/2006/relationships/hyperlink" Target="https://www.agcensus.usda.gov/Publications/2012/Online_Resources/Highlights/Farms_and_Farmland/Highlights_Farms_and_Farmland.pdf" TargetMode="External"/><Relationship Id="rId14" Type="http://schemas.openxmlformats.org/officeDocument/2006/relationships/hyperlink" Target="https://www.ers.usda.gov/publications/pub-details/?pubid=82454" TargetMode="External"/><Relationship Id="rId22" Type="http://schemas.openxmlformats.org/officeDocument/2006/relationships/hyperlink" Target="http://www.cotton.org/econ/cropinfo/cropdata/country-statistics.cfm" TargetMode="External"/><Relationship Id="rId27" Type="http://schemas.openxmlformats.org/officeDocument/2006/relationships/hyperlink" Target="http://www.fao.org/faostat/en/" TargetMode="External"/><Relationship Id="rId30" Type="http://schemas.openxmlformats.org/officeDocument/2006/relationships/hyperlink" Target="https://www.ers.usda.gov/calendar/?month=2&amp;year=2017" TargetMode="External"/><Relationship Id="rId8" Type="http://schemas.openxmlformats.org/officeDocument/2006/relationships/hyperlink" Target="https://www.agcensus.usda.gov/Publications/2012/Online_Resources/Highlights/Farms_and_Farmland/Highlights_Farms_and_Farmland.p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apps.fas.usda.gov/psdonline/app/index.html" TargetMode="External"/><Relationship Id="rId13" Type="http://schemas.openxmlformats.org/officeDocument/2006/relationships/hyperlink" Target="https://www.ers.usda.gov/publications/pub-details/?pubid=82454" TargetMode="External"/><Relationship Id="rId18" Type="http://schemas.openxmlformats.org/officeDocument/2006/relationships/hyperlink" Target="https://quickstats.nass.usda.gov/results/F977576B-08DC-35EC-966A-84510C625052?pivot=short_desc" TargetMode="External"/><Relationship Id="rId3" Type="http://schemas.openxmlformats.org/officeDocument/2006/relationships/hyperlink" Target="https://apps.fas.usda.gov/psdonline/app/index.html" TargetMode="External"/><Relationship Id="rId21" Type="http://schemas.openxmlformats.org/officeDocument/2006/relationships/hyperlink" Target="https://quickstats.nass.usda.gov/results/F977576B-08DC-35EC-966A-84510C625052?pivot=short_desc" TargetMode="External"/><Relationship Id="rId7" Type="http://schemas.openxmlformats.org/officeDocument/2006/relationships/hyperlink" Target="https://grains.org/sites/default/files/15USGC-037_AR%20Export%20Stats_Fnl.pdf" TargetMode="External"/><Relationship Id="rId12" Type="http://schemas.openxmlformats.org/officeDocument/2006/relationships/hyperlink" Target="https://www.ers.usda.gov/publications/pub-details/?pubid=82454" TargetMode="External"/><Relationship Id="rId17" Type="http://schemas.openxmlformats.org/officeDocument/2006/relationships/hyperlink" Target="http://www.neo.ne.gov/statshtml/66.html" TargetMode="External"/><Relationship Id="rId2" Type="http://schemas.openxmlformats.org/officeDocument/2006/relationships/hyperlink" Target="https://apps.fas.usda.gov/psdonline/app/index.html" TargetMode="External"/><Relationship Id="rId16" Type="http://schemas.openxmlformats.org/officeDocument/2006/relationships/hyperlink" Target="https://inflationdata.com/Inflation/Inflation_Rate/Historical_Oil_Prices_Table.asp" TargetMode="External"/><Relationship Id="rId20" Type="http://schemas.openxmlformats.org/officeDocument/2006/relationships/hyperlink" Target="https://quickstats.nass.usda.gov/results/F977576B-08DC-35EC-966A-84510C625052?pivot=short_desc" TargetMode="External"/><Relationship Id="rId1" Type="http://schemas.openxmlformats.org/officeDocument/2006/relationships/hyperlink" Target="https://www.ers.usda.gov/webdocs/publications/err162/43668_err162.pdf" TargetMode="External"/><Relationship Id="rId6" Type="http://schemas.openxmlformats.org/officeDocument/2006/relationships/hyperlink" Target="https://www.ers.usda.gov/publications/pub-details/?pubid=82454" TargetMode="External"/><Relationship Id="rId11" Type="http://schemas.openxmlformats.org/officeDocument/2006/relationships/hyperlink" Target="https://www.ers.usda.gov/publications/pub-details/?pubid=82454" TargetMode="External"/><Relationship Id="rId5" Type="http://schemas.openxmlformats.org/officeDocument/2006/relationships/hyperlink" Target="https://www.ers.usda.gov/publications/pub-details/?pubid=82454" TargetMode="External"/><Relationship Id="rId15" Type="http://schemas.openxmlformats.org/officeDocument/2006/relationships/hyperlink" Target="https://www.ers.usda.gov/publications/pub-details/?pubid=82454" TargetMode="External"/><Relationship Id="rId10" Type="http://schemas.openxmlformats.org/officeDocument/2006/relationships/hyperlink" Target="https://apps.fas.usda.gov/psdonline/app/index.html" TargetMode="External"/><Relationship Id="rId19" Type="http://schemas.openxmlformats.org/officeDocument/2006/relationships/hyperlink" Target="https://quickstats.nass.usda.gov/results/F977576B-08DC-35EC-966A-84510C625052?pivot=short_desc" TargetMode="External"/><Relationship Id="rId4" Type="http://schemas.openxmlformats.org/officeDocument/2006/relationships/hyperlink" Target="https://www.agcensus.usda.gov/Publications/2012/Online_Resources/Highlights/Farms_and_Farmland/Highlights_Farms_and_Farmland.pdf" TargetMode="External"/><Relationship Id="rId9" Type="http://schemas.openxmlformats.org/officeDocument/2006/relationships/hyperlink" Target="https://www.ers.usda.gov/webdocs/publications/err162/43668_err162.pdf" TargetMode="External"/><Relationship Id="rId14" Type="http://schemas.openxmlformats.org/officeDocument/2006/relationships/hyperlink" Target="https://www.ers.usda.gov/publications/pub-details/?pubid=82454" TargetMode="External"/><Relationship Id="rId22"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3" Type="http://schemas.openxmlformats.org/officeDocument/2006/relationships/hyperlink" Target="https://www.ers.usda.gov/publications/pub-details/?pubid=38111" TargetMode="External"/><Relationship Id="rId18" Type="http://schemas.openxmlformats.org/officeDocument/2006/relationships/hyperlink" Target="https://www.ers.usda.gov/topics/crops/soybeans-oil-crops/related-data-statistics/" TargetMode="External"/><Relationship Id="rId26" Type="http://schemas.openxmlformats.org/officeDocument/2006/relationships/hyperlink" Target="https://apps.fas.usda.gov/psdonline/app/index.html" TargetMode="External"/><Relationship Id="rId3" Type="http://schemas.openxmlformats.org/officeDocument/2006/relationships/hyperlink" Target="https://apps.fas.usda.gov/psdonline/app/index.html" TargetMode="External"/><Relationship Id="rId21" Type="http://schemas.openxmlformats.org/officeDocument/2006/relationships/hyperlink" Target="https://www.ers.usda.gov/topics/crops/soybeans-oil-crops/related-data-statistics/" TargetMode="External"/><Relationship Id="rId34" Type="http://schemas.openxmlformats.org/officeDocument/2006/relationships/drawing" Target="../drawings/drawing8.xml"/><Relationship Id="rId7" Type="http://schemas.openxmlformats.org/officeDocument/2006/relationships/hyperlink" Target="https://www.ers.usda.gov/publications/pub-details/?pubid=38111" TargetMode="External"/><Relationship Id="rId12" Type="http://schemas.openxmlformats.org/officeDocument/2006/relationships/hyperlink" Target="https://www.ers.usda.gov/publications/pub-details/?pubid=38111" TargetMode="External"/><Relationship Id="rId17" Type="http://schemas.openxmlformats.org/officeDocument/2006/relationships/hyperlink" Target="https://www.ers.usda.gov/topics/crops/soybeans-oil-crops/related-data-statistics/" TargetMode="External"/><Relationship Id="rId25" Type="http://schemas.openxmlformats.org/officeDocument/2006/relationships/hyperlink" Target="https://www.ers.usda.gov/webdocs/publications/err162/43668_err162.pdf" TargetMode="External"/><Relationship Id="rId33" Type="http://schemas.openxmlformats.org/officeDocument/2006/relationships/hyperlink" Target="https://www.nass.usda.gov/Statistics_by_Subject/result.php?11FC4C5D-4D00-3599-A4FD-5A964D2E3563&amp;sector=CROPS&amp;group=FIELD%20CROPS&amp;comm=PEANUTS" TargetMode="External"/><Relationship Id="rId2" Type="http://schemas.openxmlformats.org/officeDocument/2006/relationships/hyperlink" Target="https://apps.fas.usda.gov/psdonline/app/index.html" TargetMode="External"/><Relationship Id="rId16" Type="http://schemas.openxmlformats.org/officeDocument/2006/relationships/hyperlink" Target="https://www.ers.usda.gov/topics/crops/soybeans-oil-crops/related-data-statistics/" TargetMode="External"/><Relationship Id="rId20" Type="http://schemas.openxmlformats.org/officeDocument/2006/relationships/hyperlink" Target="https://search.ers.usda.gov/search?affiliate=ers&amp;query=lard" TargetMode="External"/><Relationship Id="rId29" Type="http://schemas.openxmlformats.org/officeDocument/2006/relationships/hyperlink" Target="https://www.nass.usda.gov/Statistics_by_Subject/result.php?11FC4C5D-4D00-3599-A4FD-5A964D2E3563&amp;sector=CROPS&amp;group=FIELD%20CROPS&amp;comm=PEANUTS" TargetMode="External"/><Relationship Id="rId1" Type="http://schemas.openxmlformats.org/officeDocument/2006/relationships/hyperlink" Target="https://www.ers.usda.gov/webdocs/publications/err162/43668_err162.pdf" TargetMode="External"/><Relationship Id="rId6" Type="http://schemas.openxmlformats.org/officeDocument/2006/relationships/hyperlink" Target="https://www.ers.usda.gov/publications/pub-details/?pubid=38111" TargetMode="External"/><Relationship Id="rId11" Type="http://schemas.openxmlformats.org/officeDocument/2006/relationships/hyperlink" Target="https://www.ers.usda.gov/publications/pub-details/?pubid=38111" TargetMode="External"/><Relationship Id="rId24" Type="http://schemas.openxmlformats.org/officeDocument/2006/relationships/hyperlink" Target="https://www.nass.usda.gov/Statistics_by_Subject/result.php?11FC4C5D-4D00-3599-A4FD-5A964D2E3563&amp;sector=CROPS&amp;group=FIELD%20CROPS&amp;comm=PEANUTS" TargetMode="External"/><Relationship Id="rId32" Type="http://schemas.openxmlformats.org/officeDocument/2006/relationships/hyperlink" Target="https://www.nass.usda.gov/Statistics_by_Subject/result.php?11FC4C5D-4D00-3599-A4FD-5A964D2E3563&amp;sector=CROPS&amp;group=FIELD%20CROPS&amp;comm=PEANUTS" TargetMode="External"/><Relationship Id="rId5" Type="http://schemas.openxmlformats.org/officeDocument/2006/relationships/hyperlink" Target="https://www.ers.usda.gov/publications/pub-details/?pubid=38111" TargetMode="External"/><Relationship Id="rId15" Type="http://schemas.openxmlformats.org/officeDocument/2006/relationships/hyperlink" Target="https://www.ers.usda.gov/topics/crops/soybeans-oil-crops/related-data-statistics/" TargetMode="External"/><Relationship Id="rId23" Type="http://schemas.openxmlformats.org/officeDocument/2006/relationships/hyperlink" Target="https://www.nass.usda.gov/Statistics_by_Subject/result.php?11FC4C5D-4D00-3599-A4FD-5A964D2E3563&amp;sector=CROPS&amp;group=FIELD%20CROPS&amp;comm=PEANUTS" TargetMode="External"/><Relationship Id="rId28" Type="http://schemas.openxmlformats.org/officeDocument/2006/relationships/hyperlink" Target="https://www.nass.usda.gov/Statistics_by_Subject/result.php?11FC4C5D-4D00-3599-A4FD-5A964D2E3563&amp;sector=CROPS&amp;group=FIELD%20CROPS&amp;comm=PEANUTS" TargetMode="External"/><Relationship Id="rId10" Type="http://schemas.openxmlformats.org/officeDocument/2006/relationships/hyperlink" Target="https://www.ers.usda.gov/publications/pub-details/?pubid=38111" TargetMode="External"/><Relationship Id="rId19" Type="http://schemas.openxmlformats.org/officeDocument/2006/relationships/hyperlink" Target="https://apps.fas.usda.gov/psdonline/app/index.html" TargetMode="External"/><Relationship Id="rId31" Type="http://schemas.openxmlformats.org/officeDocument/2006/relationships/hyperlink" Target="https://www.nass.usda.gov/Statistics_by_Subject/result.php?11FC4C5D-4D00-3599-A4FD-5A964D2E3563&amp;sector=CROPS&amp;group=FIELD%20CROPS&amp;comm=PEANUTS" TargetMode="External"/><Relationship Id="rId4" Type="http://schemas.openxmlformats.org/officeDocument/2006/relationships/hyperlink" Target="https://www.agcensus.usda.gov/Publications/2012/Online_Resources/Highlights/Farms_and_Farmland/Highlights_Farms_and_Farmland.pdf" TargetMode="External"/><Relationship Id="rId9" Type="http://schemas.openxmlformats.org/officeDocument/2006/relationships/hyperlink" Target="https://www.ers.usda.gov/publications/pub-details/?pubid=38111" TargetMode="External"/><Relationship Id="rId14" Type="http://schemas.openxmlformats.org/officeDocument/2006/relationships/hyperlink" Target="https://www.ers.usda.gov/topics/crops/soybeans-oil-crops/related-data-statistics/" TargetMode="External"/><Relationship Id="rId22" Type="http://schemas.openxmlformats.org/officeDocument/2006/relationships/hyperlink" Target="https://www.ers.usda.gov/data-products/cotton-wool-and-textile-data/cotton-and-wool-yearbook/" TargetMode="External"/><Relationship Id="rId27" Type="http://schemas.openxmlformats.org/officeDocument/2006/relationships/hyperlink" Target="https://www.nass.usda.gov/Statistics_by_Subject/result.php?11FC4C5D-4D00-3599-A4FD-5A964D2E3563&amp;sector=CROPS&amp;group=FIELD%20CROPS&amp;comm=PEANUTS" TargetMode="External"/><Relationship Id="rId30" Type="http://schemas.openxmlformats.org/officeDocument/2006/relationships/hyperlink" Target="https://www.nass.usda.gov/Statistics_by_Subject/result.php?11FC4C5D-4D00-3599-A4FD-5A964D2E3563&amp;sector=CROPS&amp;group=FIELD%20CROPS&amp;comm=PEANUTS" TargetMode="External"/><Relationship Id="rId8" Type="http://schemas.openxmlformats.org/officeDocument/2006/relationships/hyperlink" Target="https://www.ers.usda.gov/publications/pub-details/?pubid=38111"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apps.fas.usda.gov/psdonline/app/index.html" TargetMode="External"/><Relationship Id="rId2" Type="http://schemas.openxmlformats.org/officeDocument/2006/relationships/hyperlink" Target="https://www.ers.usda.gov/webdocs/publications/err162/43668_err162.pdf" TargetMode="External"/><Relationship Id="rId1" Type="http://schemas.openxmlformats.org/officeDocument/2006/relationships/hyperlink" Target="https://www.ers.usda.gov/publications/pub-details/?pubid=82454" TargetMode="External"/><Relationship Id="rId6" Type="http://schemas.openxmlformats.org/officeDocument/2006/relationships/hyperlink" Target="https://apps.fas.usda.gov/psdonline/app/index.html" TargetMode="External"/><Relationship Id="rId5" Type="http://schemas.openxmlformats.org/officeDocument/2006/relationships/hyperlink" Target="https://grains.org/sites/default/files/15USGC-037_AR%20Export%20Stats_Fnl.pdf" TargetMode="External"/><Relationship Id="rId4" Type="http://schemas.openxmlformats.org/officeDocument/2006/relationships/hyperlink" Target="http://www.fao.org/faostat/en/"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epa.gov/smm/advancing-sustainable-materials-management-facts-and-figures" TargetMode="External"/><Relationship Id="rId1" Type="http://schemas.openxmlformats.org/officeDocument/2006/relationships/hyperlink" Target="https://www.epa.gov/smm/advancing-sustainable-materials-management-facts-and-figure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ers.usda.gov/data-products/fertilizer-use-and-price.aspx" TargetMode="External"/><Relationship Id="rId7" Type="http://schemas.openxmlformats.org/officeDocument/2006/relationships/hyperlink" Target="https://www.ers.usda.gov/data-products/western-irrigated-agriculture/western-irrigated-agriculture/" TargetMode="External"/><Relationship Id="rId2" Type="http://schemas.openxmlformats.org/officeDocument/2006/relationships/hyperlink" Target="https://www.ers.usda.gov/data-products/fertilizer-use-and-price.aspx" TargetMode="External"/><Relationship Id="rId1" Type="http://schemas.openxmlformats.org/officeDocument/2006/relationships/hyperlink" Target="https://www.ers.usda.gov/data-products/fertilizer-use-and-price.aspx" TargetMode="External"/><Relationship Id="rId6" Type="http://schemas.openxmlformats.org/officeDocument/2006/relationships/hyperlink" Target="https://www.ers.usda.gov/data-products/fertilizer-use-and-price.aspx" TargetMode="External"/><Relationship Id="rId5" Type="http://schemas.openxmlformats.org/officeDocument/2006/relationships/hyperlink" Target="https://www.ers.usda.gov/data-products/fertilizer-use-and-price.aspx" TargetMode="External"/><Relationship Id="rId4" Type="http://schemas.openxmlformats.org/officeDocument/2006/relationships/hyperlink" Target="https://www.ers.usda.gov/data-products/fertilizer-use-and-price.aspx"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ers.usda.gov/publications/pub-details/?pubid=82454" TargetMode="External"/><Relationship Id="rId18" Type="http://schemas.openxmlformats.org/officeDocument/2006/relationships/hyperlink" Target="https://www.ers.usda.gov/publications/pub-details/?pubid=82454" TargetMode="External"/><Relationship Id="rId26" Type="http://schemas.openxmlformats.org/officeDocument/2006/relationships/hyperlink" Target="http://www.greenfacts.org/en/biofuels/figtableboxes/biofuel-yields-countries.htm" TargetMode="External"/><Relationship Id="rId3" Type="http://schemas.openxmlformats.org/officeDocument/2006/relationships/hyperlink" Target="https://grains.org/sites/default/files/15USGC-037_AR%20Export%20Stats_Fnl.pdf" TargetMode="External"/><Relationship Id="rId21" Type="http://schemas.openxmlformats.org/officeDocument/2006/relationships/hyperlink" Target="https://www.ers.usda.gov/publications/pub-details/?pubid=82454" TargetMode="External"/><Relationship Id="rId34" Type="http://schemas.openxmlformats.org/officeDocument/2006/relationships/hyperlink" Target="https://www.ers.usda.gov/data-products/fertilizer-use-and-price.aspx" TargetMode="External"/><Relationship Id="rId7" Type="http://schemas.openxmlformats.org/officeDocument/2006/relationships/hyperlink" Target="https://apps.fas.usda.gov/psdonline/app/index.html" TargetMode="External"/><Relationship Id="rId12" Type="http://schemas.openxmlformats.org/officeDocument/2006/relationships/hyperlink" Target="https://www.ers.usda.gov/publications/pub-details/?pubid=82454" TargetMode="External"/><Relationship Id="rId17" Type="http://schemas.openxmlformats.org/officeDocument/2006/relationships/hyperlink" Target="https://www.ers.usda.gov/publications/pub-details/?pubid=82454" TargetMode="External"/><Relationship Id="rId25" Type="http://schemas.openxmlformats.org/officeDocument/2006/relationships/hyperlink" Target="http://www.greenfacts.org/en/biofuels/figtableboxes/biofuel-yields-countries.htm" TargetMode="External"/><Relationship Id="rId33" Type="http://schemas.openxmlformats.org/officeDocument/2006/relationships/hyperlink" Target="https://www.ers.usda.gov/data-products/fertilizer-use-and-price.aspx" TargetMode="External"/><Relationship Id="rId2" Type="http://schemas.openxmlformats.org/officeDocument/2006/relationships/hyperlink" Target="https://grains.org/sites/default/files/15USGC-037_AR%20Export%20Stats_Fnl.pdf" TargetMode="External"/><Relationship Id="rId16" Type="http://schemas.openxmlformats.org/officeDocument/2006/relationships/hyperlink" Target="https://www.ers.usda.gov/publications/pub-details/?pubid=82454" TargetMode="External"/><Relationship Id="rId20" Type="http://schemas.openxmlformats.org/officeDocument/2006/relationships/hyperlink" Target="https://www.ers.usda.gov/publications/pub-details/?pubid=82454" TargetMode="External"/><Relationship Id="rId29" Type="http://schemas.openxmlformats.org/officeDocument/2006/relationships/hyperlink" Target="https://grains.org/sites/default/files/15USGC-037_AR%20Export%20Stats_Fnl.pdf" TargetMode="External"/><Relationship Id="rId1" Type="http://schemas.openxmlformats.org/officeDocument/2006/relationships/hyperlink" Target="https://www.ers.usda.gov/webdocs/publications/err162/43668_err162.pdf" TargetMode="External"/><Relationship Id="rId6" Type="http://schemas.openxmlformats.org/officeDocument/2006/relationships/hyperlink" Target="https://apps.fas.usda.gov/psdonline/app/index.html" TargetMode="External"/><Relationship Id="rId11" Type="http://schemas.openxmlformats.org/officeDocument/2006/relationships/hyperlink" Target="https://www-statista-com.proxy.lib.duke.edu/statistics/269931/global-distribution-of-grain-consumption/" TargetMode="External"/><Relationship Id="rId24" Type="http://schemas.openxmlformats.org/officeDocument/2006/relationships/hyperlink" Target="http://www.greenfacts.org/en/biofuels/figtableboxes/biofuel-yields-countries.htm" TargetMode="External"/><Relationship Id="rId32" Type="http://schemas.openxmlformats.org/officeDocument/2006/relationships/hyperlink" Target="https://www.ers.usda.gov/publications/pub-details/?pubid=82454" TargetMode="External"/><Relationship Id="rId5" Type="http://schemas.openxmlformats.org/officeDocument/2006/relationships/hyperlink" Target="https://apps.fas.usda.gov/psdonline/app/index.html" TargetMode="External"/><Relationship Id="rId15" Type="http://schemas.openxmlformats.org/officeDocument/2006/relationships/hyperlink" Target="https://www.ers.usda.gov/publications/pub-details/?pubid=82454" TargetMode="External"/><Relationship Id="rId23" Type="http://schemas.openxmlformats.org/officeDocument/2006/relationships/hyperlink" Target="https://www.ers.usda.gov/publications/pub-details/?pubid=82454" TargetMode="External"/><Relationship Id="rId28" Type="http://schemas.openxmlformats.org/officeDocument/2006/relationships/hyperlink" Target="https://grains.org/sites/default/files/15USGC-037_AR%20Export%20Stats_Fnl.pdf" TargetMode="External"/><Relationship Id="rId36" Type="http://schemas.openxmlformats.org/officeDocument/2006/relationships/drawing" Target="../drawings/drawing9.xml"/><Relationship Id="rId10" Type="http://schemas.openxmlformats.org/officeDocument/2006/relationships/hyperlink" Target="https://www-statista-com.proxy.lib.duke.edu/statistics/269931/global-distribution-of-grain-consumption/" TargetMode="External"/><Relationship Id="rId19" Type="http://schemas.openxmlformats.org/officeDocument/2006/relationships/hyperlink" Target="https://www.ers.usda.gov/publications/pub-details/?pubid=82454" TargetMode="External"/><Relationship Id="rId31" Type="http://schemas.openxmlformats.org/officeDocument/2006/relationships/hyperlink" Target="https://grains.org/sites/default/files/15USGC-037_AR%20Export%20Stats_Fnl.pdf" TargetMode="External"/><Relationship Id="rId4" Type="http://schemas.openxmlformats.org/officeDocument/2006/relationships/hyperlink" Target="https://quickstats.nass.usda.gov/results/D737E5DE-8B12-3837-8A00-19BAAF1E271B?pivot=short_desc" TargetMode="External"/><Relationship Id="rId9" Type="http://schemas.openxmlformats.org/officeDocument/2006/relationships/hyperlink" Target="https://www-statista-com.proxy.lib.duke.edu/statistics/269931/global-distribution-of-grain-consumption/" TargetMode="External"/><Relationship Id="rId14" Type="http://schemas.openxmlformats.org/officeDocument/2006/relationships/hyperlink" Target="https://www.ers.usda.gov/publications/pub-details/?pubid=82454" TargetMode="External"/><Relationship Id="rId22" Type="http://schemas.openxmlformats.org/officeDocument/2006/relationships/hyperlink" Target="https://www.ers.usda.gov/publications/pub-details/?pubid=82454" TargetMode="External"/><Relationship Id="rId27" Type="http://schemas.openxmlformats.org/officeDocument/2006/relationships/hyperlink" Target="https://www.agcensus.usda.gov/Publications/2012/Online_Resources/Highlights/Farms_and_Farmland/Highlights_Farms_and_Farmland.pdf" TargetMode="External"/><Relationship Id="rId30" Type="http://schemas.openxmlformats.org/officeDocument/2006/relationships/hyperlink" Target="https://grains.org/sites/default/files/15USGC-037_AR%20Export%20Stats_Fnl.pdf" TargetMode="External"/><Relationship Id="rId35" Type="http://schemas.openxmlformats.org/officeDocument/2006/relationships/hyperlink" Target="https://www.ers.usda.gov/data-products/fertilizer-use-and-price.aspx" TargetMode="External"/><Relationship Id="rId8" Type="http://schemas.openxmlformats.org/officeDocument/2006/relationships/hyperlink" Target="https://www-statista-com.proxy.lib.duke.edu/statistics/328893/per-capita-consumption-of-high-fructose-corn-syrup-in-the-us/"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pps.fas.usda.gov/psdonline/app/index.html" TargetMode="External"/><Relationship Id="rId13" Type="http://schemas.openxmlformats.org/officeDocument/2006/relationships/hyperlink" Target="https://www.ers.usda.gov/topics/crops/soybeans-oil-crops/related-data-statistics/" TargetMode="External"/><Relationship Id="rId3" Type="http://schemas.openxmlformats.org/officeDocument/2006/relationships/hyperlink" Target="https://www.ers.usda.gov/topics/crops/soybeans-oil-crops/related-data-statistics/" TargetMode="External"/><Relationship Id="rId7" Type="http://schemas.openxmlformats.org/officeDocument/2006/relationships/hyperlink" Target="https://apps.fas.usda.gov/psdonline/app/index.html" TargetMode="External"/><Relationship Id="rId12" Type="http://schemas.openxmlformats.org/officeDocument/2006/relationships/hyperlink" Target="https://www.usda.gov/nass/PUBS/TODAYRPT/cropan16.pdf" TargetMode="External"/><Relationship Id="rId2" Type="http://schemas.openxmlformats.org/officeDocument/2006/relationships/hyperlink" Target="https://www.ers.usda.gov/topics/crops/soybeans-oil-crops/related-data-statistics/" TargetMode="External"/><Relationship Id="rId1" Type="http://schemas.openxmlformats.org/officeDocument/2006/relationships/hyperlink" Target="https://www.ers.usda.gov/topics/crops/soybeans-oil-crops/related-data-statistics/" TargetMode="External"/><Relationship Id="rId6" Type="http://schemas.openxmlformats.org/officeDocument/2006/relationships/hyperlink" Target="https://apps.fas.usda.gov/psdonline/app/index.html" TargetMode="External"/><Relationship Id="rId11" Type="http://schemas.openxmlformats.org/officeDocument/2006/relationships/hyperlink" Target="https://www.ers.usda.gov/topics/crops/soybeans-oil-crops/related-data-statistics/" TargetMode="External"/><Relationship Id="rId5" Type="http://schemas.openxmlformats.org/officeDocument/2006/relationships/hyperlink" Target="https://www.ers.usda.gov/topics/crops/soybeans-oil-crops/related-data-statistics/" TargetMode="External"/><Relationship Id="rId10" Type="http://schemas.openxmlformats.org/officeDocument/2006/relationships/hyperlink" Target="https://www.agcensus.usda.gov/Publications/2012/Online_Resources/Highlights/Farms_and_Farmland/Highlights_Farms_and_Farmland.pdf" TargetMode="External"/><Relationship Id="rId4" Type="http://schemas.openxmlformats.org/officeDocument/2006/relationships/hyperlink" Target="https://www.ers.usda.gov/topics/crops/soybeans-oil-crops/related-data-statistics/" TargetMode="External"/><Relationship Id="rId9" Type="http://schemas.openxmlformats.org/officeDocument/2006/relationships/hyperlink" Target="https://apps.fas.usda.gov/psdonline/app/index.html" TargetMode="External"/><Relationship Id="rId14" Type="http://schemas.openxmlformats.org/officeDocument/2006/relationships/hyperlink" Target="https://www.ers.usda.gov/topics/crops/soybeans-oil-crops/related-data-statistics/"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biopreferred.gov/BPResources/files/BiobasedProductsEconomicAnalysis2016.pdf" TargetMode="External"/><Relationship Id="rId13" Type="http://schemas.openxmlformats.org/officeDocument/2006/relationships/hyperlink" Target="https://www.biopreferred.gov/BPResources/files/BiobasedProductsEconomicAnalysis2016.pdf" TargetMode="External"/><Relationship Id="rId18" Type="http://schemas.openxmlformats.org/officeDocument/2006/relationships/hyperlink" Target="https://www.biopreferred.gov/BPResources/files/EconomicReport_6_12_2015.pdf" TargetMode="External"/><Relationship Id="rId26" Type="http://schemas.openxmlformats.org/officeDocument/2006/relationships/hyperlink" Target="https://www.biopreferred.gov/BPResources/files/EconomicReport_6_12_2015.pdf" TargetMode="External"/><Relationship Id="rId3" Type="http://schemas.openxmlformats.org/officeDocument/2006/relationships/hyperlink" Target="https://www.biopreferred.gov/BPResources/files/BiobasedProductsEconomicAnalysis2016.pdf" TargetMode="External"/><Relationship Id="rId21" Type="http://schemas.openxmlformats.org/officeDocument/2006/relationships/hyperlink" Target="https://www.biopreferred.gov/BPResources/files/EconomicReport_6_12_2015.pdf" TargetMode="External"/><Relationship Id="rId7" Type="http://schemas.openxmlformats.org/officeDocument/2006/relationships/hyperlink" Target="https://www.biopreferred.gov/BPResources/files/BiobasedProductsEconomicAnalysis2016.pdf" TargetMode="External"/><Relationship Id="rId12" Type="http://schemas.openxmlformats.org/officeDocument/2006/relationships/hyperlink" Target="https://www.biopreferred.gov/BPResources/files/BiobasedProductsEconomicAnalysis2016.pdf" TargetMode="External"/><Relationship Id="rId17" Type="http://schemas.openxmlformats.org/officeDocument/2006/relationships/hyperlink" Target="https://www.biopreferred.gov/BPResources/files/EconomicReport_6_12_2015.pdf" TargetMode="External"/><Relationship Id="rId25" Type="http://schemas.openxmlformats.org/officeDocument/2006/relationships/hyperlink" Target="https://www.biopreferred.gov/BPResources/files/EconomicReport_6_12_2015.pdf" TargetMode="External"/><Relationship Id="rId2" Type="http://schemas.openxmlformats.org/officeDocument/2006/relationships/hyperlink" Target="https://www.biopreferred.gov/BPResources/files/BiobasedProductsEconomicAnalysis2016.pdf" TargetMode="External"/><Relationship Id="rId16" Type="http://schemas.openxmlformats.org/officeDocument/2006/relationships/hyperlink" Target="https://www.biopreferred.gov/BPResources/files/EconomicReport_6_12_2015.pdf" TargetMode="External"/><Relationship Id="rId20" Type="http://schemas.openxmlformats.org/officeDocument/2006/relationships/hyperlink" Target="https://www.biopreferred.gov/BPResources/files/EconomicReport_6_12_2015.pdf" TargetMode="External"/><Relationship Id="rId29" Type="http://schemas.openxmlformats.org/officeDocument/2006/relationships/hyperlink" Target="https://www.biopreferred.gov/BPResources/files/EconomicReport_6_12_2015.pdf" TargetMode="External"/><Relationship Id="rId1" Type="http://schemas.openxmlformats.org/officeDocument/2006/relationships/hyperlink" Target="https://www.biopreferred.gov/BPResources/files/BiobasedProductsEconomicAnalysis2016.pdf" TargetMode="External"/><Relationship Id="rId6" Type="http://schemas.openxmlformats.org/officeDocument/2006/relationships/hyperlink" Target="https://www.biopreferred.gov/BPResources/files/BiobasedProductsEconomicAnalysis2016.pdf" TargetMode="External"/><Relationship Id="rId11" Type="http://schemas.openxmlformats.org/officeDocument/2006/relationships/hyperlink" Target="https://www.biopreferred.gov/BPResources/files/BiobasedProductsEconomicAnalysis2016.pdf" TargetMode="External"/><Relationship Id="rId24" Type="http://schemas.openxmlformats.org/officeDocument/2006/relationships/hyperlink" Target="https://www.biopreferred.gov/BPResources/files/EconomicReport_6_12_2015.pdf" TargetMode="External"/><Relationship Id="rId32" Type="http://schemas.openxmlformats.org/officeDocument/2006/relationships/drawing" Target="../drawings/drawing10.xml"/><Relationship Id="rId5" Type="http://schemas.openxmlformats.org/officeDocument/2006/relationships/hyperlink" Target="https://www.biopreferred.gov/BPResources/files/BiobasedProductsEconomicAnalysis2016.pdf" TargetMode="External"/><Relationship Id="rId15" Type="http://schemas.openxmlformats.org/officeDocument/2006/relationships/hyperlink" Target="https://www.biopreferred.gov/BPResources/files/EconomicReport_6_12_2015.pdf" TargetMode="External"/><Relationship Id="rId23" Type="http://schemas.openxmlformats.org/officeDocument/2006/relationships/hyperlink" Target="https://www.biopreferred.gov/BPResources/files/EconomicReport_6_12_2015.pdf" TargetMode="External"/><Relationship Id="rId28" Type="http://schemas.openxmlformats.org/officeDocument/2006/relationships/hyperlink" Target="https://www.biopreferred.gov/BPResources/files/BiobasedProductsEconomicAnalysis2016.pdf" TargetMode="External"/><Relationship Id="rId10" Type="http://schemas.openxmlformats.org/officeDocument/2006/relationships/hyperlink" Target="https://www.biopreferred.gov/BPResources/files/BiobasedProductsEconomicAnalysis2016.pdf" TargetMode="External"/><Relationship Id="rId19" Type="http://schemas.openxmlformats.org/officeDocument/2006/relationships/hyperlink" Target="https://www.biopreferred.gov/BPResources/files/EconomicReport_6_12_2015.pdf" TargetMode="External"/><Relationship Id="rId31" Type="http://schemas.openxmlformats.org/officeDocument/2006/relationships/printerSettings" Target="../printerSettings/printerSettings6.bin"/><Relationship Id="rId4" Type="http://schemas.openxmlformats.org/officeDocument/2006/relationships/hyperlink" Target="https://www.biopreferred.gov/BPResources/files/BiobasedProductsEconomicAnalysis2016.pdf" TargetMode="External"/><Relationship Id="rId9" Type="http://schemas.openxmlformats.org/officeDocument/2006/relationships/hyperlink" Target="https://www.biopreferred.gov/BPResources/files/BiobasedProductsEconomicAnalysis2016.pdf" TargetMode="External"/><Relationship Id="rId14" Type="http://schemas.openxmlformats.org/officeDocument/2006/relationships/hyperlink" Target="https://www.biopreferred.gov/BPResources/files/EconomicReport_6_12_2015.pdf" TargetMode="External"/><Relationship Id="rId22" Type="http://schemas.openxmlformats.org/officeDocument/2006/relationships/hyperlink" Target="https://www.biopreferred.gov/BPResources/files/EconomicReport_6_12_2015.pdf" TargetMode="External"/><Relationship Id="rId27" Type="http://schemas.openxmlformats.org/officeDocument/2006/relationships/hyperlink" Target="https://www.biopreferred.gov/BPResources/files/EconomicReport_6_12_2015.pdf" TargetMode="External"/><Relationship Id="rId30" Type="http://schemas.openxmlformats.org/officeDocument/2006/relationships/hyperlink" Target="https://www.biopreferred.gov/BPResources/files/BiobasedProductsEconomicAnalysis2016.pdf"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www.bea.gov/industry/xls/GDPbyInd_VA_NAICS_1997-2012.xlsx" TargetMode="External"/><Relationship Id="rId13" Type="http://schemas.openxmlformats.org/officeDocument/2006/relationships/hyperlink" Target="https://www.bea.gov/industry/xls/io-annual/GDPbyInd_VA_1947-2015.xlsx" TargetMode="External"/><Relationship Id="rId3" Type="http://schemas.openxmlformats.org/officeDocument/2006/relationships/hyperlink" Target="http://www.bea.gov/industry/xls/GDPbyInd_VA_NAICS_1997-2012.xlsx" TargetMode="External"/><Relationship Id="rId7" Type="http://schemas.openxmlformats.org/officeDocument/2006/relationships/hyperlink" Target="http://www.bea.gov/industry/xls/GDPbyInd_VA_NAICS_1997-2012.xlsx" TargetMode="External"/><Relationship Id="rId12" Type="http://schemas.openxmlformats.org/officeDocument/2006/relationships/hyperlink" Target="https://www.bea.gov/industry/xls/io-annual/GDPbyInd_VA_1947-2015.xlsx" TargetMode="External"/><Relationship Id="rId2" Type="http://schemas.openxmlformats.org/officeDocument/2006/relationships/hyperlink" Target="http://www.bea.gov/industry/xls/GDPbyInd_VA_NAICS_1997-2012.xlsx" TargetMode="External"/><Relationship Id="rId1" Type="http://schemas.openxmlformats.org/officeDocument/2006/relationships/hyperlink" Target="https://www.biopreferred.gov/BPResources/files/BiobasedProductsEconomicAnalysis2016.pdf" TargetMode="External"/><Relationship Id="rId6" Type="http://schemas.openxmlformats.org/officeDocument/2006/relationships/hyperlink" Target="http://www.bea.gov/industry/xls/GDPbyInd_VA_NAICS_1997-2012.xlsx" TargetMode="External"/><Relationship Id="rId11" Type="http://schemas.openxmlformats.org/officeDocument/2006/relationships/hyperlink" Target="https://www.bea.gov/industry/xls/io-annual/GDPbyInd_VA_1947-2015.xlsx" TargetMode="External"/><Relationship Id="rId5" Type="http://schemas.openxmlformats.org/officeDocument/2006/relationships/hyperlink" Target="http://www.bea.gov/industry/xls/GDPbyInd_VA_NAICS_1997-2012.xlsx" TargetMode="External"/><Relationship Id="rId15" Type="http://schemas.openxmlformats.org/officeDocument/2006/relationships/drawing" Target="../drawings/drawing11.xml"/><Relationship Id="rId10" Type="http://schemas.openxmlformats.org/officeDocument/2006/relationships/hyperlink" Target="https://www.bea.gov/industry/xls/io-annual/GDPbyInd_VA_1947-2015.xlsx" TargetMode="External"/><Relationship Id="rId4" Type="http://schemas.openxmlformats.org/officeDocument/2006/relationships/hyperlink" Target="http://www.bea.gov/industry/xls/GDPbyInd_VA_NAICS_1997-2012.xlsx" TargetMode="External"/><Relationship Id="rId9" Type="http://schemas.openxmlformats.org/officeDocument/2006/relationships/hyperlink" Target="http://www.bea.gov/industry/xls/GDPbyInd_VA_NAICS_1997-2012.xlsx" TargetMode="External"/><Relationship Id="rId14" Type="http://schemas.openxmlformats.org/officeDocument/2006/relationships/hyperlink" Target="https://www.bea.gov/industry/xls/io-annual/GDPbyInd_VA_1947-2015.xlsx"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bea.gov/industry/xls/io-annual/GDPbyInd_VA_1947-2015.xlsx" TargetMode="External"/><Relationship Id="rId13" Type="http://schemas.openxmlformats.org/officeDocument/2006/relationships/drawing" Target="../drawings/drawing12.xml"/><Relationship Id="rId3" Type="http://schemas.openxmlformats.org/officeDocument/2006/relationships/hyperlink" Target="http://www.bea.gov/industry/xls/GDPbyInd_VA_NAICS_1997-2012.xlsx" TargetMode="External"/><Relationship Id="rId7" Type="http://schemas.openxmlformats.org/officeDocument/2006/relationships/hyperlink" Target="http://www.bea.gov/industry/xls/GDPbyInd_VA_NAICS_1997-2012.xlsx" TargetMode="External"/><Relationship Id="rId12" Type="http://schemas.openxmlformats.org/officeDocument/2006/relationships/hyperlink" Target="https://www.bea.gov/industry/xls/io-annual/GDPbyInd_VA_1947-2015.xlsx" TargetMode="External"/><Relationship Id="rId2" Type="http://schemas.openxmlformats.org/officeDocument/2006/relationships/hyperlink" Target="http://www.bea.gov/industry/xls/GDPbyInd_VA_NAICS_1997-2012.xlsx" TargetMode="External"/><Relationship Id="rId1" Type="http://schemas.openxmlformats.org/officeDocument/2006/relationships/hyperlink" Target="http://www.bea.gov/industry/xls/GDPbyInd_VA_NAICS_1997-2012.xlsx" TargetMode="External"/><Relationship Id="rId6" Type="http://schemas.openxmlformats.org/officeDocument/2006/relationships/hyperlink" Target="http://www.bea.gov/industry/xls/GDPbyInd_VA_NAICS_1997-2012.xlsx" TargetMode="External"/><Relationship Id="rId11" Type="http://schemas.openxmlformats.org/officeDocument/2006/relationships/hyperlink" Target="https://www.bea.gov/industry/xls/io-annual/GDPbyInd_VA_1947-2015.xlsx" TargetMode="External"/><Relationship Id="rId5" Type="http://schemas.openxmlformats.org/officeDocument/2006/relationships/hyperlink" Target="http://www.bea.gov/industry/xls/GDPbyInd_VA_NAICS_1997-2012.xlsx" TargetMode="External"/><Relationship Id="rId10" Type="http://schemas.openxmlformats.org/officeDocument/2006/relationships/hyperlink" Target="https://www.bea.gov/industry/xls/io-annual/GDPbyInd_VA_1947-2015.xlsx" TargetMode="External"/><Relationship Id="rId4" Type="http://schemas.openxmlformats.org/officeDocument/2006/relationships/hyperlink" Target="http://www.bea.gov/industry/xls/GDPbyInd_VA_NAICS_1997-2012.xlsx" TargetMode="External"/><Relationship Id="rId9" Type="http://schemas.openxmlformats.org/officeDocument/2006/relationships/hyperlink" Target="https://www.bea.gov/industry/xls/io-annual/GDPbyInd_VA_1947-2015.xlsx"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www.bea.gov/industry/xls/GDPbyInd_VA_NAICS_1997-2012.xlsx" TargetMode="External"/><Relationship Id="rId13" Type="http://schemas.openxmlformats.org/officeDocument/2006/relationships/hyperlink" Target="http://www.bea.gov/industry/xls/GDPbyInd_VA_NAICS_1997-2012.xlsx" TargetMode="External"/><Relationship Id="rId18" Type="http://schemas.openxmlformats.org/officeDocument/2006/relationships/hyperlink" Target="https://www.bea.gov/industry/xls/io-annual/GDPbyInd_VA_1947-2015.xlsx" TargetMode="External"/><Relationship Id="rId3" Type="http://schemas.openxmlformats.org/officeDocument/2006/relationships/hyperlink" Target="http://www.bea.gov/industry/xls/GDPbyInd_VA_NAICS_1997-2012.xlsx" TargetMode="External"/><Relationship Id="rId21" Type="http://schemas.openxmlformats.org/officeDocument/2006/relationships/hyperlink" Target="https://www.bea.gov/industry/xls/io-annual/GDPbyInd_VA_1947-2015.xlsx" TargetMode="External"/><Relationship Id="rId7" Type="http://schemas.openxmlformats.org/officeDocument/2006/relationships/hyperlink" Target="http://www.bea.gov/industry/xls/GDPbyInd_VA_NAICS_1997-2012.xlsx" TargetMode="External"/><Relationship Id="rId12" Type="http://schemas.openxmlformats.org/officeDocument/2006/relationships/hyperlink" Target="http://www.bea.gov/industry/xls/GDPbyInd_VA_NAICS_1997-2012.xlsx" TargetMode="External"/><Relationship Id="rId17" Type="http://schemas.openxmlformats.org/officeDocument/2006/relationships/hyperlink" Target="https://www.bea.gov/industry/xls/io-annual/GDPbyInd_VA_1947-2015.xlsx" TargetMode="External"/><Relationship Id="rId25" Type="http://schemas.openxmlformats.org/officeDocument/2006/relationships/drawing" Target="../drawings/drawing13.xml"/><Relationship Id="rId2" Type="http://schemas.openxmlformats.org/officeDocument/2006/relationships/hyperlink" Target="http://www.bea.gov/industry/xls/GDPbyInd_VA_NAICS_1997-2012.xlsx" TargetMode="External"/><Relationship Id="rId16" Type="http://schemas.openxmlformats.org/officeDocument/2006/relationships/hyperlink" Target="https://www.bea.gov/industry/xls/io-annual/GDPbyInd_VA_1947-2015.xlsx" TargetMode="External"/><Relationship Id="rId20" Type="http://schemas.openxmlformats.org/officeDocument/2006/relationships/hyperlink" Target="https://www.bea.gov/industry/xls/io-annual/GDPbyInd_VA_1947-2015.xlsx" TargetMode="External"/><Relationship Id="rId1" Type="http://schemas.openxmlformats.org/officeDocument/2006/relationships/hyperlink" Target="http://www.bea.gov/industry/xls/GDPbyInd_VA_NAICS_1997-2012.xlsx" TargetMode="External"/><Relationship Id="rId6" Type="http://schemas.openxmlformats.org/officeDocument/2006/relationships/hyperlink" Target="http://www.bea.gov/industry/xls/GDPbyInd_VA_NAICS_1997-2012.xlsx" TargetMode="External"/><Relationship Id="rId11" Type="http://schemas.openxmlformats.org/officeDocument/2006/relationships/hyperlink" Target="http://www.bea.gov/industry/xls/GDPbyInd_VA_NAICS_1997-2012.xlsx" TargetMode="External"/><Relationship Id="rId24" Type="http://schemas.openxmlformats.org/officeDocument/2006/relationships/hyperlink" Target="https://www.bea.gov/industry/xls/io-annual/GDPbyInd_VA_1947-2015.xlsx" TargetMode="External"/><Relationship Id="rId5" Type="http://schemas.openxmlformats.org/officeDocument/2006/relationships/hyperlink" Target="http://www.bea.gov/industry/xls/GDPbyInd_VA_NAICS_1997-2012.xlsx" TargetMode="External"/><Relationship Id="rId15" Type="http://schemas.openxmlformats.org/officeDocument/2006/relationships/hyperlink" Target="https://www.bea.gov/industry/xls/io-annual/GDPbyInd_VA_1947-2015.xlsx" TargetMode="External"/><Relationship Id="rId23" Type="http://schemas.openxmlformats.org/officeDocument/2006/relationships/hyperlink" Target="https://www.bea.gov/industry/xls/io-annual/GDPbyInd_VA_1947-2015.xlsx" TargetMode="External"/><Relationship Id="rId10" Type="http://schemas.openxmlformats.org/officeDocument/2006/relationships/hyperlink" Target="http://www.bea.gov/industry/xls/GDPbyInd_VA_NAICS_1997-2012.xlsx" TargetMode="External"/><Relationship Id="rId19" Type="http://schemas.openxmlformats.org/officeDocument/2006/relationships/hyperlink" Target="https://www.bea.gov/industry/xls/io-annual/GDPbyInd_VA_1947-2015.xlsx" TargetMode="External"/><Relationship Id="rId4" Type="http://schemas.openxmlformats.org/officeDocument/2006/relationships/hyperlink" Target="http://www.bea.gov/industry/xls/GDPbyInd_VA_NAICS_1997-2012.xlsx" TargetMode="External"/><Relationship Id="rId9" Type="http://schemas.openxmlformats.org/officeDocument/2006/relationships/hyperlink" Target="http://www.bea.gov/industry/xls/GDPbyInd_VA_NAICS_1997-2012.xlsx" TargetMode="External"/><Relationship Id="rId14" Type="http://schemas.openxmlformats.org/officeDocument/2006/relationships/hyperlink" Target="http://www.bea.gov/industry/xls/GDPbyInd_VA_NAICS_1997-2012.xlsx" TargetMode="External"/><Relationship Id="rId22" Type="http://schemas.openxmlformats.org/officeDocument/2006/relationships/hyperlink" Target="https://www.bea.gov/industry/xls/io-annual/GDPbyInd_VA_1947-2015.xlsx"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www.bea.gov/industry/xls/GDPbyInd_VA_NAICS_1997-2012.xlsx" TargetMode="External"/><Relationship Id="rId13" Type="http://schemas.openxmlformats.org/officeDocument/2006/relationships/hyperlink" Target="http://www.bea.gov/industry/xls/GDPbyInd_VA_NAICS_1997-2012.xlsx" TargetMode="External"/><Relationship Id="rId18" Type="http://schemas.openxmlformats.org/officeDocument/2006/relationships/hyperlink" Target="https://www.bea.gov/industry/xls/io-annual/GDPbyInd_VA_1947-2015.xlsx" TargetMode="External"/><Relationship Id="rId3" Type="http://schemas.openxmlformats.org/officeDocument/2006/relationships/hyperlink" Target="http://www.bea.gov/industry/xls/GDPbyInd_VA_NAICS_1997-2012.xlsx" TargetMode="External"/><Relationship Id="rId21" Type="http://schemas.openxmlformats.org/officeDocument/2006/relationships/hyperlink" Target="https://www.bea.gov/industry/xls/io-annual/GDPbyInd_VA_1947-2015.xlsx" TargetMode="External"/><Relationship Id="rId7" Type="http://schemas.openxmlformats.org/officeDocument/2006/relationships/hyperlink" Target="http://www.bea.gov/industry/xls/GDPbyInd_VA_NAICS_1997-2012.xlsx" TargetMode="External"/><Relationship Id="rId12" Type="http://schemas.openxmlformats.org/officeDocument/2006/relationships/hyperlink" Target="http://www.bea.gov/industry/xls/GDPbyInd_VA_NAICS_1997-2012.xlsx" TargetMode="External"/><Relationship Id="rId17" Type="http://schemas.openxmlformats.org/officeDocument/2006/relationships/hyperlink" Target="https://www.bea.gov/industry/xls/io-annual/GDPbyInd_VA_1947-2015.xlsx" TargetMode="External"/><Relationship Id="rId25" Type="http://schemas.openxmlformats.org/officeDocument/2006/relationships/drawing" Target="../drawings/drawing14.xml"/><Relationship Id="rId2" Type="http://schemas.openxmlformats.org/officeDocument/2006/relationships/hyperlink" Target="http://www.bea.gov/industry/xls/GDPbyInd_VA_NAICS_1997-2012.xlsx" TargetMode="External"/><Relationship Id="rId16" Type="http://schemas.openxmlformats.org/officeDocument/2006/relationships/hyperlink" Target="https://www.bea.gov/industry/xls/io-annual/GDPbyInd_VA_1947-2015.xlsx" TargetMode="External"/><Relationship Id="rId20" Type="http://schemas.openxmlformats.org/officeDocument/2006/relationships/hyperlink" Target="https://www.bea.gov/industry/xls/io-annual/GDPbyInd_VA_1947-2015.xlsx" TargetMode="External"/><Relationship Id="rId1" Type="http://schemas.openxmlformats.org/officeDocument/2006/relationships/hyperlink" Target="http://www.bea.gov/industry/xls/GDPbyInd_VA_NAICS_1997-2012.xlsx" TargetMode="External"/><Relationship Id="rId6" Type="http://schemas.openxmlformats.org/officeDocument/2006/relationships/hyperlink" Target="http://www.bea.gov/industry/xls/GDPbyInd_VA_NAICS_1997-2012.xlsx" TargetMode="External"/><Relationship Id="rId11" Type="http://schemas.openxmlformats.org/officeDocument/2006/relationships/hyperlink" Target="http://www.bea.gov/industry/xls/GDPbyInd_VA_NAICS_1997-2012.xlsx" TargetMode="External"/><Relationship Id="rId24" Type="http://schemas.openxmlformats.org/officeDocument/2006/relationships/hyperlink" Target="https://www.bea.gov/industry/xls/io-annual/GDPbyInd_VA_1947-2015.xlsx" TargetMode="External"/><Relationship Id="rId5" Type="http://schemas.openxmlformats.org/officeDocument/2006/relationships/hyperlink" Target="http://www.bea.gov/industry/xls/GDPbyInd_VA_NAICS_1997-2012.xlsx" TargetMode="External"/><Relationship Id="rId15" Type="http://schemas.openxmlformats.org/officeDocument/2006/relationships/hyperlink" Target="https://www.bea.gov/industry/xls/io-annual/GDPbyInd_VA_1947-2015.xlsx" TargetMode="External"/><Relationship Id="rId23" Type="http://schemas.openxmlformats.org/officeDocument/2006/relationships/hyperlink" Target="https://www.bea.gov/industry/xls/io-annual/GDPbyInd_VA_1947-2015.xlsx" TargetMode="External"/><Relationship Id="rId10" Type="http://schemas.openxmlformats.org/officeDocument/2006/relationships/hyperlink" Target="http://www.bea.gov/industry/xls/GDPbyInd_VA_NAICS_1997-2012.xlsx" TargetMode="External"/><Relationship Id="rId19" Type="http://schemas.openxmlformats.org/officeDocument/2006/relationships/hyperlink" Target="https://www.bea.gov/industry/xls/io-annual/GDPbyInd_VA_1947-2015.xlsx" TargetMode="External"/><Relationship Id="rId4" Type="http://schemas.openxmlformats.org/officeDocument/2006/relationships/hyperlink" Target="http://www.bea.gov/industry/xls/GDPbyInd_VA_NAICS_1997-2012.xlsx" TargetMode="External"/><Relationship Id="rId9" Type="http://schemas.openxmlformats.org/officeDocument/2006/relationships/hyperlink" Target="http://www.bea.gov/industry/xls/GDPbyInd_VA_NAICS_1997-2012.xlsx" TargetMode="External"/><Relationship Id="rId14" Type="http://schemas.openxmlformats.org/officeDocument/2006/relationships/hyperlink" Target="http://www.bea.gov/industry/xls/GDPbyInd_VA_NAICS_1997-2012.xlsx" TargetMode="External"/><Relationship Id="rId22" Type="http://schemas.openxmlformats.org/officeDocument/2006/relationships/hyperlink" Target="https://www.bea.gov/industry/xls/io-annual/GDPbyInd_VA_1947-2015.xlsx"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https://energy.gov/savings/usda-biorefinery-assistance-program" TargetMode="External"/><Relationship Id="rId18" Type="http://schemas.openxmlformats.org/officeDocument/2006/relationships/hyperlink" Target="https://nifa.usda.gov/funding-opportunity/biomass-research-and-development-initiative-brdi" TargetMode="External"/><Relationship Id="rId26" Type="http://schemas.openxmlformats.org/officeDocument/2006/relationships/hyperlink" Target="https://www.epa.gov/sites/production/files/2015-01/documents/05042010_hagy.pdf" TargetMode="External"/><Relationship Id="rId3" Type="http://schemas.openxmlformats.org/officeDocument/2006/relationships/hyperlink" Target="http://www.afdc.energy.gov/laws/key_legislation" TargetMode="External"/><Relationship Id="rId21" Type="http://schemas.openxmlformats.org/officeDocument/2006/relationships/hyperlink" Target="https://www.epa.gov/greenerproducts/executive-order-13101-greening-government-through-waste-prevention-recycling-and" TargetMode="External"/><Relationship Id="rId34" Type="http://schemas.openxmlformats.org/officeDocument/2006/relationships/hyperlink" Target="http://greenfleet.dodlive.mil/energy/great-green-fleet/" TargetMode="External"/><Relationship Id="rId7" Type="http://schemas.openxmlformats.org/officeDocument/2006/relationships/hyperlink" Target="http://www.taxpayer.net/library/article/biomass-research-and-development-initiative" TargetMode="External"/><Relationship Id="rId12" Type="http://schemas.openxmlformats.org/officeDocument/2006/relationships/hyperlink" Target="https://www.rd.usda.gov/programs-services/biorefinery-renewable-chemical-and-biobased-product-manufacturing-assistance" TargetMode="External"/><Relationship Id="rId17" Type="http://schemas.openxmlformats.org/officeDocument/2006/relationships/hyperlink" Target="https://www.usda.gov/wps/portal/usda/usdahome?contentid=2012/03/0102.xml" TargetMode="External"/><Relationship Id="rId25" Type="http://schemas.openxmlformats.org/officeDocument/2006/relationships/hyperlink" Target="https://www.epa.gov/sites/production/files/2015-01/documents/05042010_hagy.pdf" TargetMode="External"/><Relationship Id="rId33" Type="http://schemas.openxmlformats.org/officeDocument/2006/relationships/hyperlink" Target="https://www.usda.gov/wps/portal/usda/usdahome?navid=farmbill" TargetMode="External"/><Relationship Id="rId2" Type="http://schemas.openxmlformats.org/officeDocument/2006/relationships/hyperlink" Target="http://www.afdc.energy.gov/laws/key_legislation" TargetMode="External"/><Relationship Id="rId16" Type="http://schemas.openxmlformats.org/officeDocument/2006/relationships/hyperlink" Target="http://www.afdc.energy.gov/laws/key_legislation" TargetMode="External"/><Relationship Id="rId20" Type="http://schemas.openxmlformats.org/officeDocument/2006/relationships/hyperlink" Target="https://nifa.usda.gov/funding-opportunity/biomass-research-and-development-initiative-brdi" TargetMode="External"/><Relationship Id="rId29" Type="http://schemas.openxmlformats.org/officeDocument/2006/relationships/hyperlink" Target="https://www.govtrack.us/congress/bills/112/hr404" TargetMode="External"/><Relationship Id="rId1" Type="http://schemas.openxmlformats.org/officeDocument/2006/relationships/hyperlink" Target="ftp://ftp.fao.org/docrep/fao/011/i0100e/i0100e03.pdf" TargetMode="External"/><Relationship Id="rId6" Type="http://schemas.openxmlformats.org/officeDocument/2006/relationships/hyperlink" Target="https://energy.gov/eere/femp/articles/white-house-announces-new-executive-order-reduce-greenhouse-gas-emissions-federal" TargetMode="External"/><Relationship Id="rId11" Type="http://schemas.openxmlformats.org/officeDocument/2006/relationships/hyperlink" Target="http://www.afdc.energy.gov/laws/key_legislation" TargetMode="External"/><Relationship Id="rId24" Type="http://schemas.openxmlformats.org/officeDocument/2006/relationships/hyperlink" Target="https://www.epa.gov/sites/production/files/2015-01/documents/05042010_hagy.pdf" TargetMode="External"/><Relationship Id="rId32" Type="http://schemas.openxmlformats.org/officeDocument/2006/relationships/hyperlink" Target="https://www.epa.gov/renewable-fuel-standard-program/program-overview-renewable-fuel-standard-program" TargetMode="External"/><Relationship Id="rId5" Type="http://schemas.openxmlformats.org/officeDocument/2006/relationships/hyperlink" Target="https://obamawhitehouse.archives.gov/the-press-office/2015/03/19/executive-order-planning-federal-sustainability-next-decade" TargetMode="External"/><Relationship Id="rId15" Type="http://schemas.openxmlformats.org/officeDocument/2006/relationships/hyperlink" Target="https://www.congress.gov/bill/112th-congress/house-bill/1149" TargetMode="External"/><Relationship Id="rId23" Type="http://schemas.openxmlformats.org/officeDocument/2006/relationships/hyperlink" Target="https://www.fs.fed.us/research/pdf/RD_Bioenergy_Strategy_March_2010.pdf" TargetMode="External"/><Relationship Id="rId28" Type="http://schemas.openxmlformats.org/officeDocument/2006/relationships/hyperlink" Target="https://www.congress.gov/bill/112th-congress/house-bill/230?r=89" TargetMode="External"/><Relationship Id="rId10" Type="http://schemas.openxmlformats.org/officeDocument/2006/relationships/hyperlink" Target="http://www.afdc.energy.gov/laws/key_legislation" TargetMode="External"/><Relationship Id="rId19" Type="http://schemas.openxmlformats.org/officeDocument/2006/relationships/hyperlink" Target="https://www.usda.gov/wps/portal/usda/usdahome?contentid=2012/03/0102.xml" TargetMode="External"/><Relationship Id="rId31" Type="http://schemas.openxmlformats.org/officeDocument/2006/relationships/hyperlink" Target="https://www.congress.gov/bill/113th-congress/senate-bill/1563" TargetMode="External"/><Relationship Id="rId4" Type="http://schemas.openxmlformats.org/officeDocument/2006/relationships/hyperlink" Target="http://www.afdc.energy.gov/laws/key_legislation" TargetMode="External"/><Relationship Id="rId9" Type="http://schemas.openxmlformats.org/officeDocument/2006/relationships/hyperlink" Target="http://www.afdc.energy.gov/laws/key_legislation" TargetMode="External"/><Relationship Id="rId14" Type="http://schemas.openxmlformats.org/officeDocument/2006/relationships/hyperlink" Target="http://www.afdc.energy.gov/laws/key_legislation" TargetMode="External"/><Relationship Id="rId22" Type="http://schemas.openxmlformats.org/officeDocument/2006/relationships/hyperlink" Target="https://www.fedcenter.gov/Bookmarks/index.cfm?id=48&amp;pge_id=1606" TargetMode="External"/><Relationship Id="rId27" Type="http://schemas.openxmlformats.org/officeDocument/2006/relationships/hyperlink" Target="https://www.epa.gov/sites/production/files/2015-01/documents/05042010_hagy.pdf" TargetMode="External"/><Relationship Id="rId30" Type="http://schemas.openxmlformats.org/officeDocument/2006/relationships/hyperlink" Target="https://www.congress.gov/bill/112th-congress/senate-bill/152" TargetMode="External"/><Relationship Id="rId35" Type="http://schemas.openxmlformats.org/officeDocument/2006/relationships/hyperlink" Target="http://www.npr.org/2011/09/26/140702387/air-force-and-navy-turn-to-bio-fuels" TargetMode="External"/><Relationship Id="rId8" Type="http://schemas.openxmlformats.org/officeDocument/2006/relationships/hyperlink" Target="http://www.afdc.energy.gov/laws/key_legislation"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www.mass.gov/anf/budget-taxes-and-procurement/procurement-info-and-res/procurement-prog-and-serv/epp-procurement-prog/green-products-and-serv/specific-epp-statewide-contracts/" TargetMode="External"/><Relationship Id="rId3" Type="http://schemas.openxmlformats.org/officeDocument/2006/relationships/hyperlink" Target="https://www.epa.gov/newsreleases/states-develop-new-strategies-reduce-nutrient-levels-mississippi-river-gulf-mexico" TargetMode="External"/><Relationship Id="rId7" Type="http://schemas.openxmlformats.org/officeDocument/2006/relationships/hyperlink" Target="http://www.mass.gov/anf/budget-taxes-and-procurement/procurement-info-and-res/procurement-prog-and-serv/epp-procurement-prog/" TargetMode="External"/><Relationship Id="rId2" Type="http://schemas.openxmlformats.org/officeDocument/2006/relationships/hyperlink" Target="http://www.nutrientstrategy.iastate.edu/sites/default/files/documents/NRSfull-130529.pdf" TargetMode="External"/><Relationship Id="rId1" Type="http://schemas.openxmlformats.org/officeDocument/2006/relationships/hyperlink" Target="http://www.calrecycle.ca.gov/75Percent/" TargetMode="External"/><Relationship Id="rId6" Type="http://schemas.openxmlformats.org/officeDocument/2006/relationships/hyperlink" Target="http://www.cultivationcorridor.org/biochem/" TargetMode="External"/><Relationship Id="rId5" Type="http://schemas.openxmlformats.org/officeDocument/2006/relationships/hyperlink" Target="http://www.biorenew.iastate.edu/2016/04/08/biotaxcredit/" TargetMode="External"/><Relationship Id="rId4" Type="http://schemas.openxmlformats.org/officeDocument/2006/relationships/hyperlink" Target="http://www.nutrientstrategy.iastate.edu/sites/default/files/documents/NRSfull-130529.pdf" TargetMode="External"/><Relationship Id="rId9" Type="http://schemas.openxmlformats.org/officeDocument/2006/relationships/hyperlink" Target="http://www.betalabservices.com/ohio-biobased-products/"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outdoorindustry.org/" TargetMode="External"/><Relationship Id="rId3" Type="http://schemas.openxmlformats.org/officeDocument/2006/relationships/hyperlink" Target="http://fairtradeusa.org/" TargetMode="External"/><Relationship Id="rId7" Type="http://schemas.openxmlformats.org/officeDocument/2006/relationships/hyperlink" Target="http://apparelcoalition.org/the-coalition/" TargetMode="External"/><Relationship Id="rId2" Type="http://schemas.openxmlformats.org/officeDocument/2006/relationships/hyperlink" Target="https://www.bcorporation.net/what-are-b-corps/about-b-lab" TargetMode="External"/><Relationship Id="rId1" Type="http://schemas.openxmlformats.org/officeDocument/2006/relationships/hyperlink" Target="http://apparelcoalition.org/the-higg-index/" TargetMode="External"/><Relationship Id="rId6" Type="http://schemas.openxmlformats.org/officeDocument/2006/relationships/hyperlink" Target="https://www.americanchemistry.com/" TargetMode="External"/><Relationship Id="rId5" Type="http://schemas.openxmlformats.org/officeDocument/2006/relationships/hyperlink" Target="https://www.bio.org/bio-initiatives" TargetMode="External"/><Relationship Id="rId4" Type="http://schemas.openxmlformats.org/officeDocument/2006/relationships/hyperlink" Target="http://www.unep.org/resourceefficiency/Consumption/StandardsandLabels/MeasuringSustainability/LifeCycleAssessment/tabid/101348/Default.aspx" TargetMode="External"/><Relationship Id="rId9" Type="http://schemas.openxmlformats.org/officeDocument/2006/relationships/hyperlink" Target="https://www.environmentalleader.com/2017/02/reduce-aviation-emissions-ground-sky/"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allafrica.com/stories/20170208044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J42"/>
  <sheetViews>
    <sheetView topLeftCell="A22" zoomScale="70" zoomScaleNormal="70" workbookViewId="0">
      <selection activeCell="F23" sqref="F23"/>
    </sheetView>
  </sheetViews>
  <sheetFormatPr defaultColWidth="8.85546875" defaultRowHeight="15"/>
  <cols>
    <col min="1" max="1" width="8.85546875" style="2"/>
    <col min="2" max="2" width="45.7109375" customWidth="1"/>
    <col min="3" max="3" width="26.7109375" customWidth="1"/>
    <col min="4" max="4" width="10.42578125" customWidth="1"/>
    <col min="5" max="5" width="9.7109375" customWidth="1"/>
    <col min="10" max="10" width="11" customWidth="1"/>
  </cols>
  <sheetData>
    <row r="2" spans="1:10" ht="18.75">
      <c r="B2" s="256" t="s">
        <v>0</v>
      </c>
    </row>
    <row r="3" spans="1:10">
      <c r="D3" s="1"/>
      <c r="E3" s="1"/>
      <c r="F3" s="1"/>
      <c r="G3" s="1"/>
      <c r="H3" s="1"/>
      <c r="I3" s="1"/>
    </row>
    <row r="4" spans="1:10">
      <c r="A4" s="2">
        <v>1</v>
      </c>
      <c r="B4" s="11" t="s">
        <v>1</v>
      </c>
      <c r="D4" s="1"/>
      <c r="E4" s="134"/>
      <c r="F4" s="134"/>
      <c r="G4" s="134"/>
      <c r="H4" s="134"/>
      <c r="I4" s="134"/>
      <c r="J4" s="45"/>
    </row>
    <row r="5" spans="1:10">
      <c r="A5" s="2" t="s">
        <v>2</v>
      </c>
      <c r="B5" s="7" t="s">
        <v>3</v>
      </c>
      <c r="D5" s="1"/>
      <c r="E5" s="134"/>
      <c r="F5" s="134"/>
      <c r="G5" s="134"/>
      <c r="H5" s="134"/>
      <c r="I5" s="134"/>
      <c r="J5" s="45"/>
    </row>
    <row r="6" spans="1:10">
      <c r="A6" s="2" t="s">
        <v>4</v>
      </c>
      <c r="B6" s="7" t="s">
        <v>5</v>
      </c>
      <c r="D6" s="1"/>
      <c r="E6" s="134"/>
      <c r="F6" s="134"/>
      <c r="G6" s="134"/>
      <c r="H6" s="134"/>
      <c r="I6" s="134"/>
      <c r="J6" s="45"/>
    </row>
    <row r="7" spans="1:10">
      <c r="A7" s="2" t="s">
        <v>6</v>
      </c>
      <c r="B7" s="7" t="s">
        <v>7</v>
      </c>
      <c r="D7" s="1"/>
      <c r="E7" s="134"/>
      <c r="F7" s="134"/>
      <c r="G7" s="134"/>
      <c r="H7" s="134"/>
      <c r="I7" s="134"/>
      <c r="J7" s="45"/>
    </row>
    <row r="8" spans="1:10">
      <c r="A8" s="2" t="s">
        <v>8</v>
      </c>
      <c r="B8" s="7" t="s">
        <v>9</v>
      </c>
      <c r="D8" s="1"/>
      <c r="E8" s="134"/>
      <c r="F8" s="134"/>
      <c r="G8" s="134"/>
      <c r="H8" s="134"/>
      <c r="I8" s="134"/>
      <c r="J8" s="45"/>
    </row>
    <row r="10" spans="1:10">
      <c r="A10" s="2">
        <v>5</v>
      </c>
      <c r="B10" s="9" t="s">
        <v>10</v>
      </c>
      <c r="D10" s="460"/>
      <c r="E10" s="460"/>
      <c r="F10" s="460"/>
      <c r="G10" s="460"/>
      <c r="H10" s="460"/>
      <c r="I10" s="460"/>
    </row>
    <row r="11" spans="1:10">
      <c r="A11" s="2" t="s">
        <v>2</v>
      </c>
      <c r="B11" s="10" t="s">
        <v>11</v>
      </c>
      <c r="D11" s="1"/>
      <c r="E11" s="1"/>
      <c r="F11" s="1"/>
      <c r="G11" s="1"/>
      <c r="H11" s="1"/>
      <c r="I11" s="1"/>
    </row>
    <row r="12" spans="1:10">
      <c r="A12" s="2" t="s">
        <v>4</v>
      </c>
      <c r="B12" s="10" t="s">
        <v>12</v>
      </c>
      <c r="D12" s="1"/>
      <c r="E12" s="134"/>
      <c r="F12" s="134"/>
      <c r="G12" s="134"/>
      <c r="H12" s="134"/>
      <c r="I12" s="134"/>
    </row>
    <row r="13" spans="1:10">
      <c r="A13" s="2" t="s">
        <v>6</v>
      </c>
      <c r="B13" s="10" t="s">
        <v>13</v>
      </c>
      <c r="D13" s="1"/>
      <c r="E13" s="134"/>
      <c r="F13" s="134"/>
      <c r="G13" s="134"/>
      <c r="H13" s="134"/>
      <c r="I13" s="134"/>
    </row>
    <row r="14" spans="1:10">
      <c r="A14" s="2" t="s">
        <v>8</v>
      </c>
      <c r="B14" s="10" t="s">
        <v>14</v>
      </c>
      <c r="D14" s="1"/>
      <c r="E14" s="134"/>
      <c r="F14" s="134"/>
      <c r="G14" s="134"/>
      <c r="H14" s="134"/>
      <c r="I14" s="134"/>
    </row>
    <row r="15" spans="1:10">
      <c r="A15" s="2" t="s">
        <v>15</v>
      </c>
      <c r="B15" s="10" t="s">
        <v>16</v>
      </c>
      <c r="D15" s="214"/>
      <c r="E15" s="21"/>
      <c r="F15" s="21"/>
      <c r="G15" s="43"/>
      <c r="H15" s="21"/>
    </row>
    <row r="17" spans="1:9">
      <c r="A17" s="2">
        <v>4</v>
      </c>
      <c r="B17" s="8" t="s">
        <v>17</v>
      </c>
    </row>
    <row r="18" spans="1:9">
      <c r="A18" s="2" t="s">
        <v>2</v>
      </c>
      <c r="B18" s="6" t="s">
        <v>18</v>
      </c>
    </row>
    <row r="19" spans="1:9">
      <c r="A19" s="2" t="s">
        <v>4</v>
      </c>
      <c r="B19" s="6" t="s">
        <v>19</v>
      </c>
    </row>
    <row r="20" spans="1:9">
      <c r="A20" s="2" t="s">
        <v>6</v>
      </c>
      <c r="B20" s="6" t="s">
        <v>20</v>
      </c>
    </row>
    <row r="21" spans="1:9">
      <c r="A21" s="2" t="s">
        <v>8</v>
      </c>
      <c r="B21" s="6" t="s">
        <v>21</v>
      </c>
    </row>
    <row r="22" spans="1:9">
      <c r="A22" s="2" t="s">
        <v>22</v>
      </c>
      <c r="B22" s="6" t="s">
        <v>23</v>
      </c>
    </row>
    <row r="23" spans="1:9">
      <c r="F23" s="261"/>
    </row>
    <row r="24" spans="1:9">
      <c r="A24" s="2">
        <v>5</v>
      </c>
      <c r="B24" s="216" t="s">
        <v>24</v>
      </c>
    </row>
    <row r="25" spans="1:9">
      <c r="A25" s="2" t="s">
        <v>2</v>
      </c>
      <c r="B25" s="217" t="s">
        <v>25</v>
      </c>
    </row>
    <row r="26" spans="1:9">
      <c r="A26" s="2" t="s">
        <v>4</v>
      </c>
      <c r="B26" s="217" t="s">
        <v>26</v>
      </c>
    </row>
    <row r="27" spans="1:9">
      <c r="A27" s="2" t="s">
        <v>6</v>
      </c>
      <c r="B27" s="217" t="s">
        <v>27</v>
      </c>
    </row>
    <row r="28" spans="1:9">
      <c r="A28" s="2" t="s">
        <v>8</v>
      </c>
      <c r="B28" s="217" t="s">
        <v>28</v>
      </c>
    </row>
    <row r="29" spans="1:9">
      <c r="C29" s="465" t="s">
        <v>29</v>
      </c>
      <c r="D29" s="461" t="s">
        <v>30</v>
      </c>
      <c r="E29" s="463" t="s">
        <v>31</v>
      </c>
      <c r="F29" s="463"/>
      <c r="G29" s="463"/>
      <c r="H29" s="464"/>
      <c r="I29" s="258"/>
    </row>
    <row r="30" spans="1:9" ht="45" customHeight="1">
      <c r="C30" s="466"/>
      <c r="D30" s="462"/>
      <c r="E30" s="443" t="s">
        <v>32</v>
      </c>
      <c r="F30" s="50" t="s">
        <v>33</v>
      </c>
      <c r="G30" s="443" t="s">
        <v>34</v>
      </c>
      <c r="H30" s="259" t="s">
        <v>35</v>
      </c>
      <c r="I30" s="258"/>
    </row>
    <row r="31" spans="1:9">
      <c r="C31" s="260" t="s">
        <v>36</v>
      </c>
      <c r="D31" s="261">
        <v>302</v>
      </c>
      <c r="E31" s="261">
        <v>130</v>
      </c>
      <c r="F31" s="261">
        <v>6</v>
      </c>
      <c r="G31" s="261">
        <v>121</v>
      </c>
      <c r="H31" s="262">
        <v>54</v>
      </c>
    </row>
    <row r="32" spans="1:9">
      <c r="C32" s="260" t="s">
        <v>37</v>
      </c>
      <c r="D32" s="261">
        <v>18</v>
      </c>
      <c r="E32" s="261">
        <v>4</v>
      </c>
      <c r="F32" s="261">
        <v>11</v>
      </c>
      <c r="G32" s="261">
        <v>1</v>
      </c>
      <c r="H32" s="262">
        <v>2</v>
      </c>
    </row>
    <row r="33" spans="2:8">
      <c r="B33" s="459" t="s">
        <v>38</v>
      </c>
      <c r="C33" s="260" t="s">
        <v>39</v>
      </c>
      <c r="D33" s="261">
        <v>150</v>
      </c>
      <c r="E33" s="263"/>
      <c r="F33" s="261" t="s">
        <v>40</v>
      </c>
      <c r="G33" s="263"/>
      <c r="H33" s="264"/>
    </row>
    <row r="34" spans="2:8">
      <c r="B34" s="459"/>
      <c r="C34" s="260" t="s">
        <v>41</v>
      </c>
      <c r="D34" s="261">
        <v>235</v>
      </c>
      <c r="E34" s="261">
        <v>73</v>
      </c>
      <c r="F34" s="261" t="s">
        <v>40</v>
      </c>
      <c r="G34" s="261" t="s">
        <v>40</v>
      </c>
      <c r="H34" s="262">
        <v>50</v>
      </c>
    </row>
    <row r="35" spans="2:8">
      <c r="B35" s="459"/>
      <c r="C35" s="260" t="s">
        <v>42</v>
      </c>
      <c r="D35" s="261">
        <v>15</v>
      </c>
      <c r="E35" s="261"/>
      <c r="F35" s="261" t="s">
        <v>40</v>
      </c>
      <c r="G35" s="261" t="s">
        <v>40</v>
      </c>
      <c r="H35" s="262">
        <v>9</v>
      </c>
    </row>
    <row r="36" spans="2:8">
      <c r="C36" s="265" t="s">
        <v>43</v>
      </c>
      <c r="D36" s="266">
        <v>9</v>
      </c>
      <c r="E36" s="266"/>
      <c r="F36" s="266" t="s">
        <v>40</v>
      </c>
      <c r="G36" s="266" t="s">
        <v>40</v>
      </c>
      <c r="H36" s="267"/>
    </row>
    <row r="38" spans="2:8">
      <c r="C38" t="s">
        <v>44</v>
      </c>
    </row>
    <row r="40" spans="2:8" ht="15" customHeight="1">
      <c r="C40" s="458" t="s">
        <v>45</v>
      </c>
      <c r="D40" s="458"/>
      <c r="E40" s="458"/>
      <c r="F40" s="458"/>
      <c r="G40" s="458"/>
      <c r="H40" s="458"/>
    </row>
    <row r="41" spans="2:8">
      <c r="C41" s="458"/>
      <c r="D41" s="458"/>
      <c r="E41" s="458"/>
      <c r="F41" s="458"/>
      <c r="G41" s="458"/>
      <c r="H41" s="458"/>
    </row>
    <row r="42" spans="2:8">
      <c r="C42" s="458"/>
      <c r="D42" s="458"/>
      <c r="E42" s="458"/>
      <c r="F42" s="458"/>
      <c r="G42" s="458"/>
      <c r="H42" s="458"/>
    </row>
  </sheetData>
  <mergeCells count="6">
    <mergeCell ref="C40:H42"/>
    <mergeCell ref="B33:B35"/>
    <mergeCell ref="D10:I10"/>
    <mergeCell ref="D29:D30"/>
    <mergeCell ref="E29:H29"/>
    <mergeCell ref="C29:C30"/>
  </mergeCells>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2"/>
  <sheetViews>
    <sheetView zoomScale="55" zoomScaleNormal="55" workbookViewId="0">
      <selection activeCell="C1" sqref="C1:C52"/>
    </sheetView>
  </sheetViews>
  <sheetFormatPr defaultRowHeight="15"/>
  <sheetData>
    <row r="1" spans="1:3">
      <c r="A1" t="s">
        <v>46</v>
      </c>
      <c r="B1" t="s">
        <v>47</v>
      </c>
      <c r="C1" t="s">
        <v>48</v>
      </c>
    </row>
    <row r="2" spans="1:3">
      <c r="A2" t="s">
        <v>49</v>
      </c>
      <c r="B2" s="453">
        <v>0.78814700000000004</v>
      </c>
      <c r="C2">
        <f>+B2*1000</f>
        <v>788.14700000000005</v>
      </c>
    </row>
    <row r="3" spans="1:3">
      <c r="A3" t="s">
        <v>50</v>
      </c>
      <c r="B3" s="453">
        <v>3.1751000000000001E-2</v>
      </c>
      <c r="C3">
        <f>+B3*1000</f>
        <v>31.751000000000001</v>
      </c>
    </row>
    <row r="4" spans="1:3">
      <c r="A4" t="s">
        <v>51</v>
      </c>
      <c r="B4" s="453">
        <v>7.2574E-2</v>
      </c>
      <c r="C4">
        <f>+B4*1000</f>
        <v>72.573999999999998</v>
      </c>
    </row>
    <row r="5" spans="1:3">
      <c r="A5" t="s">
        <v>52</v>
      </c>
      <c r="B5" s="453">
        <v>0.62717299999999998</v>
      </c>
      <c r="C5">
        <f t="shared" ref="C5:C53" si="0">+B5*1000</f>
        <v>627.173</v>
      </c>
    </row>
    <row r="6" spans="1:3">
      <c r="A6" t="s">
        <v>53</v>
      </c>
      <c r="B6" s="453">
        <v>0.154221</v>
      </c>
      <c r="C6">
        <f>+B6*1000</f>
        <v>154.221</v>
      </c>
    </row>
    <row r="7" spans="1:3">
      <c r="A7" t="s">
        <v>54</v>
      </c>
      <c r="B7" s="453">
        <v>0.20683700000000002</v>
      </c>
      <c r="C7">
        <f>+B7*1000</f>
        <v>206.83700000000002</v>
      </c>
    </row>
    <row r="8" spans="1:3">
      <c r="A8" t="s">
        <v>55</v>
      </c>
      <c r="B8" s="453"/>
    </row>
    <row r="9" spans="1:3">
      <c r="A9" t="s">
        <v>56</v>
      </c>
      <c r="B9" s="453"/>
    </row>
    <row r="10" spans="1:3">
      <c r="A10" t="s">
        <v>57</v>
      </c>
      <c r="B10" s="453"/>
    </row>
    <row r="11" spans="1:3">
      <c r="A11" t="s">
        <v>58</v>
      </c>
      <c r="B11" s="453">
        <v>0.68628699999999998</v>
      </c>
      <c r="C11">
        <f t="shared" si="0"/>
        <v>686.28700000000003</v>
      </c>
    </row>
    <row r="12" spans="1:3">
      <c r="A12" t="s">
        <v>59</v>
      </c>
      <c r="B12" s="453">
        <v>1.937154</v>
      </c>
      <c r="C12">
        <f t="shared" si="0"/>
        <v>1937.154</v>
      </c>
    </row>
    <row r="13" spans="1:3">
      <c r="A13" t="s">
        <v>60</v>
      </c>
      <c r="B13" s="453"/>
    </row>
    <row r="14" spans="1:3">
      <c r="A14" t="s">
        <v>61</v>
      </c>
      <c r="B14" s="453">
        <v>0.22739999999999999</v>
      </c>
      <c r="C14">
        <f>+B14*1000</f>
        <v>227.39999999999998</v>
      </c>
    </row>
    <row r="15" spans="1:3">
      <c r="A15" t="s">
        <v>62</v>
      </c>
      <c r="B15" s="453"/>
    </row>
    <row r="16" spans="1:3">
      <c r="A16" t="s">
        <v>63</v>
      </c>
      <c r="B16" s="453">
        <v>8.4365999999999997E-2</v>
      </c>
      <c r="C16">
        <f>+B16*1000</f>
        <v>84.366</v>
      </c>
    </row>
    <row r="17" spans="1:3">
      <c r="A17" t="s">
        <v>64</v>
      </c>
      <c r="B17" s="453">
        <v>2.7215E-2</v>
      </c>
      <c r="C17">
        <f t="shared" si="0"/>
        <v>27.215</v>
      </c>
    </row>
    <row r="18" spans="1:3">
      <c r="A18" t="s">
        <v>65</v>
      </c>
    </row>
    <row r="19" spans="1:3">
      <c r="A19" t="s">
        <v>66</v>
      </c>
      <c r="B19" s="453">
        <v>6.0781000000000002E-2</v>
      </c>
      <c r="C19">
        <f>+B19*1000</f>
        <v>60.780999999999999</v>
      </c>
    </row>
    <row r="20" spans="1:3">
      <c r="A20" t="s">
        <v>67</v>
      </c>
      <c r="B20" s="453">
        <v>0.72435200000000011</v>
      </c>
      <c r="C20">
        <f>+B20*1000</f>
        <v>724.35200000000009</v>
      </c>
    </row>
    <row r="21" spans="1:3">
      <c r="A21" t="s">
        <v>68</v>
      </c>
      <c r="B21" s="453">
        <v>0.21200000000000002</v>
      </c>
      <c r="C21">
        <f>+B21*1000</f>
        <v>212.00000000000003</v>
      </c>
    </row>
    <row r="22" spans="1:3">
      <c r="A22" t="s">
        <v>69</v>
      </c>
    </row>
    <row r="23" spans="1:3">
      <c r="A23" t="s">
        <v>70</v>
      </c>
    </row>
    <row r="24" spans="1:3">
      <c r="A24" t="s">
        <v>71</v>
      </c>
      <c r="B24" s="453">
        <v>0.23139199999999999</v>
      </c>
      <c r="C24">
        <f t="shared" si="0"/>
        <v>231.392</v>
      </c>
    </row>
    <row r="25" spans="1:3">
      <c r="A25" t="s">
        <v>72</v>
      </c>
      <c r="B25" s="453">
        <v>5.4029000000000001E-2</v>
      </c>
      <c r="C25">
        <f t="shared" si="0"/>
        <v>54.029000000000003</v>
      </c>
    </row>
    <row r="26" spans="1:3">
      <c r="A26" t="s">
        <v>73</v>
      </c>
      <c r="B26" s="453">
        <v>0.88772400000000007</v>
      </c>
      <c r="C26">
        <f>+B26*1000</f>
        <v>887.72400000000005</v>
      </c>
    </row>
    <row r="27" spans="1:3">
      <c r="A27" t="s">
        <v>74</v>
      </c>
      <c r="B27" s="453">
        <v>0.14605500000000002</v>
      </c>
      <c r="C27">
        <f t="shared" si="0"/>
        <v>146.05500000000001</v>
      </c>
    </row>
    <row r="28" spans="1:3">
      <c r="A28" t="s">
        <v>75</v>
      </c>
    </row>
    <row r="29" spans="1:3">
      <c r="A29" t="s">
        <v>76</v>
      </c>
      <c r="B29" s="453">
        <v>2.0409999999999998E-2</v>
      </c>
      <c r="C29">
        <f>+B29*1000</f>
        <v>20.409999999999997</v>
      </c>
    </row>
    <row r="30" spans="1:3">
      <c r="A30" t="s">
        <v>77</v>
      </c>
      <c r="B30" s="453"/>
    </row>
    <row r="31" spans="1:3">
      <c r="A31" t="s">
        <v>78</v>
      </c>
      <c r="B31" s="453">
        <v>7.6999999999999999E-2</v>
      </c>
      <c r="C31">
        <f>+B31*1000</f>
        <v>77</v>
      </c>
    </row>
    <row r="32" spans="1:3">
      <c r="A32" t="s">
        <v>79</v>
      </c>
    </row>
    <row r="33" spans="1:3">
      <c r="A33" t="s">
        <v>80</v>
      </c>
      <c r="B33" s="453">
        <v>4.7173E-2</v>
      </c>
      <c r="C33">
        <f>+B33*1000</f>
        <v>47.173000000000002</v>
      </c>
    </row>
    <row r="34" spans="1:3">
      <c r="A34" t="s">
        <v>81</v>
      </c>
      <c r="B34" s="453">
        <v>0.40727999999999998</v>
      </c>
      <c r="C34">
        <f>+B34*1000</f>
        <v>407.28</v>
      </c>
    </row>
    <row r="35" spans="1:3">
      <c r="A35" t="s">
        <v>82</v>
      </c>
      <c r="B35" s="453">
        <v>1.4977180000000001</v>
      </c>
      <c r="C35">
        <f>+B35*1000</f>
        <v>1497.7180000000001</v>
      </c>
    </row>
    <row r="36" spans="1:3">
      <c r="A36" t="s">
        <v>83</v>
      </c>
    </row>
    <row r="37" spans="1:3">
      <c r="A37" t="s">
        <v>84</v>
      </c>
      <c r="B37" s="453">
        <v>0.104325</v>
      </c>
      <c r="C37">
        <f>+B37*1000</f>
        <v>104.325</v>
      </c>
    </row>
    <row r="38" spans="1:3">
      <c r="A38" t="s">
        <v>85</v>
      </c>
    </row>
    <row r="39" spans="1:3">
      <c r="A39" t="s">
        <v>86</v>
      </c>
      <c r="B39" s="453">
        <v>0.26852300000000001</v>
      </c>
      <c r="C39">
        <f t="shared" si="0"/>
        <v>268.52300000000002</v>
      </c>
    </row>
    <row r="40" spans="1:3">
      <c r="A40" t="s">
        <v>87</v>
      </c>
      <c r="B40" s="453">
        <v>0.39910800000000002</v>
      </c>
      <c r="C40">
        <f t="shared" si="0"/>
        <v>399.108</v>
      </c>
    </row>
    <row r="41" spans="1:3">
      <c r="A41" t="s">
        <v>88</v>
      </c>
      <c r="B41" s="453"/>
    </row>
    <row r="42" spans="1:3">
      <c r="A42" t="s">
        <v>89</v>
      </c>
      <c r="B42" s="453">
        <v>0.46266299999999999</v>
      </c>
      <c r="C42">
        <f t="shared" si="0"/>
        <v>462.66300000000001</v>
      </c>
    </row>
    <row r="43" spans="1:3">
      <c r="A43" t="s">
        <v>90</v>
      </c>
      <c r="B43" s="453">
        <v>0.116616</v>
      </c>
      <c r="C43">
        <f t="shared" si="0"/>
        <v>116.616</v>
      </c>
    </row>
    <row r="44" spans="1:3">
      <c r="A44" t="s">
        <v>91</v>
      </c>
      <c r="B44" s="453">
        <v>0.17668499999999998</v>
      </c>
      <c r="C44">
        <f t="shared" si="0"/>
        <v>176.68499999999997</v>
      </c>
    </row>
    <row r="45" spans="1:3">
      <c r="A45" t="s">
        <v>92</v>
      </c>
      <c r="B45" s="453">
        <v>0.57620299999999991</v>
      </c>
      <c r="C45">
        <f t="shared" si="0"/>
        <v>576.20299999999986</v>
      </c>
    </row>
    <row r="46" spans="1:3">
      <c r="A46" t="s">
        <v>93</v>
      </c>
      <c r="B46" s="453">
        <v>7.7108999999999997E-2</v>
      </c>
      <c r="C46">
        <f t="shared" si="0"/>
        <v>77.108999999999995</v>
      </c>
    </row>
    <row r="47" spans="1:3">
      <c r="A47" t="s">
        <v>94</v>
      </c>
      <c r="B47" s="453">
        <v>6.9489999999999996E-2</v>
      </c>
      <c r="C47">
        <f>+B47*1000</f>
        <v>69.489999999999995</v>
      </c>
    </row>
    <row r="48" spans="1:3">
      <c r="A48" t="s">
        <v>95</v>
      </c>
      <c r="B48" s="453">
        <v>1.0932380000000002</v>
      </c>
      <c r="C48">
        <f t="shared" si="0"/>
        <v>1093.2380000000001</v>
      </c>
    </row>
    <row r="49" spans="1:3">
      <c r="A49" t="s">
        <v>96</v>
      </c>
      <c r="B49" s="453">
        <v>7.9830999999999999E-2</v>
      </c>
      <c r="C49">
        <f>+B49*1000</f>
        <v>79.831000000000003</v>
      </c>
    </row>
    <row r="50" spans="1:3">
      <c r="A50" t="s">
        <v>97</v>
      </c>
      <c r="B50" s="453">
        <v>0.173398</v>
      </c>
      <c r="C50">
        <f>+B50*1000</f>
        <v>173.398</v>
      </c>
    </row>
    <row r="51" spans="1:3">
      <c r="A51" t="s">
        <v>98</v>
      </c>
      <c r="B51" s="453">
        <v>0.47409399999999996</v>
      </c>
      <c r="C51">
        <f t="shared" si="0"/>
        <v>474.09399999999994</v>
      </c>
    </row>
    <row r="52" spans="1:3">
      <c r="A52" t="s">
        <v>99</v>
      </c>
      <c r="B52" s="453">
        <v>4.535E-3</v>
      </c>
      <c r="C52">
        <f>+B52*1000</f>
        <v>4.5350000000000001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R33"/>
  <sheetViews>
    <sheetView zoomScaleNormal="100" workbookViewId="0">
      <selection activeCell="A4" sqref="A4"/>
    </sheetView>
  </sheetViews>
  <sheetFormatPr defaultColWidth="8.85546875" defaultRowHeight="15"/>
  <cols>
    <col min="1" max="1" width="56.42578125" customWidth="1"/>
    <col min="2" max="2" width="12.42578125" customWidth="1"/>
    <col min="3" max="7" width="12.140625" bestFit="1" customWidth="1"/>
    <col min="9" max="9" width="20.7109375" customWidth="1"/>
    <col min="10" max="10" width="40.140625" customWidth="1"/>
    <col min="11" max="11" width="25.42578125" customWidth="1"/>
    <col min="12" max="12" width="31.42578125" customWidth="1"/>
    <col min="13" max="13" width="23.42578125" customWidth="1"/>
    <col min="14" max="14" width="17.140625" customWidth="1"/>
    <col min="15" max="15" width="18" customWidth="1"/>
  </cols>
  <sheetData>
    <row r="1" spans="1:18">
      <c r="A1" s="456" t="s">
        <v>100</v>
      </c>
    </row>
    <row r="2" spans="1:18">
      <c r="A2" s="457"/>
    </row>
    <row r="3" spans="1:18" ht="15" customHeight="1">
      <c r="A3" s="3" t="s">
        <v>101</v>
      </c>
      <c r="B3" s="3">
        <v>2010</v>
      </c>
      <c r="C3" s="3">
        <v>2011</v>
      </c>
      <c r="D3" s="3">
        <v>2012</v>
      </c>
      <c r="E3" s="3">
        <v>2013</v>
      </c>
      <c r="F3" s="3">
        <v>2014</v>
      </c>
      <c r="G3" s="3">
        <v>2015</v>
      </c>
      <c r="H3" s="3">
        <v>2016</v>
      </c>
      <c r="I3" s="3" t="s">
        <v>102</v>
      </c>
      <c r="J3" s="3" t="s">
        <v>103</v>
      </c>
      <c r="K3" s="3" t="s">
        <v>104</v>
      </c>
      <c r="L3" s="3" t="s">
        <v>105</v>
      </c>
      <c r="M3" t="s">
        <v>106</v>
      </c>
    </row>
    <row r="4" spans="1:18" ht="15" customHeight="1">
      <c r="A4" s="4" t="s">
        <v>107</v>
      </c>
      <c r="B4" s="219">
        <f>(13298*10^6*76000)/10^12</f>
        <v>1010.648</v>
      </c>
      <c r="C4" s="219">
        <f>(13929*10^6*76000)/10^12</f>
        <v>1058.604</v>
      </c>
      <c r="D4" s="219">
        <f>(13218*10^6*76000)/10^12</f>
        <v>1004.568</v>
      </c>
      <c r="E4" s="219">
        <f>(13293*10^6*76000)/10^12</f>
        <v>1010.268</v>
      </c>
      <c r="F4" s="219">
        <f>(14313*10^6*76000)/10^12</f>
        <v>1087.788</v>
      </c>
      <c r="G4" s="450">
        <f>(14700*10^6*76000)/10^12</f>
        <v>1117.2</v>
      </c>
      <c r="H4" s="55"/>
      <c r="I4" s="4" t="s">
        <v>108</v>
      </c>
      <c r="J4" s="13" t="s">
        <v>109</v>
      </c>
      <c r="K4" s="4"/>
      <c r="L4" s="4"/>
      <c r="M4" s="173" t="s">
        <v>110</v>
      </c>
    </row>
    <row r="5" spans="1:18" ht="15" customHeight="1">
      <c r="A5" s="4" t="s">
        <v>111</v>
      </c>
      <c r="B5" s="219">
        <f>(343000000*137381)/10^12</f>
        <v>47.121682999999997</v>
      </c>
      <c r="C5" s="219">
        <f>(967000000*137381)/10^12</f>
        <v>132.84742700000001</v>
      </c>
      <c r="D5" s="219">
        <f>(991000000*137381)/10^12</f>
        <v>136.14457100000001</v>
      </c>
      <c r="E5" s="219">
        <f>(1359000000*137381)/10^12</f>
        <v>186.70077900000001</v>
      </c>
      <c r="F5" s="219">
        <f>(1279000000*137381)/10^12</f>
        <v>175.71029899999999</v>
      </c>
      <c r="G5" s="219">
        <f>(1263000000*137381)/10^12</f>
        <v>173.512203</v>
      </c>
      <c r="H5" s="55"/>
      <c r="I5" s="4" t="s">
        <v>108</v>
      </c>
      <c r="J5" s="28" t="s">
        <v>112</v>
      </c>
      <c r="K5" s="4"/>
      <c r="L5" s="4"/>
      <c r="M5" t="s">
        <v>113</v>
      </c>
    </row>
    <row r="6" spans="1:18" ht="15" customHeight="1">
      <c r="A6" s="4" t="s">
        <v>114</v>
      </c>
      <c r="B6" s="4">
        <v>27059</v>
      </c>
      <c r="C6" s="12">
        <v>26712</v>
      </c>
      <c r="D6" s="12">
        <v>26219</v>
      </c>
      <c r="E6" s="12">
        <v>26750</v>
      </c>
      <c r="F6" s="12">
        <v>26986</v>
      </c>
      <c r="G6" s="12">
        <v>27600</v>
      </c>
      <c r="H6" s="12">
        <v>21156</v>
      </c>
      <c r="I6" s="4" t="s">
        <v>108</v>
      </c>
      <c r="J6" s="13" t="s">
        <v>115</v>
      </c>
      <c r="K6" s="4"/>
      <c r="L6" s="4"/>
    </row>
    <row r="7" spans="1:18" ht="15" customHeight="1">
      <c r="A7" s="4" t="s">
        <v>116</v>
      </c>
      <c r="B7" s="219">
        <f>(18.92*10^9*3412)/10^12</f>
        <v>64.555040000000005</v>
      </c>
      <c r="C7" s="219">
        <f>(19.22*10^9*3412)/10^12</f>
        <v>65.578639999999993</v>
      </c>
      <c r="D7" s="219">
        <f>(19.82*10^9*3412)/10^12</f>
        <v>67.625839999999997</v>
      </c>
      <c r="E7" s="219">
        <f>(20.83*10^9*3412)/10^12</f>
        <v>71.071960000000004</v>
      </c>
      <c r="F7" s="219">
        <f>(21.65*10^9*3412)/10^12</f>
        <v>73.869799999999998</v>
      </c>
      <c r="G7" s="219">
        <f>(21.83*10^9*3412)/10^12</f>
        <v>74.483959999999996</v>
      </c>
      <c r="H7" s="55"/>
      <c r="I7" s="4" t="s">
        <v>108</v>
      </c>
      <c r="J7" s="53" t="s">
        <v>117</v>
      </c>
      <c r="K7" s="4"/>
      <c r="L7" s="4"/>
      <c r="M7" s="173" t="s">
        <v>118</v>
      </c>
    </row>
    <row r="8" spans="1:18" ht="15" customHeight="1">
      <c r="A8" s="4" t="s">
        <v>119</v>
      </c>
      <c r="B8" s="4">
        <v>4.3</v>
      </c>
      <c r="C8" s="4">
        <v>4.5</v>
      </c>
      <c r="D8" s="4">
        <v>4</v>
      </c>
      <c r="E8" s="4">
        <v>4.2</v>
      </c>
      <c r="F8" s="4">
        <v>4.4000000000000004</v>
      </c>
      <c r="G8" s="4">
        <v>4.0999999999999996</v>
      </c>
      <c r="H8" s="4">
        <v>3.9</v>
      </c>
      <c r="I8" s="4" t="s">
        <v>108</v>
      </c>
      <c r="J8" s="13" t="s">
        <v>120</v>
      </c>
      <c r="K8" s="4"/>
      <c r="L8" s="4"/>
    </row>
    <row r="9" spans="1:18" ht="15" customHeight="1">
      <c r="A9" s="4" t="s">
        <v>121</v>
      </c>
      <c r="B9" s="448">
        <v>1.545636</v>
      </c>
      <c r="C9" s="448">
        <v>2.0540240000000001</v>
      </c>
      <c r="D9" s="448">
        <v>3.03668</v>
      </c>
      <c r="E9" s="448">
        <v>3.6849599999999998</v>
      </c>
      <c r="F9" s="448">
        <v>3.4802399999999998</v>
      </c>
      <c r="G9" s="448">
        <v>3.347172</v>
      </c>
      <c r="H9" s="55"/>
      <c r="I9" s="138" t="s">
        <v>122</v>
      </c>
      <c r="J9" s="317" t="s">
        <v>123</v>
      </c>
      <c r="K9" s="4"/>
      <c r="L9" s="4"/>
      <c r="M9" t="s">
        <v>124</v>
      </c>
    </row>
    <row r="10" spans="1:18" ht="15" customHeight="1">
      <c r="A10" s="6"/>
      <c r="B10" s="6"/>
      <c r="C10" s="6"/>
      <c r="D10" s="6"/>
      <c r="E10" s="6"/>
      <c r="F10" s="6"/>
      <c r="G10" s="6"/>
      <c r="H10" s="6"/>
      <c r="I10" s="6"/>
      <c r="J10" s="6"/>
      <c r="K10" s="6"/>
      <c r="L10" s="6"/>
    </row>
    <row r="11" spans="1:18" ht="15" customHeight="1">
      <c r="A11" s="14" t="s">
        <v>125</v>
      </c>
      <c r="B11" s="14">
        <v>2010</v>
      </c>
      <c r="C11" s="14">
        <v>2011</v>
      </c>
      <c r="D11" s="14">
        <v>2012</v>
      </c>
      <c r="E11" s="14">
        <v>2013</v>
      </c>
      <c r="F11" s="14">
        <v>2014</v>
      </c>
      <c r="G11" s="14">
        <v>2015</v>
      </c>
      <c r="H11" s="14">
        <v>2016</v>
      </c>
      <c r="I11" s="14" t="s">
        <v>102</v>
      </c>
      <c r="J11" s="3" t="s">
        <v>103</v>
      </c>
      <c r="K11" s="3" t="s">
        <v>105</v>
      </c>
      <c r="L11" s="3" t="s">
        <v>126</v>
      </c>
      <c r="M11" s="3" t="s">
        <v>127</v>
      </c>
      <c r="N11" s="3" t="s">
        <v>128</v>
      </c>
      <c r="O11" s="3"/>
    </row>
    <row r="12" spans="1:18">
      <c r="A12" s="4" t="s">
        <v>129</v>
      </c>
      <c r="B12" s="55"/>
      <c r="C12" s="4">
        <v>401600</v>
      </c>
      <c r="D12" s="4">
        <v>382000</v>
      </c>
      <c r="E12" s="4">
        <v>386781</v>
      </c>
      <c r="F12" s="4">
        <v>379214</v>
      </c>
      <c r="G12" s="4">
        <v>357407</v>
      </c>
      <c r="H12" s="55"/>
      <c r="I12" s="4" t="s">
        <v>130</v>
      </c>
      <c r="J12" s="53" t="s">
        <v>131</v>
      </c>
      <c r="K12" s="13" t="s">
        <v>132</v>
      </c>
      <c r="L12" s="13" t="s">
        <v>133</v>
      </c>
      <c r="M12" s="13" t="s">
        <v>134</v>
      </c>
      <c r="N12" s="13" t="s">
        <v>135</v>
      </c>
      <c r="O12" s="19"/>
      <c r="P12" s="4"/>
      <c r="Q12" s="4"/>
      <c r="R12" s="4"/>
    </row>
    <row r="13" spans="1:18">
      <c r="A13" s="4" t="s">
        <v>136</v>
      </c>
      <c r="B13" s="55"/>
      <c r="C13" s="55"/>
      <c r="D13" s="55"/>
      <c r="E13" s="4">
        <v>62000</v>
      </c>
      <c r="F13" s="4">
        <v>54500</v>
      </c>
      <c r="G13" s="4">
        <v>47400</v>
      </c>
      <c r="H13" s="55"/>
      <c r="I13" s="4" t="s">
        <v>137</v>
      </c>
      <c r="J13" s="13" t="s">
        <v>138</v>
      </c>
      <c r="K13" s="38" t="s">
        <v>139</v>
      </c>
      <c r="L13" s="38" t="s">
        <v>140</v>
      </c>
      <c r="M13" s="38" t="s">
        <v>141</v>
      </c>
      <c r="N13" s="38" t="s">
        <v>142</v>
      </c>
    </row>
    <row r="14" spans="1:18">
      <c r="A14" s="4" t="s">
        <v>143</v>
      </c>
      <c r="B14" s="55"/>
      <c r="C14" s="55"/>
      <c r="D14" s="55"/>
      <c r="E14" s="55"/>
      <c r="F14" s="55"/>
      <c r="G14" s="12">
        <v>18031</v>
      </c>
      <c r="H14" s="4">
        <v>30458</v>
      </c>
      <c r="I14" s="4" t="s">
        <v>144</v>
      </c>
      <c r="J14" t="s">
        <v>145</v>
      </c>
      <c r="K14" t="s">
        <v>146</v>
      </c>
    </row>
    <row r="15" spans="1:18">
      <c r="A15" s="4" t="s">
        <v>147</v>
      </c>
      <c r="B15" s="55"/>
      <c r="C15" s="55"/>
      <c r="D15" s="4">
        <v>7000</v>
      </c>
      <c r="E15" s="12">
        <v>14000</v>
      </c>
      <c r="F15" s="55"/>
      <c r="G15" s="55"/>
      <c r="H15" s="55"/>
      <c r="I15" s="4" t="s">
        <v>148</v>
      </c>
      <c r="J15" s="13" t="s">
        <v>149</v>
      </c>
      <c r="K15" s="13" t="s">
        <v>150</v>
      </c>
    </row>
    <row r="16" spans="1:18">
      <c r="A16" s="15" t="s">
        <v>151</v>
      </c>
      <c r="B16" s="57"/>
      <c r="C16" s="57"/>
      <c r="D16" s="57"/>
      <c r="E16" s="57"/>
      <c r="F16" s="57"/>
      <c r="G16" s="57"/>
      <c r="H16" s="57"/>
      <c r="I16" s="15"/>
    </row>
    <row r="17" spans="1:18">
      <c r="A17" s="4" t="s">
        <v>152</v>
      </c>
      <c r="B17" s="55"/>
      <c r="C17" s="4">
        <v>42.4</v>
      </c>
      <c r="D17" s="4">
        <v>43.4</v>
      </c>
      <c r="E17" s="4">
        <v>44</v>
      </c>
      <c r="F17" s="4">
        <v>53</v>
      </c>
      <c r="G17" s="4">
        <v>44</v>
      </c>
      <c r="H17" s="55"/>
      <c r="I17" s="4" t="s">
        <v>130</v>
      </c>
      <c r="J17" s="13" t="s">
        <v>131</v>
      </c>
      <c r="K17" s="13" t="s">
        <v>132</v>
      </c>
      <c r="L17" s="13" t="s">
        <v>133</v>
      </c>
      <c r="M17" s="13" t="s">
        <v>134</v>
      </c>
      <c r="N17" s="13" t="s">
        <v>135</v>
      </c>
      <c r="O17" s="4"/>
      <c r="P17" s="4"/>
      <c r="Q17" s="4"/>
      <c r="R17" s="4"/>
    </row>
    <row r="18" spans="1:18">
      <c r="A18" s="4" t="s">
        <v>153</v>
      </c>
      <c r="B18" s="55"/>
      <c r="C18" s="55"/>
      <c r="D18" s="55"/>
      <c r="E18" s="4">
        <v>16.8</v>
      </c>
      <c r="F18" s="4">
        <v>12.3</v>
      </c>
      <c r="G18" s="4">
        <v>8.4</v>
      </c>
      <c r="H18" s="55"/>
      <c r="I18" s="4" t="s">
        <v>154</v>
      </c>
      <c r="J18" s="38" t="s">
        <v>140</v>
      </c>
      <c r="K18" s="38" t="s">
        <v>141</v>
      </c>
      <c r="L18" s="38" t="s">
        <v>142</v>
      </c>
      <c r="M18" s="38"/>
      <c r="N18" s="38"/>
    </row>
    <row r="19" spans="1:18">
      <c r="A19" s="4" t="s">
        <v>155</v>
      </c>
      <c r="B19" s="55"/>
      <c r="C19" s="55"/>
      <c r="D19" s="55"/>
      <c r="E19" s="55"/>
      <c r="F19" s="55"/>
      <c r="G19" s="55"/>
      <c r="H19" s="55"/>
      <c r="I19" s="4"/>
      <c r="J19" s="4"/>
    </row>
    <row r="20" spans="1:18">
      <c r="A20" s="4" t="s">
        <v>156</v>
      </c>
      <c r="B20" s="55"/>
      <c r="C20" s="4">
        <v>2.7</v>
      </c>
      <c r="D20" s="55"/>
      <c r="E20" s="4">
        <v>5.6</v>
      </c>
      <c r="F20" s="55"/>
      <c r="G20" s="55"/>
      <c r="H20" s="55"/>
      <c r="I20" s="4" t="s">
        <v>148</v>
      </c>
      <c r="J20" s="13" t="s">
        <v>149</v>
      </c>
      <c r="K20" s="38" t="s">
        <v>157</v>
      </c>
    </row>
    <row r="21" spans="1:18">
      <c r="A21" s="4" t="s">
        <v>158</v>
      </c>
      <c r="B21" s="55"/>
      <c r="C21" s="55"/>
      <c r="D21" s="55"/>
      <c r="E21" s="55"/>
      <c r="F21" s="55"/>
      <c r="G21" s="55"/>
      <c r="H21" s="55"/>
      <c r="I21" s="4"/>
      <c r="J21" s="4"/>
    </row>
    <row r="23" spans="1:18">
      <c r="A23" s="1" t="s">
        <v>159</v>
      </c>
    </row>
    <row r="24" spans="1:18">
      <c r="A24" t="s">
        <v>160</v>
      </c>
      <c r="B24" t="s">
        <v>161</v>
      </c>
      <c r="J24" s="451" t="s">
        <v>162</v>
      </c>
    </row>
    <row r="25" spans="1:18">
      <c r="A25" t="s">
        <v>163</v>
      </c>
      <c r="B25" t="s">
        <v>164</v>
      </c>
      <c r="J25">
        <f>76000/120476</f>
        <v>0.63083103688701481</v>
      </c>
    </row>
    <row r="33" spans="8:8">
      <c r="H33">
        <f>1.57*14.7</f>
        <v>23.079000000000001</v>
      </c>
    </row>
  </sheetData>
  <mergeCells count="1">
    <mergeCell ref="A1:A2"/>
  </mergeCells>
  <hyperlinks>
    <hyperlink ref="J5" r:id="rId1" xr:uid="{00000000-0004-0000-0200-000000000000}"/>
    <hyperlink ref="J6" r:id="rId2" xr:uid="{00000000-0004-0000-0200-000001000000}"/>
    <hyperlink ref="J7" r:id="rId3" xr:uid="{00000000-0004-0000-0200-000002000000}"/>
    <hyperlink ref="J8" r:id="rId4" location="summary" xr:uid="{00000000-0004-0000-0200-000003000000}"/>
    <hyperlink ref="J4" r:id="rId5" xr:uid="{00000000-0004-0000-0200-000004000000}"/>
    <hyperlink ref="J9" r:id="rId6" xr:uid="{00000000-0004-0000-0200-000005000000}"/>
    <hyperlink ref="J12" r:id="rId7" xr:uid="{00000000-0004-0000-0200-000006000000}"/>
    <hyperlink ref="K12" r:id="rId8" xr:uid="{00000000-0004-0000-0200-000007000000}"/>
    <hyperlink ref="L12" r:id="rId9" xr:uid="{00000000-0004-0000-0200-000008000000}"/>
    <hyperlink ref="M12" r:id="rId10" xr:uid="{00000000-0004-0000-0200-000009000000}"/>
    <hyperlink ref="N12" r:id="rId11" xr:uid="{00000000-0004-0000-0200-00000A000000}"/>
    <hyperlink ref="J13" r:id="rId12" xr:uid="{00000000-0004-0000-0200-00000B000000}"/>
    <hyperlink ref="K13" r:id="rId13" xr:uid="{00000000-0004-0000-0200-00000C000000}"/>
    <hyperlink ref="L13" r:id="rId14" xr:uid="{00000000-0004-0000-0200-00000D000000}"/>
    <hyperlink ref="M13" r:id="rId15" xr:uid="{00000000-0004-0000-0200-00000E000000}"/>
    <hyperlink ref="N13" r:id="rId16" xr:uid="{00000000-0004-0000-0200-00000F000000}"/>
    <hyperlink ref="J15" r:id="rId17" xr:uid="{00000000-0004-0000-0200-000010000000}"/>
    <hyperlink ref="K15" r:id="rId18" xr:uid="{00000000-0004-0000-0200-000011000000}"/>
    <hyperlink ref="J17" r:id="rId19" xr:uid="{00000000-0004-0000-0200-000012000000}"/>
    <hyperlink ref="K17" r:id="rId20" xr:uid="{00000000-0004-0000-0200-000013000000}"/>
    <hyperlink ref="L17" r:id="rId21" xr:uid="{00000000-0004-0000-0200-000014000000}"/>
    <hyperlink ref="M17" r:id="rId22" xr:uid="{00000000-0004-0000-0200-000015000000}"/>
    <hyperlink ref="N17" r:id="rId23" xr:uid="{00000000-0004-0000-0200-000016000000}"/>
    <hyperlink ref="J18" r:id="rId24" xr:uid="{00000000-0004-0000-0200-000017000000}"/>
    <hyperlink ref="K18" r:id="rId25" xr:uid="{00000000-0004-0000-0200-000018000000}"/>
    <hyperlink ref="J20" r:id="rId26" xr:uid="{00000000-0004-0000-0200-000019000000}"/>
    <hyperlink ref="K20" r:id="rId27" xr:uid="{00000000-0004-0000-0200-00001A000000}"/>
  </hyperlinks>
  <pageMargins left="0.7" right="0.7" top="0.75" bottom="0.75" header="0.3" footer="0.3"/>
  <pageSetup orientation="portrait" r:id="rId2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R39"/>
  <sheetViews>
    <sheetView topLeftCell="A82" zoomScale="55" zoomScaleNormal="55" zoomScalePageLayoutView="94" workbookViewId="0">
      <selection activeCell="A16" sqref="A16:G16"/>
    </sheetView>
  </sheetViews>
  <sheetFormatPr defaultColWidth="8.85546875" defaultRowHeight="15"/>
  <cols>
    <col min="1" max="1" width="61.5703125" customWidth="1"/>
    <col min="2" max="3" width="12.140625" bestFit="1" customWidth="1"/>
    <col min="4" max="4" width="18.140625" customWidth="1"/>
    <col min="5" max="7" width="12.140625" bestFit="1" customWidth="1"/>
    <col min="9" max="9" width="20.7109375" customWidth="1"/>
    <col min="10" max="10" width="40.140625" customWidth="1"/>
    <col min="11" max="11" width="46.42578125" customWidth="1"/>
    <col min="12" max="12" width="31.42578125" customWidth="1"/>
    <col min="13" max="13" width="18.85546875" customWidth="1"/>
  </cols>
  <sheetData>
    <row r="1" spans="1:14">
      <c r="A1" s="456" t="s">
        <v>165</v>
      </c>
    </row>
    <row r="2" spans="1:14">
      <c r="A2" s="457"/>
    </row>
    <row r="3" spans="1:14">
      <c r="A3" s="3" t="s">
        <v>101</v>
      </c>
      <c r="B3" s="3">
        <v>2010</v>
      </c>
      <c r="C3" s="3">
        <v>2011</v>
      </c>
      <c r="D3" s="3">
        <v>2012</v>
      </c>
      <c r="E3" s="3">
        <v>2013</v>
      </c>
      <c r="F3" s="3">
        <v>2014</v>
      </c>
      <c r="G3" s="3">
        <v>2015</v>
      </c>
      <c r="H3" s="3">
        <v>2016</v>
      </c>
      <c r="I3" s="14" t="s">
        <v>102</v>
      </c>
      <c r="J3" s="3" t="s">
        <v>103</v>
      </c>
      <c r="K3" s="3" t="s">
        <v>104</v>
      </c>
      <c r="L3" s="3" t="s">
        <v>105</v>
      </c>
      <c r="M3" t="s">
        <v>166</v>
      </c>
      <c r="N3" t="s">
        <v>167</v>
      </c>
    </row>
    <row r="4" spans="1:14">
      <c r="A4" s="4" t="s">
        <v>168</v>
      </c>
      <c r="B4" s="55"/>
      <c r="C4" s="4">
        <v>193</v>
      </c>
      <c r="D4" s="4">
        <v>194</v>
      </c>
      <c r="E4" s="4">
        <v>193</v>
      </c>
      <c r="F4" s="4">
        <v>192</v>
      </c>
      <c r="G4" s="4">
        <v>198</v>
      </c>
      <c r="H4" s="16">
        <v>199</v>
      </c>
      <c r="I4" s="4" t="s">
        <v>130</v>
      </c>
      <c r="J4" s="53" t="s">
        <v>169</v>
      </c>
      <c r="K4" s="13" t="s">
        <v>131</v>
      </c>
      <c r="L4" s="13" t="s">
        <v>132</v>
      </c>
      <c r="M4" s="38" t="s">
        <v>133</v>
      </c>
    </row>
    <row r="5" spans="1:14">
      <c r="A5" s="4" t="s">
        <v>170</v>
      </c>
      <c r="B5" s="55"/>
      <c r="C5" s="55"/>
      <c r="D5" s="55"/>
      <c r="E5" s="55"/>
      <c r="F5" s="55"/>
      <c r="G5" s="4">
        <v>6</v>
      </c>
      <c r="H5" s="16">
        <v>9</v>
      </c>
      <c r="I5" s="4" t="s">
        <v>108</v>
      </c>
      <c r="J5" s="53" t="s">
        <v>169</v>
      </c>
      <c r="K5" s="4"/>
      <c r="L5" s="4"/>
    </row>
    <row r="6" spans="1:14">
      <c r="A6" s="4" t="s">
        <v>171</v>
      </c>
      <c r="B6" s="55"/>
      <c r="C6" s="55"/>
      <c r="D6" s="55"/>
      <c r="E6" s="55"/>
      <c r="F6" s="4">
        <v>2</v>
      </c>
      <c r="G6" s="4">
        <v>2</v>
      </c>
      <c r="H6" s="16">
        <v>2</v>
      </c>
      <c r="I6" s="4" t="s">
        <v>108</v>
      </c>
      <c r="J6" s="53" t="s">
        <v>169</v>
      </c>
      <c r="K6" s="4"/>
      <c r="L6" s="4"/>
    </row>
    <row r="7" spans="1:14">
      <c r="A7" s="4" t="s">
        <v>172</v>
      </c>
      <c r="B7" s="55"/>
      <c r="C7" s="55"/>
      <c r="D7" s="55"/>
      <c r="E7" s="55"/>
      <c r="F7" s="4">
        <v>2</v>
      </c>
      <c r="G7" s="4">
        <v>4</v>
      </c>
      <c r="H7" s="16">
        <v>9</v>
      </c>
      <c r="I7" s="4" t="s">
        <v>108</v>
      </c>
      <c r="J7" s="53" t="s">
        <v>169</v>
      </c>
      <c r="K7" s="4"/>
      <c r="L7" s="4"/>
    </row>
    <row r="8" spans="1:14">
      <c r="A8" s="4" t="s">
        <v>173</v>
      </c>
      <c r="B8" s="55"/>
      <c r="C8" s="55"/>
      <c r="D8" s="25">
        <v>29</v>
      </c>
      <c r="E8" s="25">
        <v>29</v>
      </c>
      <c r="F8" s="4">
        <v>28</v>
      </c>
      <c r="G8" s="4">
        <v>29</v>
      </c>
      <c r="H8" s="16">
        <v>29</v>
      </c>
      <c r="I8" s="15" t="s">
        <v>130</v>
      </c>
      <c r="J8" s="53" t="s">
        <v>131</v>
      </c>
      <c r="K8" s="53" t="s">
        <v>169</v>
      </c>
      <c r="L8" s="13" t="s">
        <v>133</v>
      </c>
      <c r="M8" s="38" t="s">
        <v>134</v>
      </c>
      <c r="N8" s="38" t="s">
        <v>135</v>
      </c>
    </row>
    <row r="9" spans="1:14">
      <c r="A9" s="4" t="s">
        <v>174</v>
      </c>
      <c r="B9" s="55"/>
      <c r="C9" s="5"/>
      <c r="D9" s="5"/>
      <c r="E9" s="5"/>
      <c r="F9" s="25">
        <v>7</v>
      </c>
      <c r="G9" s="25">
        <v>3</v>
      </c>
      <c r="H9" s="331">
        <v>3</v>
      </c>
      <c r="I9" s="4" t="s">
        <v>130</v>
      </c>
      <c r="J9" s="53" t="s">
        <v>131</v>
      </c>
      <c r="K9" s="13" t="s">
        <v>132</v>
      </c>
      <c r="L9" s="13" t="s">
        <v>133</v>
      </c>
    </row>
    <row r="10" spans="1:14">
      <c r="A10" s="6"/>
      <c r="B10" s="6"/>
      <c r="C10" s="6"/>
      <c r="D10" s="6"/>
      <c r="E10" s="6"/>
      <c r="F10" s="6"/>
      <c r="G10" s="6"/>
      <c r="H10" s="6"/>
      <c r="I10" s="6"/>
      <c r="J10" s="6"/>
      <c r="K10" s="6"/>
      <c r="L10" s="6"/>
    </row>
    <row r="11" spans="1:14">
      <c r="A11" s="3" t="s">
        <v>175</v>
      </c>
      <c r="B11" s="3">
        <v>2010</v>
      </c>
      <c r="C11" s="3">
        <v>2011</v>
      </c>
      <c r="D11" s="3">
        <v>2012</v>
      </c>
      <c r="E11" s="3">
        <v>2013</v>
      </c>
      <c r="F11" s="3">
        <v>2014</v>
      </c>
      <c r="G11" s="3">
        <v>2015</v>
      </c>
      <c r="H11" s="3">
        <v>2016</v>
      </c>
      <c r="I11" s="3" t="s">
        <v>102</v>
      </c>
      <c r="J11" s="3" t="s">
        <v>103</v>
      </c>
      <c r="K11" s="3" t="s">
        <v>104</v>
      </c>
      <c r="L11" s="3" t="s">
        <v>105</v>
      </c>
    </row>
    <row r="12" spans="1:14">
      <c r="A12" s="4" t="s">
        <v>176</v>
      </c>
      <c r="B12" s="137">
        <v>13.298</v>
      </c>
      <c r="C12" s="137">
        <v>13.929</v>
      </c>
      <c r="D12" s="137">
        <v>13.218</v>
      </c>
      <c r="E12" s="137">
        <v>13.292999999999999</v>
      </c>
      <c r="F12" s="137">
        <v>14.313000000000001</v>
      </c>
      <c r="G12" s="137">
        <v>14.7</v>
      </c>
      <c r="H12" s="55"/>
      <c r="I12" s="4" t="s">
        <v>108</v>
      </c>
      <c r="J12" s="13" t="s">
        <v>109</v>
      </c>
      <c r="K12" s="4"/>
      <c r="L12" s="4"/>
    </row>
    <row r="13" spans="1:14">
      <c r="A13" s="4" t="s">
        <v>177</v>
      </c>
      <c r="B13" s="219">
        <f>15666000/1000000000</f>
        <v>1.5665999999999999E-2</v>
      </c>
      <c r="C13" s="219">
        <f>171864000/1000000000</f>
        <v>0.17186399999999999</v>
      </c>
      <c r="D13" s="219">
        <f>494130000/1000000000</f>
        <v>0.49413000000000001</v>
      </c>
      <c r="E13" s="219">
        <f>376992000/1000000000</f>
        <v>0.37699199999999999</v>
      </c>
      <c r="F13" s="219">
        <f>74676000/1000000000</f>
        <v>7.4676000000000006E-2</v>
      </c>
      <c r="G13" s="219">
        <f>91518000/1000000000</f>
        <v>9.1518000000000002E-2</v>
      </c>
      <c r="H13" s="55"/>
      <c r="I13" s="4" t="s">
        <v>178</v>
      </c>
      <c r="J13" s="13" t="s">
        <v>179</v>
      </c>
      <c r="K13" s="4"/>
      <c r="L13" s="4"/>
    </row>
    <row r="14" spans="1:14">
      <c r="A14" s="4" t="s">
        <v>180</v>
      </c>
      <c r="B14" s="220">
        <f>398580000/1000000000</f>
        <v>0.39857999999999999</v>
      </c>
      <c r="C14" s="220">
        <f>1195194000/1000000000</f>
        <v>1.1951940000000001</v>
      </c>
      <c r="D14" s="220">
        <f>741552000/1000000000</f>
        <v>0.74155199999999999</v>
      </c>
      <c r="E14" s="220">
        <f>618996000/1000000000</f>
        <v>0.61899599999999999</v>
      </c>
      <c r="F14" s="220">
        <f>846216000/1000000000</f>
        <v>0.84621599999999997</v>
      </c>
      <c r="G14" s="220">
        <f>827148000/1000000000</f>
        <v>0.82714799999999999</v>
      </c>
      <c r="H14" s="57"/>
      <c r="I14" s="15" t="s">
        <v>178</v>
      </c>
      <c r="J14" s="35" t="s">
        <v>181</v>
      </c>
      <c r="K14" s="4"/>
      <c r="L14" s="4"/>
    </row>
    <row r="15" spans="1:14">
      <c r="A15" s="16" t="s">
        <v>182</v>
      </c>
      <c r="B15" s="137">
        <v>13.244</v>
      </c>
      <c r="C15" s="137">
        <v>14.089</v>
      </c>
      <c r="D15" s="137">
        <v>12.955</v>
      </c>
      <c r="E15" s="137">
        <v>13.032999999999999</v>
      </c>
      <c r="F15" s="137">
        <v>14.026999999999999</v>
      </c>
      <c r="G15" s="137">
        <v>14.51</v>
      </c>
      <c r="H15" s="55"/>
      <c r="I15" s="4" t="s">
        <v>183</v>
      </c>
      <c r="J15" s="13" t="s">
        <v>184</v>
      </c>
      <c r="K15" s="17"/>
      <c r="L15" s="4"/>
    </row>
    <row r="16" spans="1:14" ht="13.7" customHeight="1">
      <c r="A16" s="4" t="s">
        <v>185</v>
      </c>
      <c r="B16" s="449">
        <v>12.858000000000001</v>
      </c>
      <c r="C16" s="449">
        <v>12.893000000000001</v>
      </c>
      <c r="D16" s="449">
        <v>12.882</v>
      </c>
      <c r="E16" s="449">
        <v>13.215999999999999</v>
      </c>
      <c r="F16" s="449">
        <v>13.444000000000001</v>
      </c>
      <c r="G16" s="449">
        <v>13.946999999999999</v>
      </c>
      <c r="H16" s="37">
        <v>10.765000000000001</v>
      </c>
      <c r="I16" s="60" t="s">
        <v>108</v>
      </c>
      <c r="J16" s="36" t="s">
        <v>186</v>
      </c>
      <c r="K16" s="4"/>
      <c r="L16" s="4"/>
    </row>
    <row r="17" spans="1:18">
      <c r="A17" s="4" t="s">
        <v>187</v>
      </c>
      <c r="B17" s="55"/>
      <c r="C17" s="55"/>
      <c r="D17" s="55"/>
      <c r="E17" s="55"/>
      <c r="F17" s="55"/>
      <c r="G17" s="55"/>
      <c r="H17" s="56"/>
      <c r="I17" s="4"/>
      <c r="J17" s="17"/>
      <c r="K17" s="4"/>
      <c r="L17" s="4"/>
    </row>
    <row r="18" spans="1:18">
      <c r="A18" s="4" t="s">
        <v>188</v>
      </c>
      <c r="B18" s="55"/>
      <c r="C18" s="55"/>
      <c r="D18" s="55"/>
      <c r="E18" s="55"/>
      <c r="F18" s="55"/>
      <c r="G18" s="364">
        <v>0.98</v>
      </c>
      <c r="H18" s="332">
        <v>0.98</v>
      </c>
      <c r="I18" s="4"/>
      <c r="J18" s="17"/>
      <c r="K18" s="4"/>
      <c r="L18" s="4"/>
    </row>
    <row r="19" spans="1:18">
      <c r="A19" s="4" t="s">
        <v>189</v>
      </c>
      <c r="B19" s="12">
        <v>4.5910000000000002</v>
      </c>
      <c r="C19" s="12">
        <v>5.0190000000000001</v>
      </c>
      <c r="D19" s="12">
        <v>5</v>
      </c>
      <c r="E19" s="12">
        <v>4.641</v>
      </c>
      <c r="F19" s="12">
        <v>5.1239999999999997</v>
      </c>
      <c r="G19" s="12">
        <v>5.2</v>
      </c>
      <c r="H19" s="52">
        <v>5.2060000000000004</v>
      </c>
      <c r="I19" s="4" t="s">
        <v>183</v>
      </c>
      <c r="J19" s="53" t="s">
        <v>184</v>
      </c>
      <c r="K19" s="4"/>
      <c r="L19" s="4"/>
    </row>
    <row r="20" spans="1:18">
      <c r="A20" s="4" t="s">
        <v>190</v>
      </c>
      <c r="B20" s="4">
        <v>1.6E-2</v>
      </c>
      <c r="C20" s="4">
        <v>0.114</v>
      </c>
      <c r="D20" s="4">
        <v>0.40799999999999997</v>
      </c>
      <c r="E20" s="4">
        <v>0.71299999999999997</v>
      </c>
      <c r="F20" s="4">
        <v>0.95899999999999996</v>
      </c>
      <c r="G20" s="4">
        <v>1.208</v>
      </c>
      <c r="H20" s="16">
        <v>1.454</v>
      </c>
      <c r="I20" s="4" t="s">
        <v>191</v>
      </c>
      <c r="J20" s="53" t="s">
        <v>192</v>
      </c>
      <c r="K20" s="4"/>
      <c r="L20" s="4"/>
    </row>
    <row r="21" spans="1:18">
      <c r="A21" s="4" t="s">
        <v>193</v>
      </c>
      <c r="B21" s="55"/>
      <c r="C21" s="4">
        <v>1</v>
      </c>
      <c r="D21" s="4">
        <v>1</v>
      </c>
      <c r="E21" s="4">
        <v>1</v>
      </c>
      <c r="F21" s="4">
        <v>1</v>
      </c>
      <c r="G21" s="4">
        <v>1</v>
      </c>
      <c r="H21" s="16">
        <v>2</v>
      </c>
      <c r="I21" s="4"/>
      <c r="J21" s="53" t="s">
        <v>194</v>
      </c>
      <c r="K21" s="4"/>
      <c r="L21" s="4"/>
    </row>
    <row r="22" spans="1:18">
      <c r="A22" s="4" t="s">
        <v>195</v>
      </c>
      <c r="B22" s="55"/>
      <c r="C22" s="4">
        <v>2</v>
      </c>
      <c r="D22" s="4">
        <v>2</v>
      </c>
      <c r="E22" s="4">
        <v>2</v>
      </c>
      <c r="F22" s="4">
        <v>2</v>
      </c>
      <c r="G22" s="4">
        <v>2</v>
      </c>
      <c r="H22" s="4">
        <v>2</v>
      </c>
      <c r="I22" s="4"/>
      <c r="J22" s="53" t="s">
        <v>194</v>
      </c>
      <c r="K22" s="4"/>
      <c r="L22" s="4"/>
    </row>
    <row r="23" spans="1:18">
      <c r="A23" s="4" t="s">
        <v>196</v>
      </c>
      <c r="B23" s="55"/>
      <c r="C23" s="55"/>
      <c r="D23" s="55"/>
      <c r="E23" s="55"/>
      <c r="F23" s="55"/>
      <c r="G23" s="55"/>
      <c r="H23" s="56"/>
      <c r="I23" s="4"/>
      <c r="J23" s="17"/>
      <c r="K23" s="4"/>
      <c r="L23" s="4"/>
    </row>
    <row r="24" spans="1:18">
      <c r="A24" s="4" t="s">
        <v>197</v>
      </c>
      <c r="B24" s="55"/>
      <c r="C24" s="55"/>
      <c r="D24" s="55"/>
      <c r="E24" s="55"/>
      <c r="F24" s="55"/>
      <c r="G24" s="55"/>
      <c r="H24" s="16">
        <v>10</v>
      </c>
      <c r="I24" s="4"/>
      <c r="J24" s="53" t="s">
        <v>198</v>
      </c>
      <c r="K24" s="4"/>
      <c r="L24" s="4"/>
    </row>
    <row r="25" spans="1:18">
      <c r="A25" s="4" t="s">
        <v>199</v>
      </c>
      <c r="B25" s="55"/>
      <c r="C25" s="55"/>
      <c r="D25" s="55"/>
      <c r="E25" s="55"/>
      <c r="F25" s="55"/>
      <c r="G25" s="55"/>
      <c r="H25" s="56"/>
      <c r="I25" s="4"/>
      <c r="J25" s="17"/>
      <c r="K25" s="4"/>
      <c r="L25" s="4"/>
    </row>
    <row r="26" spans="1:18">
      <c r="A26" s="6"/>
      <c r="B26" s="6"/>
      <c r="C26" s="6"/>
      <c r="D26" s="6"/>
      <c r="E26" s="6"/>
      <c r="F26" s="6"/>
      <c r="G26" s="6"/>
      <c r="H26" s="6"/>
      <c r="I26" s="6"/>
      <c r="J26" s="6"/>
      <c r="K26" s="6"/>
      <c r="L26" s="6"/>
    </row>
    <row r="27" spans="1:18">
      <c r="A27" s="14" t="s">
        <v>125</v>
      </c>
      <c r="B27" s="14">
        <v>2010</v>
      </c>
      <c r="C27" s="14">
        <v>2011</v>
      </c>
      <c r="D27" s="14">
        <v>2012</v>
      </c>
      <c r="E27" s="14">
        <v>2013</v>
      </c>
      <c r="F27" s="14">
        <v>2014</v>
      </c>
      <c r="G27" s="14">
        <v>2015</v>
      </c>
      <c r="H27" s="14">
        <v>2016</v>
      </c>
      <c r="I27" s="14" t="s">
        <v>102</v>
      </c>
      <c r="J27" s="14" t="s">
        <v>103</v>
      </c>
      <c r="K27" s="14" t="s">
        <v>104</v>
      </c>
      <c r="L27" s="14" t="s">
        <v>105</v>
      </c>
      <c r="M27" s="14" t="s">
        <v>200</v>
      </c>
      <c r="N27" t="s">
        <v>167</v>
      </c>
      <c r="O27" t="s">
        <v>201</v>
      </c>
      <c r="P27" t="s">
        <v>202</v>
      </c>
    </row>
    <row r="28" spans="1:18">
      <c r="A28" s="4" t="s">
        <v>203</v>
      </c>
      <c r="B28" s="55"/>
      <c r="C28" s="364">
        <v>0.95</v>
      </c>
      <c r="D28" s="364">
        <v>0.95</v>
      </c>
      <c r="E28" s="364">
        <v>0.96</v>
      </c>
      <c r="F28" s="364">
        <v>0.96</v>
      </c>
      <c r="G28" s="364">
        <v>0.97</v>
      </c>
      <c r="H28" s="364">
        <v>0.97</v>
      </c>
      <c r="I28" s="4" t="s">
        <v>130</v>
      </c>
      <c r="J28" s="13" t="s">
        <v>131</v>
      </c>
      <c r="K28" s="13" t="s">
        <v>132</v>
      </c>
      <c r="L28" s="13" t="s">
        <v>133</v>
      </c>
      <c r="M28" s="13" t="s">
        <v>134</v>
      </c>
      <c r="N28" s="13" t="s">
        <v>135</v>
      </c>
      <c r="O28" s="4"/>
      <c r="P28" s="4"/>
      <c r="Q28" s="4"/>
      <c r="R28" s="4"/>
    </row>
    <row r="29" spans="1:18">
      <c r="A29" s="4" t="s">
        <v>204</v>
      </c>
      <c r="B29" s="55"/>
      <c r="C29" s="364">
        <v>0.1</v>
      </c>
      <c r="D29" s="364">
        <v>0.1</v>
      </c>
      <c r="E29" s="312">
        <v>0.1</v>
      </c>
      <c r="F29" s="312">
        <v>0.1</v>
      </c>
      <c r="G29" s="312">
        <v>0.1</v>
      </c>
      <c r="H29" s="312">
        <v>0.1</v>
      </c>
      <c r="I29" s="4" t="s">
        <v>130</v>
      </c>
      <c r="J29" s="13" t="s">
        <v>131</v>
      </c>
      <c r="K29" s="13" t="s">
        <v>132</v>
      </c>
      <c r="L29" s="13" t="s">
        <v>133</v>
      </c>
      <c r="M29" s="13" t="s">
        <v>134</v>
      </c>
      <c r="N29" s="13" t="s">
        <v>135</v>
      </c>
      <c r="O29" s="4"/>
      <c r="P29" s="4"/>
      <c r="Q29" s="4"/>
      <c r="R29" s="4"/>
    </row>
    <row r="30" spans="1:18">
      <c r="A30" s="4" t="s">
        <v>205</v>
      </c>
      <c r="B30" s="55"/>
      <c r="C30" s="4">
        <v>90200</v>
      </c>
      <c r="D30" s="4">
        <v>87000</v>
      </c>
      <c r="E30" s="4">
        <v>86504</v>
      </c>
      <c r="F30" s="4">
        <v>83949</v>
      </c>
      <c r="G30" s="4">
        <v>85967</v>
      </c>
      <c r="H30" s="55"/>
      <c r="I30" s="4" t="s">
        <v>130</v>
      </c>
      <c r="J30" s="13" t="s">
        <v>131</v>
      </c>
      <c r="K30" s="13" t="s">
        <v>132</v>
      </c>
      <c r="L30" s="13" t="s">
        <v>133</v>
      </c>
      <c r="M30" s="13" t="s">
        <v>134</v>
      </c>
      <c r="N30" s="13" t="s">
        <v>135</v>
      </c>
      <c r="O30" s="4"/>
      <c r="P30" s="4"/>
      <c r="Q30" s="4"/>
      <c r="R30" s="4"/>
    </row>
    <row r="31" spans="1:18" ht="30">
      <c r="A31" s="34" t="s">
        <v>206</v>
      </c>
      <c r="B31" s="55"/>
      <c r="C31" s="4">
        <v>311400</v>
      </c>
      <c r="D31" s="4">
        <v>295000</v>
      </c>
      <c r="E31" s="4">
        <v>300277</v>
      </c>
      <c r="F31" s="4">
        <v>295265</v>
      </c>
      <c r="G31" s="4">
        <v>271440</v>
      </c>
      <c r="H31" s="55"/>
      <c r="I31" s="4" t="s">
        <v>130</v>
      </c>
      <c r="J31" s="13" t="s">
        <v>131</v>
      </c>
      <c r="K31" s="13" t="s">
        <v>132</v>
      </c>
      <c r="L31" s="13" t="s">
        <v>133</v>
      </c>
      <c r="M31" s="13" t="s">
        <v>134</v>
      </c>
      <c r="N31" s="13" t="s">
        <v>135</v>
      </c>
      <c r="O31" s="4"/>
      <c r="P31" s="4"/>
      <c r="Q31" s="4"/>
      <c r="R31" s="4"/>
    </row>
    <row r="32" spans="1:18">
      <c r="A32" s="4" t="s">
        <v>207</v>
      </c>
      <c r="B32" s="55"/>
      <c r="C32" s="4">
        <v>42.4</v>
      </c>
      <c r="D32" s="4">
        <v>43.4</v>
      </c>
      <c r="E32" s="4">
        <v>44</v>
      </c>
      <c r="F32" s="4">
        <v>53</v>
      </c>
      <c r="G32" s="4">
        <v>44</v>
      </c>
      <c r="H32" s="55"/>
      <c r="I32" s="4" t="s">
        <v>130</v>
      </c>
      <c r="J32" s="13" t="s">
        <v>131</v>
      </c>
      <c r="K32" s="13" t="s">
        <v>132</v>
      </c>
      <c r="L32" s="13" t="s">
        <v>133</v>
      </c>
      <c r="M32" s="13" t="s">
        <v>134</v>
      </c>
      <c r="N32" s="13" t="s">
        <v>135</v>
      </c>
      <c r="O32" s="4"/>
      <c r="P32" s="4"/>
      <c r="Q32" s="4"/>
      <c r="R32" s="4"/>
    </row>
    <row r="33" spans="1:18">
      <c r="A33" s="4" t="s">
        <v>208</v>
      </c>
      <c r="B33" s="55"/>
      <c r="C33" s="4">
        <v>29.9</v>
      </c>
      <c r="D33" s="4">
        <v>30.2</v>
      </c>
      <c r="E33" s="4">
        <v>31</v>
      </c>
      <c r="F33" s="4">
        <v>27</v>
      </c>
      <c r="G33" s="4">
        <v>24</v>
      </c>
      <c r="H33" s="55"/>
      <c r="I33" s="4" t="s">
        <v>130</v>
      </c>
      <c r="J33" s="13" t="s">
        <v>131</v>
      </c>
      <c r="K33" s="13" t="s">
        <v>132</v>
      </c>
      <c r="L33" s="13" t="s">
        <v>133</v>
      </c>
      <c r="M33" s="13" t="s">
        <v>134</v>
      </c>
      <c r="N33" s="13" t="s">
        <v>135</v>
      </c>
      <c r="O33" s="4"/>
      <c r="P33" s="4"/>
      <c r="Q33" s="4"/>
      <c r="R33" s="4"/>
    </row>
    <row r="34" spans="1:18">
      <c r="A34" s="15" t="s">
        <v>209</v>
      </c>
      <c r="B34" s="57"/>
      <c r="C34" s="15">
        <v>8</v>
      </c>
      <c r="D34" s="15">
        <v>7.9</v>
      </c>
      <c r="E34" s="15">
        <v>8.3000000000000007</v>
      </c>
      <c r="F34" s="15">
        <v>10.3</v>
      </c>
      <c r="G34" s="15">
        <v>10</v>
      </c>
      <c r="H34" s="57"/>
      <c r="I34" s="15" t="s">
        <v>130</v>
      </c>
      <c r="J34" s="35" t="s">
        <v>131</v>
      </c>
      <c r="K34" s="13" t="s">
        <v>132</v>
      </c>
      <c r="L34" s="13" t="s">
        <v>133</v>
      </c>
      <c r="M34" s="13" t="s">
        <v>134</v>
      </c>
      <c r="N34" s="13" t="s">
        <v>135</v>
      </c>
      <c r="O34" s="13" t="s">
        <v>210</v>
      </c>
      <c r="P34" s="13" t="s">
        <v>211</v>
      </c>
      <c r="Q34" s="4"/>
      <c r="R34" s="4"/>
    </row>
    <row r="35" spans="1:18">
      <c r="A35" s="16" t="s">
        <v>212</v>
      </c>
      <c r="B35" s="4">
        <v>1.84</v>
      </c>
      <c r="C35" s="17">
        <v>2.56</v>
      </c>
      <c r="D35" s="4">
        <v>2.5</v>
      </c>
      <c r="E35" s="4">
        <v>2.5</v>
      </c>
      <c r="F35" s="4">
        <v>2.39</v>
      </c>
      <c r="G35" s="4">
        <v>1.82</v>
      </c>
      <c r="H35" s="4">
        <v>1.55</v>
      </c>
      <c r="I35" s="4"/>
      <c r="J35" s="53" t="s">
        <v>184</v>
      </c>
      <c r="K35" s="168"/>
      <c r="L35" s="168"/>
      <c r="M35" s="168"/>
      <c r="N35" s="168"/>
      <c r="O35" s="168"/>
      <c r="P35" s="168"/>
    </row>
    <row r="37" spans="1:18">
      <c r="A37" t="s">
        <v>213</v>
      </c>
    </row>
    <row r="38" spans="1:18">
      <c r="A38" t="s">
        <v>214</v>
      </c>
    </row>
    <row r="39" spans="1:18">
      <c r="A39" t="s">
        <v>215</v>
      </c>
    </row>
  </sheetData>
  <mergeCells count="1">
    <mergeCell ref="A1:A2"/>
  </mergeCells>
  <hyperlinks>
    <hyperlink ref="J12" r:id="rId1" xr:uid="{00000000-0004-0000-0300-000000000000}"/>
    <hyperlink ref="J13" r:id="rId2" xr:uid="{00000000-0004-0000-0300-000001000000}"/>
    <hyperlink ref="J14" r:id="rId3" xr:uid="{00000000-0004-0000-0300-000002000000}"/>
    <hyperlink ref="J16" r:id="rId4" xr:uid="{00000000-0004-0000-0300-000003000000}"/>
    <hyperlink ref="J5:J8" r:id="rId5" display="http://www.eia.gov/petroleum/ethanolcapacity/" xr:uid="{00000000-0004-0000-0300-000004000000}"/>
    <hyperlink ref="J15" r:id="rId6" xr:uid="{00000000-0004-0000-0300-000005000000}"/>
    <hyperlink ref="J19" r:id="rId7" xr:uid="{00000000-0004-0000-0300-000006000000}"/>
    <hyperlink ref="J20" r:id="rId8" xr:uid="{00000000-0004-0000-0300-000007000000}"/>
    <hyperlink ref="J21" r:id="rId9" xr:uid="{00000000-0004-0000-0300-000008000000}"/>
    <hyperlink ref="J24" r:id="rId10" xr:uid="{00000000-0004-0000-0300-000009000000}"/>
    <hyperlink ref="J22" r:id="rId11" xr:uid="{00000000-0004-0000-0300-00000A000000}"/>
    <hyperlink ref="J9" r:id="rId12" xr:uid="{00000000-0004-0000-0300-00000B000000}"/>
    <hyperlink ref="J8" r:id="rId13" xr:uid="{00000000-0004-0000-0300-00000C000000}"/>
    <hyperlink ref="J4" r:id="rId14" xr:uid="{00000000-0004-0000-0300-00000D000000}"/>
    <hyperlink ref="K4" r:id="rId15" xr:uid="{00000000-0004-0000-0300-00000E000000}"/>
    <hyperlink ref="K8" r:id="rId16" xr:uid="{00000000-0004-0000-0300-00000F000000}"/>
    <hyperlink ref="J28" r:id="rId17" xr:uid="{00000000-0004-0000-0300-000010000000}"/>
    <hyperlink ref="J29" r:id="rId18" xr:uid="{00000000-0004-0000-0300-000011000000}"/>
    <hyperlink ref="J30" r:id="rId19" xr:uid="{00000000-0004-0000-0300-000012000000}"/>
    <hyperlink ref="J31" r:id="rId20" xr:uid="{00000000-0004-0000-0300-000013000000}"/>
    <hyperlink ref="J32" r:id="rId21" xr:uid="{00000000-0004-0000-0300-000014000000}"/>
    <hyperlink ref="J33" r:id="rId22" xr:uid="{00000000-0004-0000-0300-000015000000}"/>
    <hyperlink ref="J34" r:id="rId23" xr:uid="{00000000-0004-0000-0300-000016000000}"/>
    <hyperlink ref="K9" r:id="rId24" xr:uid="{00000000-0004-0000-0300-000017000000}"/>
    <hyperlink ref="L4" r:id="rId25" xr:uid="{00000000-0004-0000-0300-000018000000}"/>
    <hyperlink ref="K28" r:id="rId26" xr:uid="{00000000-0004-0000-0300-000019000000}"/>
    <hyperlink ref="K29:K34" r:id="rId27" display="http://www.ethanolrfa.org/wp-content/uploads/2015/09/23d732bf7dea55d299_3wm6b6wwl.pdf" xr:uid="{00000000-0004-0000-0300-00001A000000}"/>
    <hyperlink ref="M4" r:id="rId28" xr:uid="{00000000-0004-0000-0300-00001B000000}"/>
    <hyperlink ref="L9" r:id="rId29" xr:uid="{00000000-0004-0000-0300-00001C000000}"/>
    <hyperlink ref="L8" r:id="rId30" xr:uid="{00000000-0004-0000-0300-00001D000000}"/>
    <hyperlink ref="L28" r:id="rId31" xr:uid="{00000000-0004-0000-0300-00001E000000}"/>
    <hyperlink ref="L29:L34" r:id="rId32" display="http://www.ethanolrfa.org/wp-content/uploads/2015/09/2014-Pocket-Guide-to-Ethanol.pdf" xr:uid="{00000000-0004-0000-0300-00001F000000}"/>
    <hyperlink ref="M8" r:id="rId33" xr:uid="{00000000-0004-0000-0300-000020000000}"/>
    <hyperlink ref="M28" r:id="rId34" xr:uid="{00000000-0004-0000-0300-000021000000}"/>
    <hyperlink ref="M29:M34" r:id="rId35" display="http://ethanolrfa.3cdn.net/8fabfbf8fbcb08d399_xom6injp6.pdf" xr:uid="{00000000-0004-0000-0300-000022000000}"/>
    <hyperlink ref="N8" r:id="rId36" xr:uid="{00000000-0004-0000-0300-000023000000}"/>
    <hyperlink ref="N28" r:id="rId37" xr:uid="{00000000-0004-0000-0300-000024000000}"/>
    <hyperlink ref="N29:N34" r:id="rId38" display="http://ethanolrfa.3cdn.net/d775222feae8a2c6fd_bem6bkqtv.pdf" xr:uid="{00000000-0004-0000-0300-000025000000}"/>
    <hyperlink ref="O34" r:id="rId39" xr:uid="{00000000-0004-0000-0300-000026000000}"/>
    <hyperlink ref="P34" r:id="rId40" xr:uid="{00000000-0004-0000-0300-000027000000}"/>
    <hyperlink ref="J35" r:id="rId41" xr:uid="{00000000-0004-0000-0300-000028000000}"/>
  </hyperlinks>
  <pageMargins left="0.7" right="0.7" top="0.75" bottom="0.75" header="0.3" footer="0.3"/>
  <drawing r:id="rId4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Q65"/>
  <sheetViews>
    <sheetView topLeftCell="A9" zoomScaleNormal="100" workbookViewId="0">
      <selection activeCell="B13" sqref="B13"/>
    </sheetView>
  </sheetViews>
  <sheetFormatPr defaultColWidth="8.85546875" defaultRowHeight="15"/>
  <cols>
    <col min="1" max="1" width="64.7109375" customWidth="1"/>
    <col min="2" max="2" width="11.28515625" bestFit="1" customWidth="1"/>
    <col min="3" max="7" width="11.140625" bestFit="1" customWidth="1"/>
    <col min="9" max="9" width="9" customWidth="1"/>
    <col min="10" max="10" width="9.5703125" customWidth="1"/>
    <col min="11" max="11" width="8.42578125" customWidth="1"/>
    <col min="12" max="12" width="9.7109375" customWidth="1"/>
  </cols>
  <sheetData>
    <row r="1" spans="1:12">
      <c r="A1" s="456" t="s">
        <v>216</v>
      </c>
    </row>
    <row r="2" spans="1:12">
      <c r="A2" s="457"/>
    </row>
    <row r="3" spans="1:12">
      <c r="A3" s="3" t="s">
        <v>101</v>
      </c>
      <c r="B3" s="3">
        <v>2010</v>
      </c>
      <c r="C3" s="3">
        <v>2011</v>
      </c>
      <c r="D3" s="3">
        <v>2012</v>
      </c>
      <c r="E3" s="3">
        <v>2013</v>
      </c>
      <c r="F3" s="3">
        <v>2014</v>
      </c>
      <c r="G3" s="3">
        <v>2015</v>
      </c>
      <c r="H3" s="3">
        <v>2016</v>
      </c>
      <c r="I3" s="3" t="s">
        <v>102</v>
      </c>
      <c r="J3" s="3" t="s">
        <v>103</v>
      </c>
      <c r="K3" s="3" t="s">
        <v>104</v>
      </c>
      <c r="L3" s="3" t="s">
        <v>105</v>
      </c>
    </row>
    <row r="4" spans="1:12">
      <c r="A4" s="4" t="s">
        <v>217</v>
      </c>
      <c r="B4" s="55"/>
      <c r="C4" s="4">
        <v>103</v>
      </c>
      <c r="D4" s="4">
        <v>112</v>
      </c>
      <c r="E4" s="4">
        <v>115</v>
      </c>
      <c r="F4" s="4">
        <v>99</v>
      </c>
      <c r="G4" s="4">
        <v>94</v>
      </c>
      <c r="H4" s="4">
        <v>97</v>
      </c>
      <c r="I4" s="4" t="s">
        <v>108</v>
      </c>
      <c r="J4" s="13" t="s">
        <v>218</v>
      </c>
      <c r="K4" s="4"/>
      <c r="L4" s="4"/>
    </row>
    <row r="5" spans="1:12">
      <c r="A5" s="4" t="s">
        <v>219</v>
      </c>
      <c r="B5" s="55"/>
      <c r="C5" s="55"/>
      <c r="D5" s="55"/>
      <c r="E5" s="55"/>
      <c r="F5" s="55"/>
      <c r="G5" s="55"/>
      <c r="H5" s="4">
        <v>6</v>
      </c>
      <c r="I5" s="4" t="s">
        <v>220</v>
      </c>
      <c r="J5" s="13" t="s">
        <v>221</v>
      </c>
      <c r="K5" s="4"/>
      <c r="L5" s="4"/>
    </row>
    <row r="6" spans="1:12">
      <c r="A6" s="4" t="s">
        <v>170</v>
      </c>
      <c r="B6" s="179"/>
      <c r="C6" s="179"/>
      <c r="D6" s="179"/>
      <c r="E6" s="179"/>
      <c r="F6" s="179"/>
      <c r="G6" s="179"/>
      <c r="H6" s="179"/>
      <c r="I6" s="4"/>
      <c r="J6" s="4"/>
      <c r="K6" s="4"/>
      <c r="L6" s="4"/>
    </row>
    <row r="7" spans="1:12">
      <c r="A7" s="4" t="s">
        <v>171</v>
      </c>
      <c r="B7" s="179"/>
      <c r="C7" s="179"/>
      <c r="D7" s="179"/>
      <c r="E7" s="179"/>
      <c r="F7" s="179"/>
      <c r="G7" s="179"/>
      <c r="H7" s="179"/>
      <c r="I7" s="4"/>
      <c r="J7" s="4"/>
      <c r="K7" s="4"/>
      <c r="L7" s="4"/>
    </row>
    <row r="8" spans="1:12">
      <c r="A8" s="4" t="s">
        <v>172</v>
      </c>
      <c r="B8" s="179"/>
      <c r="C8" s="179"/>
      <c r="D8" s="179"/>
      <c r="E8" s="179"/>
      <c r="F8" s="179"/>
      <c r="G8" s="179"/>
      <c r="H8" s="179"/>
      <c r="I8" s="4"/>
      <c r="J8" s="4"/>
      <c r="K8" s="4"/>
      <c r="L8" s="4"/>
    </row>
    <row r="9" spans="1:12">
      <c r="A9" s="4" t="s">
        <v>222</v>
      </c>
      <c r="B9" s="55"/>
      <c r="C9" s="4">
        <v>35</v>
      </c>
      <c r="D9" s="4">
        <v>37</v>
      </c>
      <c r="E9" s="4">
        <v>38</v>
      </c>
      <c r="F9" s="4">
        <v>35</v>
      </c>
      <c r="G9" s="4">
        <v>36</v>
      </c>
      <c r="H9" s="4">
        <v>37</v>
      </c>
      <c r="I9" s="4" t="s">
        <v>108</v>
      </c>
      <c r="J9" s="13" t="s">
        <v>218</v>
      </c>
      <c r="K9" s="4"/>
      <c r="L9" s="4"/>
    </row>
    <row r="10" spans="1:12">
      <c r="A10" s="4" t="s">
        <v>174</v>
      </c>
      <c r="B10" s="5"/>
      <c r="C10" s="5"/>
      <c r="D10" s="5"/>
      <c r="E10" s="5"/>
      <c r="F10" s="5"/>
      <c r="G10" s="5"/>
      <c r="H10" s="4">
        <v>15</v>
      </c>
      <c r="I10" s="4" t="s">
        <v>220</v>
      </c>
      <c r="J10" s="13" t="s">
        <v>223</v>
      </c>
      <c r="K10" s="4"/>
      <c r="L10" s="4"/>
    </row>
    <row r="11" spans="1:12">
      <c r="A11" s="6"/>
      <c r="B11" s="6"/>
      <c r="C11" s="6"/>
      <c r="D11" s="6"/>
      <c r="E11" s="6"/>
      <c r="F11" s="6"/>
      <c r="G11" s="6"/>
      <c r="H11" s="6"/>
      <c r="I11" s="6"/>
      <c r="J11" s="6"/>
      <c r="K11" s="6"/>
      <c r="L11" s="6"/>
    </row>
    <row r="12" spans="1:12">
      <c r="A12" s="3" t="s">
        <v>175</v>
      </c>
      <c r="B12" s="3">
        <v>2010</v>
      </c>
      <c r="C12" s="3">
        <v>2011</v>
      </c>
      <c r="D12" s="3">
        <v>2012</v>
      </c>
      <c r="E12" s="3">
        <v>2013</v>
      </c>
      <c r="F12" s="3">
        <v>2014</v>
      </c>
      <c r="G12" s="3">
        <v>2015</v>
      </c>
      <c r="H12" s="3">
        <v>2016</v>
      </c>
      <c r="I12" s="3" t="s">
        <v>102</v>
      </c>
      <c r="J12" s="3" t="s">
        <v>103</v>
      </c>
      <c r="K12" s="3" t="s">
        <v>104</v>
      </c>
      <c r="L12" s="3" t="s">
        <v>105</v>
      </c>
    </row>
    <row r="13" spans="1:12">
      <c r="A13" s="4" t="s">
        <v>224</v>
      </c>
      <c r="B13" s="4">
        <f>343000000/1000000</f>
        <v>343</v>
      </c>
      <c r="C13" s="4">
        <f>967000000/1000000</f>
        <v>967</v>
      </c>
      <c r="D13" s="4">
        <f>991000000/1000000</f>
        <v>991</v>
      </c>
      <c r="E13" s="4">
        <f>1359000000/1000000</f>
        <v>1359</v>
      </c>
      <c r="F13" s="4">
        <f>1279000000/1000000</f>
        <v>1279</v>
      </c>
      <c r="G13" s="4">
        <f>1263000000/1000000</f>
        <v>1263</v>
      </c>
      <c r="H13" s="55"/>
      <c r="I13" s="4" t="s">
        <v>108</v>
      </c>
      <c r="J13" s="13" t="s">
        <v>112</v>
      </c>
      <c r="K13" s="4"/>
      <c r="L13" s="4"/>
    </row>
    <row r="14" spans="1:12">
      <c r="A14" s="4" t="s">
        <v>225</v>
      </c>
      <c r="B14" s="4">
        <f>23686000/1000000</f>
        <v>23.686</v>
      </c>
      <c r="C14" s="4">
        <f>37396000/1000000</f>
        <v>37.396000000000001</v>
      </c>
      <c r="D14" s="4">
        <f>35826000/1000000</f>
        <v>35.826000000000001</v>
      </c>
      <c r="E14" s="4">
        <f>342384000/1000000</f>
        <v>342.38400000000001</v>
      </c>
      <c r="F14" s="4">
        <f>192276000/1000000</f>
        <v>192.27600000000001</v>
      </c>
      <c r="G14" s="4">
        <f>334194000/1000000</f>
        <v>334.19400000000002</v>
      </c>
      <c r="H14" s="55"/>
      <c r="I14" s="4" t="s">
        <v>108</v>
      </c>
      <c r="J14" s="13" t="s">
        <v>226</v>
      </c>
      <c r="K14" s="4"/>
      <c r="L14" s="4"/>
    </row>
    <row r="15" spans="1:12">
      <c r="A15" s="4" t="s">
        <v>227</v>
      </c>
      <c r="B15" s="4">
        <f>2588000000/1000000</f>
        <v>2588</v>
      </c>
      <c r="C15" s="4">
        <f>1799000000/1000000</f>
        <v>1799</v>
      </c>
      <c r="D15" s="4">
        <f>3056000000/1000000</f>
        <v>3056</v>
      </c>
      <c r="E15" s="4">
        <f>4675000000/1000000</f>
        <v>4675</v>
      </c>
      <c r="F15" s="4">
        <f>1974000000/1000000</f>
        <v>1974</v>
      </c>
      <c r="G15" s="4">
        <f>2093000000/1000000</f>
        <v>2093</v>
      </c>
      <c r="H15" s="55"/>
      <c r="I15" s="4" t="s">
        <v>108</v>
      </c>
      <c r="J15" s="13" t="s">
        <v>228</v>
      </c>
      <c r="K15" s="4"/>
      <c r="L15" s="4"/>
    </row>
    <row r="16" spans="1:12">
      <c r="A16" s="4" t="s">
        <v>229</v>
      </c>
      <c r="B16" s="4">
        <v>2151</v>
      </c>
      <c r="C16" s="4">
        <v>2442</v>
      </c>
      <c r="D16" s="4">
        <v>2553</v>
      </c>
      <c r="E16" s="4">
        <v>2639</v>
      </c>
      <c r="F16" s="4">
        <v>2840</v>
      </c>
      <c r="G16" s="4">
        <v>2990</v>
      </c>
      <c r="H16" s="4">
        <v>3090</v>
      </c>
      <c r="I16" s="4" t="s">
        <v>183</v>
      </c>
      <c r="J16" s="13" t="s">
        <v>184</v>
      </c>
      <c r="K16" s="4"/>
      <c r="L16" s="4"/>
    </row>
    <row r="17" spans="1:14">
      <c r="A17" s="4" t="s">
        <v>230</v>
      </c>
      <c r="B17" s="137">
        <v>0.26007000000000002</v>
      </c>
      <c r="C17" s="137">
        <v>0.87336999999999998</v>
      </c>
      <c r="D17" s="137">
        <v>0.89905000000000002</v>
      </c>
      <c r="E17" s="137">
        <v>1.4288400000000001</v>
      </c>
      <c r="F17" s="137">
        <v>1.4168499999999999</v>
      </c>
      <c r="G17" s="137">
        <v>1.4802500000000001</v>
      </c>
      <c r="H17" s="55"/>
      <c r="I17" s="4" t="s">
        <v>183</v>
      </c>
      <c r="J17" s="13" t="s">
        <v>184</v>
      </c>
      <c r="K17" s="4"/>
      <c r="L17" s="4"/>
    </row>
    <row r="18" spans="1:14" ht="13.7" customHeight="1">
      <c r="A18" s="4" t="s">
        <v>231</v>
      </c>
      <c r="B18" s="18">
        <v>0.13691900000000001</v>
      </c>
      <c r="C18" s="4">
        <v>0.15973599999999999</v>
      </c>
      <c r="D18" s="4">
        <v>0.21168500000000001</v>
      </c>
      <c r="E18" s="4">
        <v>0.35634300000000002</v>
      </c>
      <c r="F18" s="4">
        <v>0.21440700000000001</v>
      </c>
      <c r="G18" s="4">
        <v>0.24812299999999998</v>
      </c>
      <c r="H18" s="55"/>
      <c r="I18" s="4" t="s">
        <v>183</v>
      </c>
      <c r="J18" s="13" t="s">
        <v>184</v>
      </c>
      <c r="K18" s="4"/>
      <c r="L18" s="4"/>
    </row>
    <row r="19" spans="1:14">
      <c r="A19" s="16" t="s">
        <v>232</v>
      </c>
      <c r="B19" s="55"/>
      <c r="C19" s="55"/>
      <c r="D19" s="55"/>
      <c r="E19" s="55"/>
      <c r="F19" s="55"/>
      <c r="G19" s="55"/>
      <c r="H19" s="4">
        <v>35</v>
      </c>
      <c r="I19" s="4"/>
      <c r="J19" s="13" t="s">
        <v>233</v>
      </c>
      <c r="K19" s="4"/>
      <c r="L19" s="4"/>
    </row>
    <row r="20" spans="1:14">
      <c r="A20" s="16" t="s">
        <v>234</v>
      </c>
      <c r="B20" s="55"/>
      <c r="C20" s="159"/>
      <c r="D20" s="55"/>
      <c r="E20" s="55"/>
      <c r="F20" s="55"/>
      <c r="G20" s="55"/>
      <c r="H20" s="4">
        <v>5</v>
      </c>
      <c r="I20" s="4"/>
      <c r="J20" s="13" t="s">
        <v>233</v>
      </c>
      <c r="K20" s="4"/>
      <c r="L20" s="4"/>
    </row>
    <row r="21" spans="1:14">
      <c r="A21" s="16" t="s">
        <v>235</v>
      </c>
      <c r="B21" s="55"/>
      <c r="C21" s="159"/>
      <c r="D21" s="55"/>
      <c r="E21" s="55"/>
      <c r="F21" s="55"/>
      <c r="G21" s="55"/>
      <c r="H21" s="4">
        <v>57</v>
      </c>
      <c r="I21" s="4"/>
      <c r="J21" s="13" t="s">
        <v>233</v>
      </c>
      <c r="K21" s="4"/>
      <c r="L21" s="4"/>
    </row>
    <row r="22" spans="1:14">
      <c r="A22" s="16" t="s">
        <v>236</v>
      </c>
      <c r="B22" s="55"/>
      <c r="C22" s="159"/>
      <c r="D22" s="55"/>
      <c r="E22" s="55"/>
      <c r="F22" s="55"/>
      <c r="G22" s="55"/>
      <c r="H22" s="4">
        <v>12</v>
      </c>
      <c r="I22" s="4"/>
      <c r="J22" s="13" t="s">
        <v>233</v>
      </c>
      <c r="K22" s="4"/>
      <c r="L22" s="4"/>
    </row>
    <row r="23" spans="1:14">
      <c r="A23" s="16" t="s">
        <v>237</v>
      </c>
      <c r="B23" s="55"/>
      <c r="C23" s="159"/>
      <c r="D23" s="55"/>
      <c r="E23" s="55"/>
      <c r="F23" s="55"/>
      <c r="G23" s="55"/>
      <c r="H23" s="4">
        <v>5</v>
      </c>
      <c r="I23" s="4"/>
      <c r="J23" s="13" t="s">
        <v>233</v>
      </c>
      <c r="K23" s="4"/>
      <c r="L23" s="4"/>
    </row>
    <row r="24" spans="1:14">
      <c r="A24" s="16" t="s">
        <v>238</v>
      </c>
      <c r="B24" s="55"/>
      <c r="C24" s="159"/>
      <c r="D24" s="55"/>
      <c r="E24" s="55"/>
      <c r="F24" s="55"/>
      <c r="G24" s="55"/>
      <c r="H24" s="4">
        <v>2</v>
      </c>
      <c r="I24" s="4"/>
      <c r="J24" s="13" t="s">
        <v>233</v>
      </c>
      <c r="K24" s="4"/>
      <c r="L24" s="4"/>
    </row>
    <row r="25" spans="1:14">
      <c r="A25" s="16" t="s">
        <v>239</v>
      </c>
      <c r="B25" s="55"/>
      <c r="C25" s="159"/>
      <c r="D25" s="55"/>
      <c r="E25" s="55"/>
      <c r="F25" s="55"/>
      <c r="G25" s="55"/>
      <c r="H25" s="4">
        <v>11</v>
      </c>
      <c r="I25" s="4"/>
      <c r="J25" s="13" t="s">
        <v>233</v>
      </c>
      <c r="K25" s="4"/>
      <c r="L25" s="4"/>
    </row>
    <row r="26" spans="1:14">
      <c r="A26" s="16" t="s">
        <v>240</v>
      </c>
      <c r="B26" s="55"/>
      <c r="C26" s="159"/>
      <c r="D26" s="55"/>
      <c r="E26" s="55"/>
      <c r="F26" s="55"/>
      <c r="G26" s="55"/>
      <c r="H26" s="4">
        <v>20</v>
      </c>
      <c r="I26" s="4"/>
      <c r="J26" s="13" t="s">
        <v>233</v>
      </c>
      <c r="K26" s="4"/>
      <c r="L26" s="4"/>
    </row>
    <row r="27" spans="1:14">
      <c r="A27" s="16" t="s">
        <v>241</v>
      </c>
      <c r="B27" s="55"/>
      <c r="C27" s="159"/>
      <c r="D27" s="55"/>
      <c r="E27" s="55"/>
      <c r="F27" s="55"/>
      <c r="G27" s="55"/>
      <c r="H27" s="4">
        <v>14</v>
      </c>
      <c r="I27" s="4"/>
      <c r="J27" s="13" t="s">
        <v>233</v>
      </c>
      <c r="K27" s="4"/>
      <c r="L27" s="4"/>
    </row>
    <row r="28" spans="1:14">
      <c r="A28" s="6"/>
      <c r="B28" s="6"/>
      <c r="C28" s="6"/>
      <c r="D28" s="6"/>
      <c r="E28" s="6"/>
      <c r="F28" s="6"/>
      <c r="G28" s="6"/>
      <c r="H28" s="6"/>
      <c r="I28" s="6"/>
      <c r="J28" s="6"/>
      <c r="K28" s="6"/>
      <c r="L28" s="6"/>
    </row>
    <row r="29" spans="1:14">
      <c r="A29" s="3" t="s">
        <v>125</v>
      </c>
      <c r="B29" s="3">
        <v>2010</v>
      </c>
      <c r="C29" s="3">
        <v>2011</v>
      </c>
      <c r="D29" s="3">
        <v>2012</v>
      </c>
      <c r="E29" s="3">
        <v>2013</v>
      </c>
      <c r="F29" s="3">
        <v>2014</v>
      </c>
      <c r="G29" s="3">
        <v>2015</v>
      </c>
      <c r="H29" s="3">
        <v>2016</v>
      </c>
      <c r="I29" s="3" t="s">
        <v>102</v>
      </c>
      <c r="J29" s="3" t="s">
        <v>103</v>
      </c>
      <c r="K29" s="112" t="s">
        <v>104</v>
      </c>
      <c r="L29" s="3" t="s">
        <v>105</v>
      </c>
    </row>
    <row r="30" spans="1:14">
      <c r="A30" s="4" t="s">
        <v>242</v>
      </c>
      <c r="B30" s="55"/>
      <c r="C30" s="55"/>
      <c r="D30" s="55"/>
      <c r="E30" s="4">
        <v>62000</v>
      </c>
      <c r="F30" s="4">
        <v>54500</v>
      </c>
      <c r="G30" s="4">
        <v>47400</v>
      </c>
      <c r="H30" s="55"/>
      <c r="I30" s="4"/>
      <c r="J30" s="13" t="s">
        <v>138</v>
      </c>
      <c r="K30" s="38" t="s">
        <v>139</v>
      </c>
      <c r="L30" s="38" t="s">
        <v>140</v>
      </c>
      <c r="M30" s="38" t="s">
        <v>141</v>
      </c>
      <c r="N30" s="38" t="s">
        <v>142</v>
      </c>
    </row>
    <row r="31" spans="1:14">
      <c r="A31" s="4" t="s">
        <v>207</v>
      </c>
      <c r="B31" s="55"/>
      <c r="C31" s="55"/>
      <c r="D31" s="55"/>
      <c r="E31" s="4">
        <v>16.8</v>
      </c>
      <c r="F31" s="4">
        <v>12.3</v>
      </c>
      <c r="G31" s="4">
        <v>8.4</v>
      </c>
      <c r="H31" s="55"/>
      <c r="I31" s="4"/>
      <c r="J31" s="4"/>
      <c r="L31" s="38" t="s">
        <v>140</v>
      </c>
      <c r="M31" s="38" t="s">
        <v>141</v>
      </c>
      <c r="N31" s="38" t="s">
        <v>142</v>
      </c>
    </row>
    <row r="32" spans="1:14">
      <c r="A32" s="4" t="s">
        <v>208</v>
      </c>
      <c r="B32" s="55"/>
      <c r="C32" s="55"/>
      <c r="D32" s="55"/>
      <c r="E32" s="4">
        <v>2.6</v>
      </c>
      <c r="F32" s="4">
        <v>2.2999999999999998</v>
      </c>
      <c r="G32" s="4">
        <v>1.9</v>
      </c>
      <c r="H32" s="55"/>
      <c r="I32" s="4"/>
      <c r="J32" s="13" t="s">
        <v>138</v>
      </c>
      <c r="L32" s="38" t="s">
        <v>140</v>
      </c>
      <c r="M32" s="38" t="s">
        <v>141</v>
      </c>
      <c r="N32" s="38" t="s">
        <v>142</v>
      </c>
    </row>
    <row r="33" spans="1:17">
      <c r="A33" s="15" t="s">
        <v>209</v>
      </c>
      <c r="B33" s="57"/>
      <c r="C33" s="57"/>
      <c r="D33" s="57"/>
      <c r="E33" s="57"/>
      <c r="F33" s="57"/>
      <c r="G33" s="57"/>
      <c r="H33" s="57"/>
      <c r="I33" s="15"/>
      <c r="J33" s="15"/>
    </row>
    <row r="34" spans="1:17" s="4" customFormat="1">
      <c r="A34" s="4" t="s">
        <v>243</v>
      </c>
      <c r="B34" s="4">
        <v>2.8</v>
      </c>
      <c r="C34" s="4">
        <v>3.53</v>
      </c>
      <c r="D34" s="4">
        <v>3.69</v>
      </c>
      <c r="E34" s="4">
        <v>3.67</v>
      </c>
      <c r="F34" s="4">
        <v>3.6</v>
      </c>
      <c r="G34" s="4">
        <v>2.64</v>
      </c>
      <c r="H34" s="4">
        <v>2.17</v>
      </c>
      <c r="J34" s="13" t="s">
        <v>244</v>
      </c>
    </row>
    <row r="36" spans="1:17">
      <c r="A36" t="s">
        <v>213</v>
      </c>
    </row>
    <row r="37" spans="1:17">
      <c r="A37" t="s">
        <v>214</v>
      </c>
    </row>
    <row r="38" spans="1:17">
      <c r="A38" t="s">
        <v>215</v>
      </c>
    </row>
    <row r="40" spans="1:17" s="1" customFormat="1">
      <c r="B40" s="1">
        <v>2001</v>
      </c>
      <c r="C40" s="1">
        <v>2002</v>
      </c>
      <c r="D40" s="1">
        <v>2003</v>
      </c>
      <c r="E40" s="1">
        <v>2004</v>
      </c>
      <c r="F40" s="1">
        <v>2005</v>
      </c>
      <c r="G40" s="1">
        <v>2006</v>
      </c>
      <c r="H40" s="1">
        <v>2007</v>
      </c>
      <c r="I40" s="1">
        <v>2008</v>
      </c>
      <c r="J40" s="1">
        <v>2009</v>
      </c>
      <c r="K40" s="1">
        <v>2010</v>
      </c>
      <c r="L40" s="1">
        <v>2011</v>
      </c>
      <c r="M40" s="1">
        <v>2012</v>
      </c>
      <c r="N40" s="1">
        <v>2013</v>
      </c>
      <c r="O40" s="1">
        <v>2014</v>
      </c>
      <c r="P40" s="1">
        <v>2015</v>
      </c>
      <c r="Q40" s="1">
        <v>2016</v>
      </c>
    </row>
    <row r="41" spans="1:17">
      <c r="A41" t="s">
        <v>245</v>
      </c>
      <c r="B41" s="452">
        <v>8.5769999999999996E-3</v>
      </c>
      <c r="C41" s="452">
        <v>1.0484E-2</v>
      </c>
      <c r="D41" s="452">
        <v>1.421E-2</v>
      </c>
      <c r="E41" s="452">
        <v>2.7982E-2</v>
      </c>
      <c r="F41" s="452">
        <v>9.0787000000000007E-2</v>
      </c>
      <c r="G41" s="452">
        <v>0.25043899999999997</v>
      </c>
      <c r="H41" s="452">
        <v>0.48982500000000001</v>
      </c>
      <c r="I41" s="452">
        <v>0.67810599999999999</v>
      </c>
      <c r="J41" s="452">
        <v>0.51580499999999996</v>
      </c>
      <c r="K41" s="452">
        <v>0.343445</v>
      </c>
      <c r="L41" s="452">
        <v>0.96748100000000004</v>
      </c>
      <c r="M41" s="452">
        <v>0.99071100000000001</v>
      </c>
      <c r="N41" s="452">
        <v>1.359456</v>
      </c>
      <c r="O41" s="452">
        <v>1.2789780000000002</v>
      </c>
      <c r="P41" s="452">
        <v>1.263347</v>
      </c>
      <c r="Q41" s="452">
        <v>1.5677300000000001</v>
      </c>
    </row>
    <row r="42" spans="1:17">
      <c r="A42" t="s">
        <v>246</v>
      </c>
      <c r="B42" s="452">
        <v>1.0268000000000001E-2</v>
      </c>
      <c r="C42" s="452">
        <v>1.6361000000000001E-2</v>
      </c>
      <c r="D42" s="452">
        <v>1.3509999999999999E-2</v>
      </c>
      <c r="E42" s="452">
        <v>2.6841E-2</v>
      </c>
      <c r="F42" s="452">
        <v>9.0828000000000006E-2</v>
      </c>
      <c r="G42" s="452">
        <v>0.26092599999999999</v>
      </c>
      <c r="H42" s="452">
        <v>0.35370800000000002</v>
      </c>
      <c r="I42" s="452">
        <v>0.30355599999999999</v>
      </c>
      <c r="J42" s="452">
        <v>0.32183200000000001</v>
      </c>
      <c r="K42" s="452">
        <v>0.260075</v>
      </c>
      <c r="L42" s="452">
        <v>0.88617100000000004</v>
      </c>
      <c r="M42" s="452">
        <v>0.89904600000000001</v>
      </c>
      <c r="N42" s="452">
        <v>1.4288399999999999</v>
      </c>
      <c r="O42" s="452">
        <v>1.416857</v>
      </c>
      <c r="P42" s="452">
        <v>1.4941600000000002</v>
      </c>
      <c r="Q42" s="452">
        <v>2.085432</v>
      </c>
    </row>
    <row r="43" spans="1:17">
      <c r="A43" t="s">
        <v>247</v>
      </c>
      <c r="B43">
        <v>-1.6910000000000007E-3</v>
      </c>
      <c r="C43">
        <v>-5.8770000000000003E-3</v>
      </c>
      <c r="D43">
        <v>7.0000000000000108E-4</v>
      </c>
      <c r="E43">
        <v>1.1409999999999981E-3</v>
      </c>
      <c r="F43">
        <v>-4.0999999999996816E-5</v>
      </c>
      <c r="G43">
        <v>-1.0486999999999995E-2</v>
      </c>
      <c r="H43">
        <v>0.13611699999999996</v>
      </c>
      <c r="I43">
        <v>0.37454999999999999</v>
      </c>
      <c r="J43">
        <v>0.19397299999999995</v>
      </c>
      <c r="K43">
        <v>8.337E-2</v>
      </c>
      <c r="L43">
        <v>8.1309999999999952E-2</v>
      </c>
      <c r="M43">
        <v>9.1664999999999969E-2</v>
      </c>
      <c r="N43">
        <v>-6.9384000000000015E-2</v>
      </c>
      <c r="O43">
        <v>-0.13787899999999992</v>
      </c>
      <c r="P43">
        <v>-0.2308130000000001</v>
      </c>
      <c r="Q43">
        <v>-0.51770199999999977</v>
      </c>
    </row>
    <row r="50" spans="2:2">
      <c r="B50" s="452"/>
    </row>
    <row r="51" spans="2:2">
      <c r="B51" s="452"/>
    </row>
    <row r="52" spans="2:2">
      <c r="B52" s="452"/>
    </row>
    <row r="53" spans="2:2">
      <c r="B53" s="452"/>
    </row>
    <row r="54" spans="2:2">
      <c r="B54" s="452"/>
    </row>
    <row r="55" spans="2:2">
      <c r="B55" s="452"/>
    </row>
    <row r="56" spans="2:2">
      <c r="B56" s="452"/>
    </row>
    <row r="57" spans="2:2">
      <c r="B57" s="452"/>
    </row>
    <row r="58" spans="2:2">
      <c r="B58" s="452"/>
    </row>
    <row r="59" spans="2:2">
      <c r="B59" s="452"/>
    </row>
    <row r="60" spans="2:2">
      <c r="B60" s="452"/>
    </row>
    <row r="61" spans="2:2">
      <c r="B61" s="452"/>
    </row>
    <row r="62" spans="2:2">
      <c r="B62" s="452"/>
    </row>
    <row r="63" spans="2:2">
      <c r="B63" s="452"/>
    </row>
    <row r="64" spans="2:2">
      <c r="B64" s="452"/>
    </row>
    <row r="65" spans="2:2">
      <c r="B65" s="452"/>
    </row>
  </sheetData>
  <mergeCells count="1">
    <mergeCell ref="A1:A2"/>
  </mergeCells>
  <hyperlinks>
    <hyperlink ref="J13" r:id="rId1" xr:uid="{00000000-0004-0000-0400-000000000000}"/>
    <hyperlink ref="J14" r:id="rId2" xr:uid="{00000000-0004-0000-0400-000001000000}"/>
    <hyperlink ref="J15" r:id="rId3" xr:uid="{00000000-0004-0000-0400-000002000000}"/>
    <hyperlink ref="J16" r:id="rId4" xr:uid="{00000000-0004-0000-0400-000003000000}"/>
    <hyperlink ref="J17" r:id="rId5" xr:uid="{00000000-0004-0000-0400-000004000000}"/>
    <hyperlink ref="J18" r:id="rId6" xr:uid="{00000000-0004-0000-0400-000005000000}"/>
    <hyperlink ref="J5" r:id="rId7" xr:uid="{00000000-0004-0000-0400-000006000000}"/>
    <hyperlink ref="J10" r:id="rId8" xr:uid="{00000000-0004-0000-0400-000007000000}"/>
    <hyperlink ref="J4" r:id="rId9" location="2016-2017" xr:uid="{00000000-0004-0000-0400-000008000000}"/>
    <hyperlink ref="J9" r:id="rId10" location="2016-2017" xr:uid="{00000000-0004-0000-0400-000009000000}"/>
    <hyperlink ref="J19" r:id="rId11" xr:uid="{00000000-0004-0000-0400-00000A000000}"/>
    <hyperlink ref="J20:J27" r:id="rId12" display="http://www.biodieselmagazine.com/plants/listplants/USA/existing/" xr:uid="{00000000-0004-0000-0400-00000B000000}"/>
    <hyperlink ref="J30" r:id="rId13" xr:uid="{00000000-0004-0000-0400-00000C000000}"/>
    <hyperlink ref="J32" r:id="rId14" xr:uid="{00000000-0004-0000-0400-00000D000000}"/>
    <hyperlink ref="K30" r:id="rId15" xr:uid="{00000000-0004-0000-0400-00000E000000}"/>
    <hyperlink ref="L30" r:id="rId16" xr:uid="{00000000-0004-0000-0400-00000F000000}"/>
    <hyperlink ref="L31" r:id="rId17" xr:uid="{00000000-0004-0000-0400-000010000000}"/>
    <hyperlink ref="L32" r:id="rId18" xr:uid="{00000000-0004-0000-0400-000011000000}"/>
    <hyperlink ref="M30" r:id="rId19" xr:uid="{00000000-0004-0000-0400-000012000000}"/>
    <hyperlink ref="M31" r:id="rId20" xr:uid="{00000000-0004-0000-0400-000013000000}"/>
    <hyperlink ref="M32" r:id="rId21" xr:uid="{00000000-0004-0000-0400-000014000000}"/>
    <hyperlink ref="N30" r:id="rId22" xr:uid="{00000000-0004-0000-0400-000015000000}"/>
    <hyperlink ref="N31" r:id="rId23" xr:uid="{00000000-0004-0000-0400-000016000000}"/>
    <hyperlink ref="N32" r:id="rId24" xr:uid="{00000000-0004-0000-0400-000017000000}"/>
    <hyperlink ref="J34" r:id="rId25" xr:uid="{00000000-0004-0000-0400-000018000000}"/>
  </hyperlinks>
  <pageMargins left="0.7" right="0.7" top="0.75" bottom="0.75" header="0.3" footer="0.3"/>
  <pageSetup orientation="portrait" r:id="rId26"/>
  <drawing r:id="rId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L27"/>
  <sheetViews>
    <sheetView zoomScale="70" zoomScaleNormal="70" workbookViewId="0">
      <selection activeCell="A21" sqref="A21:H21"/>
    </sheetView>
  </sheetViews>
  <sheetFormatPr defaultColWidth="8.85546875" defaultRowHeight="15"/>
  <cols>
    <col min="1" max="1" width="56.42578125" customWidth="1"/>
    <col min="6" max="6" width="11.42578125" bestFit="1" customWidth="1"/>
    <col min="8" max="8" width="9.140625" bestFit="1" customWidth="1"/>
    <col min="9" max="9" width="14.28515625" customWidth="1"/>
    <col min="10" max="10" width="40.140625" customWidth="1"/>
    <col min="11" max="11" width="25.42578125" customWidth="1"/>
    <col min="12" max="12" width="31.42578125" customWidth="1"/>
  </cols>
  <sheetData>
    <row r="1" spans="1:12">
      <c r="A1" s="456" t="s">
        <v>248</v>
      </c>
    </row>
    <row r="2" spans="1:12">
      <c r="A2" s="457"/>
    </row>
    <row r="3" spans="1:12">
      <c r="A3" s="3" t="s">
        <v>101</v>
      </c>
      <c r="B3" s="3">
        <v>2010</v>
      </c>
      <c r="C3" s="3">
        <v>2011</v>
      </c>
      <c r="D3" s="3">
        <v>2012</v>
      </c>
      <c r="E3" s="3">
        <v>2013</v>
      </c>
      <c r="F3" s="3">
        <v>2014</v>
      </c>
      <c r="G3" s="3">
        <v>2015</v>
      </c>
      <c r="H3" s="3">
        <v>2016</v>
      </c>
      <c r="I3" s="31" t="s">
        <v>102</v>
      </c>
      <c r="J3" s="165" t="s">
        <v>103</v>
      </c>
      <c r="K3" s="112" t="s">
        <v>104</v>
      </c>
      <c r="L3" s="3" t="s">
        <v>105</v>
      </c>
    </row>
    <row r="4" spans="1:12">
      <c r="A4" s="4" t="s">
        <v>249</v>
      </c>
      <c r="B4" s="169"/>
      <c r="C4" s="169"/>
      <c r="D4" s="169"/>
      <c r="E4" s="169"/>
      <c r="F4" s="169"/>
      <c r="G4" s="169"/>
      <c r="H4" s="3">
        <v>89</v>
      </c>
      <c r="I4" s="218" t="s">
        <v>108</v>
      </c>
      <c r="J4" s="166" t="s">
        <v>250</v>
      </c>
      <c r="K4" s="112"/>
      <c r="L4" s="3"/>
    </row>
    <row r="5" spans="1:12">
      <c r="A5" s="4" t="s">
        <v>251</v>
      </c>
      <c r="B5" s="55"/>
      <c r="C5" s="55"/>
      <c r="D5" s="55"/>
      <c r="E5" s="55"/>
      <c r="F5" s="55"/>
      <c r="G5" s="55"/>
      <c r="H5" s="4">
        <v>21</v>
      </c>
      <c r="I5" s="16" t="s">
        <v>252</v>
      </c>
      <c r="J5" s="166" t="s">
        <v>253</v>
      </c>
      <c r="K5" s="17"/>
      <c r="L5" s="4"/>
    </row>
    <row r="6" spans="1:12">
      <c r="A6" s="4" t="s">
        <v>254</v>
      </c>
      <c r="B6" s="179"/>
      <c r="C6" s="179"/>
      <c r="D6" s="179"/>
      <c r="E6" s="179"/>
      <c r="F6" s="179"/>
      <c r="G6" s="179"/>
      <c r="H6" s="179"/>
      <c r="I6" s="4"/>
      <c r="J6" s="167"/>
      <c r="K6" s="4"/>
      <c r="L6" s="4"/>
    </row>
    <row r="7" spans="1:12">
      <c r="A7" s="4" t="s">
        <v>171</v>
      </c>
      <c r="B7" s="55"/>
      <c r="C7" s="55"/>
      <c r="D7" s="55"/>
      <c r="E7" s="55"/>
      <c r="F7" s="55"/>
      <c r="G7" s="55"/>
      <c r="H7" s="4">
        <v>18</v>
      </c>
      <c r="I7" s="4" t="s">
        <v>108</v>
      </c>
      <c r="J7" s="166" t="s">
        <v>250</v>
      </c>
      <c r="K7" s="4"/>
      <c r="L7" s="4"/>
    </row>
    <row r="8" spans="1:12">
      <c r="A8" s="4" t="s">
        <v>172</v>
      </c>
      <c r="B8" s="179"/>
      <c r="C8" s="179"/>
      <c r="D8" s="179"/>
      <c r="E8" s="179"/>
      <c r="F8" s="179"/>
      <c r="G8" s="179"/>
      <c r="H8" s="179"/>
      <c r="I8" s="4"/>
      <c r="J8" s="23"/>
      <c r="K8" s="4"/>
      <c r="L8" s="4"/>
    </row>
    <row r="9" spans="1:12">
      <c r="A9" s="4" t="s">
        <v>255</v>
      </c>
      <c r="B9" s="55"/>
      <c r="C9" s="55"/>
      <c r="D9" s="55"/>
      <c r="E9" s="55"/>
      <c r="F9" s="55"/>
      <c r="G9" s="55"/>
      <c r="H9" s="4">
        <v>40</v>
      </c>
      <c r="I9" s="4" t="s">
        <v>252</v>
      </c>
      <c r="J9" s="166" t="s">
        <v>253</v>
      </c>
      <c r="K9" s="4"/>
      <c r="L9" s="4"/>
    </row>
    <row r="10" spans="1:12">
      <c r="A10" s="4" t="s">
        <v>174</v>
      </c>
      <c r="B10" s="5"/>
      <c r="C10" s="5"/>
      <c r="D10" s="5"/>
      <c r="E10" s="5"/>
      <c r="F10" s="5"/>
      <c r="G10" s="5"/>
      <c r="H10" s="4">
        <v>15</v>
      </c>
      <c r="I10" s="4" t="s">
        <v>108</v>
      </c>
      <c r="J10" s="166" t="s">
        <v>250</v>
      </c>
      <c r="K10" s="4"/>
      <c r="L10" s="4"/>
    </row>
    <row r="11" spans="1:12">
      <c r="A11" s="6"/>
      <c r="B11" s="6"/>
      <c r="C11" s="6"/>
      <c r="D11" s="6"/>
      <c r="E11" s="6"/>
      <c r="F11" s="6"/>
      <c r="G11" s="6"/>
      <c r="H11" s="6"/>
      <c r="I11" s="6"/>
      <c r="J11" s="6"/>
      <c r="K11" s="6"/>
      <c r="L11" s="6"/>
    </row>
    <row r="12" spans="1:12">
      <c r="A12" s="3" t="s">
        <v>256</v>
      </c>
      <c r="B12" s="14">
        <v>2010</v>
      </c>
      <c r="C12" s="14">
        <v>2011</v>
      </c>
      <c r="D12" s="14">
        <v>2012</v>
      </c>
      <c r="E12" s="14">
        <v>2013</v>
      </c>
      <c r="F12" s="14">
        <v>2014</v>
      </c>
      <c r="G12" s="14">
        <v>2015</v>
      </c>
      <c r="H12" s="3">
        <v>2016</v>
      </c>
      <c r="I12" s="3" t="s">
        <v>102</v>
      </c>
      <c r="J12" s="3" t="s">
        <v>103</v>
      </c>
      <c r="K12" s="3" t="s">
        <v>104</v>
      </c>
      <c r="L12" s="3" t="s">
        <v>105</v>
      </c>
    </row>
    <row r="13" spans="1:12">
      <c r="A13" s="16" t="s">
        <v>257</v>
      </c>
      <c r="B13" s="4">
        <v>1981</v>
      </c>
      <c r="C13" s="4">
        <v>2010</v>
      </c>
      <c r="D13" s="4">
        <v>2010</v>
      </c>
      <c r="E13" s="4">
        <v>2170</v>
      </c>
      <c r="F13" s="4">
        <v>2230</v>
      </c>
      <c r="G13" s="4">
        <v>2040</v>
      </c>
      <c r="H13" s="171"/>
      <c r="I13" s="4" t="s">
        <v>108</v>
      </c>
      <c r="J13" s="13" t="s">
        <v>258</v>
      </c>
      <c r="K13" s="4"/>
      <c r="L13" s="4"/>
    </row>
    <row r="14" spans="1:12">
      <c r="A14" s="16" t="s">
        <v>259</v>
      </c>
      <c r="B14" s="4">
        <v>16</v>
      </c>
      <c r="C14" s="4">
        <v>18</v>
      </c>
      <c r="D14" s="4">
        <v>20</v>
      </c>
      <c r="E14" s="4">
        <v>23</v>
      </c>
      <c r="F14" s="4">
        <v>25</v>
      </c>
      <c r="G14" s="4">
        <v>28</v>
      </c>
      <c r="H14" s="170"/>
      <c r="I14" s="4" t="s">
        <v>260</v>
      </c>
      <c r="J14" s="13" t="s">
        <v>261</v>
      </c>
      <c r="K14" s="4"/>
      <c r="L14" s="4"/>
    </row>
    <row r="15" spans="1:12">
      <c r="A15" t="s">
        <v>262</v>
      </c>
      <c r="B15" s="55"/>
      <c r="C15" s="55"/>
      <c r="D15" s="55"/>
      <c r="E15" s="55"/>
      <c r="F15" s="55"/>
      <c r="G15" s="55"/>
      <c r="H15" s="45">
        <v>1.135848</v>
      </c>
      <c r="I15" t="s">
        <v>108</v>
      </c>
      <c r="J15" s="168" t="s">
        <v>263</v>
      </c>
    </row>
    <row r="16" spans="1:12">
      <c r="A16" t="s">
        <v>264</v>
      </c>
      <c r="B16" s="55"/>
      <c r="C16" s="55"/>
      <c r="D16" s="55"/>
      <c r="E16" s="55"/>
      <c r="F16" s="55"/>
      <c r="G16" s="55"/>
      <c r="H16" s="45">
        <v>10.834396999999999</v>
      </c>
      <c r="I16" t="s">
        <v>108</v>
      </c>
      <c r="J16" s="168" t="s">
        <v>263</v>
      </c>
    </row>
    <row r="17" spans="1:12">
      <c r="A17" t="s">
        <v>265</v>
      </c>
      <c r="B17" s="55"/>
      <c r="C17" s="55"/>
      <c r="D17" s="55"/>
      <c r="E17" s="55"/>
      <c r="F17" s="55"/>
      <c r="G17" s="55"/>
      <c r="H17" s="45">
        <v>2.2837000000000001</v>
      </c>
      <c r="I17" t="s">
        <v>108</v>
      </c>
      <c r="J17" s="168" t="s">
        <v>263</v>
      </c>
    </row>
    <row r="18" spans="1:12">
      <c r="A18" s="6"/>
      <c r="B18" s="6"/>
      <c r="C18" s="6"/>
      <c r="D18" s="6"/>
      <c r="E18" s="6"/>
      <c r="F18" s="6"/>
      <c r="G18" s="6"/>
      <c r="H18" s="6"/>
      <c r="I18" s="6"/>
      <c r="J18" s="6"/>
      <c r="K18" s="6"/>
      <c r="L18" s="6"/>
    </row>
    <row r="19" spans="1:12">
      <c r="A19" s="3" t="s">
        <v>125</v>
      </c>
      <c r="B19" s="3">
        <v>2010</v>
      </c>
      <c r="C19" s="3">
        <v>2011</v>
      </c>
      <c r="D19" s="3">
        <v>2012</v>
      </c>
      <c r="E19" s="3">
        <v>2013</v>
      </c>
      <c r="F19" s="3">
        <v>2014</v>
      </c>
      <c r="G19" s="3">
        <v>2015</v>
      </c>
      <c r="H19" s="3">
        <v>2016</v>
      </c>
      <c r="I19" s="3" t="s">
        <v>102</v>
      </c>
      <c r="J19" s="3" t="s">
        <v>103</v>
      </c>
      <c r="K19" s="3" t="s">
        <v>104</v>
      </c>
      <c r="L19" s="3" t="s">
        <v>105</v>
      </c>
    </row>
    <row r="20" spans="1:12" ht="13.7" customHeight="1">
      <c r="A20" s="4" t="s">
        <v>266</v>
      </c>
      <c r="B20" s="55"/>
      <c r="C20" s="55"/>
      <c r="D20" s="12">
        <v>258.23</v>
      </c>
      <c r="E20" s="12">
        <v>370.93700000000001</v>
      </c>
      <c r="F20" s="12">
        <v>522.39499999999998</v>
      </c>
      <c r="G20" s="12">
        <v>682.928</v>
      </c>
      <c r="H20" s="164">
        <v>556.83100000000002</v>
      </c>
      <c r="I20" s="4" t="s">
        <v>183</v>
      </c>
      <c r="J20" s="13" t="s">
        <v>267</v>
      </c>
      <c r="K20" s="4"/>
      <c r="L20" s="4"/>
    </row>
    <row r="21" spans="1:12">
      <c r="A21" s="4" t="s">
        <v>268</v>
      </c>
      <c r="B21" s="4"/>
      <c r="C21" s="4"/>
      <c r="D21" s="4"/>
      <c r="E21" s="4"/>
      <c r="G21" s="164">
        <v>18031</v>
      </c>
      <c r="H21">
        <v>30458</v>
      </c>
      <c r="I21" t="s">
        <v>144</v>
      </c>
      <c r="J21" s="38" t="s">
        <v>145</v>
      </c>
      <c r="K21" t="s">
        <v>269</v>
      </c>
      <c r="L21" s="38" t="s">
        <v>146</v>
      </c>
    </row>
    <row r="23" spans="1:12">
      <c r="A23" t="s">
        <v>213</v>
      </c>
    </row>
    <row r="24" spans="1:12">
      <c r="A24" t="s">
        <v>214</v>
      </c>
    </row>
    <row r="25" spans="1:12">
      <c r="A25" t="s">
        <v>215</v>
      </c>
    </row>
    <row r="27" spans="1:12" ht="23.25" customHeight="1"/>
  </sheetData>
  <mergeCells count="1">
    <mergeCell ref="A1:A2"/>
  </mergeCells>
  <hyperlinks>
    <hyperlink ref="J13" r:id="rId1" xr:uid="{00000000-0004-0000-0500-000000000000}"/>
    <hyperlink ref="J20" r:id="rId2" xr:uid="{00000000-0004-0000-0500-000001000000}"/>
    <hyperlink ref="J14" r:id="rId3" xr:uid="{00000000-0004-0000-0500-000002000000}"/>
    <hyperlink ref="J4" r:id="rId4" xr:uid="{00000000-0004-0000-0500-000003000000}"/>
    <hyperlink ref="J5" r:id="rId5" xr:uid="{00000000-0004-0000-0500-000004000000}"/>
    <hyperlink ref="J10" r:id="rId6" xr:uid="{00000000-0004-0000-0500-000005000000}"/>
    <hyperlink ref="J9" r:id="rId7" xr:uid="{00000000-0004-0000-0500-000006000000}"/>
    <hyperlink ref="J7" r:id="rId8" xr:uid="{00000000-0004-0000-0500-000007000000}"/>
    <hyperlink ref="J15" r:id="rId9" xr:uid="{00000000-0004-0000-0500-000008000000}"/>
    <hyperlink ref="J16:J17" r:id="rId10" display="http://www.eia.gov/biofuels/biomass/" xr:uid="{00000000-0004-0000-0500-000009000000}"/>
    <hyperlink ref="J21" r:id="rId11" xr:uid="{00000000-0004-0000-0500-00000A000000}"/>
    <hyperlink ref="L21" r:id="rId12" xr:uid="{00000000-0004-0000-0500-00000B000000}"/>
  </hyperlinks>
  <pageMargins left="0.7" right="0.7" top="0.75" bottom="0.75" header="0.3" footer="0.3"/>
  <pageSetup orientation="portrait" r:id="rId1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L29"/>
  <sheetViews>
    <sheetView zoomScale="85" zoomScaleNormal="85" workbookViewId="0">
      <selection activeCell="J5" sqref="J5"/>
    </sheetView>
  </sheetViews>
  <sheetFormatPr defaultColWidth="8.85546875" defaultRowHeight="15"/>
  <cols>
    <col min="1" max="1" width="59.28515625" customWidth="1"/>
    <col min="3" max="7" width="10.28515625" bestFit="1" customWidth="1"/>
    <col min="9" max="9" width="14.28515625" customWidth="1"/>
    <col min="10" max="10" width="25.42578125" customWidth="1"/>
    <col min="11" max="11" width="15.28515625" customWidth="1"/>
  </cols>
  <sheetData>
    <row r="1" spans="1:12">
      <c r="A1" s="456" t="s">
        <v>270</v>
      </c>
      <c r="C1" s="173"/>
    </row>
    <row r="2" spans="1:12">
      <c r="A2" s="457"/>
    </row>
    <row r="3" spans="1:12">
      <c r="A3" s="3" t="s">
        <v>101</v>
      </c>
      <c r="B3" s="3">
        <v>2010</v>
      </c>
      <c r="C3" s="3">
        <v>2011</v>
      </c>
      <c r="D3" s="3">
        <v>2012</v>
      </c>
      <c r="E3" s="3">
        <v>2013</v>
      </c>
      <c r="F3" s="3">
        <v>2014</v>
      </c>
      <c r="G3" s="3">
        <v>2015</v>
      </c>
      <c r="H3" s="3">
        <v>2016</v>
      </c>
      <c r="I3" s="3" t="s">
        <v>102</v>
      </c>
      <c r="J3" s="3" t="s">
        <v>103</v>
      </c>
      <c r="K3" s="3" t="s">
        <v>104</v>
      </c>
      <c r="L3" s="3" t="s">
        <v>105</v>
      </c>
    </row>
    <row r="4" spans="1:12">
      <c r="A4" s="4" t="s">
        <v>271</v>
      </c>
      <c r="B4" s="15">
        <v>86</v>
      </c>
      <c r="C4" s="345">
        <v>85</v>
      </c>
      <c r="D4" s="15">
        <v>85</v>
      </c>
      <c r="E4" s="15">
        <v>84</v>
      </c>
      <c r="F4" s="345">
        <v>84</v>
      </c>
      <c r="G4" s="4">
        <v>78</v>
      </c>
      <c r="H4" s="4">
        <v>77</v>
      </c>
      <c r="I4" s="4" t="s">
        <v>272</v>
      </c>
      <c r="J4" s="13" t="s">
        <v>273</v>
      </c>
      <c r="K4" s="4"/>
      <c r="L4" s="4"/>
    </row>
    <row r="5" spans="1:12">
      <c r="A5" s="16" t="s">
        <v>274</v>
      </c>
      <c r="B5" s="55"/>
      <c r="C5" s="55"/>
      <c r="D5" s="55"/>
      <c r="E5" s="55"/>
      <c r="F5" s="55"/>
      <c r="G5" s="17">
        <v>93</v>
      </c>
      <c r="H5" s="4">
        <v>92</v>
      </c>
      <c r="I5" s="4" t="s">
        <v>108</v>
      </c>
      <c r="J5" s="13" t="s">
        <v>275</v>
      </c>
      <c r="K5" s="4"/>
      <c r="L5" s="4"/>
    </row>
    <row r="6" spans="1:12">
      <c r="A6" s="4" t="s">
        <v>276</v>
      </c>
      <c r="B6" s="19">
        <v>20</v>
      </c>
      <c r="C6" s="19">
        <v>17</v>
      </c>
      <c r="D6" s="19">
        <v>16</v>
      </c>
      <c r="E6" s="19">
        <v>13</v>
      </c>
      <c r="F6" s="19">
        <v>17</v>
      </c>
      <c r="G6" s="4"/>
      <c r="H6" s="4"/>
      <c r="I6" s="4" t="s">
        <v>108</v>
      </c>
      <c r="J6" s="13" t="s">
        <v>275</v>
      </c>
      <c r="K6" s="4"/>
      <c r="L6" s="4"/>
    </row>
    <row r="7" spans="1:12">
      <c r="A7" s="4" t="s">
        <v>277</v>
      </c>
      <c r="B7" s="55"/>
      <c r="C7" s="55"/>
      <c r="D7" s="55"/>
      <c r="E7" s="55"/>
      <c r="F7" s="55"/>
      <c r="G7" s="4">
        <v>1</v>
      </c>
      <c r="H7" s="4">
        <v>1</v>
      </c>
      <c r="I7" s="4" t="s">
        <v>108</v>
      </c>
      <c r="J7" s="13" t="s">
        <v>275</v>
      </c>
      <c r="K7" s="4"/>
      <c r="L7" s="4"/>
    </row>
    <row r="8" spans="1:12">
      <c r="A8" s="4" t="s">
        <v>278</v>
      </c>
      <c r="B8" s="55"/>
      <c r="C8" s="55"/>
      <c r="D8" s="55"/>
      <c r="E8" s="55"/>
      <c r="F8" s="55"/>
      <c r="G8" s="4">
        <v>12</v>
      </c>
      <c r="H8" s="4">
        <v>13</v>
      </c>
      <c r="I8" s="4" t="s">
        <v>108</v>
      </c>
      <c r="J8" s="13" t="s">
        <v>275</v>
      </c>
      <c r="K8" s="4"/>
      <c r="L8" s="4"/>
    </row>
    <row r="9" spans="1:12">
      <c r="A9" s="4" t="s">
        <v>279</v>
      </c>
      <c r="B9" s="4">
        <v>7</v>
      </c>
      <c r="C9" s="4">
        <v>7</v>
      </c>
      <c r="D9" s="4">
        <v>5</v>
      </c>
      <c r="E9" s="4">
        <v>4</v>
      </c>
      <c r="F9" s="4">
        <v>6</v>
      </c>
      <c r="G9" s="55"/>
      <c r="H9" s="55"/>
      <c r="I9" s="4" t="s">
        <v>108</v>
      </c>
      <c r="J9" s="13" t="s">
        <v>275</v>
      </c>
      <c r="K9" s="4"/>
      <c r="L9" s="4"/>
    </row>
    <row r="10" spans="1:12">
      <c r="A10" s="6"/>
      <c r="B10" s="6"/>
      <c r="C10" s="6"/>
      <c r="D10" s="6"/>
      <c r="E10" s="6"/>
      <c r="F10" s="6"/>
      <c r="G10" s="6"/>
      <c r="H10" s="6"/>
      <c r="I10" s="6"/>
      <c r="J10" s="6"/>
      <c r="K10" s="6"/>
      <c r="L10" s="6"/>
    </row>
    <row r="11" spans="1:12">
      <c r="A11" s="3" t="s">
        <v>175</v>
      </c>
      <c r="B11" s="3">
        <v>2010</v>
      </c>
      <c r="C11" s="3">
        <v>2011</v>
      </c>
      <c r="D11" s="3">
        <v>2012</v>
      </c>
      <c r="E11" s="3">
        <v>2013</v>
      </c>
      <c r="F11" s="3">
        <v>2014</v>
      </c>
      <c r="G11" s="3">
        <v>2015</v>
      </c>
      <c r="H11" s="3">
        <v>2016</v>
      </c>
      <c r="I11" s="14" t="s">
        <v>102</v>
      </c>
      <c r="J11" s="3" t="s">
        <v>103</v>
      </c>
      <c r="K11" s="3" t="s">
        <v>104</v>
      </c>
      <c r="L11" s="3" t="s">
        <v>105</v>
      </c>
    </row>
    <row r="12" spans="1:12">
      <c r="A12" s="39" t="s">
        <v>280</v>
      </c>
      <c r="B12" s="3">
        <v>29.26</v>
      </c>
      <c r="C12" s="3">
        <v>29.26</v>
      </c>
      <c r="D12" s="169"/>
      <c r="E12" s="169"/>
      <c r="F12" s="169"/>
      <c r="G12" s="169"/>
      <c r="H12" s="169"/>
      <c r="I12" s="3" t="s">
        <v>122</v>
      </c>
      <c r="J12" s="40" t="s">
        <v>281</v>
      </c>
      <c r="K12" s="3"/>
      <c r="L12" s="3"/>
    </row>
    <row r="13" spans="1:12">
      <c r="A13" s="23" t="s">
        <v>282</v>
      </c>
      <c r="B13" s="3">
        <v>468</v>
      </c>
      <c r="C13" s="3">
        <v>462</v>
      </c>
      <c r="D13" s="3">
        <v>467</v>
      </c>
      <c r="E13" s="3">
        <v>469</v>
      </c>
      <c r="F13" s="3">
        <v>516</v>
      </c>
      <c r="G13" s="3">
        <v>512</v>
      </c>
      <c r="H13" s="183"/>
      <c r="I13" s="3" t="s">
        <v>108</v>
      </c>
      <c r="J13" s="172" t="s">
        <v>283</v>
      </c>
      <c r="K13" s="3"/>
      <c r="L13" s="3"/>
    </row>
    <row r="14" spans="1:12">
      <c r="A14" s="4" t="s">
        <v>284</v>
      </c>
      <c r="B14" s="4">
        <v>14218</v>
      </c>
      <c r="C14" s="4">
        <v>14422</v>
      </c>
      <c r="D14" s="4">
        <v>14565</v>
      </c>
      <c r="E14" s="4">
        <v>14214</v>
      </c>
      <c r="F14" s="4">
        <v>14310</v>
      </c>
      <c r="G14" s="55"/>
      <c r="H14" s="56"/>
      <c r="I14" s="4" t="s">
        <v>272</v>
      </c>
      <c r="J14" s="53" t="s">
        <v>285</v>
      </c>
      <c r="K14" s="4"/>
      <c r="L14" s="4"/>
    </row>
    <row r="15" spans="1:12">
      <c r="A15" s="4" t="s">
        <v>286</v>
      </c>
      <c r="B15" s="4">
        <v>18.920000000000002</v>
      </c>
      <c r="C15" s="4">
        <v>19.22</v>
      </c>
      <c r="D15" s="4">
        <v>19.82</v>
      </c>
      <c r="E15" s="4">
        <v>20.83</v>
      </c>
      <c r="F15" s="4">
        <v>21.65</v>
      </c>
      <c r="G15" s="4">
        <v>21.83</v>
      </c>
      <c r="H15" s="56"/>
      <c r="I15" s="4" t="s">
        <v>108</v>
      </c>
      <c r="J15" s="53" t="s">
        <v>117</v>
      </c>
      <c r="K15" s="4"/>
      <c r="L15" s="4"/>
    </row>
    <row r="16" spans="1:12" ht="30">
      <c r="A16" s="34" t="s">
        <v>287</v>
      </c>
      <c r="B16" s="4">
        <v>1672</v>
      </c>
      <c r="C16" s="4">
        <v>2315</v>
      </c>
      <c r="D16" s="4">
        <v>2319</v>
      </c>
      <c r="E16" s="4">
        <v>2567</v>
      </c>
      <c r="F16" s="4">
        <v>2681</v>
      </c>
      <c r="G16" s="4">
        <v>2660</v>
      </c>
      <c r="H16" s="56"/>
      <c r="I16" s="4" t="s">
        <v>108</v>
      </c>
      <c r="J16" s="53" t="s">
        <v>288</v>
      </c>
      <c r="K16" s="4"/>
      <c r="L16" s="4"/>
    </row>
    <row r="17" spans="1:12" ht="30">
      <c r="A17" s="34" t="s">
        <v>289</v>
      </c>
      <c r="B17" s="4">
        <v>0</v>
      </c>
      <c r="C17" s="4">
        <v>4</v>
      </c>
      <c r="D17" s="4">
        <v>12</v>
      </c>
      <c r="E17" s="4">
        <v>8</v>
      </c>
      <c r="F17" s="4">
        <v>6</v>
      </c>
      <c r="G17" s="455" t="s">
        <v>290</v>
      </c>
      <c r="H17" s="56"/>
      <c r="I17" s="4" t="s">
        <v>108</v>
      </c>
      <c r="J17" s="53" t="s">
        <v>290</v>
      </c>
      <c r="K17" s="4"/>
      <c r="L17" s="4"/>
    </row>
    <row r="18" spans="1:12" ht="30">
      <c r="A18" s="34" t="s">
        <v>291</v>
      </c>
      <c r="B18" s="12">
        <v>2233</v>
      </c>
      <c r="C18" s="12">
        <v>1955</v>
      </c>
      <c r="D18" s="12">
        <v>2304</v>
      </c>
      <c r="E18" s="12">
        <v>2485</v>
      </c>
      <c r="F18" s="12">
        <v>2447</v>
      </c>
      <c r="G18" s="12">
        <v>2375</v>
      </c>
      <c r="H18" s="56"/>
      <c r="I18" s="4" t="s">
        <v>108</v>
      </c>
      <c r="J18" s="53" t="s">
        <v>290</v>
      </c>
      <c r="K18" s="4"/>
      <c r="L18" s="4"/>
    </row>
    <row r="19" spans="1:12" ht="45">
      <c r="A19" s="34" t="s">
        <v>292</v>
      </c>
      <c r="B19" s="12">
        <v>16802</v>
      </c>
      <c r="C19" s="12">
        <v>14625</v>
      </c>
      <c r="D19" s="12">
        <v>14235</v>
      </c>
      <c r="E19" s="12">
        <v>14057</v>
      </c>
      <c r="F19" s="12">
        <v>13809</v>
      </c>
      <c r="G19" s="12">
        <v>13797</v>
      </c>
      <c r="H19" s="56"/>
      <c r="I19" s="4" t="s">
        <v>108</v>
      </c>
      <c r="J19" s="53" t="s">
        <v>290</v>
      </c>
      <c r="K19" s="4"/>
      <c r="L19" s="4"/>
    </row>
    <row r="20" spans="1:12" ht="30">
      <c r="A20" s="34" t="s">
        <v>293</v>
      </c>
      <c r="B20" s="4">
        <v>402</v>
      </c>
      <c r="C20" s="4">
        <v>388</v>
      </c>
      <c r="D20" s="4">
        <v>418</v>
      </c>
      <c r="E20" s="4">
        <v>456</v>
      </c>
      <c r="F20" s="4">
        <v>444</v>
      </c>
      <c r="G20" s="4">
        <v>452</v>
      </c>
      <c r="H20" s="56"/>
      <c r="I20" s="4" t="s">
        <v>108</v>
      </c>
      <c r="J20" s="53" t="s">
        <v>290</v>
      </c>
      <c r="K20" s="4"/>
      <c r="L20" s="4"/>
    </row>
    <row r="21" spans="1:12" ht="13.7" customHeight="1">
      <c r="A21" s="4" t="s">
        <v>294</v>
      </c>
      <c r="B21" s="4">
        <v>168</v>
      </c>
      <c r="C21" s="4">
        <v>165</v>
      </c>
      <c r="D21" s="4">
        <v>159</v>
      </c>
      <c r="E21" s="4">
        <v>187</v>
      </c>
      <c r="F21" s="4">
        <v>190</v>
      </c>
      <c r="G21" s="4">
        <v>195</v>
      </c>
      <c r="H21" s="55"/>
      <c r="I21" s="4" t="s">
        <v>108</v>
      </c>
      <c r="J21" s="13" t="s">
        <v>283</v>
      </c>
      <c r="K21" s="4"/>
      <c r="L21" s="4"/>
    </row>
    <row r="22" spans="1:12">
      <c r="A22" s="6"/>
      <c r="B22" s="6"/>
      <c r="C22" s="6"/>
      <c r="D22" s="6"/>
      <c r="E22" s="6"/>
      <c r="F22" s="6"/>
      <c r="G22" s="6"/>
      <c r="H22" s="6"/>
      <c r="I22" s="6"/>
      <c r="J22" s="6"/>
      <c r="K22" s="6"/>
      <c r="L22" s="6"/>
    </row>
    <row r="23" spans="1:12">
      <c r="A23" s="14" t="s">
        <v>125</v>
      </c>
      <c r="B23" s="14">
        <v>2010</v>
      </c>
      <c r="C23" s="14">
        <v>2011</v>
      </c>
      <c r="D23" s="14">
        <v>2012</v>
      </c>
      <c r="E23" s="14">
        <v>2013</v>
      </c>
      <c r="F23" s="14">
        <v>2014</v>
      </c>
      <c r="G23" s="14">
        <v>2015</v>
      </c>
      <c r="H23" s="14">
        <v>2016</v>
      </c>
      <c r="I23" s="14" t="s">
        <v>102</v>
      </c>
      <c r="J23" s="14" t="s">
        <v>103</v>
      </c>
      <c r="K23" s="14" t="s">
        <v>104</v>
      </c>
      <c r="L23" s="3" t="s">
        <v>105</v>
      </c>
    </row>
    <row r="24" spans="1:12" ht="30">
      <c r="A24" s="34" t="s">
        <v>295</v>
      </c>
      <c r="B24" s="55"/>
      <c r="C24" s="4">
        <v>640</v>
      </c>
      <c r="D24" s="4">
        <v>290</v>
      </c>
      <c r="E24" s="4">
        <v>550</v>
      </c>
      <c r="F24" s="4">
        <v>270</v>
      </c>
      <c r="G24" s="55"/>
      <c r="H24" s="55"/>
      <c r="I24" s="13" t="s">
        <v>296</v>
      </c>
      <c r="J24" s="4"/>
      <c r="K24" s="4"/>
    </row>
    <row r="25" spans="1:12">
      <c r="A25" s="4" t="s">
        <v>297</v>
      </c>
      <c r="B25" s="55"/>
      <c r="C25" s="55"/>
      <c r="D25" s="4">
        <v>7000</v>
      </c>
      <c r="E25" s="12">
        <v>14000</v>
      </c>
      <c r="F25" s="55"/>
      <c r="G25" s="55"/>
      <c r="H25" s="55"/>
      <c r="I25" s="4"/>
      <c r="J25" s="13" t="s">
        <v>149</v>
      </c>
      <c r="K25" s="13" t="s">
        <v>150</v>
      </c>
    </row>
    <row r="26" spans="1:12">
      <c r="A26" s="4" t="s">
        <v>207</v>
      </c>
      <c r="B26" s="55"/>
      <c r="C26" s="4">
        <v>2.7</v>
      </c>
      <c r="D26" s="55"/>
      <c r="E26" s="4">
        <v>5.6</v>
      </c>
      <c r="F26" s="55"/>
      <c r="G26" s="55"/>
      <c r="H26" s="55"/>
      <c r="I26" s="4"/>
      <c r="J26" s="13" t="s">
        <v>149</v>
      </c>
      <c r="K26" s="4" t="s">
        <v>298</v>
      </c>
      <c r="L26" s="38" t="s">
        <v>157</v>
      </c>
    </row>
    <row r="27" spans="1:12">
      <c r="D27">
        <f>+C26</f>
        <v>2.7</v>
      </c>
      <c r="E27">
        <f>+E26</f>
        <v>5.6</v>
      </c>
    </row>
    <row r="28" spans="1:12">
      <c r="D28">
        <v>2011</v>
      </c>
      <c r="E28">
        <v>2013</v>
      </c>
    </row>
    <row r="29" spans="1:12">
      <c r="K29" s="1"/>
    </row>
  </sheetData>
  <mergeCells count="1">
    <mergeCell ref="A1:A2"/>
  </mergeCells>
  <hyperlinks>
    <hyperlink ref="J21" r:id="rId1" xr:uid="{00000000-0004-0000-0600-000000000000}"/>
    <hyperlink ref="J12" r:id="rId2" xr:uid="{00000000-0004-0000-0600-000001000000}"/>
    <hyperlink ref="J4" r:id="rId3" xr:uid="{00000000-0004-0000-0600-000002000000}"/>
    <hyperlink ref="J14" r:id="rId4" xr:uid="{00000000-0004-0000-0600-000003000000}"/>
    <hyperlink ref="J16" r:id="rId5" xr:uid="{00000000-0004-0000-0600-000004000000}"/>
    <hyperlink ref="I24" r:id="rId6" xr:uid="{00000000-0004-0000-0600-000005000000}"/>
    <hyperlink ref="J13" r:id="rId7" xr:uid="{00000000-0004-0000-0600-000006000000}"/>
    <hyperlink ref="J5" r:id="rId8" xr:uid="{00000000-0004-0000-0600-000007000000}"/>
    <hyperlink ref="J7" r:id="rId9" xr:uid="{00000000-0004-0000-0600-000008000000}"/>
    <hyperlink ref="J8" r:id="rId10" xr:uid="{00000000-0004-0000-0600-000009000000}"/>
    <hyperlink ref="J9" r:id="rId11" xr:uid="{00000000-0004-0000-0600-00000A000000}"/>
    <hyperlink ref="J17" r:id="rId12" xr:uid="{00000000-0004-0000-0600-00000B000000}"/>
    <hyperlink ref="J18:J20" r:id="rId13" display="http://www.eia.gov/electricity/annual/html/epa_05_07_a.html" xr:uid="{00000000-0004-0000-0600-00000C000000}"/>
    <hyperlink ref="J15" r:id="rId14" xr:uid="{00000000-0004-0000-0600-00000D000000}"/>
    <hyperlink ref="J25" r:id="rId15" xr:uid="{00000000-0004-0000-0600-00000E000000}"/>
    <hyperlink ref="J26" r:id="rId16" xr:uid="{00000000-0004-0000-0600-00000F000000}"/>
    <hyperlink ref="K25" r:id="rId17" xr:uid="{00000000-0004-0000-0600-000010000000}"/>
    <hyperlink ref="L26" r:id="rId18" xr:uid="{00000000-0004-0000-0600-000011000000}"/>
    <hyperlink ref="J6" r:id="rId19" xr:uid="{00000000-0004-0000-0600-000012000000}"/>
  </hyperlinks>
  <pageMargins left="0.7" right="0.7" top="0.75" bottom="0.75" header="0.3" footer="0.3"/>
  <pageSetup orientation="portrait" r:id="rId20"/>
  <drawing r:id="rId2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M70"/>
  <sheetViews>
    <sheetView tabSelected="1" topLeftCell="A84" zoomScale="85" zoomScaleNormal="85" workbookViewId="0">
      <selection activeCell="J4" sqref="J4"/>
    </sheetView>
  </sheetViews>
  <sheetFormatPr defaultColWidth="8.85546875" defaultRowHeight="15"/>
  <cols>
    <col min="1" max="1" width="53" customWidth="1"/>
    <col min="2" max="3" width="15.85546875" bestFit="1" customWidth="1"/>
    <col min="4" max="4" width="17.42578125" bestFit="1" customWidth="1"/>
    <col min="5" max="6" width="15.85546875" bestFit="1" customWidth="1"/>
    <col min="7" max="7" width="10.140625" bestFit="1" customWidth="1"/>
    <col min="8" max="8" width="17.42578125" bestFit="1" customWidth="1"/>
    <col min="9" max="9" width="23.140625" customWidth="1"/>
    <col min="10" max="10" width="27" customWidth="1"/>
    <col min="11" max="11" width="13" customWidth="1"/>
  </cols>
  <sheetData>
    <row r="1" spans="1:13">
      <c r="A1" s="456" t="s">
        <v>299</v>
      </c>
    </row>
    <row r="2" spans="1:13">
      <c r="A2" s="457"/>
    </row>
    <row r="3" spans="1:13">
      <c r="A3" s="3" t="s">
        <v>101</v>
      </c>
      <c r="B3" s="3">
        <v>2010</v>
      </c>
      <c r="C3" s="3">
        <v>2011</v>
      </c>
      <c r="D3" s="3">
        <v>2012</v>
      </c>
      <c r="E3" s="3">
        <v>2013</v>
      </c>
      <c r="F3" s="3">
        <v>2014</v>
      </c>
      <c r="G3" s="3">
        <v>2015</v>
      </c>
      <c r="H3" s="3">
        <v>2016</v>
      </c>
      <c r="I3" s="31" t="s">
        <v>102</v>
      </c>
      <c r="J3" s="165" t="s">
        <v>103</v>
      </c>
      <c r="K3" s="165" t="s">
        <v>105</v>
      </c>
    </row>
    <row r="4" spans="1:13">
      <c r="A4" s="23" t="s">
        <v>300</v>
      </c>
      <c r="B4" s="3">
        <v>154</v>
      </c>
      <c r="C4" s="3">
        <v>180</v>
      </c>
      <c r="D4" s="3">
        <v>211</v>
      </c>
      <c r="E4" s="3">
        <v>237</v>
      </c>
      <c r="F4" s="3">
        <v>245</v>
      </c>
      <c r="G4" s="3">
        <v>249</v>
      </c>
      <c r="H4" s="3">
        <v>252</v>
      </c>
      <c r="I4" s="314" t="s">
        <v>122</v>
      </c>
      <c r="J4" s="166" t="s">
        <v>301</v>
      </c>
      <c r="K4" s="38"/>
      <c r="L4" s="38"/>
      <c r="M4" s="38"/>
    </row>
    <row r="5" spans="1:13" ht="30">
      <c r="A5" s="319" t="s">
        <v>302</v>
      </c>
      <c r="B5" s="3">
        <v>38</v>
      </c>
      <c r="C5" s="3">
        <v>52</v>
      </c>
      <c r="D5" s="3">
        <v>69</v>
      </c>
      <c r="E5" s="3">
        <v>77</v>
      </c>
      <c r="F5" s="3">
        <v>80</v>
      </c>
      <c r="G5" s="3">
        <v>82</v>
      </c>
      <c r="H5" s="3">
        <v>84</v>
      </c>
      <c r="I5" s="314" t="s">
        <v>122</v>
      </c>
      <c r="J5" s="166" t="s">
        <v>303</v>
      </c>
      <c r="K5" s="38" t="s">
        <v>301</v>
      </c>
    </row>
    <row r="6" spans="1:13" ht="30">
      <c r="A6" s="319" t="s">
        <v>304</v>
      </c>
      <c r="B6" s="3">
        <v>14</v>
      </c>
      <c r="C6" s="3">
        <v>15</v>
      </c>
      <c r="D6" s="3">
        <v>15</v>
      </c>
      <c r="E6" s="3">
        <v>15</v>
      </c>
      <c r="F6" s="3">
        <v>16</v>
      </c>
      <c r="G6" s="3">
        <v>16</v>
      </c>
      <c r="H6" s="169"/>
      <c r="I6" s="314" t="s">
        <v>122</v>
      </c>
      <c r="J6" s="166" t="s">
        <v>303</v>
      </c>
      <c r="K6" s="38" t="s">
        <v>301</v>
      </c>
    </row>
    <row r="7" spans="1:13" ht="30">
      <c r="A7" s="319" t="s">
        <v>305</v>
      </c>
      <c r="B7" s="3">
        <v>14</v>
      </c>
      <c r="C7" s="3">
        <v>15</v>
      </c>
      <c r="D7" s="3">
        <v>15</v>
      </c>
      <c r="E7" s="3">
        <v>15</v>
      </c>
      <c r="F7" s="3">
        <v>15</v>
      </c>
      <c r="G7" s="3">
        <v>15</v>
      </c>
      <c r="H7" s="169"/>
      <c r="I7" s="314" t="s">
        <v>122</v>
      </c>
      <c r="J7" s="166" t="s">
        <v>303</v>
      </c>
      <c r="K7" s="38" t="s">
        <v>301</v>
      </c>
    </row>
    <row r="8" spans="1:13">
      <c r="A8" s="4" t="s">
        <v>306</v>
      </c>
      <c r="B8" s="25">
        <v>17</v>
      </c>
      <c r="C8" s="25">
        <v>22</v>
      </c>
      <c r="D8" s="25">
        <v>36</v>
      </c>
      <c r="E8" s="25">
        <v>21</v>
      </c>
      <c r="F8" s="25">
        <v>2</v>
      </c>
      <c r="G8" s="25">
        <v>3</v>
      </c>
      <c r="H8" s="55"/>
      <c r="I8" s="4" t="s">
        <v>122</v>
      </c>
      <c r="J8" s="318" t="s">
        <v>307</v>
      </c>
    </row>
    <row r="9" spans="1:13">
      <c r="A9" s="4" t="s">
        <v>308</v>
      </c>
      <c r="B9" s="25">
        <v>30</v>
      </c>
      <c r="C9" s="25">
        <v>34</v>
      </c>
      <c r="D9" s="25">
        <v>35</v>
      </c>
      <c r="E9" s="25">
        <v>35</v>
      </c>
      <c r="F9" s="25">
        <v>36</v>
      </c>
      <c r="G9" s="25">
        <v>36</v>
      </c>
      <c r="H9" s="25">
        <v>51</v>
      </c>
      <c r="I9" s="314" t="s">
        <v>309</v>
      </c>
      <c r="J9" s="166" t="s">
        <v>310</v>
      </c>
      <c r="K9" s="314" t="s">
        <v>122</v>
      </c>
      <c r="L9" s="166" t="s">
        <v>301</v>
      </c>
    </row>
    <row r="10" spans="1:13">
      <c r="A10" s="15" t="s">
        <v>174</v>
      </c>
      <c r="B10" s="57"/>
      <c r="C10" s="345">
        <v>1</v>
      </c>
      <c r="D10" s="345">
        <v>4</v>
      </c>
      <c r="E10" s="345">
        <v>1</v>
      </c>
      <c r="F10" s="345">
        <v>1</v>
      </c>
      <c r="G10" s="345">
        <v>3</v>
      </c>
      <c r="H10" s="345">
        <v>3</v>
      </c>
      <c r="I10" s="433" t="s">
        <v>122</v>
      </c>
      <c r="J10" s="115" t="s">
        <v>301</v>
      </c>
    </row>
    <row r="11" spans="1:13">
      <c r="A11" s="4" t="s">
        <v>311</v>
      </c>
      <c r="B11" s="25">
        <v>3</v>
      </c>
      <c r="C11" s="25">
        <v>6</v>
      </c>
      <c r="D11" s="25">
        <v>1</v>
      </c>
      <c r="E11" s="25">
        <v>2</v>
      </c>
      <c r="F11" s="25">
        <v>3</v>
      </c>
      <c r="G11" s="25">
        <v>8</v>
      </c>
      <c r="H11" s="55"/>
      <c r="I11" s="40" t="s">
        <v>122</v>
      </c>
      <c r="J11" s="115" t="s">
        <v>301</v>
      </c>
    </row>
    <row r="12" spans="1:13">
      <c r="A12" s="6"/>
      <c r="B12" s="6"/>
      <c r="C12" s="6"/>
      <c r="D12" s="6"/>
      <c r="E12" s="6"/>
      <c r="F12" s="6"/>
      <c r="G12" s="6"/>
      <c r="H12" s="6"/>
      <c r="I12" s="6"/>
      <c r="J12" s="6"/>
    </row>
    <row r="13" spans="1:13">
      <c r="A13" s="3" t="s">
        <v>312</v>
      </c>
      <c r="B13" s="14">
        <v>2010</v>
      </c>
      <c r="C13" s="14">
        <v>2011</v>
      </c>
      <c r="D13" s="14">
        <v>2012</v>
      </c>
      <c r="E13" s="14">
        <v>2013</v>
      </c>
      <c r="F13" s="14">
        <v>2014</v>
      </c>
      <c r="G13" s="14">
        <v>2015</v>
      </c>
      <c r="H13" s="3">
        <v>2016</v>
      </c>
      <c r="I13" s="3" t="s">
        <v>102</v>
      </c>
      <c r="J13" s="3" t="s">
        <v>103</v>
      </c>
    </row>
    <row r="14" spans="1:13">
      <c r="A14" s="218" t="s">
        <v>313</v>
      </c>
      <c r="B14" s="435"/>
      <c r="C14" s="435"/>
      <c r="D14" s="435"/>
      <c r="E14" s="454">
        <v>2.454974</v>
      </c>
      <c r="F14" s="454">
        <v>10.586</v>
      </c>
      <c r="G14" s="436"/>
      <c r="H14" s="437"/>
      <c r="I14" s="290" t="s">
        <v>314</v>
      </c>
      <c r="J14" s="317" t="s">
        <v>315</v>
      </c>
      <c r="K14" s="38" t="s">
        <v>316</v>
      </c>
    </row>
    <row r="15" spans="1:13">
      <c r="A15" s="218" t="s">
        <v>317</v>
      </c>
      <c r="B15" s="435"/>
      <c r="C15" s="435"/>
      <c r="D15" s="435"/>
      <c r="E15" s="454">
        <v>2.3393389999999998</v>
      </c>
      <c r="F15" s="454">
        <v>2.339</v>
      </c>
      <c r="G15" s="436"/>
      <c r="H15" s="437"/>
      <c r="I15" s="290" t="s">
        <v>314</v>
      </c>
      <c r="J15" s="317" t="s">
        <v>315</v>
      </c>
      <c r="K15" s="38" t="s">
        <v>316</v>
      </c>
    </row>
    <row r="16" spans="1:13">
      <c r="A16" s="218" t="s">
        <v>318</v>
      </c>
      <c r="B16" s="435"/>
      <c r="C16" s="435"/>
      <c r="D16" s="435"/>
      <c r="E16" s="454">
        <v>1.9052530000000001</v>
      </c>
      <c r="F16" s="454">
        <v>1.905</v>
      </c>
      <c r="G16" s="436"/>
      <c r="H16" s="437"/>
      <c r="I16" s="290" t="s">
        <v>314</v>
      </c>
      <c r="J16" s="317" t="s">
        <v>315</v>
      </c>
      <c r="K16" s="38" t="s">
        <v>316</v>
      </c>
    </row>
    <row r="17" spans="1:11">
      <c r="A17" s="218" t="s">
        <v>319</v>
      </c>
      <c r="B17" s="435"/>
      <c r="C17" s="435"/>
      <c r="D17" s="435"/>
      <c r="E17" s="454">
        <v>1.157883</v>
      </c>
      <c r="F17" s="454">
        <v>1.1579999999999999</v>
      </c>
      <c r="G17" s="436"/>
      <c r="H17" s="437"/>
      <c r="I17" s="290" t="s">
        <v>314</v>
      </c>
      <c r="J17" s="317" t="s">
        <v>315</v>
      </c>
      <c r="K17" s="38" t="s">
        <v>316</v>
      </c>
    </row>
    <row r="18" spans="1:11">
      <c r="A18" s="218" t="s">
        <v>320</v>
      </c>
      <c r="B18" s="438">
        <v>453</v>
      </c>
      <c r="C18" s="438">
        <v>602</v>
      </c>
      <c r="D18" s="438">
        <v>890</v>
      </c>
      <c r="E18" s="432">
        <v>1080</v>
      </c>
      <c r="F18" s="432">
        <v>1020</v>
      </c>
      <c r="G18" s="432">
        <v>981</v>
      </c>
      <c r="H18" s="437"/>
      <c r="I18" s="290" t="s">
        <v>122</v>
      </c>
      <c r="J18" s="317" t="s">
        <v>123</v>
      </c>
      <c r="K18" s="38"/>
    </row>
    <row r="19" spans="1:11">
      <c r="A19" s="16" t="s">
        <v>321</v>
      </c>
      <c r="B19" s="124">
        <f>563678*365/1000000</f>
        <v>205.74247</v>
      </c>
      <c r="C19" s="124">
        <f>1319155*365/1000000</f>
        <v>481.49157500000001</v>
      </c>
      <c r="D19" s="124">
        <f>3696010*365/1000000</f>
        <v>1349.0436500000001</v>
      </c>
      <c r="E19" s="124">
        <f>1567491*365/1000000</f>
        <v>572.13421500000004</v>
      </c>
      <c r="F19" s="124">
        <f>1030000*365/1000000</f>
        <v>375.95</v>
      </c>
      <c r="G19" s="439"/>
      <c r="H19" s="440">
        <f>6000000*365/1000000</f>
        <v>2190</v>
      </c>
      <c r="I19" s="290" t="s">
        <v>122</v>
      </c>
      <c r="J19" s="270" t="s">
        <v>301</v>
      </c>
    </row>
    <row r="20" spans="1:11">
      <c r="A20" s="271" t="s">
        <v>322</v>
      </c>
      <c r="B20" s="124">
        <v>214.1353</v>
      </c>
      <c r="C20" s="124">
        <v>455.30144999999999</v>
      </c>
      <c r="D20" s="124">
        <v>541.72</v>
      </c>
      <c r="E20" s="124">
        <v>352.08953000000002</v>
      </c>
      <c r="F20" s="441">
        <v>43.38344</v>
      </c>
      <c r="G20" s="124">
        <v>5.1438899999999999</v>
      </c>
      <c r="H20" s="442"/>
      <c r="I20" s="290" t="s">
        <v>122</v>
      </c>
      <c r="J20" s="269" t="s">
        <v>301</v>
      </c>
    </row>
    <row r="21" spans="1:11">
      <c r="A21" s="4" t="s">
        <v>323</v>
      </c>
      <c r="B21" s="161">
        <v>0.94</v>
      </c>
      <c r="C21" s="161">
        <v>1.0900000000000001</v>
      </c>
      <c r="D21" s="228"/>
      <c r="E21" s="228"/>
      <c r="F21" s="228"/>
      <c r="G21" s="228"/>
      <c r="H21" s="228"/>
      <c r="I21" s="4" t="s">
        <v>324</v>
      </c>
      <c r="J21" s="269" t="s">
        <v>325</v>
      </c>
    </row>
    <row r="22" spans="1:11">
      <c r="A22" s="6"/>
      <c r="B22" s="6"/>
      <c r="C22" s="6"/>
      <c r="D22" s="6"/>
      <c r="E22" s="6"/>
      <c r="F22" s="6"/>
      <c r="G22" s="6"/>
      <c r="H22" s="6"/>
      <c r="I22" s="6"/>
      <c r="J22" s="6"/>
    </row>
    <row r="23" spans="1:11">
      <c r="A23" s="3" t="s">
        <v>326</v>
      </c>
      <c r="I23" s="3" t="s">
        <v>102</v>
      </c>
      <c r="J23" s="3" t="s">
        <v>103</v>
      </c>
    </row>
    <row r="24" spans="1:11">
      <c r="A24" s="4" t="s">
        <v>327</v>
      </c>
      <c r="I24" s="4" t="s">
        <v>122</v>
      </c>
      <c r="J24" s="269" t="s">
        <v>328</v>
      </c>
    </row>
    <row r="25" spans="1:11">
      <c r="A25" s="16" t="s">
        <v>329</v>
      </c>
      <c r="B25" s="12">
        <v>275000</v>
      </c>
      <c r="I25" s="4" t="s">
        <v>122</v>
      </c>
      <c r="J25" s="269" t="s">
        <v>328</v>
      </c>
    </row>
    <row r="26" spans="1:11">
      <c r="A26" s="16" t="s">
        <v>330</v>
      </c>
      <c r="B26" s="4">
        <v>18000</v>
      </c>
      <c r="I26" s="4" t="s">
        <v>122</v>
      </c>
      <c r="J26" s="269" t="s">
        <v>328</v>
      </c>
    </row>
    <row r="27" spans="1:11" ht="30">
      <c r="A27" s="434" t="s">
        <v>331</v>
      </c>
      <c r="B27" s="4">
        <v>2.9</v>
      </c>
      <c r="I27" s="4" t="s">
        <v>122</v>
      </c>
      <c r="J27" s="269" t="s">
        <v>328</v>
      </c>
    </row>
    <row r="70" spans="2:2">
      <c r="B70" s="1"/>
    </row>
  </sheetData>
  <mergeCells count="1">
    <mergeCell ref="A1:A2"/>
  </mergeCells>
  <hyperlinks>
    <hyperlink ref="J9" r:id="rId1" xr:uid="{00000000-0004-0000-0700-000000000000}"/>
    <hyperlink ref="I9" r:id="rId2" xr:uid="{00000000-0004-0000-0700-000001000000}"/>
    <hyperlink ref="J14" r:id="rId3" xr:uid="{00000000-0004-0000-0700-000002000000}"/>
    <hyperlink ref="J15:J17" r:id="rId4" display="https://www-statista-com.proxy.lib.duke.edu/statistics/478335/methane-potential-for-select-biogas-sources-in-the-us/" xr:uid="{00000000-0004-0000-0700-000003000000}"/>
    <hyperlink ref="J8" r:id="rId5" xr:uid="{00000000-0004-0000-0700-000004000000}"/>
    <hyperlink ref="J5:J7" r:id="rId6" display="https://www-statista-com.proxy.lib.duke.edu/statistics/478350/anaerobic-digesters-on-us-livestock-farms-number-by-biogas-use/" xr:uid="{00000000-0004-0000-0700-000005000000}"/>
    <hyperlink ref="J18" r:id="rId7" xr:uid="{00000000-0004-0000-0700-000006000000}"/>
    <hyperlink ref="J4" r:id="rId8" xr:uid="{00000000-0004-0000-0700-000007000000}"/>
    <hyperlink ref="L9" r:id="rId9" xr:uid="{00000000-0004-0000-0700-000008000000}"/>
    <hyperlink ref="J10" r:id="rId10" xr:uid="{00000000-0004-0000-0700-000009000000}"/>
    <hyperlink ref="K5" r:id="rId11" xr:uid="{00000000-0004-0000-0700-00000A000000}"/>
    <hyperlink ref="K6" r:id="rId12" xr:uid="{00000000-0004-0000-0700-00000B000000}"/>
    <hyperlink ref="K7" r:id="rId13" xr:uid="{00000000-0004-0000-0700-00000C000000}"/>
    <hyperlink ref="K14" r:id="rId14" xr:uid="{00000000-0004-0000-0700-00000D000000}"/>
    <hyperlink ref="K15:K17" r:id="rId15" display="http://www.nrel.gov/docs/fy14osti/60283.pdf" xr:uid="{00000000-0004-0000-0700-00000E000000}"/>
    <hyperlink ref="J19" r:id="rId16" xr:uid="{00000000-0004-0000-0700-00000F000000}"/>
    <hyperlink ref="J20" r:id="rId17" xr:uid="{00000000-0004-0000-0700-000010000000}"/>
    <hyperlink ref="J11" r:id="rId18" xr:uid="{00000000-0004-0000-0700-000011000000}"/>
    <hyperlink ref="J21" r:id="rId19" xr:uid="{00000000-0004-0000-0700-000012000000}"/>
    <hyperlink ref="J24" r:id="rId20" xr:uid="{00000000-0004-0000-0700-000013000000}"/>
    <hyperlink ref="J25" r:id="rId21" xr:uid="{00000000-0004-0000-0700-000014000000}"/>
    <hyperlink ref="J26" r:id="rId22" xr:uid="{00000000-0004-0000-0700-000015000000}"/>
    <hyperlink ref="J27" r:id="rId23" xr:uid="{00000000-0004-0000-0700-000016000000}"/>
  </hyperlinks>
  <pageMargins left="0.7" right="0.7" top="0.75" bottom="0.75" header="0.3" footer="0.3"/>
  <pageSetup orientation="portrait" r:id="rId24"/>
  <drawing r:id="rId2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499984740745262"/>
  </sheetPr>
  <dimension ref="A1:P80"/>
  <sheetViews>
    <sheetView topLeftCell="A25" zoomScale="85" zoomScaleNormal="85" workbookViewId="0">
      <selection activeCell="L52" sqref="L52"/>
    </sheetView>
  </sheetViews>
  <sheetFormatPr defaultColWidth="8.85546875" defaultRowHeight="15"/>
  <cols>
    <col min="1" max="1" width="60.28515625" customWidth="1"/>
    <col min="2" max="5" width="9.28515625" bestFit="1" customWidth="1"/>
    <col min="6" max="6" width="12.7109375" bestFit="1" customWidth="1"/>
    <col min="7" max="7" width="9.28515625" bestFit="1" customWidth="1"/>
    <col min="8" max="8" width="10.28515625" bestFit="1" customWidth="1"/>
    <col min="9" max="10" width="9.28515625" bestFit="1" customWidth="1"/>
    <col min="11" max="11" width="20.7109375" customWidth="1"/>
    <col min="12" max="12" width="40.140625" customWidth="1"/>
    <col min="13" max="13" width="25.42578125" customWidth="1"/>
    <col min="14" max="14" width="31.42578125" customWidth="1"/>
  </cols>
  <sheetData>
    <row r="1" spans="1:15">
      <c r="A1" s="467" t="s">
        <v>332</v>
      </c>
    </row>
    <row r="2" spans="1:15">
      <c r="A2" s="468"/>
    </row>
    <row r="3" spans="1:15">
      <c r="A3" s="3" t="s">
        <v>101</v>
      </c>
      <c r="B3" s="3">
        <v>2008</v>
      </c>
      <c r="C3" s="3">
        <v>2009</v>
      </c>
      <c r="D3" s="3">
        <v>2010</v>
      </c>
      <c r="E3" s="3">
        <v>2011</v>
      </c>
      <c r="F3" s="3">
        <v>2012</v>
      </c>
      <c r="G3" s="3">
        <v>2013</v>
      </c>
      <c r="H3" s="3">
        <v>2014</v>
      </c>
      <c r="I3" s="3">
        <v>2015</v>
      </c>
      <c r="J3" s="3">
        <v>2016</v>
      </c>
      <c r="K3" s="3" t="s">
        <v>102</v>
      </c>
      <c r="L3" s="3" t="s">
        <v>103</v>
      </c>
      <c r="M3" s="3" t="s">
        <v>104</v>
      </c>
      <c r="N3" s="3" t="s">
        <v>105</v>
      </c>
      <c r="O3" s="1" t="s">
        <v>333</v>
      </c>
    </row>
    <row r="4" spans="1:15">
      <c r="A4" s="4" t="s">
        <v>334</v>
      </c>
      <c r="B4" s="175"/>
      <c r="C4" s="175"/>
      <c r="D4" s="190">
        <v>2.15</v>
      </c>
      <c r="E4" s="190">
        <v>2.13</v>
      </c>
      <c r="F4" s="190">
        <v>2.11</v>
      </c>
      <c r="G4" s="190">
        <v>2.1</v>
      </c>
      <c r="H4" s="190">
        <v>2.08</v>
      </c>
      <c r="I4" s="55"/>
      <c r="J4" s="55"/>
      <c r="K4" s="4" t="s">
        <v>335</v>
      </c>
      <c r="L4" s="13" t="s">
        <v>336</v>
      </c>
      <c r="M4" s="4"/>
      <c r="N4" s="4"/>
    </row>
    <row r="5" spans="1:15">
      <c r="A5" s="4" t="s">
        <v>337</v>
      </c>
      <c r="B5" s="55"/>
      <c r="C5" s="55"/>
      <c r="D5" s="55"/>
      <c r="E5" s="55"/>
      <c r="F5" s="137">
        <v>9.1359999999999992</v>
      </c>
      <c r="G5" s="55"/>
      <c r="H5" s="55"/>
      <c r="I5" s="55"/>
      <c r="J5" s="55"/>
      <c r="K5" s="4" t="s">
        <v>338</v>
      </c>
      <c r="L5" s="13" t="s">
        <v>339</v>
      </c>
      <c r="M5" s="4"/>
      <c r="N5" s="4"/>
    </row>
    <row r="6" spans="1:15">
      <c r="A6" s="4" t="s">
        <v>340</v>
      </c>
      <c r="B6" s="55"/>
      <c r="C6" s="55"/>
      <c r="D6" s="55"/>
      <c r="E6" s="55"/>
      <c r="F6" s="12">
        <v>434</v>
      </c>
      <c r="G6" s="55"/>
      <c r="H6" s="55"/>
      <c r="I6" s="55"/>
      <c r="J6" s="55"/>
      <c r="K6" s="4"/>
      <c r="L6" s="13"/>
      <c r="M6" s="4"/>
      <c r="N6" s="4"/>
    </row>
    <row r="7" spans="1:15">
      <c r="A7" s="4" t="s">
        <v>341</v>
      </c>
      <c r="B7" s="174"/>
      <c r="C7" s="174"/>
      <c r="D7" s="174"/>
      <c r="E7" s="174"/>
      <c r="F7" s="137">
        <v>2.109</v>
      </c>
      <c r="G7" s="55"/>
      <c r="H7" s="137">
        <v>2.65</v>
      </c>
      <c r="I7" s="137">
        <v>2.42</v>
      </c>
      <c r="J7" s="174"/>
      <c r="K7" s="4" t="s">
        <v>342</v>
      </c>
      <c r="L7" s="13" t="s">
        <v>343</v>
      </c>
      <c r="M7" s="4" t="s">
        <v>338</v>
      </c>
      <c r="N7" s="13" t="s">
        <v>344</v>
      </c>
    </row>
    <row r="8" spans="1:15">
      <c r="A8" s="4" t="s">
        <v>345</v>
      </c>
      <c r="B8" s="191"/>
      <c r="C8" s="191"/>
      <c r="D8" s="191"/>
      <c r="E8" s="191"/>
      <c r="F8" s="179"/>
      <c r="G8" s="179"/>
      <c r="H8" s="192"/>
      <c r="I8" s="179"/>
      <c r="J8" s="191"/>
      <c r="K8" s="4"/>
      <c r="L8" s="4"/>
      <c r="M8" s="4"/>
      <c r="N8" s="4"/>
    </row>
    <row r="9" spans="1:15">
      <c r="A9" s="4"/>
      <c r="B9" s="4"/>
      <c r="C9" s="4"/>
      <c r="D9" s="4"/>
      <c r="E9" s="4"/>
      <c r="F9" s="4"/>
      <c r="G9" s="4"/>
      <c r="H9" s="4"/>
      <c r="I9" s="4"/>
      <c r="J9" s="4"/>
      <c r="K9" s="4"/>
      <c r="L9" s="4"/>
      <c r="M9" s="4"/>
      <c r="N9" s="4"/>
    </row>
    <row r="10" spans="1:15">
      <c r="A10" s="6"/>
      <c r="B10" s="6"/>
      <c r="C10" s="6"/>
      <c r="D10" s="6"/>
      <c r="E10" s="6"/>
      <c r="F10" s="6"/>
      <c r="G10" s="6"/>
      <c r="H10" s="6"/>
      <c r="I10" s="6"/>
      <c r="J10" s="6"/>
      <c r="K10" s="6"/>
      <c r="L10" s="6"/>
      <c r="M10" s="6"/>
      <c r="N10" s="6"/>
    </row>
    <row r="11" spans="1:15">
      <c r="A11" s="3" t="s">
        <v>256</v>
      </c>
      <c r="B11" s="3">
        <v>2010</v>
      </c>
      <c r="C11" s="3">
        <v>2011</v>
      </c>
      <c r="D11" s="3">
        <v>2010</v>
      </c>
      <c r="E11" s="3">
        <v>2011</v>
      </c>
      <c r="F11" s="3">
        <v>2012</v>
      </c>
      <c r="G11" s="3">
        <v>2013</v>
      </c>
      <c r="H11" s="3">
        <v>2014</v>
      </c>
      <c r="I11" s="3">
        <v>2015</v>
      </c>
      <c r="J11" s="3">
        <v>2016</v>
      </c>
      <c r="K11" s="3" t="s">
        <v>102</v>
      </c>
      <c r="L11" s="3" t="s">
        <v>103</v>
      </c>
      <c r="M11" s="3" t="s">
        <v>104</v>
      </c>
      <c r="N11" s="3" t="s">
        <v>105</v>
      </c>
    </row>
    <row r="12" spans="1:15">
      <c r="A12" s="3"/>
      <c r="B12" s="39"/>
      <c r="C12" s="39"/>
      <c r="D12" s="39"/>
      <c r="E12" s="39"/>
      <c r="F12" s="39"/>
      <c r="G12" s="39"/>
      <c r="H12" s="39"/>
      <c r="I12" s="39"/>
      <c r="J12" s="39"/>
      <c r="K12" s="3"/>
      <c r="L12" s="3"/>
      <c r="M12" s="3"/>
      <c r="N12" s="3"/>
    </row>
    <row r="13" spans="1:15">
      <c r="A13" s="74" t="s">
        <v>346</v>
      </c>
      <c r="B13" s="187"/>
      <c r="C13" s="187"/>
      <c r="D13" s="187"/>
      <c r="E13" s="187"/>
      <c r="F13" s="39">
        <v>914.5</v>
      </c>
      <c r="G13" s="188"/>
      <c r="H13" s="188"/>
      <c r="I13" s="188"/>
      <c r="J13" s="188"/>
      <c r="K13" s="39" t="s">
        <v>347</v>
      </c>
      <c r="L13" s="40" t="s">
        <v>348</v>
      </c>
      <c r="M13" s="3"/>
      <c r="N13" s="3"/>
    </row>
    <row r="14" spans="1:15">
      <c r="A14" s="74" t="s">
        <v>349</v>
      </c>
      <c r="B14" s="187"/>
      <c r="C14" s="187"/>
      <c r="D14" s="187"/>
      <c r="E14" s="187"/>
      <c r="F14" s="39">
        <v>415.3</v>
      </c>
      <c r="G14" s="188"/>
      <c r="H14" s="188"/>
      <c r="I14" s="188"/>
      <c r="J14" s="188"/>
      <c r="K14" s="39" t="s">
        <v>347</v>
      </c>
      <c r="L14" s="40" t="s">
        <v>348</v>
      </c>
      <c r="M14" s="3"/>
      <c r="N14" s="3"/>
    </row>
    <row r="15" spans="1:15">
      <c r="A15" s="74" t="s">
        <v>350</v>
      </c>
      <c r="B15" s="187"/>
      <c r="C15" s="187"/>
      <c r="D15" s="187"/>
      <c r="E15" s="187"/>
      <c r="F15" s="39">
        <v>389.7</v>
      </c>
      <c r="G15" s="188"/>
      <c r="H15" s="188"/>
      <c r="I15" s="188"/>
      <c r="J15" s="188"/>
      <c r="K15" s="39" t="s">
        <v>347</v>
      </c>
      <c r="L15" s="40" t="s">
        <v>348</v>
      </c>
      <c r="M15" s="3"/>
      <c r="N15" s="3"/>
    </row>
    <row r="16" spans="1:15">
      <c r="A16" s="74" t="s">
        <v>351</v>
      </c>
      <c r="B16" s="187"/>
      <c r="C16" s="187"/>
      <c r="D16" s="187"/>
      <c r="E16" s="187"/>
      <c r="F16" s="186">
        <v>315</v>
      </c>
      <c r="G16" s="188"/>
      <c r="H16" s="188"/>
      <c r="I16" s="188"/>
      <c r="J16" s="188"/>
      <c r="K16" s="39" t="s">
        <v>347</v>
      </c>
      <c r="L16" s="40" t="s">
        <v>348</v>
      </c>
      <c r="M16" s="3"/>
      <c r="N16" s="3"/>
    </row>
    <row r="17" spans="1:14">
      <c r="A17" s="74" t="s">
        <v>352</v>
      </c>
      <c r="B17" s="187"/>
      <c r="C17" s="187"/>
      <c r="D17" s="187"/>
      <c r="E17" s="187"/>
      <c r="F17" s="186">
        <v>77</v>
      </c>
      <c r="G17" s="188"/>
      <c r="H17" s="188"/>
      <c r="I17" s="188"/>
      <c r="J17" s="188"/>
      <c r="K17" s="39" t="s">
        <v>347</v>
      </c>
      <c r="L17" s="40" t="s">
        <v>348</v>
      </c>
      <c r="M17" s="3"/>
      <c r="N17" s="3"/>
    </row>
    <row r="18" spans="1:14">
      <c r="A18" s="74" t="s">
        <v>353</v>
      </c>
      <c r="B18" s="187"/>
      <c r="C18" s="187"/>
      <c r="D18" s="187"/>
      <c r="E18" s="187"/>
      <c r="F18" s="186">
        <v>32.5</v>
      </c>
      <c r="G18" s="188"/>
      <c r="H18" s="188"/>
      <c r="I18" s="188"/>
      <c r="J18" s="188"/>
      <c r="K18" s="39" t="s">
        <v>347</v>
      </c>
      <c r="L18" s="40" t="s">
        <v>348</v>
      </c>
      <c r="M18" s="3"/>
      <c r="N18" s="3"/>
    </row>
    <row r="19" spans="1:14">
      <c r="A19" s="74"/>
      <c r="B19" s="187"/>
      <c r="C19" s="187"/>
      <c r="D19" s="187"/>
      <c r="E19" s="187"/>
      <c r="F19" s="186"/>
      <c r="G19" s="188"/>
      <c r="H19" s="188"/>
      <c r="I19" s="188"/>
      <c r="J19" s="188"/>
      <c r="K19" s="39"/>
      <c r="L19" s="40"/>
      <c r="M19" s="3"/>
      <c r="N19" s="3"/>
    </row>
    <row r="20" spans="1:14">
      <c r="A20" s="165" t="s">
        <v>354</v>
      </c>
      <c r="B20" s="39"/>
      <c r="C20" s="39"/>
      <c r="D20" s="39"/>
      <c r="E20" s="39"/>
      <c r="F20" s="39"/>
      <c r="G20" s="39"/>
      <c r="H20" s="39"/>
      <c r="I20" s="39"/>
      <c r="J20" s="39"/>
      <c r="K20" s="3"/>
      <c r="L20" s="3"/>
      <c r="M20" s="3"/>
      <c r="N20" s="3"/>
    </row>
    <row r="21" spans="1:14">
      <c r="A21" s="4" t="s">
        <v>355</v>
      </c>
      <c r="B21" s="55"/>
      <c r="C21" s="55"/>
      <c r="D21" s="55"/>
      <c r="E21" s="55"/>
      <c r="F21" s="55"/>
      <c r="G21" s="55"/>
      <c r="H21" s="4">
        <v>361.09</v>
      </c>
      <c r="I21" s="4">
        <v>345.51</v>
      </c>
      <c r="J21" s="4">
        <v>384.78</v>
      </c>
      <c r="K21" t="s">
        <v>335</v>
      </c>
      <c r="L21" s="38" t="s">
        <v>356</v>
      </c>
      <c r="M21" s="4" t="s">
        <v>357</v>
      </c>
      <c r="N21" s="13" t="s">
        <v>358</v>
      </c>
    </row>
    <row r="22" spans="1:14">
      <c r="A22" s="4" t="s">
        <v>359</v>
      </c>
      <c r="B22" s="55"/>
      <c r="C22" s="55"/>
      <c r="D22" s="55"/>
      <c r="E22" s="55"/>
      <c r="F22" s="55"/>
      <c r="G22" s="55"/>
      <c r="H22" s="4">
        <v>479.08</v>
      </c>
      <c r="I22" s="4">
        <v>477.89</v>
      </c>
      <c r="J22" s="56"/>
      <c r="K22" s="4" t="s">
        <v>335</v>
      </c>
      <c r="L22" s="13" t="s">
        <v>360</v>
      </c>
      <c r="M22" s="17"/>
      <c r="N22" s="13"/>
    </row>
    <row r="23" spans="1:14">
      <c r="A23" s="4" t="s">
        <v>361</v>
      </c>
      <c r="B23" s="55"/>
      <c r="C23" s="55"/>
      <c r="D23" s="55"/>
      <c r="E23" s="55"/>
      <c r="F23" s="55"/>
      <c r="G23" s="55"/>
      <c r="H23" s="4">
        <v>302.14</v>
      </c>
      <c r="I23" s="4">
        <v>330.49</v>
      </c>
      <c r="J23" s="56"/>
      <c r="K23" s="4" t="s">
        <v>335</v>
      </c>
      <c r="L23" s="13" t="s">
        <v>360</v>
      </c>
      <c r="M23" s="17"/>
      <c r="N23" s="13"/>
    </row>
    <row r="24" spans="1:14">
      <c r="A24" s="4" t="s">
        <v>362</v>
      </c>
      <c r="B24" s="55"/>
      <c r="C24" s="55"/>
      <c r="D24" s="55"/>
      <c r="E24" s="55"/>
      <c r="F24" s="55"/>
      <c r="G24" s="55"/>
      <c r="H24" s="4">
        <v>247.48</v>
      </c>
      <c r="I24" s="4">
        <v>243.57</v>
      </c>
      <c r="J24" s="56"/>
      <c r="K24" s="4" t="s">
        <v>335</v>
      </c>
      <c r="L24" s="13" t="s">
        <v>360</v>
      </c>
      <c r="M24" s="17"/>
      <c r="N24" s="13"/>
    </row>
    <row r="25" spans="1:14">
      <c r="A25" s="4" t="s">
        <v>363</v>
      </c>
      <c r="B25" s="55"/>
      <c r="C25" s="55"/>
      <c r="D25" s="55"/>
      <c r="E25" s="55"/>
      <c r="F25" s="55"/>
      <c r="G25" s="55"/>
      <c r="H25" s="41">
        <v>5200.09</v>
      </c>
      <c r="I25" s="41">
        <v>5206.0600000000004</v>
      </c>
      <c r="J25" s="56"/>
      <c r="K25" s="4" t="s">
        <v>335</v>
      </c>
      <c r="L25" s="13" t="s">
        <v>360</v>
      </c>
      <c r="M25" s="17"/>
      <c r="N25" s="13"/>
    </row>
    <row r="26" spans="1:14">
      <c r="A26" s="4" t="s">
        <v>364</v>
      </c>
      <c r="B26" s="55"/>
      <c r="C26" s="55"/>
      <c r="D26" s="55"/>
      <c r="E26" s="55"/>
      <c r="F26" s="55"/>
      <c r="G26" s="55"/>
      <c r="H26" s="4">
        <v>142.19</v>
      </c>
      <c r="I26" s="4">
        <v>143</v>
      </c>
      <c r="J26" s="56"/>
      <c r="K26" s="4" t="s">
        <v>335</v>
      </c>
      <c r="L26" s="13" t="s">
        <v>360</v>
      </c>
      <c r="M26" s="17"/>
      <c r="N26" s="13"/>
    </row>
    <row r="27" spans="1:14">
      <c r="A27" s="4" t="s">
        <v>365</v>
      </c>
      <c r="B27" s="55"/>
      <c r="C27" s="55"/>
      <c r="D27" s="55"/>
      <c r="E27" s="55"/>
      <c r="F27" s="55"/>
      <c r="G27" s="55"/>
      <c r="H27" s="4">
        <v>201.21</v>
      </c>
      <c r="I27" s="4">
        <v>203</v>
      </c>
      <c r="J27" s="56"/>
      <c r="K27" s="15" t="s">
        <v>335</v>
      </c>
      <c r="L27" s="35" t="s">
        <v>360</v>
      </c>
      <c r="M27" s="17"/>
      <c r="N27" s="13"/>
    </row>
    <row r="28" spans="1:14">
      <c r="A28" s="4" t="s">
        <v>366</v>
      </c>
      <c r="B28" s="55"/>
      <c r="C28" s="55"/>
      <c r="D28" s="55"/>
      <c r="E28" s="55"/>
      <c r="F28" s="55"/>
      <c r="G28" s="55"/>
      <c r="H28" s="4">
        <v>29.26</v>
      </c>
      <c r="I28" s="4">
        <v>30.56</v>
      </c>
      <c r="J28" s="56"/>
      <c r="K28" s="4" t="s">
        <v>335</v>
      </c>
      <c r="L28" s="13" t="s">
        <v>360</v>
      </c>
      <c r="M28" s="17"/>
      <c r="N28" s="13"/>
    </row>
    <row r="29" spans="1:14">
      <c r="A29" s="4"/>
      <c r="B29" s="55"/>
      <c r="C29" s="55"/>
      <c r="D29" s="55"/>
      <c r="E29" s="55"/>
      <c r="F29" s="55"/>
      <c r="G29" s="55"/>
      <c r="H29" s="4"/>
      <c r="I29" s="4"/>
      <c r="J29" s="56"/>
      <c r="K29" s="4"/>
      <c r="L29" s="13"/>
      <c r="M29" s="17"/>
      <c r="N29" s="13"/>
    </row>
    <row r="30" spans="1:14">
      <c r="A30" s="221" t="s">
        <v>367</v>
      </c>
      <c r="B30" s="55"/>
      <c r="C30" s="55"/>
      <c r="D30" s="55"/>
      <c r="E30" s="55"/>
      <c r="F30" s="55"/>
      <c r="G30" s="55"/>
      <c r="H30" s="4"/>
      <c r="I30" s="4"/>
      <c r="J30" s="56"/>
      <c r="K30" s="4"/>
      <c r="L30" s="13"/>
      <c r="M30" s="17"/>
      <c r="N30" s="13"/>
    </row>
    <row r="31" spans="1:14">
      <c r="A31" s="4" t="s">
        <v>368</v>
      </c>
      <c r="B31" s="55"/>
      <c r="C31" s="55"/>
      <c r="D31" s="178"/>
      <c r="E31" s="178"/>
      <c r="F31" s="65">
        <v>3042</v>
      </c>
      <c r="G31" s="65">
        <v>3358</v>
      </c>
      <c r="H31" s="65">
        <v>3927</v>
      </c>
      <c r="I31" s="65">
        <v>3929</v>
      </c>
      <c r="J31" s="65">
        <v>4201</v>
      </c>
      <c r="K31" s="62" t="s">
        <v>335</v>
      </c>
      <c r="L31" s="13" t="s">
        <v>369</v>
      </c>
      <c r="M31" s="4"/>
      <c r="N31" s="4"/>
    </row>
    <row r="32" spans="1:14">
      <c r="A32" s="4" t="s">
        <v>370</v>
      </c>
      <c r="B32" s="179"/>
      <c r="C32" s="179"/>
      <c r="D32" s="182"/>
      <c r="E32" s="182"/>
      <c r="F32" s="182"/>
      <c r="G32" s="182"/>
      <c r="H32" s="182"/>
      <c r="I32" s="182"/>
      <c r="J32" s="182"/>
      <c r="K32" s="62"/>
      <c r="L32" s="4"/>
      <c r="M32" s="4"/>
      <c r="N32" s="4"/>
    </row>
    <row r="33" spans="1:16">
      <c r="A33" s="4" t="s">
        <v>371</v>
      </c>
      <c r="B33" s="179"/>
      <c r="C33" s="179"/>
      <c r="D33" s="182"/>
      <c r="E33" s="182"/>
      <c r="F33" s="182"/>
      <c r="G33" s="182"/>
      <c r="H33" s="182"/>
      <c r="I33" s="182"/>
      <c r="J33" s="182"/>
      <c r="K33" s="62"/>
      <c r="L33" s="4"/>
      <c r="M33" s="4"/>
      <c r="N33" s="4"/>
    </row>
    <row r="34" spans="1:16">
      <c r="A34" s="4" t="s">
        <v>372</v>
      </c>
      <c r="B34" s="179"/>
      <c r="C34" s="179"/>
      <c r="D34" s="182"/>
      <c r="E34" s="182"/>
      <c r="F34" s="182"/>
      <c r="G34" s="182"/>
      <c r="H34" s="182"/>
      <c r="I34" s="182"/>
      <c r="J34" s="182"/>
      <c r="K34" s="62"/>
      <c r="L34" s="4"/>
      <c r="M34" s="4"/>
      <c r="N34" s="4"/>
    </row>
    <row r="35" spans="1:16">
      <c r="A35" s="4"/>
      <c r="B35" s="179"/>
      <c r="C35" s="179"/>
      <c r="D35" s="182"/>
      <c r="E35" s="182"/>
      <c r="F35" s="182"/>
      <c r="G35" s="182"/>
      <c r="H35" s="182"/>
      <c r="I35" s="182"/>
      <c r="J35" s="222"/>
      <c r="K35" s="62"/>
      <c r="L35" s="4"/>
      <c r="M35" s="17"/>
      <c r="N35" s="4"/>
    </row>
    <row r="36" spans="1:16">
      <c r="A36" s="221" t="s">
        <v>373</v>
      </c>
      <c r="B36" s="55"/>
      <c r="C36" s="55"/>
      <c r="D36" s="55"/>
      <c r="E36" s="55"/>
      <c r="F36" s="55"/>
      <c r="G36" s="55"/>
      <c r="H36" s="4"/>
      <c r="I36" s="4"/>
      <c r="J36" s="56"/>
      <c r="K36" s="4"/>
      <c r="L36" s="13"/>
      <c r="M36" s="17"/>
      <c r="N36" s="13"/>
    </row>
    <row r="37" spans="1:16">
      <c r="A37" s="4" t="s">
        <v>374</v>
      </c>
      <c r="B37" s="12">
        <v>12825</v>
      </c>
      <c r="C37" s="12">
        <v>12183</v>
      </c>
      <c r="D37" s="12">
        <v>18102</v>
      </c>
      <c r="E37" s="12">
        <v>15573</v>
      </c>
      <c r="F37" s="12">
        <v>17314</v>
      </c>
      <c r="G37" s="12">
        <v>12909</v>
      </c>
      <c r="H37" s="12">
        <v>16319</v>
      </c>
      <c r="I37" s="12">
        <v>12888</v>
      </c>
      <c r="J37" s="12">
        <v>16959</v>
      </c>
      <c r="K37" s="4" t="s">
        <v>375</v>
      </c>
      <c r="L37" s="13" t="s">
        <v>376</v>
      </c>
      <c r="M37" s="4" t="s">
        <v>335</v>
      </c>
      <c r="N37" s="13" t="s">
        <v>377</v>
      </c>
    </row>
    <row r="38" spans="1:16">
      <c r="A38" s="4" t="s">
        <v>378</v>
      </c>
      <c r="B38" s="177"/>
      <c r="C38" s="177"/>
      <c r="D38" s="177"/>
      <c r="E38" s="177"/>
      <c r="F38" s="177"/>
      <c r="G38" s="177"/>
      <c r="H38" s="177"/>
      <c r="I38" s="177"/>
      <c r="J38" s="177"/>
      <c r="K38" s="4"/>
      <c r="L38" s="4"/>
      <c r="M38" s="4"/>
      <c r="N38" s="4"/>
      <c r="O38" t="s">
        <v>379</v>
      </c>
    </row>
    <row r="39" spans="1:16">
      <c r="A39" s="4" t="s">
        <v>380</v>
      </c>
      <c r="B39" s="177"/>
      <c r="C39" s="177"/>
      <c r="D39" s="177"/>
      <c r="E39" s="177"/>
      <c r="F39" s="177"/>
      <c r="G39" s="177"/>
      <c r="H39" s="177"/>
      <c r="I39" s="177"/>
      <c r="J39" s="177"/>
      <c r="K39" s="4"/>
      <c r="L39" s="4"/>
      <c r="M39" s="4"/>
      <c r="N39" s="4"/>
    </row>
    <row r="40" spans="1:16">
      <c r="A40" s="4" t="s">
        <v>381</v>
      </c>
      <c r="B40" s="177"/>
      <c r="C40" s="177"/>
      <c r="D40" s="177"/>
      <c r="E40" s="177"/>
      <c r="F40" s="177"/>
      <c r="G40" s="177"/>
      <c r="H40" s="177"/>
      <c r="I40" s="177"/>
      <c r="J40" s="177"/>
      <c r="K40" s="4"/>
      <c r="L40" s="4"/>
      <c r="M40" s="4"/>
      <c r="N40" s="4"/>
    </row>
    <row r="41" spans="1:16">
      <c r="A41" s="4" t="s">
        <v>382</v>
      </c>
      <c r="B41" s="12">
        <v>13261</v>
      </c>
      <c r="C41" s="12">
        <v>12037</v>
      </c>
      <c r="D41" s="12">
        <v>14376</v>
      </c>
      <c r="E41" s="12">
        <v>11714</v>
      </c>
      <c r="F41" s="12">
        <v>13026</v>
      </c>
      <c r="G41" s="12">
        <v>10530</v>
      </c>
      <c r="H41" s="12">
        <v>11246</v>
      </c>
      <c r="I41" s="12">
        <v>9153</v>
      </c>
      <c r="J41" s="12">
        <v>12500</v>
      </c>
      <c r="K41" s="4" t="s">
        <v>375</v>
      </c>
      <c r="L41" s="13" t="s">
        <v>376</v>
      </c>
      <c r="M41" s="4" t="s">
        <v>335</v>
      </c>
      <c r="N41" s="13" t="s">
        <v>377</v>
      </c>
    </row>
    <row r="42" spans="1:16">
      <c r="A42" s="4"/>
      <c r="B42" s="12"/>
      <c r="C42" s="12"/>
      <c r="D42" s="12"/>
      <c r="E42" s="12"/>
      <c r="F42" s="12"/>
      <c r="G42" s="12"/>
      <c r="H42" s="12"/>
      <c r="I42" s="12"/>
      <c r="J42" s="12"/>
      <c r="K42" s="4"/>
      <c r="L42" s="13"/>
      <c r="M42" s="4"/>
      <c r="N42" s="13"/>
    </row>
    <row r="43" spans="1:16">
      <c r="A43" s="221" t="s">
        <v>383</v>
      </c>
      <c r="B43" s="4"/>
      <c r="C43" s="4"/>
      <c r="D43" s="4"/>
      <c r="E43" s="4"/>
      <c r="F43" s="4"/>
      <c r="G43" s="4"/>
      <c r="H43" s="4"/>
      <c r="I43" s="4"/>
      <c r="J43" s="4"/>
      <c r="K43" s="4"/>
      <c r="L43" s="4"/>
      <c r="M43" s="4"/>
      <c r="N43" s="4"/>
    </row>
    <row r="44" spans="1:16">
      <c r="A44" s="4" t="s">
        <v>384</v>
      </c>
      <c r="B44" s="179"/>
      <c r="C44" s="179"/>
      <c r="D44" s="179"/>
      <c r="E44" s="179"/>
      <c r="F44" s="179"/>
      <c r="G44" s="179"/>
      <c r="H44" s="179"/>
      <c r="I44" s="179"/>
      <c r="J44" s="179"/>
      <c r="K44" s="4"/>
      <c r="L44" s="4"/>
      <c r="N44" s="4"/>
      <c r="O44" s="4"/>
      <c r="P44" t="s">
        <v>385</v>
      </c>
    </row>
    <row r="45" spans="1:16">
      <c r="A45" s="4" t="s">
        <v>386</v>
      </c>
      <c r="B45" s="4">
        <v>45.48</v>
      </c>
      <c r="C45" s="4">
        <v>41.63</v>
      </c>
      <c r="D45" s="4">
        <v>43.73</v>
      </c>
      <c r="E45" s="4">
        <v>45.84</v>
      </c>
      <c r="F45" s="4">
        <v>45.8</v>
      </c>
      <c r="G45" s="4">
        <v>43.91</v>
      </c>
      <c r="H45" s="4">
        <v>47.33</v>
      </c>
      <c r="I45" s="4">
        <v>47.61</v>
      </c>
      <c r="J45" s="55"/>
      <c r="K45" s="4" t="s">
        <v>387</v>
      </c>
      <c r="L45" s="13" t="s">
        <v>388</v>
      </c>
      <c r="N45" s="4"/>
      <c r="O45" s="4"/>
      <c r="P45" t="s">
        <v>389</v>
      </c>
    </row>
    <row r="46" spans="1:16">
      <c r="A46" s="4" t="s">
        <v>390</v>
      </c>
      <c r="B46" s="4">
        <v>52.24</v>
      </c>
      <c r="C46" s="4">
        <v>48.39</v>
      </c>
      <c r="D46" s="4">
        <v>50.25</v>
      </c>
      <c r="E46" s="4">
        <v>50.46</v>
      </c>
      <c r="F46" s="4">
        <v>49.52</v>
      </c>
      <c r="G46" s="4">
        <v>48.81</v>
      </c>
      <c r="H46" s="4">
        <v>49.1</v>
      </c>
      <c r="I46" s="4">
        <v>48.5</v>
      </c>
      <c r="J46" s="55"/>
      <c r="K46" s="4" t="s">
        <v>387</v>
      </c>
      <c r="L46" s="13" t="s">
        <v>388</v>
      </c>
      <c r="N46" s="4"/>
      <c r="O46" s="4"/>
    </row>
    <row r="47" spans="1:16" ht="15.75">
      <c r="A47" s="54" t="s">
        <v>391</v>
      </c>
      <c r="B47" s="4">
        <v>43.61</v>
      </c>
      <c r="C47" s="4">
        <v>40.44</v>
      </c>
      <c r="D47" s="4">
        <v>40.44</v>
      </c>
      <c r="E47" s="4">
        <v>40.44</v>
      </c>
      <c r="F47" s="4">
        <v>40.44</v>
      </c>
      <c r="G47" s="4">
        <v>41.88</v>
      </c>
      <c r="H47" s="4">
        <v>41.88</v>
      </c>
      <c r="I47" s="4">
        <v>44.34</v>
      </c>
      <c r="J47" s="55"/>
      <c r="K47" s="4" t="s">
        <v>387</v>
      </c>
      <c r="L47" s="13" t="s">
        <v>388</v>
      </c>
      <c r="N47" s="4"/>
      <c r="O47" s="4"/>
    </row>
    <row r="48" spans="1:16" ht="15.75">
      <c r="A48" s="215"/>
      <c r="J48" s="170"/>
      <c r="L48" s="168"/>
    </row>
    <row r="49" spans="1:15">
      <c r="A49" s="6"/>
      <c r="B49" s="6"/>
      <c r="C49" s="6"/>
      <c r="D49" s="6"/>
      <c r="E49" s="6"/>
      <c r="F49" s="6"/>
      <c r="G49" s="6"/>
      <c r="H49" s="6"/>
      <c r="I49" s="6"/>
      <c r="J49" s="6"/>
      <c r="K49" s="6"/>
      <c r="L49" s="6"/>
      <c r="M49" s="6"/>
      <c r="N49" s="6"/>
    </row>
    <row r="50" spans="1:15">
      <c r="A50" s="3" t="s">
        <v>125</v>
      </c>
      <c r="B50" s="3">
        <v>2008</v>
      </c>
      <c r="C50" s="3">
        <v>2009</v>
      </c>
      <c r="D50" s="3">
        <v>2010</v>
      </c>
      <c r="E50" s="3">
        <v>2011</v>
      </c>
      <c r="F50" s="3">
        <v>2012</v>
      </c>
      <c r="G50" s="3">
        <v>2013</v>
      </c>
      <c r="H50" s="3">
        <v>2014</v>
      </c>
      <c r="I50" s="3">
        <v>2015</v>
      </c>
      <c r="J50" s="3">
        <v>2016</v>
      </c>
      <c r="K50" s="3" t="s">
        <v>102</v>
      </c>
      <c r="L50" s="3" t="s">
        <v>103</v>
      </c>
      <c r="M50" s="3" t="s">
        <v>104</v>
      </c>
      <c r="N50" s="3" t="s">
        <v>105</v>
      </c>
    </row>
    <row r="51" spans="1:15">
      <c r="A51" s="39"/>
      <c r="B51" s="39"/>
      <c r="C51" s="290"/>
      <c r="D51" s="290"/>
      <c r="E51" s="39"/>
      <c r="F51" s="39"/>
      <c r="G51" s="39"/>
      <c r="H51" s="39"/>
      <c r="I51" s="39"/>
      <c r="J51" s="39"/>
      <c r="K51" s="39"/>
      <c r="L51" s="39"/>
      <c r="M51" s="3"/>
      <c r="N51" s="3"/>
    </row>
    <row r="52" spans="1:15">
      <c r="A52" s="44" t="s">
        <v>392</v>
      </c>
      <c r="B52" s="225"/>
      <c r="C52" s="55"/>
      <c r="D52" s="55"/>
      <c r="E52" s="119">
        <v>123.2</v>
      </c>
      <c r="F52" s="39">
        <v>135.30000000000001</v>
      </c>
      <c r="G52" s="39">
        <v>135.6</v>
      </c>
      <c r="H52" s="39">
        <v>131.5</v>
      </c>
      <c r="I52" s="39">
        <v>104.7</v>
      </c>
      <c r="J52" s="39">
        <v>91.9</v>
      </c>
      <c r="K52" s="39" t="s">
        <v>393</v>
      </c>
      <c r="L52" s="289" t="s">
        <v>394</v>
      </c>
      <c r="M52" s="3"/>
      <c r="N52" s="3"/>
    </row>
    <row r="53" spans="1:15">
      <c r="A53" s="23" t="s">
        <v>395</v>
      </c>
      <c r="B53" s="225"/>
      <c r="C53" s="55"/>
      <c r="D53" s="55"/>
      <c r="E53" s="119">
        <v>113.5</v>
      </c>
      <c r="F53" s="39">
        <v>96.5</v>
      </c>
      <c r="G53" s="39">
        <v>123.7</v>
      </c>
      <c r="H53" s="39">
        <v>92.6</v>
      </c>
      <c r="I53" s="39">
        <v>80.900000000000006</v>
      </c>
      <c r="J53" s="39">
        <v>68.3</v>
      </c>
      <c r="K53" s="39" t="s">
        <v>393</v>
      </c>
      <c r="L53" s="289" t="s">
        <v>394</v>
      </c>
      <c r="M53" s="3"/>
      <c r="N53" s="3"/>
    </row>
    <row r="54" spans="1:15">
      <c r="A54" s="39"/>
      <c r="B54" s="39"/>
      <c r="C54" s="291"/>
      <c r="D54" s="291"/>
      <c r="E54" s="39"/>
      <c r="F54" s="39"/>
      <c r="G54" s="39"/>
      <c r="H54" s="39"/>
      <c r="I54" s="39"/>
      <c r="J54" s="39"/>
      <c r="K54" s="39"/>
      <c r="L54" s="39"/>
      <c r="M54" s="3"/>
      <c r="N54" s="3"/>
    </row>
    <row r="55" spans="1:15">
      <c r="A55" s="23" t="s">
        <v>396</v>
      </c>
      <c r="B55" s="188"/>
      <c r="C55" s="292"/>
      <c r="D55" s="292"/>
      <c r="E55" s="279">
        <v>2318</v>
      </c>
      <c r="F55" s="279">
        <v>2638</v>
      </c>
      <c r="G55" s="279">
        <v>2776</v>
      </c>
      <c r="H55" s="279">
        <v>2949</v>
      </c>
      <c r="I55" s="279">
        <v>2910</v>
      </c>
      <c r="J55" s="279">
        <v>2868</v>
      </c>
      <c r="K55" s="39" t="s">
        <v>393</v>
      </c>
      <c r="L55" s="289" t="s">
        <v>394</v>
      </c>
      <c r="M55" s="3"/>
      <c r="N55" s="3"/>
    </row>
    <row r="56" spans="1:15">
      <c r="A56" s="23" t="s">
        <v>397</v>
      </c>
      <c r="B56" s="188"/>
      <c r="C56" s="292"/>
      <c r="D56" s="292"/>
      <c r="E56" s="39">
        <v>294.5</v>
      </c>
      <c r="F56" s="39">
        <v>297.5</v>
      </c>
      <c r="G56" s="39">
        <v>315.3</v>
      </c>
      <c r="H56" s="39">
        <v>345.2</v>
      </c>
      <c r="I56" s="39">
        <v>356.7</v>
      </c>
      <c r="J56" s="39">
        <v>375.7</v>
      </c>
      <c r="K56" s="39" t="s">
        <v>393</v>
      </c>
      <c r="L56" s="289" t="s">
        <v>394</v>
      </c>
      <c r="M56" s="3"/>
      <c r="N56" s="3"/>
    </row>
    <row r="57" spans="1:15">
      <c r="A57" s="23" t="s">
        <v>398</v>
      </c>
      <c r="B57" s="188"/>
      <c r="C57" s="292"/>
      <c r="D57" s="292"/>
      <c r="E57" s="279">
        <v>2024</v>
      </c>
      <c r="F57" s="279">
        <v>2340</v>
      </c>
      <c r="G57" s="164">
        <v>2460</v>
      </c>
      <c r="H57" s="279">
        <v>2604</v>
      </c>
      <c r="I57" s="279">
        <v>2553</v>
      </c>
      <c r="J57" s="279">
        <v>2492</v>
      </c>
      <c r="K57" s="39" t="s">
        <v>393</v>
      </c>
      <c r="L57" s="289" t="s">
        <v>394</v>
      </c>
      <c r="M57" s="3"/>
      <c r="N57" s="3"/>
    </row>
    <row r="58" spans="1:15">
      <c r="A58" s="3"/>
      <c r="B58" s="3"/>
      <c r="C58" s="3"/>
      <c r="D58" s="3"/>
      <c r="E58" s="3"/>
      <c r="F58" s="3"/>
      <c r="G58" s="3"/>
      <c r="H58" s="3"/>
      <c r="I58" s="3"/>
      <c r="J58" s="3"/>
      <c r="K58" s="3"/>
      <c r="L58" s="3"/>
      <c r="M58" s="3"/>
      <c r="N58" s="3"/>
    </row>
    <row r="59" spans="1:15">
      <c r="A59" s="4" t="s">
        <v>399</v>
      </c>
      <c r="B59" s="179"/>
      <c r="C59" s="179"/>
      <c r="D59" s="179"/>
      <c r="E59" s="179"/>
      <c r="F59" s="179"/>
      <c r="G59" s="179"/>
      <c r="H59" s="179"/>
      <c r="I59" s="179"/>
      <c r="J59" s="179"/>
      <c r="K59" s="4"/>
      <c r="L59" s="4"/>
      <c r="M59" s="4"/>
      <c r="N59" s="4"/>
    </row>
    <row r="60" spans="1:15">
      <c r="A60" s="4" t="s">
        <v>400</v>
      </c>
      <c r="B60" s="179"/>
      <c r="C60" s="179"/>
      <c r="D60" s="179"/>
      <c r="E60" s="179"/>
      <c r="F60" s="179"/>
      <c r="G60" s="179"/>
      <c r="H60" s="179"/>
      <c r="I60" s="179"/>
      <c r="J60" s="179"/>
      <c r="K60" s="4"/>
      <c r="L60" s="4"/>
      <c r="M60" s="4"/>
      <c r="N60" s="4"/>
    </row>
    <row r="61" spans="1:15">
      <c r="A61" s="4"/>
      <c r="B61" s="4"/>
      <c r="C61" s="4"/>
      <c r="D61" s="4"/>
      <c r="E61" s="4"/>
      <c r="F61" s="4"/>
      <c r="G61" s="4"/>
      <c r="H61" s="4"/>
      <c r="I61" s="4"/>
      <c r="J61" s="4"/>
      <c r="K61" s="4"/>
      <c r="L61" s="4"/>
      <c r="M61" s="4"/>
      <c r="N61" s="4"/>
    </row>
    <row r="62" spans="1:15">
      <c r="A62" s="62" t="s">
        <v>401</v>
      </c>
      <c r="B62" s="182"/>
      <c r="C62" s="182"/>
      <c r="D62" s="182"/>
      <c r="E62" s="182"/>
      <c r="F62" s="182"/>
      <c r="G62" s="182"/>
      <c r="H62" s="182"/>
      <c r="I62" s="182"/>
      <c r="J62" s="182"/>
      <c r="K62" s="4" t="s">
        <v>335</v>
      </c>
      <c r="L62" s="4"/>
      <c r="M62" s="4"/>
      <c r="N62" s="4"/>
      <c r="O62" t="s">
        <v>402</v>
      </c>
    </row>
    <row r="63" spans="1:15">
      <c r="A63" s="62" t="s">
        <v>403</v>
      </c>
      <c r="B63" s="182"/>
      <c r="C63" s="182"/>
      <c r="D63" s="182"/>
      <c r="E63" s="182"/>
      <c r="F63" s="182"/>
      <c r="G63" s="182"/>
      <c r="H63" s="182"/>
      <c r="I63" s="182"/>
      <c r="J63" s="182"/>
      <c r="K63" s="4"/>
      <c r="L63" s="4"/>
      <c r="M63" s="4"/>
      <c r="N63" s="4"/>
    </row>
    <row r="64" spans="1:15">
      <c r="A64" s="4"/>
      <c r="B64" s="4"/>
      <c r="C64" s="4"/>
      <c r="D64" s="4"/>
      <c r="E64" s="4"/>
      <c r="F64" s="4"/>
      <c r="G64" s="4"/>
      <c r="H64" s="4"/>
      <c r="I64" s="4"/>
      <c r="J64" s="4"/>
      <c r="K64" s="4"/>
      <c r="L64" s="4"/>
      <c r="M64" s="4"/>
      <c r="N64" s="4"/>
    </row>
    <row r="65" spans="1:15">
      <c r="A65" s="4" t="s">
        <v>404</v>
      </c>
      <c r="B65" s="179"/>
      <c r="C65" s="179"/>
      <c r="D65" s="179"/>
      <c r="E65" s="179"/>
      <c r="F65" s="29">
        <v>43.7</v>
      </c>
      <c r="G65" s="29">
        <v>43.6</v>
      </c>
      <c r="H65" s="29">
        <v>39.5</v>
      </c>
      <c r="I65" s="29">
        <v>35.200000000000003</v>
      </c>
      <c r="J65" s="30">
        <v>38</v>
      </c>
      <c r="K65" s="4" t="s">
        <v>335</v>
      </c>
      <c r="L65" s="13" t="s">
        <v>369</v>
      </c>
      <c r="M65" s="4"/>
      <c r="N65" s="4"/>
    </row>
    <row r="66" spans="1:15">
      <c r="A66" s="4" t="s">
        <v>405</v>
      </c>
      <c r="B66" s="174"/>
      <c r="C66" s="174"/>
      <c r="D66" s="174"/>
      <c r="E66" s="174"/>
      <c r="F66" s="174"/>
      <c r="G66" s="174"/>
      <c r="H66" s="174"/>
      <c r="I66" s="174"/>
      <c r="J66" s="174"/>
      <c r="K66" s="4"/>
      <c r="L66" s="13"/>
      <c r="M66" s="4"/>
      <c r="N66" s="4"/>
    </row>
    <row r="67" spans="1:15">
      <c r="A67" s="4"/>
      <c r="B67" s="4"/>
      <c r="C67" s="4"/>
      <c r="D67" s="4"/>
      <c r="E67" s="4"/>
      <c r="F67" s="4"/>
      <c r="G67" s="4"/>
      <c r="H67" s="4"/>
      <c r="I67" s="4"/>
      <c r="J67" s="4"/>
      <c r="K67" s="4"/>
      <c r="L67" s="4"/>
      <c r="M67" s="4"/>
      <c r="N67" s="4"/>
    </row>
    <row r="68" spans="1:15">
      <c r="A68" s="4" t="s">
        <v>406</v>
      </c>
      <c r="B68" s="179"/>
      <c r="C68" s="179"/>
      <c r="D68" s="179"/>
      <c r="E68" s="179"/>
      <c r="F68" s="179"/>
      <c r="G68" s="179"/>
      <c r="H68" s="179"/>
      <c r="I68" s="179"/>
      <c r="J68" s="179"/>
      <c r="K68" s="4"/>
      <c r="L68" s="4"/>
      <c r="M68" s="4"/>
      <c r="N68" s="4"/>
    </row>
    <row r="69" spans="1:15">
      <c r="A69" s="4" t="s">
        <v>407</v>
      </c>
      <c r="B69" s="179"/>
      <c r="C69" s="179"/>
      <c r="D69" s="179"/>
      <c r="E69" s="179"/>
      <c r="F69" s="179"/>
      <c r="G69" s="179"/>
      <c r="H69" s="179"/>
      <c r="I69" s="179"/>
      <c r="J69" s="179"/>
      <c r="K69" s="4"/>
      <c r="L69" s="4"/>
      <c r="M69" s="4"/>
      <c r="N69" s="4"/>
    </row>
    <row r="70" spans="1:15">
      <c r="A70" s="4"/>
      <c r="B70" s="4"/>
      <c r="C70" s="4"/>
      <c r="D70" s="4"/>
      <c r="E70" s="4"/>
      <c r="F70" s="4"/>
      <c r="G70" s="4"/>
      <c r="H70" s="4"/>
      <c r="I70" s="4"/>
      <c r="J70" s="4"/>
      <c r="K70" s="4"/>
      <c r="L70" s="4"/>
      <c r="M70" s="4"/>
      <c r="N70" s="4"/>
    </row>
    <row r="71" spans="1:15">
      <c r="A71" s="4" t="s">
        <v>408</v>
      </c>
      <c r="B71" s="41">
        <v>14.94</v>
      </c>
      <c r="C71" s="41">
        <v>12.63</v>
      </c>
      <c r="D71" s="41">
        <v>13.56</v>
      </c>
      <c r="E71" s="41">
        <v>13.48</v>
      </c>
      <c r="F71" s="41">
        <v>13.96</v>
      </c>
      <c r="G71" s="41">
        <v>14.19</v>
      </c>
      <c r="H71" s="41">
        <v>14.71</v>
      </c>
      <c r="I71" s="41">
        <v>15.15</v>
      </c>
      <c r="J71" s="41">
        <v>15.42</v>
      </c>
      <c r="K71" s="4" t="s">
        <v>409</v>
      </c>
      <c r="L71" s="13" t="s">
        <v>410</v>
      </c>
      <c r="M71" s="4"/>
      <c r="N71" s="4"/>
      <c r="O71" t="s">
        <v>411</v>
      </c>
    </row>
    <row r="72" spans="1:15">
      <c r="A72" s="4" t="s">
        <v>412</v>
      </c>
      <c r="B72" s="179"/>
      <c r="C72" s="179"/>
      <c r="D72" s="179"/>
      <c r="E72" s="179"/>
      <c r="F72" s="179"/>
      <c r="G72" s="179"/>
      <c r="H72" s="179"/>
      <c r="I72" s="179"/>
      <c r="J72" s="179"/>
      <c r="K72" s="4"/>
      <c r="L72" s="4"/>
      <c r="M72" s="4"/>
      <c r="N72" s="4"/>
    </row>
    <row r="73" spans="1:15">
      <c r="A73" s="4"/>
      <c r="B73" s="4"/>
      <c r="C73" s="4"/>
      <c r="D73" s="4"/>
      <c r="E73" s="4"/>
      <c r="F73" s="4"/>
      <c r="G73" s="4"/>
      <c r="H73" s="4"/>
      <c r="I73" s="4"/>
      <c r="J73" s="4"/>
      <c r="K73" s="4"/>
      <c r="L73" s="4"/>
      <c r="M73" s="4"/>
      <c r="N73" s="4"/>
    </row>
    <row r="74" spans="1:15">
      <c r="A74" s="4" t="s">
        <v>413</v>
      </c>
      <c r="B74" s="4"/>
      <c r="C74" s="4"/>
      <c r="D74" s="4"/>
      <c r="E74" s="4"/>
      <c r="F74" s="4"/>
      <c r="G74" s="4"/>
      <c r="H74" s="4"/>
      <c r="I74" s="4"/>
      <c r="J74" s="4"/>
      <c r="K74" s="4"/>
      <c r="L74" s="4"/>
      <c r="M74" s="4"/>
      <c r="N74" s="4"/>
    </row>
    <row r="75" spans="1:15">
      <c r="A75" t="s">
        <v>414</v>
      </c>
    </row>
    <row r="76" spans="1:15">
      <c r="A76" t="s">
        <v>415</v>
      </c>
    </row>
    <row r="77" spans="1:15">
      <c r="A77" t="s">
        <v>416</v>
      </c>
    </row>
    <row r="79" spans="1:15">
      <c r="A79" t="s">
        <v>417</v>
      </c>
    </row>
    <row r="80" spans="1:15">
      <c r="A80" t="s">
        <v>418</v>
      </c>
    </row>
  </sheetData>
  <mergeCells count="1">
    <mergeCell ref="A1:A2"/>
  </mergeCells>
  <hyperlinks>
    <hyperlink ref="L4" r:id="rId1" xr:uid="{00000000-0004-0000-0800-000000000000}"/>
    <hyperlink ref="L5" r:id="rId2" xr:uid="{00000000-0004-0000-0800-000001000000}"/>
    <hyperlink ref="L7" r:id="rId3" xr:uid="{00000000-0004-0000-0800-000002000000}"/>
    <hyperlink ref="N7" r:id="rId4" xr:uid="{00000000-0004-0000-0800-000003000000}"/>
    <hyperlink ref="L13" r:id="rId5" xr:uid="{00000000-0004-0000-0800-000004000000}"/>
    <hyperlink ref="L14" r:id="rId6" xr:uid="{00000000-0004-0000-0800-000005000000}"/>
    <hyperlink ref="L15" r:id="rId7" xr:uid="{00000000-0004-0000-0800-000006000000}"/>
    <hyperlink ref="L17" r:id="rId8" xr:uid="{00000000-0004-0000-0800-000007000000}"/>
    <hyperlink ref="L16" r:id="rId9" xr:uid="{00000000-0004-0000-0800-000008000000}"/>
    <hyperlink ref="L18" r:id="rId10" xr:uid="{00000000-0004-0000-0800-000009000000}"/>
    <hyperlink ref="N21" r:id="rId11" xr:uid="{00000000-0004-0000-0800-00000A000000}"/>
    <hyperlink ref="L21" r:id="rId12" location="/app/downloads" xr:uid="{00000000-0004-0000-0800-00000B000000}"/>
    <hyperlink ref="L22" r:id="rId13" xr:uid="{00000000-0004-0000-0800-00000C000000}"/>
    <hyperlink ref="L23" r:id="rId14" xr:uid="{00000000-0004-0000-0800-00000D000000}"/>
    <hyperlink ref="L24" r:id="rId15" xr:uid="{00000000-0004-0000-0800-00000E000000}"/>
    <hyperlink ref="L25" r:id="rId16" xr:uid="{00000000-0004-0000-0800-00000F000000}"/>
    <hyperlink ref="L26" r:id="rId17" xr:uid="{00000000-0004-0000-0800-000010000000}"/>
    <hyperlink ref="L27" r:id="rId18" xr:uid="{00000000-0004-0000-0800-000011000000}"/>
    <hyperlink ref="L28" r:id="rId19" xr:uid="{00000000-0004-0000-0800-000012000000}"/>
    <hyperlink ref="L31" r:id="rId20" xr:uid="{00000000-0004-0000-0800-000013000000}"/>
    <hyperlink ref="L37" r:id="rId21" xr:uid="{00000000-0004-0000-0800-000014000000}"/>
    <hyperlink ref="L41" r:id="rId22" xr:uid="{00000000-0004-0000-0800-000015000000}"/>
    <hyperlink ref="N37" r:id="rId23" xr:uid="{00000000-0004-0000-0800-000016000000}"/>
    <hyperlink ref="N41" r:id="rId24" xr:uid="{00000000-0004-0000-0800-000017000000}"/>
    <hyperlink ref="L47" r:id="rId25" location="data/FO/visualize" xr:uid="{00000000-0004-0000-0800-000018000000}"/>
    <hyperlink ref="L46" r:id="rId26" location="data/FO/visualize" xr:uid="{00000000-0004-0000-0800-000019000000}"/>
    <hyperlink ref="L45" r:id="rId27" location="data/FO/visualize" xr:uid="{00000000-0004-0000-0800-00001A000000}"/>
    <hyperlink ref="L65" r:id="rId28" xr:uid="{00000000-0004-0000-0800-00001B000000}"/>
    <hyperlink ref="L71" r:id="rId29" xr:uid="{00000000-0004-0000-0800-00001C000000}"/>
    <hyperlink ref="L52" r:id="rId30" xr:uid="{00000000-0004-0000-0800-00001D000000}"/>
    <hyperlink ref="L53" r:id="rId31" xr:uid="{00000000-0004-0000-0800-00001E000000}"/>
    <hyperlink ref="L55" r:id="rId32" xr:uid="{00000000-0004-0000-0800-00001F000000}"/>
    <hyperlink ref="L56" r:id="rId33" xr:uid="{00000000-0004-0000-0800-000020000000}"/>
    <hyperlink ref="L57" r:id="rId34" xr:uid="{00000000-0004-0000-0800-00002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499984740745262"/>
  </sheetPr>
  <dimension ref="A1:O66"/>
  <sheetViews>
    <sheetView zoomScale="70" zoomScaleNormal="70" workbookViewId="0">
      <selection activeCell="B6" sqref="B6"/>
    </sheetView>
  </sheetViews>
  <sheetFormatPr defaultColWidth="8.85546875" defaultRowHeight="15"/>
  <cols>
    <col min="1" max="1" width="56.42578125" customWidth="1"/>
  </cols>
  <sheetData>
    <row r="1" spans="1:15">
      <c r="A1" s="6"/>
      <c r="B1" s="6"/>
      <c r="C1" s="6"/>
      <c r="D1" s="6"/>
      <c r="E1" s="6"/>
      <c r="F1" s="6"/>
      <c r="G1" s="6"/>
      <c r="H1" s="6"/>
      <c r="I1" s="6"/>
      <c r="J1" s="6"/>
      <c r="K1" s="6"/>
      <c r="L1" s="6"/>
      <c r="M1" s="6"/>
      <c r="N1" s="6"/>
    </row>
    <row r="2" spans="1:15">
      <c r="A2" s="467" t="s">
        <v>419</v>
      </c>
    </row>
    <row r="3" spans="1:15">
      <c r="A3" s="468"/>
    </row>
    <row r="4" spans="1:15" s="340" customFormat="1">
      <c r="A4" s="338" t="s">
        <v>420</v>
      </c>
      <c r="B4" s="338">
        <v>2008</v>
      </c>
      <c r="C4" s="338">
        <v>2009</v>
      </c>
      <c r="D4" s="338">
        <v>2010</v>
      </c>
      <c r="E4" s="338">
        <v>2011</v>
      </c>
      <c r="F4" s="338">
        <v>2012</v>
      </c>
      <c r="G4" s="338">
        <v>2013</v>
      </c>
      <c r="H4" s="338">
        <v>2014</v>
      </c>
      <c r="I4" s="338">
        <v>2015</v>
      </c>
      <c r="J4" s="338">
        <v>2016</v>
      </c>
      <c r="K4" s="338" t="s">
        <v>102</v>
      </c>
      <c r="L4" s="338" t="s">
        <v>103</v>
      </c>
      <c r="M4" s="338" t="s">
        <v>104</v>
      </c>
      <c r="N4" s="339" t="s">
        <v>105</v>
      </c>
      <c r="O4" s="350" t="s">
        <v>333</v>
      </c>
    </row>
    <row r="5" spans="1:15" ht="15" customHeight="1">
      <c r="A5" s="362" t="s">
        <v>421</v>
      </c>
      <c r="B5" s="4"/>
      <c r="C5" s="4"/>
      <c r="D5" s="4"/>
      <c r="E5" s="4"/>
      <c r="F5" s="4"/>
      <c r="G5" s="4"/>
      <c r="H5" s="4"/>
      <c r="I5" s="4"/>
      <c r="J5" s="4"/>
      <c r="K5" s="4"/>
      <c r="L5" s="4"/>
      <c r="M5" s="4"/>
    </row>
    <row r="6" spans="1:15">
      <c r="A6" s="4" t="s">
        <v>422</v>
      </c>
      <c r="B6" s="17">
        <v>85.98</v>
      </c>
      <c r="C6" s="4">
        <v>86.38</v>
      </c>
      <c r="D6" s="4">
        <v>88.19</v>
      </c>
      <c r="E6" s="4">
        <v>91.93</v>
      </c>
      <c r="F6" s="4">
        <v>97.29</v>
      </c>
      <c r="G6" s="4">
        <v>95.36</v>
      </c>
      <c r="H6" s="4">
        <v>90.59</v>
      </c>
      <c r="I6" s="4">
        <v>88.02</v>
      </c>
      <c r="J6" s="4">
        <v>94</v>
      </c>
      <c r="K6" s="4" t="s">
        <v>335</v>
      </c>
      <c r="L6" s="13" t="s">
        <v>423</v>
      </c>
      <c r="M6" s="4" t="s">
        <v>424</v>
      </c>
      <c r="N6" s="13" t="s">
        <v>356</v>
      </c>
      <c r="O6" t="s">
        <v>425</v>
      </c>
    </row>
    <row r="7" spans="1:15">
      <c r="A7" s="4" t="s">
        <v>426</v>
      </c>
      <c r="B7" s="33">
        <v>4.2300000000000004</v>
      </c>
      <c r="C7" s="15">
        <v>3.57</v>
      </c>
      <c r="D7" s="15">
        <v>2.87</v>
      </c>
      <c r="E7" s="15">
        <v>2.56</v>
      </c>
      <c r="F7" s="15">
        <v>3.66</v>
      </c>
      <c r="G7" s="15">
        <v>3.53</v>
      </c>
      <c r="H7" s="15">
        <v>3.03</v>
      </c>
      <c r="I7" s="15">
        <v>3.62</v>
      </c>
      <c r="J7" s="15">
        <v>3.05</v>
      </c>
      <c r="K7" s="15" t="s">
        <v>335</v>
      </c>
      <c r="L7" s="270"/>
      <c r="M7" s="15"/>
      <c r="N7" s="354"/>
    </row>
    <row r="8" spans="1:15" ht="15" customHeight="1">
      <c r="A8" s="4" t="s">
        <v>427</v>
      </c>
      <c r="B8" s="15">
        <v>8.4</v>
      </c>
      <c r="C8" s="15">
        <v>6.59</v>
      </c>
      <c r="D8" s="15">
        <v>5.37</v>
      </c>
      <c r="E8" s="15">
        <v>5.45</v>
      </c>
      <c r="F8" s="15">
        <v>6.25</v>
      </c>
      <c r="G8" s="15">
        <v>8.08</v>
      </c>
      <c r="H8" s="15">
        <v>7.13</v>
      </c>
      <c r="I8" s="15">
        <v>8.4600000000000009</v>
      </c>
      <c r="J8" s="15">
        <v>6.69</v>
      </c>
      <c r="K8" s="15" t="s">
        <v>335</v>
      </c>
      <c r="L8" s="15"/>
      <c r="M8" s="15"/>
    </row>
    <row r="9" spans="1:15" ht="15" customHeight="1">
      <c r="A9" s="4" t="s">
        <v>428</v>
      </c>
      <c r="B9" s="15">
        <v>63.62</v>
      </c>
      <c r="C9" s="15">
        <v>59.02</v>
      </c>
      <c r="D9" s="15">
        <v>52.62</v>
      </c>
      <c r="E9" s="15">
        <v>54.28</v>
      </c>
      <c r="F9" s="15">
        <v>55.29</v>
      </c>
      <c r="G9" s="15">
        <v>56.24</v>
      </c>
      <c r="H9" s="15">
        <v>56.84</v>
      </c>
      <c r="I9" s="15">
        <v>55</v>
      </c>
      <c r="J9" s="15">
        <v>50.15</v>
      </c>
      <c r="K9" s="15" t="s">
        <v>335</v>
      </c>
      <c r="L9" s="15"/>
      <c r="M9" s="15"/>
    </row>
    <row r="10" spans="1:15" ht="15" customHeight="1">
      <c r="A10" s="363"/>
      <c r="B10" s="15"/>
      <c r="C10" s="15"/>
      <c r="D10" s="15"/>
      <c r="E10" s="15"/>
      <c r="F10" s="15"/>
      <c r="G10" s="15"/>
      <c r="H10" s="15"/>
      <c r="I10" s="15"/>
      <c r="J10" s="15"/>
      <c r="K10" s="15"/>
      <c r="L10" s="15"/>
      <c r="M10" s="15"/>
    </row>
    <row r="11" spans="1:15">
      <c r="A11" s="6"/>
      <c r="B11" s="6"/>
      <c r="C11" s="6"/>
      <c r="D11" s="6"/>
      <c r="E11" s="6"/>
      <c r="F11" s="6"/>
      <c r="G11" s="6"/>
      <c r="H11" s="6"/>
      <c r="I11" s="6"/>
      <c r="J11" s="6"/>
      <c r="K11" s="6"/>
      <c r="L11" s="6"/>
      <c r="M11" s="6"/>
      <c r="N11" s="6"/>
    </row>
    <row r="12" spans="1:15" s="340" customFormat="1">
      <c r="A12" s="357" t="s">
        <v>175</v>
      </c>
      <c r="B12" s="357">
        <v>2008</v>
      </c>
      <c r="C12" s="357">
        <v>2009</v>
      </c>
      <c r="D12" s="357">
        <v>2010</v>
      </c>
      <c r="E12" s="357">
        <v>2011</v>
      </c>
      <c r="F12" s="357">
        <v>2012</v>
      </c>
      <c r="G12" s="357">
        <v>2013</v>
      </c>
      <c r="H12" s="357">
        <v>2014</v>
      </c>
      <c r="I12" s="357">
        <v>2015</v>
      </c>
      <c r="J12" s="357">
        <v>2016</v>
      </c>
      <c r="K12" s="357" t="s">
        <v>102</v>
      </c>
      <c r="L12" s="357" t="s">
        <v>103</v>
      </c>
      <c r="M12" s="357" t="s">
        <v>104</v>
      </c>
      <c r="N12" s="357" t="s">
        <v>105</v>
      </c>
      <c r="O12" s="350" t="s">
        <v>333</v>
      </c>
    </row>
    <row r="13" spans="1:15">
      <c r="A13" s="4"/>
      <c r="B13" s="4"/>
      <c r="C13" s="4"/>
      <c r="D13" s="4"/>
      <c r="E13" s="4"/>
      <c r="F13" s="4"/>
      <c r="G13" s="4"/>
      <c r="H13" s="4"/>
      <c r="I13" s="4"/>
      <c r="J13" s="4"/>
      <c r="K13" s="4"/>
      <c r="L13" s="4"/>
      <c r="M13" s="4"/>
      <c r="N13" s="4"/>
    </row>
    <row r="14" spans="1:15">
      <c r="A14" s="221" t="s">
        <v>429</v>
      </c>
      <c r="B14" s="4"/>
      <c r="C14" s="4"/>
      <c r="D14" s="4"/>
      <c r="E14" s="4"/>
      <c r="F14" s="4"/>
      <c r="G14" s="4"/>
      <c r="H14" s="4"/>
      <c r="I14" s="4"/>
      <c r="J14" s="4"/>
      <c r="K14" s="4"/>
      <c r="L14" s="4"/>
      <c r="M14" s="4"/>
      <c r="N14" s="4"/>
    </row>
    <row r="15" spans="1:15">
      <c r="A15" s="4" t="s">
        <v>430</v>
      </c>
      <c r="B15" s="164">
        <v>12.045</v>
      </c>
      <c r="C15" s="12">
        <v>13.067</v>
      </c>
      <c r="D15" s="12">
        <v>12.425000000000001</v>
      </c>
      <c r="E15" s="12">
        <v>12.313000000000001</v>
      </c>
      <c r="F15" s="12">
        <v>10.755000000000001</v>
      </c>
      <c r="G15" s="12">
        <v>13.827999999999999</v>
      </c>
      <c r="H15" s="12">
        <v>14.215</v>
      </c>
      <c r="I15" s="12">
        <v>13.601000000000001</v>
      </c>
      <c r="J15" s="12">
        <v>15.148</v>
      </c>
      <c r="K15" t="s">
        <v>335</v>
      </c>
      <c r="L15" s="38" t="s">
        <v>356</v>
      </c>
      <c r="M15" s="4" t="s">
        <v>357</v>
      </c>
      <c r="N15" s="13" t="s">
        <v>358</v>
      </c>
    </row>
    <row r="16" spans="1:15">
      <c r="A16" s="4" t="s">
        <v>431</v>
      </c>
      <c r="B16" s="4">
        <v>239</v>
      </c>
      <c r="C16" s="4">
        <v>226</v>
      </c>
      <c r="D16" s="4">
        <v>180</v>
      </c>
      <c r="E16" s="4">
        <v>154</v>
      </c>
      <c r="F16" s="4">
        <v>218</v>
      </c>
      <c r="G16" s="4">
        <v>216</v>
      </c>
      <c r="H16" s="4">
        <v>181</v>
      </c>
      <c r="I16" s="4">
        <v>218</v>
      </c>
      <c r="J16" s="4">
        <v>199</v>
      </c>
      <c r="K16" t="s">
        <v>335</v>
      </c>
      <c r="L16" s="4"/>
      <c r="M16" s="4"/>
      <c r="N16" s="4"/>
    </row>
    <row r="17" spans="1:14">
      <c r="A17" s="4" t="s">
        <v>432</v>
      </c>
      <c r="B17" s="4">
        <v>475</v>
      </c>
      <c r="C17" s="4">
        <v>381</v>
      </c>
      <c r="D17" s="4">
        <v>345</v>
      </c>
      <c r="E17" s="4">
        <v>212</v>
      </c>
      <c r="F17" s="4">
        <v>247</v>
      </c>
      <c r="G17" s="4">
        <v>392</v>
      </c>
      <c r="H17" s="4">
        <v>432</v>
      </c>
      <c r="I17" s="4">
        <v>596</v>
      </c>
      <c r="J17" s="4">
        <v>480</v>
      </c>
      <c r="K17" t="s">
        <v>335</v>
      </c>
      <c r="L17" s="4"/>
      <c r="M17" s="4"/>
      <c r="N17" s="4"/>
    </row>
    <row r="18" spans="1:14">
      <c r="A18" s="4" t="s">
        <v>433</v>
      </c>
      <c r="B18" s="12">
        <v>2511</v>
      </c>
      <c r="C18" s="12">
        <v>2208</v>
      </c>
      <c r="D18" s="12">
        <v>2163</v>
      </c>
      <c r="E18" s="12">
        <v>1993</v>
      </c>
      <c r="F18" s="12">
        <v>2252</v>
      </c>
      <c r="G18" s="12">
        <v>2134</v>
      </c>
      <c r="H18" s="12">
        <v>2026</v>
      </c>
      <c r="I18" s="12">
        <v>2061</v>
      </c>
      <c r="J18" s="12">
        <v>2309</v>
      </c>
      <c r="K18" t="s">
        <v>335</v>
      </c>
      <c r="L18" s="4"/>
      <c r="M18" s="4"/>
      <c r="N18" s="4"/>
    </row>
    <row r="19" spans="1:14">
      <c r="A19" s="4"/>
      <c r="B19" s="12"/>
      <c r="C19" s="12"/>
      <c r="D19" s="12"/>
      <c r="E19" s="12"/>
      <c r="F19" s="12"/>
      <c r="G19" s="12"/>
      <c r="H19" s="12"/>
      <c r="I19" s="12"/>
      <c r="J19" s="12"/>
      <c r="L19" s="4"/>
      <c r="M19" s="4"/>
      <c r="N19" s="4"/>
    </row>
    <row r="20" spans="1:14">
      <c r="A20" s="221" t="s">
        <v>434</v>
      </c>
      <c r="B20" s="12"/>
      <c r="C20" s="12"/>
      <c r="D20" s="12"/>
      <c r="E20" s="12"/>
      <c r="F20" s="12"/>
      <c r="G20" s="12"/>
      <c r="H20" s="12"/>
      <c r="I20" s="12"/>
      <c r="J20" s="12"/>
      <c r="L20" s="4"/>
      <c r="M20" s="4"/>
      <c r="N20" s="4"/>
    </row>
    <row r="21" spans="1:14">
      <c r="A21" s="4" t="s">
        <v>435</v>
      </c>
      <c r="B21" s="12">
        <v>49.103999999999999</v>
      </c>
      <c r="C21" s="12">
        <v>46.64</v>
      </c>
      <c r="D21" s="12">
        <v>64.528999999999996</v>
      </c>
      <c r="E21" s="12">
        <v>76.650999999999996</v>
      </c>
      <c r="F21" s="12">
        <v>74.155000000000001</v>
      </c>
      <c r="G21" s="12">
        <v>61.927</v>
      </c>
      <c r="H21" s="12">
        <v>52.951000000000001</v>
      </c>
      <c r="I21" s="12">
        <v>49.338999999999999</v>
      </c>
      <c r="J21" s="12">
        <v>51.703000000000003</v>
      </c>
      <c r="K21" s="4" t="s">
        <v>436</v>
      </c>
      <c r="L21" s="13" t="s">
        <v>437</v>
      </c>
      <c r="M21" s="4"/>
      <c r="N21" s="4"/>
    </row>
    <row r="22" spans="1:14">
      <c r="A22" s="4" t="s">
        <v>438</v>
      </c>
      <c r="B22" s="12">
        <v>12.579000000000001</v>
      </c>
      <c r="C22" s="12">
        <v>14.269</v>
      </c>
      <c r="D22" s="12">
        <v>17.382999999999999</v>
      </c>
      <c r="E22" s="12">
        <v>14.603999999999999</v>
      </c>
      <c r="F22" s="12">
        <v>17.382999999999999</v>
      </c>
      <c r="G22" s="12">
        <v>14.603999999999999</v>
      </c>
      <c r="H22" s="12">
        <v>11.914</v>
      </c>
      <c r="I22" s="12">
        <v>10.018000000000001</v>
      </c>
      <c r="J22" s="12">
        <v>9.1039999999999992</v>
      </c>
      <c r="K22" s="4" t="s">
        <v>436</v>
      </c>
      <c r="L22" s="13" t="s">
        <v>437</v>
      </c>
      <c r="M22" s="4"/>
      <c r="N22" s="4"/>
    </row>
    <row r="23" spans="1:14">
      <c r="A23" s="4" t="s">
        <v>439</v>
      </c>
      <c r="B23" s="12">
        <v>1.2529999999999999</v>
      </c>
      <c r="C23" s="12">
        <v>0.96799999999999997</v>
      </c>
      <c r="D23" s="12">
        <v>0.69099999999999995</v>
      </c>
      <c r="E23" s="12">
        <v>0.80800000000000005</v>
      </c>
      <c r="F23" s="12">
        <v>1.371</v>
      </c>
      <c r="G23" s="12">
        <v>1.2649999999999999</v>
      </c>
      <c r="H23" s="12">
        <v>0.91400000000000003</v>
      </c>
      <c r="I23" s="12">
        <v>1.149</v>
      </c>
      <c r="J23" s="12">
        <v>0.94199999999999995</v>
      </c>
      <c r="K23" s="4" t="s">
        <v>436</v>
      </c>
      <c r="L23" s="13" t="s">
        <v>437</v>
      </c>
      <c r="M23" s="4"/>
      <c r="N23" s="4"/>
    </row>
    <row r="24" spans="1:14">
      <c r="A24" s="4" t="s">
        <v>440</v>
      </c>
      <c r="B24" s="12">
        <v>1.641</v>
      </c>
      <c r="C24" s="12">
        <v>1.202</v>
      </c>
      <c r="D24" s="12">
        <v>1.6160000000000001</v>
      </c>
      <c r="E24" s="12">
        <v>1.2589999999999999</v>
      </c>
      <c r="F24" s="12">
        <v>1.6060000000000001</v>
      </c>
      <c r="G24" s="12">
        <v>1.716</v>
      </c>
      <c r="H24" s="12">
        <v>1.7210000000000001</v>
      </c>
      <c r="I24" s="12">
        <v>2.0640000000000001</v>
      </c>
      <c r="J24" s="12">
        <v>1.351</v>
      </c>
      <c r="K24" s="4" t="s">
        <v>436</v>
      </c>
      <c r="L24" s="13" t="s">
        <v>437</v>
      </c>
      <c r="M24" s="4"/>
      <c r="N24" s="4"/>
    </row>
    <row r="25" spans="1:14">
      <c r="A25" s="6"/>
      <c r="B25" s="6"/>
      <c r="C25" s="6"/>
      <c r="D25" s="6"/>
      <c r="E25" s="6"/>
      <c r="F25" s="6"/>
      <c r="G25" s="6"/>
      <c r="H25" s="6"/>
      <c r="I25" s="6"/>
      <c r="J25" s="6"/>
      <c r="K25" s="6"/>
      <c r="L25" s="6"/>
      <c r="M25" s="6"/>
      <c r="N25" s="6"/>
    </row>
    <row r="26" spans="1:14" s="340" customFormat="1">
      <c r="A26" s="357" t="s">
        <v>441</v>
      </c>
      <c r="B26" s="357">
        <v>2008</v>
      </c>
      <c r="C26" s="357">
        <v>2009</v>
      </c>
      <c r="D26" s="357">
        <v>2010</v>
      </c>
      <c r="E26" s="357">
        <v>2011</v>
      </c>
      <c r="F26" s="357">
        <v>2012</v>
      </c>
      <c r="G26" s="357">
        <v>2013</v>
      </c>
      <c r="H26" s="357">
        <v>2014</v>
      </c>
      <c r="I26" s="357">
        <v>2015</v>
      </c>
      <c r="J26" s="357">
        <v>2016</v>
      </c>
      <c r="K26" s="357" t="s">
        <v>102</v>
      </c>
      <c r="L26" s="357" t="s">
        <v>103</v>
      </c>
      <c r="M26" s="338" t="s">
        <v>104</v>
      </c>
      <c r="N26" s="338" t="s">
        <v>105</v>
      </c>
    </row>
    <row r="27" spans="1:14">
      <c r="A27" s="3"/>
      <c r="B27" s="143"/>
      <c r="C27" s="143"/>
      <c r="D27" s="143"/>
      <c r="E27" s="143"/>
      <c r="F27" s="143"/>
      <c r="G27" s="143"/>
      <c r="H27" s="143"/>
      <c r="I27" s="143"/>
      <c r="J27" s="143"/>
      <c r="K27" s="3"/>
      <c r="L27" s="3"/>
      <c r="M27" s="51"/>
      <c r="N27" s="51"/>
    </row>
    <row r="28" spans="1:14">
      <c r="A28" s="221" t="s">
        <v>442</v>
      </c>
      <c r="B28" s="143"/>
      <c r="C28" s="143"/>
      <c r="D28" s="143"/>
      <c r="E28" s="143"/>
      <c r="F28" s="143"/>
      <c r="G28" s="143"/>
      <c r="H28" s="143"/>
      <c r="I28" s="143"/>
      <c r="J28" s="143"/>
      <c r="K28" s="4"/>
      <c r="L28" s="4"/>
    </row>
    <row r="29" spans="1:14">
      <c r="A29" s="19" t="s">
        <v>362</v>
      </c>
      <c r="B29" s="195"/>
      <c r="C29" s="195"/>
      <c r="D29" s="195"/>
      <c r="E29" s="195"/>
      <c r="F29" s="195"/>
      <c r="G29" s="195"/>
      <c r="H29" s="19">
        <v>247.48</v>
      </c>
      <c r="I29" s="19">
        <v>243.57</v>
      </c>
      <c r="J29" s="431"/>
      <c r="K29" s="19" t="s">
        <v>335</v>
      </c>
      <c r="L29" s="36" t="s">
        <v>360</v>
      </c>
      <c r="M29" s="17"/>
      <c r="N29" s="13"/>
    </row>
    <row r="30" spans="1:14">
      <c r="A30" s="23" t="s">
        <v>443</v>
      </c>
      <c r="B30" s="368"/>
      <c r="C30" s="368"/>
      <c r="D30" s="368"/>
      <c r="E30" s="368"/>
      <c r="F30" s="368"/>
      <c r="G30" s="368"/>
      <c r="H30" s="368"/>
      <c r="I30" s="368"/>
      <c r="J30" s="368"/>
      <c r="K30" s="3"/>
      <c r="L30" s="3"/>
      <c r="M30" s="3"/>
      <c r="N30" s="51"/>
    </row>
    <row r="31" spans="1:14">
      <c r="A31" s="23" t="s">
        <v>444</v>
      </c>
      <c r="B31" s="368"/>
      <c r="C31" s="368"/>
      <c r="D31" s="368"/>
      <c r="E31" s="368"/>
      <c r="F31" s="368"/>
      <c r="G31" s="368"/>
      <c r="H31" s="368"/>
      <c r="I31" s="368"/>
      <c r="J31" s="368"/>
      <c r="K31" s="3"/>
      <c r="L31" s="3"/>
      <c r="M31" s="3"/>
      <c r="N31" s="51"/>
    </row>
    <row r="32" spans="1:14">
      <c r="A32" s="23" t="s">
        <v>445</v>
      </c>
      <c r="B32" s="368"/>
      <c r="C32" s="368"/>
      <c r="D32" s="368"/>
      <c r="E32" s="368"/>
      <c r="F32" s="368"/>
      <c r="G32" s="368"/>
      <c r="H32" s="368"/>
      <c r="I32" s="368"/>
      <c r="J32" s="368"/>
      <c r="K32" s="3"/>
      <c r="L32" s="3"/>
      <c r="M32" s="3"/>
      <c r="N32" s="51"/>
    </row>
    <row r="33" spans="1:14">
      <c r="A33" s="4"/>
      <c r="B33" s="4"/>
      <c r="C33" s="4"/>
      <c r="D33" s="4"/>
      <c r="E33" s="4"/>
      <c r="F33" s="4"/>
      <c r="G33" s="4"/>
      <c r="H33" s="4"/>
      <c r="I33" s="4"/>
      <c r="J33" s="16"/>
      <c r="K33" s="4"/>
      <c r="L33" s="269"/>
      <c r="M33" s="17"/>
      <c r="N33" s="269"/>
    </row>
    <row r="34" spans="1:14">
      <c r="A34" s="221" t="s">
        <v>446</v>
      </c>
      <c r="B34" s="4"/>
      <c r="C34" s="4"/>
      <c r="D34" s="4"/>
      <c r="E34" s="4"/>
      <c r="F34" s="4"/>
      <c r="G34" s="4"/>
      <c r="H34" s="4"/>
      <c r="I34" s="4"/>
      <c r="J34" s="16"/>
      <c r="K34" s="4"/>
      <c r="L34" s="13"/>
      <c r="M34" s="17"/>
      <c r="N34" s="13"/>
    </row>
    <row r="35" spans="1:14">
      <c r="A35" s="15" t="s">
        <v>447</v>
      </c>
      <c r="B35" s="18">
        <v>3.0489999999999999</v>
      </c>
      <c r="C35" s="18">
        <v>3.7090000000000001</v>
      </c>
      <c r="D35" s="18">
        <v>4.5910000000000002</v>
      </c>
      <c r="E35" s="18">
        <v>5.0190000000000001</v>
      </c>
      <c r="F35" s="18">
        <v>5</v>
      </c>
      <c r="G35" s="18">
        <v>4.641</v>
      </c>
      <c r="H35" s="18">
        <v>5.125</v>
      </c>
      <c r="I35" s="18">
        <v>5.2</v>
      </c>
      <c r="J35" s="424">
        <v>5.2060000000000004</v>
      </c>
      <c r="K35" s="15" t="s">
        <v>335</v>
      </c>
      <c r="L35" s="35" t="s">
        <v>360</v>
      </c>
      <c r="M35" s="33"/>
      <c r="N35" s="35"/>
    </row>
    <row r="36" spans="1:14">
      <c r="A36" s="4" t="s">
        <v>448</v>
      </c>
      <c r="B36" s="368"/>
      <c r="C36" s="368"/>
      <c r="D36" s="368"/>
      <c r="E36" s="368"/>
      <c r="F36" s="368"/>
      <c r="G36" s="368"/>
      <c r="H36" s="425"/>
      <c r="I36" s="425"/>
      <c r="J36" s="368"/>
      <c r="K36" s="3"/>
      <c r="L36" s="3"/>
      <c r="M36" s="3"/>
      <c r="N36" s="51"/>
    </row>
    <row r="37" spans="1:14">
      <c r="A37" s="4" t="s">
        <v>449</v>
      </c>
      <c r="B37" s="368"/>
      <c r="C37" s="368"/>
      <c r="D37" s="368"/>
      <c r="E37" s="368"/>
      <c r="F37" s="368"/>
      <c r="G37" s="368"/>
      <c r="H37" s="425"/>
      <c r="I37" s="425"/>
      <c r="J37" s="368"/>
      <c r="K37" s="3"/>
      <c r="L37" s="3"/>
      <c r="M37" s="3"/>
      <c r="N37" s="51"/>
    </row>
    <row r="38" spans="1:14">
      <c r="A38" s="4" t="s">
        <v>450</v>
      </c>
      <c r="B38" s="368"/>
      <c r="C38" s="368"/>
      <c r="D38" s="368"/>
      <c r="E38" s="368"/>
      <c r="F38" s="368"/>
      <c r="G38" s="368"/>
      <c r="H38" s="425"/>
      <c r="I38" s="425"/>
      <c r="J38" s="368"/>
      <c r="K38" s="3"/>
      <c r="L38" s="3"/>
      <c r="M38" s="3"/>
      <c r="N38" s="51"/>
    </row>
    <row r="39" spans="1:14">
      <c r="A39" s="4"/>
      <c r="B39" s="3"/>
      <c r="C39" s="3"/>
      <c r="D39" s="3"/>
      <c r="E39" s="3"/>
      <c r="F39" s="3"/>
      <c r="G39" s="3"/>
      <c r="H39" s="427"/>
      <c r="I39" s="427"/>
      <c r="J39" s="3"/>
      <c r="K39" s="3"/>
      <c r="L39" s="3"/>
      <c r="M39" s="3"/>
      <c r="N39" s="51"/>
    </row>
    <row r="40" spans="1:14">
      <c r="A40" s="221" t="s">
        <v>451</v>
      </c>
      <c r="B40" s="268"/>
      <c r="C40" s="268"/>
      <c r="D40" s="268"/>
      <c r="E40" s="268"/>
      <c r="F40" s="268"/>
      <c r="G40" s="268"/>
      <c r="H40" s="428"/>
      <c r="I40" s="428"/>
      <c r="J40" s="268"/>
      <c r="K40" s="3"/>
      <c r="L40" s="3"/>
      <c r="M40" s="3"/>
      <c r="N40" s="51"/>
    </row>
    <row r="41" spans="1:14">
      <c r="A41" s="4" t="s">
        <v>452</v>
      </c>
      <c r="B41" s="429">
        <f>B35/B15*100</f>
        <v>25.313408053134079</v>
      </c>
      <c r="C41" s="429">
        <f t="shared" ref="C41:J41" si="0">C35/C15*100</f>
        <v>28.384479987755412</v>
      </c>
      <c r="D41" s="429">
        <f t="shared" si="0"/>
        <v>36.949698189134814</v>
      </c>
      <c r="E41" s="429">
        <f t="shared" si="0"/>
        <v>40.761796475270039</v>
      </c>
      <c r="F41" s="429">
        <f t="shared" si="0"/>
        <v>46.490004649000461</v>
      </c>
      <c r="G41" s="429">
        <f t="shared" si="0"/>
        <v>33.562337286664743</v>
      </c>
      <c r="H41" s="429">
        <f t="shared" si="0"/>
        <v>36.053464650017588</v>
      </c>
      <c r="I41" s="429">
        <f t="shared" si="0"/>
        <v>38.232482905668704</v>
      </c>
      <c r="J41" s="429">
        <f t="shared" si="0"/>
        <v>34.367573277000268</v>
      </c>
      <c r="K41" s="15" t="s">
        <v>335</v>
      </c>
      <c r="L41" s="35" t="s">
        <v>360</v>
      </c>
      <c r="M41" s="3"/>
      <c r="N41" s="51"/>
    </row>
    <row r="42" spans="1:14">
      <c r="A42" s="4" t="s">
        <v>453</v>
      </c>
      <c r="B42" s="368"/>
      <c r="C42" s="368"/>
      <c r="D42" s="368"/>
      <c r="E42" s="368"/>
      <c r="F42" s="368"/>
      <c r="G42" s="368"/>
      <c r="H42" s="425"/>
      <c r="I42" s="425"/>
      <c r="J42" s="368"/>
      <c r="K42" s="3"/>
      <c r="L42" s="3"/>
      <c r="M42" s="3"/>
      <c r="N42" s="51"/>
    </row>
    <row r="43" spans="1:14">
      <c r="A43" s="4" t="s">
        <v>454</v>
      </c>
      <c r="B43" s="368"/>
      <c r="C43" s="368"/>
      <c r="D43" s="368"/>
      <c r="E43" s="368"/>
      <c r="F43" s="368"/>
      <c r="G43" s="368"/>
      <c r="H43" s="425"/>
      <c r="I43" s="425"/>
      <c r="J43" s="368"/>
      <c r="K43" s="3"/>
      <c r="L43" s="3"/>
      <c r="M43" s="3"/>
      <c r="N43" s="51"/>
    </row>
    <row r="44" spans="1:14">
      <c r="A44" s="4" t="s">
        <v>455</v>
      </c>
      <c r="B44" s="368"/>
      <c r="C44" s="368"/>
      <c r="D44" s="368"/>
      <c r="E44" s="368"/>
      <c r="F44" s="368"/>
      <c r="G44" s="368"/>
      <c r="H44" s="425"/>
      <c r="I44" s="425"/>
      <c r="J44" s="368"/>
      <c r="K44" s="3"/>
      <c r="L44" s="3"/>
      <c r="M44" s="3"/>
      <c r="N44" s="51"/>
    </row>
    <row r="45" spans="1:14">
      <c r="A45" s="4"/>
      <c r="B45" s="4"/>
      <c r="C45" s="4"/>
      <c r="D45" s="4"/>
      <c r="E45" s="4"/>
      <c r="F45" s="4"/>
      <c r="G45" s="4"/>
      <c r="H45" s="4"/>
      <c r="I45" s="4"/>
      <c r="J45" s="4"/>
      <c r="K45" s="4"/>
      <c r="L45" s="4"/>
      <c r="M45" s="4"/>
      <c r="N45" s="4"/>
    </row>
    <row r="46" spans="1:14">
      <c r="A46" s="6"/>
      <c r="B46" s="6"/>
      <c r="C46" s="6"/>
      <c r="D46" s="6"/>
      <c r="E46" s="6"/>
      <c r="F46" s="6"/>
      <c r="G46" s="6"/>
      <c r="H46" s="6"/>
      <c r="I46" s="6"/>
      <c r="J46" s="6"/>
      <c r="K46" s="6"/>
      <c r="L46" s="6"/>
      <c r="M46" s="6"/>
      <c r="N46" s="6"/>
    </row>
    <row r="47" spans="1:14" s="340" customFormat="1">
      <c r="A47" s="358" t="s">
        <v>125</v>
      </c>
      <c r="B47" s="358">
        <v>2008</v>
      </c>
      <c r="C47" s="358">
        <v>2009</v>
      </c>
      <c r="D47" s="358">
        <v>2010</v>
      </c>
      <c r="E47" s="358">
        <v>2011</v>
      </c>
      <c r="F47" s="358">
        <v>2012</v>
      </c>
      <c r="G47" s="358">
        <v>2013</v>
      </c>
      <c r="H47" s="358">
        <v>2014</v>
      </c>
      <c r="I47" s="358">
        <v>2015</v>
      </c>
      <c r="J47" s="358">
        <v>2016</v>
      </c>
      <c r="K47" s="357" t="s">
        <v>102</v>
      </c>
      <c r="L47" s="357" t="s">
        <v>103</v>
      </c>
      <c r="M47" s="357" t="s">
        <v>104</v>
      </c>
      <c r="N47" s="359" t="s">
        <v>105</v>
      </c>
    </row>
    <row r="48" spans="1:14">
      <c r="A48" s="221" t="s">
        <v>456</v>
      </c>
      <c r="B48" s="4"/>
      <c r="C48" s="4"/>
      <c r="D48" s="4"/>
      <c r="E48" s="4"/>
      <c r="F48" s="4"/>
      <c r="G48" s="4"/>
      <c r="H48" s="4"/>
      <c r="I48" s="4"/>
      <c r="J48" s="4"/>
      <c r="K48" s="4"/>
      <c r="L48" s="4"/>
      <c r="M48" s="4"/>
      <c r="N48" s="4"/>
    </row>
    <row r="49" spans="1:15">
      <c r="A49" s="62" t="s">
        <v>457</v>
      </c>
      <c r="B49" s="62">
        <v>4.0599999999999996</v>
      </c>
      <c r="C49" s="62">
        <v>3.55</v>
      </c>
      <c r="D49" s="62">
        <v>5.18</v>
      </c>
      <c r="E49" s="62">
        <v>6.22</v>
      </c>
      <c r="F49" s="62">
        <v>6.89</v>
      </c>
      <c r="G49" s="62">
        <v>4.46</v>
      </c>
      <c r="H49" s="62">
        <v>3.7</v>
      </c>
      <c r="I49" s="62">
        <v>3.61</v>
      </c>
      <c r="J49" s="62">
        <v>3.4</v>
      </c>
      <c r="K49" s="4" t="s">
        <v>335</v>
      </c>
      <c r="L49" s="13" t="s">
        <v>360</v>
      </c>
      <c r="M49" s="4"/>
      <c r="N49" s="4"/>
      <c r="O49" t="s">
        <v>458</v>
      </c>
    </row>
    <row r="50" spans="1:15">
      <c r="A50" s="62" t="s">
        <v>459</v>
      </c>
      <c r="B50" s="62">
        <v>5.37</v>
      </c>
      <c r="C50" s="62">
        <v>4.66</v>
      </c>
      <c r="D50" s="62">
        <v>3.86</v>
      </c>
      <c r="E50" s="62">
        <v>5.35</v>
      </c>
      <c r="F50" s="62">
        <v>6.43</v>
      </c>
      <c r="G50" s="62">
        <v>6.06</v>
      </c>
      <c r="H50" s="62">
        <v>5.3</v>
      </c>
      <c r="I50" s="62">
        <v>5.52</v>
      </c>
      <c r="J50" s="62">
        <v>4.95</v>
      </c>
      <c r="K50" s="4" t="s">
        <v>335</v>
      </c>
      <c r="L50" s="13" t="s">
        <v>360</v>
      </c>
      <c r="M50" s="4"/>
      <c r="N50" s="4"/>
    </row>
    <row r="51" spans="1:15">
      <c r="A51" s="62" t="s">
        <v>460</v>
      </c>
      <c r="B51" s="62">
        <v>3.2</v>
      </c>
      <c r="C51" s="62">
        <v>3.22</v>
      </c>
      <c r="D51" s="62">
        <v>5.0199999999999996</v>
      </c>
      <c r="E51" s="62">
        <v>5.99</v>
      </c>
      <c r="F51" s="62">
        <v>6.32</v>
      </c>
      <c r="G51" s="62">
        <v>4.28</v>
      </c>
      <c r="H51" s="62">
        <v>4.03</v>
      </c>
      <c r="I51" s="62">
        <v>3.31</v>
      </c>
      <c r="J51" s="62">
        <v>2.7</v>
      </c>
      <c r="K51" s="4" t="s">
        <v>335</v>
      </c>
      <c r="L51" s="13" t="s">
        <v>360</v>
      </c>
      <c r="M51" s="4"/>
      <c r="N51" s="4"/>
    </row>
    <row r="52" spans="1:15">
      <c r="A52" s="62" t="s">
        <v>461</v>
      </c>
      <c r="B52" s="62">
        <v>6.78</v>
      </c>
      <c r="C52" s="62">
        <v>4.87</v>
      </c>
      <c r="D52" s="62">
        <v>5.7</v>
      </c>
      <c r="E52" s="62">
        <v>7.24</v>
      </c>
      <c r="F52" s="62">
        <v>7.77</v>
      </c>
      <c r="G52" s="62">
        <v>6.87</v>
      </c>
      <c r="H52" s="62">
        <v>5.99</v>
      </c>
      <c r="I52" s="62">
        <v>4.8899999999999997</v>
      </c>
      <c r="J52" s="62">
        <v>3.8</v>
      </c>
      <c r="K52" s="4" t="s">
        <v>335</v>
      </c>
      <c r="L52" s="13" t="s">
        <v>360</v>
      </c>
      <c r="M52" s="4"/>
      <c r="N52" s="4"/>
    </row>
    <row r="53" spans="1:15">
      <c r="A53" s="4"/>
      <c r="B53" s="4"/>
      <c r="C53" s="4"/>
      <c r="D53" s="4"/>
      <c r="E53" s="4"/>
      <c r="F53" s="4"/>
      <c r="G53" s="4"/>
      <c r="H53" s="4"/>
      <c r="I53" s="4"/>
      <c r="J53" s="4"/>
      <c r="K53" s="4"/>
      <c r="L53" s="4"/>
      <c r="M53" s="4"/>
      <c r="N53" s="4"/>
    </row>
    <row r="54" spans="1:15">
      <c r="A54" s="221" t="s">
        <v>462</v>
      </c>
      <c r="B54" s="4"/>
      <c r="C54" s="4"/>
      <c r="D54" s="4"/>
      <c r="E54" s="4"/>
      <c r="F54" s="4"/>
      <c r="G54" s="4"/>
      <c r="H54" s="4"/>
      <c r="I54" s="4"/>
      <c r="J54" s="4"/>
      <c r="K54" s="4"/>
      <c r="L54" s="4"/>
      <c r="M54" s="4"/>
      <c r="N54" s="4"/>
    </row>
    <row r="55" spans="1:15">
      <c r="A55" s="4" t="s">
        <v>463</v>
      </c>
      <c r="B55" s="426">
        <f t="shared" ref="B55:I55" si="1">B35*B49</f>
        <v>12.378939999999998</v>
      </c>
      <c r="C55" s="426">
        <f t="shared" si="1"/>
        <v>13.16695</v>
      </c>
      <c r="D55" s="426">
        <f t="shared" si="1"/>
        <v>23.781379999999999</v>
      </c>
      <c r="E55" s="426">
        <f t="shared" si="1"/>
        <v>31.21818</v>
      </c>
      <c r="F55" s="426">
        <f>F35*F49</f>
        <v>34.449999999999996</v>
      </c>
      <c r="G55" s="426">
        <f t="shared" si="1"/>
        <v>20.69886</v>
      </c>
      <c r="H55" s="426">
        <f t="shared" si="1"/>
        <v>18.962500000000002</v>
      </c>
      <c r="I55" s="426">
        <f t="shared" si="1"/>
        <v>18.771999999999998</v>
      </c>
      <c r="J55" s="426">
        <f>J35*J49</f>
        <v>17.700400000000002</v>
      </c>
      <c r="K55" s="4"/>
      <c r="L55" s="4"/>
      <c r="M55" s="4"/>
      <c r="N55" s="4"/>
    </row>
    <row r="56" spans="1:15">
      <c r="A56" s="4" t="s">
        <v>464</v>
      </c>
      <c r="B56" s="179"/>
      <c r="C56" s="179"/>
      <c r="D56" s="179"/>
      <c r="E56" s="179"/>
      <c r="F56" s="179"/>
      <c r="G56" s="179"/>
      <c r="H56" s="179"/>
      <c r="I56" s="179"/>
      <c r="J56" s="179"/>
      <c r="K56" s="4"/>
      <c r="L56" s="4"/>
      <c r="M56" s="4"/>
      <c r="N56" s="4"/>
    </row>
    <row r="57" spans="1:15">
      <c r="A57" s="4" t="s">
        <v>465</v>
      </c>
      <c r="B57" s="179"/>
      <c r="C57" s="179"/>
      <c r="D57" s="179"/>
      <c r="E57" s="179"/>
      <c r="F57" s="179"/>
      <c r="G57" s="179"/>
      <c r="H57" s="179"/>
      <c r="I57" s="179"/>
      <c r="J57" s="179"/>
      <c r="K57" s="4"/>
      <c r="L57" s="4"/>
      <c r="M57" s="4"/>
      <c r="N57" s="4"/>
    </row>
    <row r="58" spans="1:15">
      <c r="A58" s="4" t="s">
        <v>466</v>
      </c>
      <c r="B58" s="179"/>
      <c r="C58" s="179"/>
      <c r="D58" s="179"/>
      <c r="E58" s="179"/>
      <c r="F58" s="179"/>
      <c r="G58" s="179"/>
      <c r="H58" s="179"/>
      <c r="I58" s="179"/>
      <c r="J58" s="179"/>
      <c r="K58" s="4"/>
      <c r="L58" s="4"/>
      <c r="M58" s="4"/>
      <c r="N58" s="4"/>
    </row>
    <row r="59" spans="1:15">
      <c r="A59" s="4"/>
      <c r="B59" s="4"/>
      <c r="C59" s="4"/>
      <c r="D59" s="4"/>
      <c r="E59" s="4"/>
      <c r="F59" s="4"/>
      <c r="G59" s="4"/>
      <c r="H59" s="4"/>
      <c r="I59" s="4"/>
      <c r="J59" s="4"/>
      <c r="K59" s="4"/>
      <c r="L59" s="4"/>
      <c r="M59" s="4"/>
      <c r="N59" s="4"/>
    </row>
    <row r="60" spans="1:15" ht="14.25" customHeight="1">
      <c r="A60" s="19" t="s">
        <v>467</v>
      </c>
      <c r="B60" s="375"/>
      <c r="C60" s="375"/>
      <c r="D60" s="375"/>
      <c r="E60" s="375"/>
      <c r="F60" s="376">
        <v>167000</v>
      </c>
      <c r="G60" s="375"/>
      <c r="H60" s="375"/>
      <c r="I60" s="195"/>
      <c r="J60" s="195"/>
      <c r="K60" s="19" t="s">
        <v>338</v>
      </c>
      <c r="L60" s="36" t="s">
        <v>348</v>
      </c>
      <c r="M60" s="19"/>
      <c r="N60" s="19"/>
    </row>
    <row r="61" spans="1:15">
      <c r="A61" s="4" t="s">
        <v>468</v>
      </c>
      <c r="B61" s="4">
        <v>68.790000000000006</v>
      </c>
      <c r="C61" s="4">
        <v>73.42</v>
      </c>
      <c r="D61" s="4">
        <v>75.849999999999994</v>
      </c>
      <c r="E61" s="4">
        <v>81.209999999999994</v>
      </c>
      <c r="F61" s="4">
        <v>85.5</v>
      </c>
      <c r="G61" s="4">
        <v>87.64</v>
      </c>
      <c r="H61" s="55"/>
      <c r="I61" s="55"/>
      <c r="J61" s="55"/>
      <c r="K61" s="4" t="s">
        <v>335</v>
      </c>
      <c r="L61" s="13" t="s">
        <v>423</v>
      </c>
      <c r="M61" s="4" t="s">
        <v>424</v>
      </c>
      <c r="N61" s="13" t="s">
        <v>356</v>
      </c>
      <c r="O61" t="s">
        <v>425</v>
      </c>
    </row>
    <row r="62" spans="1:15">
      <c r="A62" s="4" t="s">
        <v>469</v>
      </c>
      <c r="B62" s="55"/>
      <c r="C62" s="55"/>
      <c r="D62" s="55"/>
      <c r="E62" s="55"/>
      <c r="F62" s="55"/>
      <c r="G62" s="55"/>
      <c r="H62" s="4">
        <v>10.73</v>
      </c>
      <c r="I62" s="4">
        <v>10.57</v>
      </c>
      <c r="J62" s="4">
        <v>10.96</v>
      </c>
      <c r="K62" s="4" t="s">
        <v>424</v>
      </c>
      <c r="L62" s="13" t="s">
        <v>356</v>
      </c>
      <c r="M62" s="4"/>
      <c r="N62" s="13"/>
    </row>
    <row r="64" spans="1:15">
      <c r="A64" t="s">
        <v>470</v>
      </c>
      <c r="B64">
        <v>102</v>
      </c>
      <c r="C64">
        <v>59.93</v>
      </c>
      <c r="D64">
        <v>78.650000000000006</v>
      </c>
      <c r="E64">
        <v>93.21</v>
      </c>
      <c r="F64">
        <v>90.72</v>
      </c>
      <c r="G64">
        <v>94.25</v>
      </c>
      <c r="H64">
        <v>87.05</v>
      </c>
      <c r="I64">
        <v>42.53</v>
      </c>
      <c r="J64">
        <v>43.33</v>
      </c>
      <c r="K64" t="s">
        <v>471</v>
      </c>
      <c r="L64" s="38" t="s">
        <v>472</v>
      </c>
    </row>
    <row r="65" spans="1:12">
      <c r="A65" t="s">
        <v>473</v>
      </c>
      <c r="B65">
        <v>2.4700000000000002</v>
      </c>
      <c r="C65">
        <v>1.79</v>
      </c>
      <c r="D65">
        <v>1.93</v>
      </c>
      <c r="E65">
        <v>2.7</v>
      </c>
      <c r="F65">
        <v>2.37</v>
      </c>
      <c r="G65">
        <v>2.4700000000000002</v>
      </c>
      <c r="H65">
        <v>2.34</v>
      </c>
      <c r="I65">
        <v>1.61</v>
      </c>
      <c r="J65">
        <v>1.55</v>
      </c>
      <c r="K65" t="s">
        <v>474</v>
      </c>
      <c r="L65" s="38" t="s">
        <v>475</v>
      </c>
    </row>
    <row r="66" spans="1:12">
      <c r="L66" s="38"/>
    </row>
  </sheetData>
  <mergeCells count="1">
    <mergeCell ref="A2:A3"/>
  </mergeCells>
  <hyperlinks>
    <hyperlink ref="L61" r:id="rId1" xr:uid="{00000000-0004-0000-0900-000000000000}"/>
    <hyperlink ref="N61" r:id="rId2" location="/app/downloads" xr:uid="{00000000-0004-0000-0900-000001000000}"/>
    <hyperlink ref="L62" r:id="rId3" location="/app/downloads" xr:uid="{00000000-0004-0000-0900-000002000000}"/>
    <hyperlink ref="L60" r:id="rId4" xr:uid="{00000000-0004-0000-0900-000003000000}"/>
    <hyperlink ref="L29" r:id="rId5" xr:uid="{00000000-0004-0000-0900-000004000000}"/>
    <hyperlink ref="L35" r:id="rId6" xr:uid="{00000000-0004-0000-0900-000005000000}"/>
    <hyperlink ref="N15" r:id="rId7" xr:uid="{00000000-0004-0000-0900-000006000000}"/>
    <hyperlink ref="L15" r:id="rId8" location="/app/downloads" xr:uid="{00000000-0004-0000-0900-000007000000}"/>
    <hyperlink ref="L6" r:id="rId9" xr:uid="{00000000-0004-0000-0900-000008000000}"/>
    <hyperlink ref="N6" r:id="rId10" location="/app/downloads" xr:uid="{00000000-0004-0000-0900-000009000000}"/>
    <hyperlink ref="L49" r:id="rId11" xr:uid="{00000000-0004-0000-0900-00000A000000}"/>
    <hyperlink ref="L50" r:id="rId12" xr:uid="{00000000-0004-0000-0900-00000B000000}"/>
    <hyperlink ref="L51" r:id="rId13" xr:uid="{00000000-0004-0000-0900-00000C000000}"/>
    <hyperlink ref="L52" r:id="rId14" xr:uid="{00000000-0004-0000-0900-00000D000000}"/>
    <hyperlink ref="L41" r:id="rId15" xr:uid="{00000000-0004-0000-0900-00000E000000}"/>
    <hyperlink ref="L64" r:id="rId16" xr:uid="{00000000-0004-0000-0900-00000F000000}"/>
    <hyperlink ref="L65" r:id="rId17" xr:uid="{00000000-0004-0000-0900-000010000000}"/>
    <hyperlink ref="L21" r:id="rId18" xr:uid="{00000000-0004-0000-0900-000011000000}"/>
    <hyperlink ref="L22" r:id="rId19" xr:uid="{00000000-0004-0000-0900-000012000000}"/>
    <hyperlink ref="L23" r:id="rId20" xr:uid="{00000000-0004-0000-0900-000013000000}"/>
    <hyperlink ref="L24" r:id="rId21" xr:uid="{00000000-0004-0000-0900-000014000000}"/>
  </hyperlinks>
  <pageMargins left="0.7" right="0.7" top="0.75" bottom="0.75" header="0.3" footer="0.3"/>
  <drawing r:id="rId2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499984740745262"/>
  </sheetPr>
  <dimension ref="A1:BL89"/>
  <sheetViews>
    <sheetView topLeftCell="B89" zoomScaleNormal="100" workbookViewId="0">
      <selection activeCell="K138" sqref="K138"/>
    </sheetView>
  </sheetViews>
  <sheetFormatPr defaultColWidth="8.85546875" defaultRowHeight="15"/>
  <cols>
    <col min="1" max="1" width="56.140625" customWidth="1"/>
    <col min="6" max="6" width="9.140625" bestFit="1" customWidth="1"/>
    <col min="7" max="7" width="9.28515625" bestFit="1" customWidth="1"/>
    <col min="11" max="11" width="19.28515625" customWidth="1"/>
  </cols>
  <sheetData>
    <row r="1" spans="1:15">
      <c r="A1" s="311"/>
      <c r="B1" s="311"/>
      <c r="C1" s="311"/>
      <c r="D1" s="311"/>
      <c r="E1" s="311"/>
      <c r="F1" s="311"/>
      <c r="G1" s="311"/>
      <c r="H1" s="311"/>
      <c r="I1" s="311"/>
      <c r="J1" s="311"/>
      <c r="K1" s="311"/>
      <c r="L1" s="311"/>
      <c r="M1" s="311"/>
      <c r="N1" s="6"/>
    </row>
    <row r="2" spans="1:15">
      <c r="A2" s="469" t="s">
        <v>476</v>
      </c>
      <c r="B2" s="4"/>
      <c r="C2" s="4"/>
      <c r="D2" s="4"/>
      <c r="E2" s="4"/>
      <c r="F2" s="4"/>
      <c r="G2" s="4"/>
      <c r="H2" s="4"/>
      <c r="I2" s="4"/>
      <c r="J2" s="4"/>
      <c r="K2" s="4"/>
      <c r="L2" s="4"/>
      <c r="M2" s="4"/>
    </row>
    <row r="3" spans="1:15">
      <c r="A3" s="469"/>
      <c r="B3" s="4"/>
      <c r="C3" s="4"/>
      <c r="D3" s="4"/>
      <c r="E3" s="4"/>
      <c r="F3" s="4"/>
      <c r="G3" s="4"/>
      <c r="H3" s="4"/>
      <c r="I3" s="4"/>
      <c r="J3" s="4"/>
      <c r="K3" s="4"/>
      <c r="L3" s="4"/>
      <c r="M3" s="4"/>
    </row>
    <row r="4" spans="1:15" s="340" customFormat="1">
      <c r="A4" s="357" t="s">
        <v>420</v>
      </c>
      <c r="B4" s="338">
        <v>2008</v>
      </c>
      <c r="C4" s="338">
        <v>2009</v>
      </c>
      <c r="D4" s="338">
        <v>2010</v>
      </c>
      <c r="E4" s="338">
        <v>2011</v>
      </c>
      <c r="F4" s="338">
        <v>2012</v>
      </c>
      <c r="G4" s="338">
        <v>2013</v>
      </c>
      <c r="H4" s="338">
        <v>2014</v>
      </c>
      <c r="I4" s="338">
        <v>2015</v>
      </c>
      <c r="J4" s="338">
        <v>2016</v>
      </c>
      <c r="K4" s="338" t="s">
        <v>102</v>
      </c>
      <c r="L4" s="338" t="s">
        <v>103</v>
      </c>
      <c r="M4" s="338" t="s">
        <v>104</v>
      </c>
      <c r="N4" s="339" t="s">
        <v>105</v>
      </c>
      <c r="O4" s="350" t="s">
        <v>333</v>
      </c>
    </row>
    <row r="5" spans="1:15" ht="15" customHeight="1">
      <c r="A5" s="362" t="s">
        <v>421</v>
      </c>
      <c r="B5" s="17"/>
      <c r="C5" s="4"/>
      <c r="D5" s="4"/>
      <c r="E5" s="4"/>
      <c r="F5" s="4"/>
      <c r="G5" s="4"/>
      <c r="H5" s="4"/>
      <c r="I5" s="4"/>
      <c r="J5" s="4"/>
      <c r="K5" s="4"/>
      <c r="L5" s="4"/>
      <c r="M5" s="4"/>
    </row>
    <row r="6" spans="1:15">
      <c r="A6" s="4" t="s">
        <v>477</v>
      </c>
      <c r="B6" s="17">
        <v>77.45</v>
      </c>
      <c r="C6" s="4">
        <v>77.400000000000006</v>
      </c>
      <c r="D6" s="219">
        <v>75.05</v>
      </c>
      <c r="E6" s="219">
        <v>77.19</v>
      </c>
      <c r="F6" s="219">
        <v>76.84</v>
      </c>
      <c r="G6" s="219">
        <v>83.28</v>
      </c>
      <c r="H6" s="219">
        <v>83.65</v>
      </c>
      <c r="I6" s="219">
        <v>82.65</v>
      </c>
      <c r="J6" s="4">
        <v>83.43</v>
      </c>
      <c r="K6" s="4" t="s">
        <v>436</v>
      </c>
      <c r="L6" s="13" t="s">
        <v>369</v>
      </c>
      <c r="M6" s="4"/>
      <c r="N6" s="4"/>
    </row>
    <row r="7" spans="1:15">
      <c r="A7" s="4" t="s">
        <v>478</v>
      </c>
      <c r="B7" s="365">
        <v>9.4700000000000006</v>
      </c>
      <c r="C7" s="41">
        <v>9.15</v>
      </c>
      <c r="D7" s="41">
        <v>10.97</v>
      </c>
      <c r="E7" s="41">
        <v>14.73</v>
      </c>
      <c r="F7" s="41">
        <v>12.26</v>
      </c>
      <c r="G7" s="41">
        <v>10.4</v>
      </c>
      <c r="H7" s="41">
        <v>11.04</v>
      </c>
      <c r="I7" s="41">
        <v>8.58</v>
      </c>
      <c r="J7" s="12">
        <v>10.145</v>
      </c>
      <c r="K7" s="4" t="s">
        <v>335</v>
      </c>
      <c r="L7" s="13" t="s">
        <v>377</v>
      </c>
      <c r="M7" s="4"/>
      <c r="N7" s="4"/>
    </row>
    <row r="8" spans="1:15">
      <c r="A8" s="4" t="s">
        <v>479</v>
      </c>
      <c r="B8" s="17">
        <v>2.52</v>
      </c>
      <c r="C8" s="4">
        <v>2.0299999999999998</v>
      </c>
      <c r="D8" s="4">
        <v>1.95</v>
      </c>
      <c r="E8" s="4">
        <v>1.54</v>
      </c>
      <c r="F8" s="4">
        <v>1.92</v>
      </c>
      <c r="G8" s="4">
        <v>1.58</v>
      </c>
      <c r="H8" s="4">
        <v>1.56</v>
      </c>
      <c r="I8" s="4">
        <v>1.86</v>
      </c>
      <c r="J8" s="4">
        <v>1.59</v>
      </c>
      <c r="K8" s="4" t="s">
        <v>436</v>
      </c>
      <c r="L8" s="13" t="s">
        <v>480</v>
      </c>
      <c r="M8" s="4"/>
    </row>
    <row r="9" spans="1:15">
      <c r="A9" s="4" t="s">
        <v>481</v>
      </c>
      <c r="B9" s="17">
        <v>1.01</v>
      </c>
      <c r="C9" s="4">
        <v>0.82</v>
      </c>
      <c r="D9" s="4">
        <v>1.45</v>
      </c>
      <c r="E9" s="4">
        <v>1.06</v>
      </c>
      <c r="F9" s="4">
        <v>1.75</v>
      </c>
      <c r="G9" s="4">
        <v>1.35</v>
      </c>
      <c r="H9" s="4">
        <v>1.72</v>
      </c>
      <c r="I9" s="4">
        <v>1.78</v>
      </c>
      <c r="J9" s="4">
        <v>1.71</v>
      </c>
      <c r="K9" s="4" t="s">
        <v>436</v>
      </c>
      <c r="L9" s="13" t="s">
        <v>480</v>
      </c>
      <c r="M9" s="4"/>
    </row>
    <row r="10" spans="1:15">
      <c r="A10" s="4" t="s">
        <v>482</v>
      </c>
      <c r="B10" s="17">
        <v>1.53</v>
      </c>
      <c r="C10" s="4">
        <v>1.1200000000000001</v>
      </c>
      <c r="D10" s="4">
        <v>1.29</v>
      </c>
      <c r="E10" s="4">
        <v>1.1399999999999999</v>
      </c>
      <c r="F10" s="4">
        <v>1.64</v>
      </c>
      <c r="G10" s="4">
        <v>1.07</v>
      </c>
      <c r="H10" s="4">
        <v>1.35</v>
      </c>
      <c r="I10" s="4">
        <v>1.63</v>
      </c>
      <c r="J10" s="4">
        <v>1.67</v>
      </c>
      <c r="K10" s="4" t="s">
        <v>436</v>
      </c>
      <c r="L10" s="13" t="s">
        <v>480</v>
      </c>
      <c r="M10" s="4"/>
    </row>
    <row r="11" spans="1:15">
      <c r="A11" s="4" t="s">
        <v>422</v>
      </c>
      <c r="B11" s="17">
        <v>85.98</v>
      </c>
      <c r="C11" s="4">
        <v>86.38</v>
      </c>
      <c r="D11" s="4">
        <v>88.19</v>
      </c>
      <c r="E11" s="4">
        <v>91.93</v>
      </c>
      <c r="F11" s="4">
        <v>97.29</v>
      </c>
      <c r="G11" s="4">
        <v>95.36</v>
      </c>
      <c r="H11" s="4">
        <v>90.59</v>
      </c>
      <c r="I11" s="4">
        <v>88.02</v>
      </c>
      <c r="J11" s="4">
        <v>94</v>
      </c>
      <c r="K11" s="4" t="s">
        <v>335</v>
      </c>
      <c r="L11" s="13" t="s">
        <v>423</v>
      </c>
      <c r="M11" s="4" t="s">
        <v>424</v>
      </c>
      <c r="N11" s="13" t="s">
        <v>356</v>
      </c>
      <c r="O11" t="s">
        <v>425</v>
      </c>
    </row>
    <row r="12" spans="1:15">
      <c r="A12" s="4"/>
      <c r="B12" s="17"/>
      <c r="C12" s="4"/>
      <c r="D12" s="4"/>
      <c r="E12" s="4"/>
      <c r="F12" s="4"/>
      <c r="G12" s="4"/>
      <c r="H12" s="25"/>
      <c r="I12" s="25"/>
      <c r="J12" s="25"/>
      <c r="K12" s="4"/>
      <c r="L12" s="13"/>
      <c r="M12" s="4"/>
      <c r="N12" s="168"/>
    </row>
    <row r="13" spans="1:15" s="6" customFormat="1" ht="15" customHeight="1">
      <c r="A13" s="311"/>
      <c r="B13" s="403"/>
      <c r="C13" s="311"/>
      <c r="D13" s="311"/>
      <c r="E13" s="311"/>
      <c r="F13" s="311"/>
      <c r="G13" s="311"/>
      <c r="H13" s="311"/>
      <c r="I13" s="311"/>
      <c r="J13" s="311"/>
      <c r="K13" s="311"/>
      <c r="L13" s="311"/>
      <c r="M13" s="311"/>
    </row>
    <row r="14" spans="1:15" s="340" customFormat="1">
      <c r="A14" s="366" t="s">
        <v>175</v>
      </c>
      <c r="B14" s="338">
        <v>2008</v>
      </c>
      <c r="C14" s="338">
        <v>2009</v>
      </c>
      <c r="D14" s="338">
        <v>2010</v>
      </c>
      <c r="E14" s="338">
        <v>2011</v>
      </c>
      <c r="F14" s="338">
        <v>2012</v>
      </c>
      <c r="G14" s="338">
        <v>2013</v>
      </c>
      <c r="H14" s="338">
        <v>2014</v>
      </c>
      <c r="I14" s="338">
        <v>2015</v>
      </c>
      <c r="J14" s="338">
        <v>2016</v>
      </c>
      <c r="K14" s="338" t="s">
        <v>102</v>
      </c>
      <c r="L14" s="338" t="s">
        <v>103</v>
      </c>
      <c r="M14" s="338" t="s">
        <v>104</v>
      </c>
      <c r="N14" s="339" t="s">
        <v>105</v>
      </c>
      <c r="O14" s="350" t="s">
        <v>333</v>
      </c>
    </row>
    <row r="15" spans="1:15">
      <c r="A15" s="165" t="s">
        <v>483</v>
      </c>
      <c r="B15" s="3"/>
      <c r="C15" s="3"/>
      <c r="D15" s="3"/>
      <c r="E15" s="3"/>
      <c r="F15" s="3"/>
      <c r="G15" s="3"/>
      <c r="H15" s="3"/>
      <c r="I15" s="3"/>
      <c r="J15" s="3"/>
      <c r="K15" s="3"/>
      <c r="L15" s="3"/>
      <c r="M15" s="3"/>
      <c r="N15" s="112"/>
      <c r="O15" s="1"/>
    </row>
    <row r="16" spans="1:15">
      <c r="A16" s="4" t="s">
        <v>484</v>
      </c>
      <c r="B16" s="175"/>
      <c r="C16" s="175"/>
      <c r="D16" s="175"/>
      <c r="E16" s="175"/>
      <c r="F16" s="184">
        <v>167000</v>
      </c>
      <c r="G16" s="175"/>
      <c r="H16" s="175"/>
      <c r="I16" s="55"/>
      <c r="J16" s="55"/>
      <c r="K16" s="4" t="s">
        <v>436</v>
      </c>
      <c r="L16" s="13" t="s">
        <v>348</v>
      </c>
      <c r="M16" s="4"/>
      <c r="N16" s="17"/>
    </row>
    <row r="17" spans="1:15">
      <c r="A17" s="4" t="s">
        <v>485</v>
      </c>
      <c r="B17" s="4">
        <v>68.790000000000006</v>
      </c>
      <c r="C17" s="4">
        <v>73.42</v>
      </c>
      <c r="D17" s="4">
        <v>75.849999999999994</v>
      </c>
      <c r="E17" s="4">
        <v>81.209999999999994</v>
      </c>
      <c r="F17" s="4">
        <v>85.5</v>
      </c>
      <c r="G17" s="4">
        <v>87.64</v>
      </c>
      <c r="H17" s="55"/>
      <c r="I17" s="55"/>
      <c r="J17" s="55"/>
      <c r="K17" s="4" t="s">
        <v>335</v>
      </c>
      <c r="L17" s="13" t="s">
        <v>423</v>
      </c>
      <c r="M17" s="4" t="s">
        <v>424</v>
      </c>
      <c r="N17" s="53" t="s">
        <v>356</v>
      </c>
      <c r="O17" t="s">
        <v>425</v>
      </c>
    </row>
    <row r="18" spans="1:15">
      <c r="A18" s="4" t="s">
        <v>486</v>
      </c>
      <c r="B18" s="55"/>
      <c r="C18" s="55"/>
      <c r="D18" s="55"/>
      <c r="E18" s="55"/>
      <c r="F18" s="55"/>
      <c r="G18" s="55"/>
      <c r="H18" s="4">
        <v>10.73</v>
      </c>
      <c r="I18" s="4">
        <v>10.57</v>
      </c>
      <c r="J18" s="4">
        <v>10.96</v>
      </c>
      <c r="K18" s="4" t="s">
        <v>424</v>
      </c>
      <c r="L18" s="13" t="s">
        <v>356</v>
      </c>
      <c r="M18" s="4"/>
      <c r="N18" s="53"/>
    </row>
    <row r="19" spans="1:15">
      <c r="A19" s="4"/>
      <c r="B19" s="25"/>
      <c r="C19" s="25"/>
      <c r="D19" s="25"/>
      <c r="E19" s="25"/>
      <c r="F19" s="25"/>
      <c r="G19" s="25"/>
      <c r="H19" s="4"/>
      <c r="I19" s="4"/>
      <c r="J19" s="4"/>
      <c r="K19" s="4"/>
      <c r="L19" s="13"/>
      <c r="M19" s="4"/>
      <c r="N19" s="168"/>
    </row>
    <row r="20" spans="1:15">
      <c r="A20" s="221" t="s">
        <v>487</v>
      </c>
      <c r="B20" s="25"/>
      <c r="C20" s="25"/>
      <c r="D20" s="25"/>
      <c r="E20" s="25"/>
      <c r="F20" s="25"/>
      <c r="G20" s="25"/>
      <c r="H20" s="4"/>
      <c r="I20" s="4"/>
      <c r="J20" s="4"/>
      <c r="K20" s="4"/>
      <c r="L20" s="13"/>
      <c r="M20" s="4"/>
      <c r="N20" s="168"/>
    </row>
    <row r="21" spans="1:15">
      <c r="A21" s="4" t="s">
        <v>368</v>
      </c>
      <c r="B21" s="12">
        <v>2677</v>
      </c>
      <c r="C21" s="12">
        <v>2967</v>
      </c>
      <c r="D21" s="65">
        <v>3360</v>
      </c>
      <c r="E21" s="65">
        <v>3331</v>
      </c>
      <c r="F21" s="65">
        <v>3097</v>
      </c>
      <c r="G21" s="65">
        <v>3042</v>
      </c>
      <c r="H21" s="65">
        <v>3357</v>
      </c>
      <c r="I21" s="65">
        <v>3927</v>
      </c>
      <c r="J21" s="65">
        <v>3926</v>
      </c>
      <c r="K21" s="62" t="s">
        <v>335</v>
      </c>
      <c r="L21" s="13" t="s">
        <v>369</v>
      </c>
      <c r="M21" s="4"/>
      <c r="N21" s="4"/>
    </row>
    <row r="22" spans="1:15">
      <c r="A22" s="4" t="s">
        <v>488</v>
      </c>
      <c r="B22" s="353"/>
      <c r="C22" s="175"/>
      <c r="D22" s="175"/>
      <c r="E22" s="175"/>
      <c r="F22" s="175"/>
      <c r="G22" s="175"/>
      <c r="H22" s="12">
        <v>5125</v>
      </c>
      <c r="I22" s="12">
        <v>4043</v>
      </c>
      <c r="J22" s="12">
        <v>5418</v>
      </c>
      <c r="K22" s="62" t="s">
        <v>335</v>
      </c>
      <c r="L22" s="13" t="s">
        <v>369</v>
      </c>
      <c r="M22" s="4"/>
      <c r="N22" s="13"/>
    </row>
    <row r="23" spans="1:15">
      <c r="A23" s="16" t="s">
        <v>489</v>
      </c>
      <c r="B23" s="184">
        <v>2868</v>
      </c>
      <c r="C23" s="430">
        <v>3422</v>
      </c>
      <c r="D23" s="184">
        <v>3036</v>
      </c>
      <c r="E23" s="184">
        <v>2735</v>
      </c>
      <c r="F23" s="12">
        <v>2038</v>
      </c>
      <c r="G23" s="12">
        <v>2736</v>
      </c>
      <c r="H23" s="12">
        <v>2021</v>
      </c>
      <c r="I23" s="12">
        <v>2219</v>
      </c>
      <c r="J23" s="12">
        <v>2923</v>
      </c>
      <c r="K23" s="62" t="s">
        <v>436</v>
      </c>
      <c r="L23" s="13" t="s">
        <v>369</v>
      </c>
      <c r="M23" s="4"/>
      <c r="N23" s="168"/>
    </row>
    <row r="24" spans="1:15">
      <c r="A24" s="16" t="s">
        <v>490</v>
      </c>
      <c r="B24" s="352">
        <v>345</v>
      </c>
      <c r="C24" s="351">
        <v>450</v>
      </c>
      <c r="D24" s="25">
        <v>269</v>
      </c>
      <c r="E24" s="25">
        <v>225</v>
      </c>
      <c r="F24" s="25">
        <v>154</v>
      </c>
      <c r="G24" s="25">
        <v>178</v>
      </c>
      <c r="H24" s="4">
        <v>284</v>
      </c>
      <c r="I24" s="4">
        <v>241</v>
      </c>
      <c r="J24" s="55"/>
      <c r="K24" s="62" t="s">
        <v>335</v>
      </c>
      <c r="L24" s="13" t="s">
        <v>369</v>
      </c>
      <c r="M24" s="4"/>
      <c r="N24" s="168"/>
    </row>
    <row r="25" spans="1:15">
      <c r="A25" s="4" t="s">
        <v>491</v>
      </c>
      <c r="B25" s="195"/>
      <c r="C25" s="55"/>
      <c r="D25" s="55"/>
      <c r="E25" s="55"/>
      <c r="F25" s="55"/>
      <c r="G25" s="55"/>
      <c r="H25" s="12">
        <v>5189</v>
      </c>
      <c r="I25" s="12">
        <v>6001</v>
      </c>
      <c r="J25" s="12">
        <v>5685</v>
      </c>
      <c r="K25" s="62" t="s">
        <v>335</v>
      </c>
      <c r="L25" s="13" t="s">
        <v>369</v>
      </c>
      <c r="M25" s="4"/>
      <c r="N25" s="168"/>
    </row>
    <row r="26" spans="1:15">
      <c r="A26" s="4" t="s">
        <v>355</v>
      </c>
      <c r="B26" s="55"/>
      <c r="C26" s="55"/>
      <c r="D26" s="55"/>
      <c r="E26" s="55"/>
      <c r="F26" s="55"/>
      <c r="G26" s="55"/>
      <c r="H26" s="4">
        <v>361.09</v>
      </c>
      <c r="I26" s="4">
        <v>345.51</v>
      </c>
      <c r="J26" s="4">
        <v>384.78</v>
      </c>
      <c r="K26" t="s">
        <v>335</v>
      </c>
      <c r="L26" s="38" t="s">
        <v>356</v>
      </c>
      <c r="M26" s="4"/>
      <c r="N26" s="13"/>
    </row>
    <row r="27" spans="1:15">
      <c r="A27" s="4" t="s">
        <v>492</v>
      </c>
      <c r="B27" s="25">
        <v>874</v>
      </c>
      <c r="C27" s="25">
        <v>860</v>
      </c>
      <c r="D27" s="25">
        <v>840</v>
      </c>
      <c r="E27" s="25">
        <v>852</v>
      </c>
      <c r="F27" s="25">
        <v>871</v>
      </c>
      <c r="G27" s="25">
        <v>867</v>
      </c>
      <c r="H27" s="4">
        <v>852</v>
      </c>
      <c r="I27" s="4">
        <v>915</v>
      </c>
      <c r="J27" s="174"/>
      <c r="K27" s="4" t="s">
        <v>335</v>
      </c>
      <c r="L27" s="13" t="s">
        <v>493</v>
      </c>
      <c r="M27" s="4"/>
      <c r="N27" s="168"/>
    </row>
    <row r="28" spans="1:15">
      <c r="A28" s="4" t="s">
        <v>494</v>
      </c>
      <c r="B28" s="25"/>
      <c r="C28" s="25"/>
      <c r="D28" s="25"/>
      <c r="E28" s="25"/>
      <c r="F28" s="25"/>
      <c r="G28" s="25"/>
      <c r="H28" s="4"/>
      <c r="I28" s="4"/>
      <c r="J28" s="4"/>
      <c r="K28" s="4"/>
      <c r="L28" s="13"/>
      <c r="M28" s="4"/>
      <c r="N28" s="168"/>
    </row>
    <row r="29" spans="1:15">
      <c r="A29" s="4"/>
      <c r="B29" s="25"/>
      <c r="C29" s="25"/>
      <c r="D29" s="25"/>
      <c r="E29" s="25"/>
      <c r="F29" s="25"/>
      <c r="G29" s="25"/>
      <c r="H29" s="4"/>
      <c r="I29" s="4"/>
      <c r="J29" s="4"/>
      <c r="K29" s="4"/>
      <c r="L29" s="13"/>
      <c r="M29" s="4"/>
      <c r="N29" s="168"/>
    </row>
    <row r="30" spans="1:15">
      <c r="A30" s="221" t="s">
        <v>495</v>
      </c>
      <c r="B30" s="25"/>
      <c r="C30" s="25"/>
      <c r="D30" s="25"/>
      <c r="E30" s="25"/>
      <c r="F30" s="25"/>
      <c r="G30" s="25"/>
      <c r="H30" s="4"/>
      <c r="I30" s="4"/>
      <c r="J30" s="4"/>
      <c r="K30" s="4"/>
      <c r="L30" s="13"/>
      <c r="M30" s="4"/>
      <c r="N30" s="168"/>
    </row>
    <row r="31" spans="1:15">
      <c r="A31" s="4" t="s">
        <v>496</v>
      </c>
      <c r="B31" s="12">
        <v>49.103999999999999</v>
      </c>
      <c r="C31" s="12">
        <v>46.64</v>
      </c>
      <c r="D31" s="12">
        <v>64.528999999999996</v>
      </c>
      <c r="E31" s="12">
        <v>76.650999999999996</v>
      </c>
      <c r="F31" s="12">
        <v>74.155000000000001</v>
      </c>
      <c r="G31" s="12">
        <v>61.927</v>
      </c>
      <c r="H31" s="12">
        <v>52.951000000000001</v>
      </c>
      <c r="I31" s="12">
        <v>49.338999999999999</v>
      </c>
      <c r="J31" s="12">
        <v>51.703000000000003</v>
      </c>
      <c r="K31" s="4" t="s">
        <v>436</v>
      </c>
      <c r="L31" s="13" t="s">
        <v>480</v>
      </c>
      <c r="M31" s="4"/>
    </row>
    <row r="32" spans="1:15">
      <c r="A32" s="4" t="s">
        <v>497</v>
      </c>
      <c r="B32" s="184">
        <v>29.457999999999998</v>
      </c>
      <c r="C32" s="184">
        <v>32.162999999999997</v>
      </c>
      <c r="D32" s="184">
        <v>37.570999999999998</v>
      </c>
      <c r="E32" s="184">
        <v>38.542000000000002</v>
      </c>
      <c r="F32" s="184">
        <v>43.722999999999999</v>
      </c>
      <c r="G32" s="184">
        <v>43.582000000000001</v>
      </c>
      <c r="H32" s="12">
        <v>39.473999999999997</v>
      </c>
      <c r="I32" s="12">
        <v>35.192</v>
      </c>
      <c r="J32" s="12">
        <v>40.942999999999998</v>
      </c>
      <c r="K32" s="4" t="s">
        <v>436</v>
      </c>
      <c r="L32" s="13" t="s">
        <v>480</v>
      </c>
      <c r="M32" s="4"/>
      <c r="N32" s="168"/>
    </row>
    <row r="33" spans="1:14">
      <c r="A33" s="4" t="s">
        <v>498</v>
      </c>
      <c r="B33" s="184">
        <v>3.0230000000000001</v>
      </c>
      <c r="C33" s="184">
        <v>3.786</v>
      </c>
      <c r="D33" s="184">
        <v>7.3460000000000001</v>
      </c>
      <c r="E33" s="184">
        <v>6.9850000000000003</v>
      </c>
      <c r="F33" s="184">
        <v>6.2910000000000004</v>
      </c>
      <c r="G33" s="184">
        <v>5.1909999999999998</v>
      </c>
      <c r="H33" s="12">
        <v>5.1470000000000002</v>
      </c>
      <c r="I33" s="12">
        <v>3.988</v>
      </c>
      <c r="J33" s="12">
        <v>5.6719999999999997</v>
      </c>
      <c r="K33" s="4" t="s">
        <v>436</v>
      </c>
      <c r="L33" s="13" t="s">
        <v>480</v>
      </c>
      <c r="M33" s="4"/>
      <c r="N33" s="168"/>
    </row>
    <row r="34" spans="1:14">
      <c r="A34" s="16" t="s">
        <v>499</v>
      </c>
      <c r="B34" s="25">
        <v>0.70399999999999996</v>
      </c>
      <c r="C34" s="25">
        <v>0.45800000000000002</v>
      </c>
      <c r="D34" s="25">
        <v>0.63300000000000001</v>
      </c>
      <c r="E34" s="25">
        <v>0.58899999999999997</v>
      </c>
      <c r="F34" s="25">
        <v>0.69899999999999995</v>
      </c>
      <c r="G34" s="25">
        <v>0.443</v>
      </c>
      <c r="H34" s="4">
        <v>0.497</v>
      </c>
      <c r="I34" s="4">
        <v>0.57399999999999995</v>
      </c>
      <c r="J34" s="4">
        <v>0.47</v>
      </c>
      <c r="K34" s="4" t="s">
        <v>436</v>
      </c>
      <c r="L34" s="13" t="s">
        <v>480</v>
      </c>
      <c r="M34" s="4"/>
      <c r="N34" s="168"/>
    </row>
    <row r="35" spans="1:14">
      <c r="A35" s="16" t="s">
        <v>500</v>
      </c>
      <c r="B35" s="25">
        <v>0.27</v>
      </c>
      <c r="C35" s="25">
        <v>0.23699999999999999</v>
      </c>
      <c r="D35" s="25">
        <v>0.47099999999999997</v>
      </c>
      <c r="E35" s="25">
        <v>0.36399999999999999</v>
      </c>
      <c r="F35" s="25">
        <v>0.63</v>
      </c>
      <c r="G35" s="25">
        <v>0.45600000000000002</v>
      </c>
      <c r="H35" s="4">
        <v>0.42299999999999999</v>
      </c>
      <c r="I35" s="4">
        <v>0.44800000000000001</v>
      </c>
      <c r="J35" s="4">
        <v>0.49299999999999999</v>
      </c>
      <c r="K35" s="4" t="s">
        <v>436</v>
      </c>
      <c r="L35" s="13" t="s">
        <v>480</v>
      </c>
      <c r="M35" s="4"/>
      <c r="N35" s="168"/>
    </row>
    <row r="36" spans="1:14">
      <c r="A36" s="4" t="s">
        <v>501</v>
      </c>
      <c r="B36" s="184">
        <v>1.1930000000000001</v>
      </c>
      <c r="C36" s="25">
        <v>0.79300000000000004</v>
      </c>
      <c r="D36" s="25">
        <v>0.93799999999999994</v>
      </c>
      <c r="E36" s="184">
        <v>1.1679999999999999</v>
      </c>
      <c r="F36" s="184">
        <v>2.0259999999999998</v>
      </c>
      <c r="G36" s="184">
        <v>1.0549999999999999</v>
      </c>
      <c r="H36" s="12">
        <v>1.1579999999999999</v>
      </c>
      <c r="I36" s="12">
        <v>1.1599999999999999</v>
      </c>
      <c r="J36" s="12">
        <v>1.077</v>
      </c>
      <c r="K36" s="4" t="s">
        <v>436</v>
      </c>
      <c r="L36" s="13" t="s">
        <v>480</v>
      </c>
      <c r="M36" s="4"/>
      <c r="N36" s="168"/>
    </row>
    <row r="37" spans="1:14">
      <c r="A37" s="311"/>
      <c r="B37" s="311"/>
      <c r="C37" s="311"/>
      <c r="D37" s="311"/>
      <c r="E37" s="311"/>
      <c r="F37" s="311"/>
      <c r="G37" s="311"/>
      <c r="H37" s="311"/>
      <c r="I37" s="311"/>
      <c r="J37" s="311"/>
      <c r="K37" s="311"/>
      <c r="L37" s="311"/>
      <c r="M37" s="311"/>
      <c r="N37" s="6"/>
    </row>
    <row r="38" spans="1:14" s="340" customFormat="1">
      <c r="A38" s="338" t="s">
        <v>502</v>
      </c>
      <c r="B38" s="338">
        <v>2008</v>
      </c>
      <c r="C38" s="338">
        <v>2009</v>
      </c>
      <c r="D38" s="338">
        <v>2010</v>
      </c>
      <c r="E38" s="338">
        <v>2011</v>
      </c>
      <c r="F38" s="338">
        <v>2012</v>
      </c>
      <c r="G38" s="338">
        <v>2013</v>
      </c>
      <c r="H38" s="338">
        <v>2014</v>
      </c>
      <c r="I38" s="338">
        <v>2015</v>
      </c>
      <c r="J38" s="338">
        <v>2016</v>
      </c>
      <c r="K38" s="338" t="s">
        <v>102</v>
      </c>
      <c r="L38" s="338" t="s">
        <v>103</v>
      </c>
      <c r="M38" s="338" t="s">
        <v>104</v>
      </c>
      <c r="N38" s="339" t="s">
        <v>105</v>
      </c>
    </row>
    <row r="39" spans="1:14">
      <c r="A39" s="3"/>
      <c r="B39" s="3"/>
      <c r="C39" s="3"/>
      <c r="D39" s="3"/>
      <c r="E39" s="3"/>
      <c r="F39" s="3"/>
      <c r="G39" s="3"/>
      <c r="H39" s="3"/>
      <c r="I39" s="3"/>
      <c r="J39" s="3"/>
      <c r="K39" s="3"/>
      <c r="L39" s="3"/>
      <c r="M39" s="3"/>
      <c r="N39" s="51"/>
    </row>
    <row r="40" spans="1:14">
      <c r="A40" s="165" t="s">
        <v>5</v>
      </c>
      <c r="B40" s="3"/>
      <c r="C40" s="3"/>
      <c r="D40" s="3"/>
      <c r="E40" s="3"/>
      <c r="F40" s="3"/>
      <c r="G40" s="3"/>
      <c r="H40" s="3"/>
      <c r="I40" s="3"/>
      <c r="J40" s="3"/>
      <c r="K40" s="3"/>
      <c r="L40" s="3"/>
      <c r="M40" s="3"/>
      <c r="N40" s="51"/>
    </row>
    <row r="41" spans="1:14">
      <c r="A41" s="23" t="s">
        <v>503</v>
      </c>
      <c r="B41" s="3"/>
      <c r="C41" s="3"/>
      <c r="D41" s="3"/>
      <c r="E41" s="3"/>
      <c r="F41" s="3"/>
      <c r="G41" s="3"/>
      <c r="H41" s="3"/>
      <c r="I41" s="3"/>
      <c r="J41" s="3"/>
      <c r="K41" s="3"/>
      <c r="L41" s="3"/>
      <c r="M41" s="3"/>
      <c r="N41" s="51"/>
    </row>
    <row r="42" spans="1:14">
      <c r="A42" s="23" t="s">
        <v>504</v>
      </c>
      <c r="B42" s="169"/>
      <c r="C42" s="169"/>
      <c r="D42" s="169"/>
      <c r="E42" s="169"/>
      <c r="F42" s="313">
        <v>4874</v>
      </c>
      <c r="G42" s="313">
        <v>4617</v>
      </c>
      <c r="H42" s="313">
        <v>5200</v>
      </c>
      <c r="I42" s="349">
        <v>5037</v>
      </c>
      <c r="J42" s="349">
        <v>5670</v>
      </c>
      <c r="K42" s="23" t="s">
        <v>505</v>
      </c>
      <c r="L42" s="40" t="s">
        <v>506</v>
      </c>
      <c r="M42" s="3"/>
      <c r="N42" s="51"/>
    </row>
    <row r="43" spans="1:14">
      <c r="A43" s="4" t="s">
        <v>507</v>
      </c>
      <c r="B43" s="55"/>
      <c r="C43" s="55"/>
      <c r="D43" s="55"/>
      <c r="E43" s="55"/>
      <c r="F43" s="55"/>
      <c r="G43" s="312">
        <v>0.27</v>
      </c>
      <c r="H43" s="55"/>
      <c r="I43" s="55"/>
      <c r="J43" s="55"/>
      <c r="K43" s="4" t="s">
        <v>508</v>
      </c>
      <c r="L43" s="4"/>
      <c r="M43" s="4"/>
    </row>
    <row r="44" spans="1:14">
      <c r="A44" s="4"/>
      <c r="B44" s="4"/>
      <c r="C44" s="4"/>
      <c r="D44" s="4"/>
      <c r="E44" s="4"/>
      <c r="F44" s="4"/>
      <c r="G44" s="4"/>
      <c r="H44" s="4"/>
      <c r="I44" s="4"/>
      <c r="J44" s="4"/>
      <c r="K44" s="4"/>
      <c r="L44" s="4"/>
      <c r="M44" s="4"/>
    </row>
    <row r="45" spans="1:14">
      <c r="A45" s="4" t="s">
        <v>509</v>
      </c>
      <c r="B45" s="55"/>
      <c r="C45" s="55"/>
      <c r="D45" s="55"/>
      <c r="E45" s="55"/>
      <c r="F45" s="55"/>
      <c r="G45" s="55"/>
      <c r="H45" s="55"/>
      <c r="I45" s="55"/>
      <c r="J45" s="55"/>
      <c r="K45" s="4"/>
      <c r="L45" s="4"/>
      <c r="M45" s="4"/>
    </row>
    <row r="46" spans="1:14">
      <c r="A46" s="4" t="s">
        <v>510</v>
      </c>
      <c r="B46" s="179"/>
      <c r="C46" s="179"/>
      <c r="D46" s="179"/>
      <c r="E46" s="179"/>
      <c r="F46" s="179"/>
      <c r="G46" s="179"/>
      <c r="H46" s="179"/>
      <c r="I46" s="179"/>
      <c r="J46" s="179"/>
      <c r="K46" s="4"/>
      <c r="L46" s="4"/>
      <c r="M46" s="4"/>
    </row>
    <row r="47" spans="1:14">
      <c r="A47" s="4" t="s">
        <v>511</v>
      </c>
      <c r="B47" s="179"/>
      <c r="C47" s="179"/>
      <c r="D47" s="179"/>
      <c r="E47" s="179"/>
      <c r="F47" s="179"/>
      <c r="G47" s="179"/>
      <c r="H47" s="179"/>
      <c r="I47" s="179"/>
      <c r="J47" s="179"/>
      <c r="K47" s="4"/>
      <c r="L47" s="4"/>
      <c r="M47" s="4"/>
    </row>
    <row r="48" spans="1:14">
      <c r="A48" s="4"/>
      <c r="B48" s="4"/>
      <c r="C48" s="4"/>
      <c r="D48" s="4"/>
      <c r="E48" s="4"/>
      <c r="F48" s="4"/>
      <c r="G48" s="4"/>
      <c r="H48" s="4"/>
      <c r="I48" s="4"/>
      <c r="J48" s="4"/>
      <c r="K48" s="4"/>
      <c r="L48" s="4"/>
      <c r="M48" s="4"/>
    </row>
    <row r="49" spans="1:14">
      <c r="A49" s="4" t="s">
        <v>512</v>
      </c>
      <c r="B49" s="55"/>
      <c r="C49" s="55"/>
      <c r="D49" s="55"/>
      <c r="E49" s="55"/>
      <c r="F49" s="55"/>
      <c r="G49" s="55"/>
      <c r="H49" s="55"/>
      <c r="I49" s="55"/>
      <c r="J49" s="55"/>
      <c r="K49" s="4"/>
      <c r="L49" s="4"/>
      <c r="M49" s="4"/>
    </row>
    <row r="50" spans="1:14">
      <c r="A50" s="4" t="s">
        <v>513</v>
      </c>
      <c r="B50" s="179"/>
      <c r="C50" s="179"/>
      <c r="D50" s="179"/>
      <c r="E50" s="179"/>
      <c r="F50" s="179"/>
      <c r="G50" s="179"/>
      <c r="H50" s="179"/>
      <c r="I50" s="179"/>
      <c r="J50" s="179"/>
      <c r="K50" s="4"/>
      <c r="L50" s="4"/>
      <c r="M50" s="4"/>
    </row>
    <row r="51" spans="1:14">
      <c r="A51" s="15" t="s">
        <v>514</v>
      </c>
      <c r="B51" s="355"/>
      <c r="C51" s="355"/>
      <c r="D51" s="355"/>
      <c r="E51" s="355"/>
      <c r="F51" s="355"/>
      <c r="G51" s="355"/>
      <c r="H51" s="355"/>
      <c r="I51" s="355"/>
      <c r="J51" s="355"/>
      <c r="K51" s="15"/>
      <c r="L51" s="15"/>
      <c r="M51" s="15"/>
    </row>
    <row r="52" spans="1:14" s="4" customFormat="1"/>
    <row r="53" spans="1:14" s="4" customFormat="1">
      <c r="A53" s="4" t="s">
        <v>515</v>
      </c>
      <c r="B53" s="55"/>
      <c r="C53" s="55"/>
      <c r="D53" s="55"/>
      <c r="E53" s="55"/>
      <c r="F53" s="55"/>
      <c r="G53" s="55"/>
      <c r="H53" s="55"/>
      <c r="I53" s="55"/>
      <c r="J53" s="55"/>
    </row>
    <row r="54" spans="1:14" s="4" customFormat="1">
      <c r="A54" s="4" t="s">
        <v>516</v>
      </c>
      <c r="B54" s="179"/>
      <c r="C54" s="179"/>
      <c r="D54" s="179"/>
      <c r="E54" s="179"/>
      <c r="F54" s="179"/>
      <c r="G54" s="179"/>
      <c r="H54" s="179"/>
      <c r="I54" s="179"/>
      <c r="J54" s="179"/>
    </row>
    <row r="55" spans="1:14" s="4" customFormat="1">
      <c r="A55" s="4" t="s">
        <v>517</v>
      </c>
      <c r="B55" s="179"/>
      <c r="C55" s="179"/>
      <c r="D55" s="179"/>
      <c r="E55" s="179"/>
      <c r="F55" s="179"/>
      <c r="G55" s="179"/>
      <c r="H55" s="179"/>
      <c r="I55" s="179"/>
      <c r="J55" s="179"/>
    </row>
    <row r="56" spans="1:14" s="4" customFormat="1"/>
    <row r="57" spans="1:14" s="4" customFormat="1">
      <c r="A57" s="4" t="s">
        <v>518</v>
      </c>
      <c r="B57" s="55"/>
      <c r="C57" s="55"/>
      <c r="D57" s="55"/>
      <c r="E57" s="55"/>
      <c r="F57" s="55"/>
      <c r="G57" s="55"/>
      <c r="H57" s="55"/>
      <c r="I57" s="55"/>
      <c r="J57" s="55"/>
    </row>
    <row r="58" spans="1:14" s="4" customFormat="1">
      <c r="A58" s="4" t="s">
        <v>519</v>
      </c>
      <c r="B58" s="179"/>
      <c r="C58" s="179"/>
      <c r="D58" s="179"/>
      <c r="E58" s="179"/>
      <c r="F58" s="179"/>
      <c r="G58" s="179"/>
      <c r="H58" s="179"/>
      <c r="I58" s="179"/>
      <c r="J58" s="179"/>
    </row>
    <row r="59" spans="1:14" s="4" customFormat="1">
      <c r="A59" s="4" t="s">
        <v>520</v>
      </c>
      <c r="B59" s="179"/>
      <c r="C59" s="179"/>
      <c r="D59" s="179"/>
      <c r="E59" s="179"/>
      <c r="F59" s="179"/>
      <c r="G59" s="179"/>
      <c r="H59" s="179"/>
      <c r="I59" s="179"/>
      <c r="J59" s="179"/>
    </row>
    <row r="60" spans="1:14" s="4" customFormat="1"/>
    <row r="61" spans="1:14" s="4" customFormat="1">
      <c r="A61" s="4" t="s">
        <v>521</v>
      </c>
      <c r="B61" s="55"/>
      <c r="C61" s="55"/>
      <c r="D61" s="55"/>
      <c r="E61" s="55"/>
      <c r="F61" s="55"/>
      <c r="G61" s="55"/>
      <c r="H61" s="55"/>
      <c r="I61" s="55"/>
      <c r="J61" s="55"/>
    </row>
    <row r="62" spans="1:14" s="4" customFormat="1">
      <c r="A62" s="4" t="s">
        <v>522</v>
      </c>
      <c r="B62" s="179"/>
      <c r="C62" s="179"/>
      <c r="D62" s="179"/>
      <c r="E62" s="179"/>
      <c r="F62" s="179"/>
      <c r="G62" s="179"/>
      <c r="H62" s="179"/>
      <c r="I62" s="179"/>
      <c r="J62" s="179"/>
    </row>
    <row r="63" spans="1:14" s="4" customFormat="1">
      <c r="A63" s="4" t="s">
        <v>523</v>
      </c>
      <c r="B63" s="179"/>
      <c r="C63" s="179"/>
      <c r="D63" s="179"/>
      <c r="E63" s="179"/>
      <c r="F63" s="179"/>
      <c r="G63" s="179"/>
      <c r="H63" s="179"/>
      <c r="I63" s="179"/>
      <c r="J63" s="179"/>
    </row>
    <row r="64" spans="1:14">
      <c r="A64" s="356"/>
      <c r="B64" s="356"/>
      <c r="C64" s="356"/>
      <c r="D64" s="356"/>
      <c r="E64" s="356"/>
      <c r="F64" s="356"/>
      <c r="G64" s="356"/>
      <c r="H64" s="356"/>
      <c r="I64" s="356"/>
      <c r="J64" s="356"/>
      <c r="K64" s="356"/>
      <c r="L64" s="356"/>
      <c r="M64" s="356"/>
      <c r="N64" s="6"/>
    </row>
    <row r="65" spans="1:63" s="340" customFormat="1">
      <c r="A65" s="341" t="s">
        <v>125</v>
      </c>
      <c r="B65" s="341">
        <v>2008</v>
      </c>
      <c r="C65" s="341">
        <v>2009</v>
      </c>
      <c r="D65" s="341">
        <v>2010</v>
      </c>
      <c r="E65" s="341">
        <v>2011</v>
      </c>
      <c r="F65" s="341">
        <v>2012</v>
      </c>
      <c r="G65" s="341">
        <v>2013</v>
      </c>
      <c r="H65" s="341">
        <v>2014</v>
      </c>
      <c r="I65" s="341">
        <v>2015</v>
      </c>
      <c r="J65" s="341">
        <v>2016</v>
      </c>
      <c r="K65" s="338" t="s">
        <v>102</v>
      </c>
      <c r="L65" s="338" t="s">
        <v>103</v>
      </c>
      <c r="M65" s="338" t="s">
        <v>104</v>
      </c>
      <c r="N65" s="339" t="s">
        <v>105</v>
      </c>
    </row>
    <row r="66" spans="1:63" s="344" customFormat="1">
      <c r="A66" s="342"/>
      <c r="B66" s="342"/>
      <c r="C66" s="342"/>
      <c r="D66" s="342"/>
      <c r="E66" s="342"/>
      <c r="F66" s="342"/>
      <c r="G66" s="342"/>
      <c r="H66" s="342"/>
      <c r="I66" s="342"/>
      <c r="J66" s="342"/>
      <c r="K66" s="268"/>
      <c r="L66" s="268"/>
      <c r="M66" s="268"/>
      <c r="N66" s="343"/>
    </row>
    <row r="67" spans="1:63">
      <c r="A67" s="221" t="s">
        <v>456</v>
      </c>
      <c r="B67" s="4"/>
      <c r="C67" s="4"/>
      <c r="D67" s="4"/>
      <c r="E67" s="4"/>
      <c r="F67" s="4"/>
      <c r="G67" s="4"/>
      <c r="H67" s="4"/>
      <c r="I67" s="4"/>
      <c r="J67" s="4"/>
      <c r="K67" s="4"/>
      <c r="L67" s="4"/>
      <c r="M67" s="4"/>
    </row>
    <row r="68" spans="1:63">
      <c r="A68" s="4" t="s">
        <v>524</v>
      </c>
      <c r="B68" s="4">
        <v>52.03</v>
      </c>
      <c r="C68" s="4">
        <v>32.159999999999997</v>
      </c>
      <c r="D68" s="4">
        <v>35.950000000000003</v>
      </c>
      <c r="E68" s="4">
        <v>53.2</v>
      </c>
      <c r="F68" s="4">
        <v>51.9</v>
      </c>
      <c r="G68" s="4">
        <v>41.13</v>
      </c>
      <c r="H68" s="4">
        <v>35.5</v>
      </c>
      <c r="I68" s="55"/>
      <c r="J68" s="55"/>
      <c r="K68" s="4" t="s">
        <v>525</v>
      </c>
      <c r="L68" s="13" t="s">
        <v>506</v>
      </c>
      <c r="M68" s="4"/>
    </row>
    <row r="69" spans="1:63">
      <c r="A69" s="4" t="s">
        <v>526</v>
      </c>
      <c r="B69" s="4">
        <v>73.56</v>
      </c>
      <c r="C69" s="4">
        <v>37.1</v>
      </c>
      <c r="D69" s="4">
        <v>40.270000000000003</v>
      </c>
      <c r="E69" s="4">
        <v>54.5</v>
      </c>
      <c r="F69" s="4">
        <v>53.22</v>
      </c>
      <c r="G69" s="4">
        <v>48.6</v>
      </c>
      <c r="H69" s="4">
        <v>38.5</v>
      </c>
      <c r="I69" s="55"/>
      <c r="J69" s="55"/>
      <c r="K69" s="4" t="s">
        <v>525</v>
      </c>
      <c r="L69" s="13" t="s">
        <v>506</v>
      </c>
      <c r="M69" s="4"/>
    </row>
    <row r="70" spans="1:63">
      <c r="A70" s="4" t="s">
        <v>527</v>
      </c>
      <c r="B70" s="4">
        <v>91.15</v>
      </c>
      <c r="C70" s="4">
        <v>50.24</v>
      </c>
      <c r="D70" s="4">
        <v>52.8</v>
      </c>
      <c r="E70" s="4">
        <v>86.12</v>
      </c>
      <c r="F70" s="4">
        <v>83.2</v>
      </c>
      <c r="G70" s="4">
        <v>65.87</v>
      </c>
      <c r="H70" s="4">
        <v>54.5</v>
      </c>
      <c r="I70" s="55"/>
      <c r="J70" s="55"/>
      <c r="K70" s="4" t="s">
        <v>525</v>
      </c>
      <c r="L70" s="13" t="s">
        <v>506</v>
      </c>
      <c r="M70" s="4"/>
    </row>
    <row r="71" spans="1:63">
      <c r="A71" s="4" t="s">
        <v>528</v>
      </c>
      <c r="B71" s="4">
        <v>65.64</v>
      </c>
      <c r="C71" s="4">
        <v>39.54</v>
      </c>
      <c r="D71" s="4">
        <v>42.88</v>
      </c>
      <c r="E71" s="4">
        <v>58.68</v>
      </c>
      <c r="F71" s="4">
        <v>57.19</v>
      </c>
      <c r="G71" s="4">
        <v>56.17</v>
      </c>
      <c r="H71" s="4">
        <v>40.5</v>
      </c>
      <c r="I71" s="55"/>
      <c r="J71" s="55"/>
      <c r="K71" s="4" t="s">
        <v>525</v>
      </c>
      <c r="L71" s="13" t="s">
        <v>506</v>
      </c>
      <c r="M71" s="4"/>
    </row>
    <row r="72" spans="1:63">
      <c r="A72" s="4" t="s">
        <v>529</v>
      </c>
      <c r="B72" s="4">
        <v>94.53</v>
      </c>
      <c r="C72" s="4">
        <v>78.489999999999995</v>
      </c>
      <c r="D72" s="4">
        <v>59.62</v>
      </c>
      <c r="E72" s="4">
        <v>77.239999999999995</v>
      </c>
      <c r="F72" s="4">
        <v>100.15</v>
      </c>
      <c r="G72" s="4">
        <v>91.83</v>
      </c>
      <c r="H72" s="4">
        <v>73</v>
      </c>
      <c r="I72" s="55"/>
      <c r="J72" s="55"/>
      <c r="K72" s="4" t="s">
        <v>525</v>
      </c>
      <c r="L72" s="13" t="s">
        <v>506</v>
      </c>
      <c r="M72" s="4"/>
    </row>
    <row r="73" spans="1:63">
      <c r="A73" s="4" t="s">
        <v>530</v>
      </c>
      <c r="B73" s="4">
        <v>69.400000000000006</v>
      </c>
      <c r="C73" s="4">
        <v>32.75</v>
      </c>
      <c r="D73" s="4">
        <v>39.29</v>
      </c>
      <c r="E73" s="4">
        <v>60.76</v>
      </c>
      <c r="F73" s="4">
        <v>56.09</v>
      </c>
      <c r="G73" s="4">
        <v>46.66</v>
      </c>
      <c r="H73" s="4">
        <v>34.75</v>
      </c>
      <c r="I73" s="55"/>
      <c r="J73" s="55"/>
      <c r="K73" s="4" t="s">
        <v>525</v>
      </c>
      <c r="L73" s="13" t="s">
        <v>506</v>
      </c>
      <c r="M73" s="4"/>
    </row>
    <row r="74" spans="1:63">
      <c r="A74" s="4" t="s">
        <v>531</v>
      </c>
      <c r="B74" s="4">
        <v>40.85</v>
      </c>
      <c r="C74" s="4">
        <v>26.72</v>
      </c>
      <c r="D74" s="4">
        <v>31.99</v>
      </c>
      <c r="E74" s="4">
        <v>51.52</v>
      </c>
      <c r="F74" s="4">
        <v>48.11</v>
      </c>
      <c r="G74" s="4">
        <v>39.64</v>
      </c>
      <c r="H74" s="4">
        <v>43.24</v>
      </c>
      <c r="I74" s="55"/>
      <c r="J74" s="55"/>
      <c r="K74" s="4" t="s">
        <v>525</v>
      </c>
      <c r="L74" s="13" t="s">
        <v>506</v>
      </c>
      <c r="M74" s="4"/>
    </row>
    <row r="75" spans="1:63">
      <c r="A75" s="4" t="s">
        <v>532</v>
      </c>
      <c r="B75" s="4">
        <v>41.68</v>
      </c>
      <c r="C75" s="4">
        <v>25.47</v>
      </c>
      <c r="D75" s="4">
        <v>32.26</v>
      </c>
      <c r="E75" s="4">
        <v>51.34</v>
      </c>
      <c r="F75" s="4">
        <v>50.33</v>
      </c>
      <c r="G75" s="4">
        <v>43.24</v>
      </c>
      <c r="H75" s="4">
        <v>34</v>
      </c>
      <c r="I75" s="55"/>
      <c r="J75" s="55"/>
      <c r="K75" s="4" t="s">
        <v>525</v>
      </c>
      <c r="L75" s="35" t="s">
        <v>506</v>
      </c>
      <c r="M75" s="15"/>
    </row>
    <row r="76" spans="1:63" s="344" customFormat="1">
      <c r="A76" s="345"/>
      <c r="B76" s="345"/>
      <c r="C76" s="345"/>
      <c r="D76" s="345"/>
      <c r="E76" s="345"/>
      <c r="F76" s="345"/>
      <c r="G76" s="345"/>
      <c r="H76" s="345"/>
      <c r="I76" s="345"/>
      <c r="J76" s="345"/>
      <c r="K76" s="347"/>
      <c r="L76" s="348"/>
      <c r="M76" s="25"/>
      <c r="N76" s="25"/>
    </row>
    <row r="77" spans="1:63">
      <c r="A77" s="346" t="s">
        <v>462</v>
      </c>
      <c r="B77" s="15"/>
      <c r="C77" s="15"/>
      <c r="D77" s="15"/>
      <c r="E77" s="15"/>
      <c r="F77" s="15"/>
      <c r="G77" s="15"/>
      <c r="H77" s="15"/>
      <c r="I77" s="15"/>
      <c r="J77" s="15"/>
      <c r="K77" s="271"/>
      <c r="L77" s="4"/>
      <c r="M77" s="4"/>
      <c r="N77" s="4"/>
    </row>
    <row r="78" spans="1:63" s="335" customFormat="1">
      <c r="A78" s="4" t="s">
        <v>533</v>
      </c>
      <c r="B78" s="55"/>
      <c r="C78" s="55"/>
      <c r="D78" s="55"/>
      <c r="E78" s="55"/>
      <c r="F78" s="4">
        <f>(F42*F68)/100</f>
        <v>2529.6060000000002</v>
      </c>
      <c r="G78" s="4">
        <f>(G42*G68)/100</f>
        <v>1898.9721000000002</v>
      </c>
      <c r="H78" s="4">
        <f>(H42*H68)/100</f>
        <v>1846</v>
      </c>
      <c r="I78" s="55"/>
      <c r="J78" s="55"/>
      <c r="K78" s="16" t="s">
        <v>534</v>
      </c>
      <c r="L78" s="4"/>
      <c r="M78" s="4"/>
      <c r="N78" s="4"/>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row>
    <row r="79" spans="1:63">
      <c r="A79" s="4" t="s">
        <v>535</v>
      </c>
      <c r="B79" s="179"/>
      <c r="C79" s="179"/>
      <c r="D79" s="179"/>
      <c r="E79" s="179"/>
      <c r="F79" s="179"/>
      <c r="G79" s="179"/>
      <c r="H79" s="179"/>
      <c r="I79" s="179"/>
      <c r="J79" s="179"/>
      <c r="K79" s="16"/>
      <c r="L79" s="4"/>
      <c r="M79" s="4"/>
      <c r="N79" s="4"/>
    </row>
    <row r="80" spans="1:63">
      <c r="A80" s="4" t="s">
        <v>536</v>
      </c>
      <c r="B80" s="179"/>
      <c r="C80" s="179"/>
      <c r="D80" s="179"/>
      <c r="E80" s="179"/>
      <c r="F80" s="179"/>
      <c r="G80" s="179"/>
      <c r="H80" s="179"/>
      <c r="I80" s="179"/>
      <c r="J80" s="179"/>
      <c r="K80" s="16"/>
      <c r="L80" s="4"/>
      <c r="M80" s="4"/>
      <c r="N80" s="4"/>
    </row>
    <row r="81" spans="1:64">
      <c r="A81" s="4" t="s">
        <v>537</v>
      </c>
      <c r="B81" s="179"/>
      <c r="C81" s="179"/>
      <c r="D81" s="179"/>
      <c r="E81" s="179"/>
      <c r="F81" s="179"/>
      <c r="G81" s="179"/>
      <c r="H81" s="179"/>
      <c r="I81" s="179"/>
      <c r="J81" s="179"/>
      <c r="K81" s="16"/>
      <c r="L81" s="4"/>
      <c r="M81" s="4"/>
      <c r="N81" s="4"/>
    </row>
    <row r="82" spans="1:64">
      <c r="A82" s="4" t="s">
        <v>538</v>
      </c>
      <c r="B82" s="179"/>
      <c r="C82" s="179"/>
      <c r="D82" s="179"/>
      <c r="E82" s="179"/>
      <c r="F82" s="179"/>
      <c r="G82" s="179"/>
      <c r="H82" s="179"/>
      <c r="I82" s="179"/>
      <c r="J82" s="179"/>
      <c r="K82" s="16"/>
      <c r="L82" s="4"/>
      <c r="M82" s="4"/>
      <c r="N82" s="4"/>
    </row>
    <row r="83" spans="1:64" s="336" customFormat="1">
      <c r="A83" s="4" t="s">
        <v>539</v>
      </c>
      <c r="B83" s="179"/>
      <c r="C83" s="179"/>
      <c r="D83" s="179"/>
      <c r="E83" s="179"/>
      <c r="F83" s="179"/>
      <c r="G83" s="179"/>
      <c r="H83" s="179"/>
      <c r="I83" s="179"/>
      <c r="J83" s="179"/>
      <c r="K83" s="16"/>
      <c r="L83" s="4"/>
      <c r="M83" s="4"/>
      <c r="N83" s="4"/>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337"/>
    </row>
    <row r="84" spans="1:64">
      <c r="A84" s="4"/>
      <c r="B84" s="4"/>
      <c r="C84" s="4"/>
      <c r="D84" s="4"/>
      <c r="E84" s="4"/>
      <c r="F84" s="4"/>
      <c r="G84" s="4"/>
      <c r="H84" s="4"/>
      <c r="I84" s="4"/>
      <c r="J84" s="4"/>
      <c r="K84" s="16"/>
      <c r="L84" s="4"/>
      <c r="M84" s="4"/>
      <c r="N84" s="4"/>
    </row>
    <row r="85" spans="1:64">
      <c r="A85" s="4"/>
      <c r="B85" s="4"/>
      <c r="C85" s="4"/>
      <c r="D85" s="4"/>
      <c r="E85" s="4"/>
      <c r="F85" s="4"/>
      <c r="G85" s="4"/>
      <c r="H85" s="4"/>
      <c r="I85" s="4"/>
      <c r="J85" s="4"/>
      <c r="K85" s="16"/>
      <c r="L85" s="4"/>
      <c r="M85" s="4"/>
      <c r="N85" s="4"/>
    </row>
    <row r="86" spans="1:64">
      <c r="A86" s="4"/>
      <c r="B86" s="4"/>
      <c r="C86" s="4"/>
      <c r="D86" s="4"/>
      <c r="E86" s="4"/>
      <c r="F86" s="4"/>
      <c r="G86" s="4"/>
      <c r="H86" s="4"/>
      <c r="I86" s="4"/>
      <c r="J86" s="4"/>
      <c r="K86" s="16"/>
      <c r="L86" s="4"/>
      <c r="M86" s="4"/>
      <c r="N86" s="4"/>
    </row>
    <row r="87" spans="1:64">
      <c r="A87" s="4"/>
      <c r="B87" s="4"/>
      <c r="C87" s="4"/>
      <c r="D87" s="4"/>
      <c r="E87" s="4"/>
      <c r="F87" s="4"/>
      <c r="G87" s="4"/>
      <c r="H87" s="4"/>
      <c r="I87" s="4"/>
      <c r="J87" s="4"/>
      <c r="K87" s="16"/>
      <c r="L87" s="4"/>
      <c r="M87" s="4"/>
      <c r="N87" s="4"/>
    </row>
    <row r="88" spans="1:64">
      <c r="A88" s="4"/>
      <c r="B88" s="4"/>
      <c r="C88" s="4"/>
      <c r="D88" s="4"/>
      <c r="E88" s="4"/>
      <c r="F88" s="4"/>
      <c r="G88" s="4"/>
      <c r="H88" s="4"/>
      <c r="I88" s="4"/>
      <c r="J88" s="4"/>
      <c r="K88" s="16"/>
      <c r="L88" s="4"/>
      <c r="M88" s="4"/>
      <c r="N88" s="4"/>
    </row>
    <row r="89" spans="1:64">
      <c r="A89" s="4"/>
      <c r="B89" s="4"/>
      <c r="C89" s="4"/>
      <c r="D89" s="4"/>
      <c r="E89" s="4"/>
      <c r="F89" s="4"/>
      <c r="G89" s="4"/>
      <c r="H89" s="4"/>
      <c r="I89" s="4"/>
      <c r="J89" s="4"/>
      <c r="K89" s="16"/>
      <c r="L89" s="4"/>
      <c r="M89" s="4"/>
      <c r="N89" s="4"/>
    </row>
  </sheetData>
  <mergeCells count="1">
    <mergeCell ref="A2:A3"/>
  </mergeCells>
  <hyperlinks>
    <hyperlink ref="L17" r:id="rId1" xr:uid="{00000000-0004-0000-0A00-000000000000}"/>
    <hyperlink ref="N17" r:id="rId2" location="/app/downloads" xr:uid="{00000000-0004-0000-0A00-000001000000}"/>
    <hyperlink ref="L18" r:id="rId3" location="/app/downloads" xr:uid="{00000000-0004-0000-0A00-000002000000}"/>
    <hyperlink ref="L16" r:id="rId4" xr:uid="{00000000-0004-0000-0A00-000003000000}"/>
    <hyperlink ref="L68" r:id="rId5" xr:uid="{00000000-0004-0000-0A00-000004000000}"/>
    <hyperlink ref="L69" r:id="rId6" xr:uid="{00000000-0004-0000-0A00-000005000000}"/>
    <hyperlink ref="L70" r:id="rId7" xr:uid="{00000000-0004-0000-0A00-000006000000}"/>
    <hyperlink ref="L71" r:id="rId8" xr:uid="{00000000-0004-0000-0A00-000007000000}"/>
    <hyperlink ref="L72" r:id="rId9" xr:uid="{00000000-0004-0000-0A00-000008000000}"/>
    <hyperlink ref="L73" r:id="rId10" xr:uid="{00000000-0004-0000-0A00-000009000000}"/>
    <hyperlink ref="L74" r:id="rId11" xr:uid="{00000000-0004-0000-0A00-00000A000000}"/>
    <hyperlink ref="L75" r:id="rId12" xr:uid="{00000000-0004-0000-0A00-00000B000000}"/>
    <hyperlink ref="L42" r:id="rId13" xr:uid="{00000000-0004-0000-0A00-00000C000000}"/>
    <hyperlink ref="L21" r:id="rId14" xr:uid="{00000000-0004-0000-0A00-00000D000000}"/>
    <hyperlink ref="L22" r:id="rId15" xr:uid="{00000000-0004-0000-0A00-00000E000000}"/>
    <hyperlink ref="L23" r:id="rId16" xr:uid="{00000000-0004-0000-0A00-00000F000000}"/>
    <hyperlink ref="L24" r:id="rId17" xr:uid="{00000000-0004-0000-0A00-000010000000}"/>
    <hyperlink ref="L25" r:id="rId18" xr:uid="{00000000-0004-0000-0A00-000011000000}"/>
    <hyperlink ref="L26" r:id="rId19" location="/app/downloads" xr:uid="{00000000-0004-0000-0A00-000012000000}"/>
    <hyperlink ref="L27" r:id="rId20" xr:uid="{00000000-0004-0000-0A00-000013000000}"/>
    <hyperlink ref="L6" r:id="rId21" xr:uid="{00000000-0004-0000-0A00-000014000000}"/>
    <hyperlink ref="L7" r:id="rId22" xr:uid="{00000000-0004-0000-0A00-000015000000}"/>
    <hyperlink ref="L8" r:id="rId23" xr:uid="{00000000-0004-0000-0A00-000016000000}"/>
    <hyperlink ref="L9" r:id="rId24" xr:uid="{00000000-0004-0000-0A00-000017000000}"/>
    <hyperlink ref="L11" r:id="rId25" xr:uid="{00000000-0004-0000-0A00-000018000000}"/>
    <hyperlink ref="N11" r:id="rId26" location="/app/downloads" xr:uid="{00000000-0004-0000-0A00-000019000000}"/>
    <hyperlink ref="L10" r:id="rId27" xr:uid="{00000000-0004-0000-0A00-00001A000000}"/>
    <hyperlink ref="L32" r:id="rId28" xr:uid="{00000000-0004-0000-0A00-00001B000000}"/>
    <hyperlink ref="L33" r:id="rId29" xr:uid="{00000000-0004-0000-0A00-00001C000000}"/>
    <hyperlink ref="L34" r:id="rId30" xr:uid="{00000000-0004-0000-0A00-00001D000000}"/>
    <hyperlink ref="L35" r:id="rId31" xr:uid="{00000000-0004-0000-0A00-00001E000000}"/>
    <hyperlink ref="L36" r:id="rId32" xr:uid="{00000000-0004-0000-0A00-00001F000000}"/>
    <hyperlink ref="L31" r:id="rId33" xr:uid="{00000000-0004-0000-0A00-000020000000}"/>
  </hyperlinks>
  <pageMargins left="0.7" right="0.7" top="0.75" bottom="0.75" header="0.3" footer="0.3"/>
  <drawing r:id="rId3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499984740745262"/>
  </sheetPr>
  <dimension ref="A1:O59"/>
  <sheetViews>
    <sheetView topLeftCell="A7" zoomScale="85" zoomScaleNormal="85" workbookViewId="0">
      <selection activeCell="M34" sqref="M34"/>
    </sheetView>
  </sheetViews>
  <sheetFormatPr defaultColWidth="8.85546875" defaultRowHeight="15"/>
  <cols>
    <col min="1" max="1" width="56.42578125" customWidth="1"/>
  </cols>
  <sheetData>
    <row r="1" spans="1:15">
      <c r="A1" s="311"/>
      <c r="B1" s="311"/>
      <c r="C1" s="311"/>
      <c r="D1" s="311"/>
      <c r="E1" s="311"/>
      <c r="F1" s="311"/>
      <c r="G1" s="311"/>
      <c r="H1" s="311"/>
      <c r="I1" s="311"/>
      <c r="J1" s="311"/>
      <c r="K1" s="311"/>
      <c r="L1" s="311"/>
      <c r="M1" s="311"/>
      <c r="N1" s="6"/>
    </row>
    <row r="2" spans="1:15">
      <c r="A2" s="469" t="s">
        <v>540</v>
      </c>
      <c r="B2" s="4"/>
      <c r="C2" s="4"/>
      <c r="D2" s="4"/>
      <c r="E2" s="4"/>
      <c r="F2" s="4"/>
      <c r="G2" s="4"/>
      <c r="H2" s="4"/>
      <c r="I2" s="4"/>
      <c r="J2" s="4"/>
      <c r="K2" s="4"/>
      <c r="L2" s="4"/>
      <c r="M2" s="4"/>
    </row>
    <row r="3" spans="1:15">
      <c r="A3" s="469"/>
      <c r="B3" s="4"/>
      <c r="C3" s="4"/>
      <c r="D3" s="4"/>
      <c r="E3" s="4"/>
      <c r="F3" s="4"/>
      <c r="G3" s="4"/>
      <c r="H3" s="4"/>
      <c r="I3" s="4"/>
      <c r="J3" s="4"/>
      <c r="K3" s="4"/>
      <c r="L3" s="4"/>
      <c r="M3" s="4"/>
    </row>
    <row r="4" spans="1:15" s="340" customFormat="1">
      <c r="A4" s="338" t="s">
        <v>420</v>
      </c>
      <c r="B4" s="338">
        <v>2008</v>
      </c>
      <c r="C4" s="338">
        <v>2009</v>
      </c>
      <c r="D4" s="338">
        <v>2010</v>
      </c>
      <c r="E4" s="338">
        <v>2011</v>
      </c>
      <c r="F4" s="338">
        <v>2012</v>
      </c>
      <c r="G4" s="338">
        <v>2013</v>
      </c>
      <c r="H4" s="338">
        <v>2014</v>
      </c>
      <c r="I4" s="338">
        <v>2015</v>
      </c>
      <c r="J4" s="338">
        <v>2016</v>
      </c>
      <c r="K4" s="338" t="s">
        <v>102</v>
      </c>
      <c r="L4" s="338" t="s">
        <v>103</v>
      </c>
      <c r="M4" s="338" t="s">
        <v>104</v>
      </c>
      <c r="N4" s="339" t="s">
        <v>105</v>
      </c>
      <c r="O4" s="350" t="s">
        <v>333</v>
      </c>
    </row>
    <row r="5" spans="1:15" ht="15" customHeight="1">
      <c r="A5" s="362" t="s">
        <v>421</v>
      </c>
      <c r="B5" s="4"/>
      <c r="C5" s="4"/>
      <c r="D5" s="4"/>
      <c r="E5" s="4"/>
      <c r="F5" s="4"/>
      <c r="G5" s="4"/>
      <c r="H5" s="4"/>
      <c r="I5" s="4"/>
      <c r="J5" s="4"/>
      <c r="K5" s="4"/>
      <c r="L5" s="4"/>
      <c r="M5" s="4"/>
    </row>
    <row r="6" spans="1:15">
      <c r="A6" s="4" t="s">
        <v>422</v>
      </c>
      <c r="B6" s="17">
        <v>85.98</v>
      </c>
      <c r="C6" s="4">
        <v>86.38</v>
      </c>
      <c r="D6" s="4">
        <v>88.19</v>
      </c>
      <c r="E6" s="4">
        <v>91.93</v>
      </c>
      <c r="F6" s="4">
        <v>97.29</v>
      </c>
      <c r="G6" s="4">
        <v>95.36</v>
      </c>
      <c r="H6" s="4">
        <v>90.59</v>
      </c>
      <c r="I6" s="4">
        <v>88.02</v>
      </c>
      <c r="J6" s="4">
        <v>94</v>
      </c>
      <c r="K6" s="4" t="s">
        <v>335</v>
      </c>
      <c r="L6" s="13" t="s">
        <v>423</v>
      </c>
      <c r="M6" s="4" t="s">
        <v>424</v>
      </c>
      <c r="N6" s="13" t="s">
        <v>356</v>
      </c>
      <c r="O6" t="s">
        <v>425</v>
      </c>
    </row>
    <row r="7" spans="1:15" ht="15" customHeight="1">
      <c r="A7" s="4" t="s">
        <v>541</v>
      </c>
      <c r="B7" s="396"/>
      <c r="C7" s="396"/>
      <c r="D7" s="396"/>
      <c r="E7" s="396"/>
      <c r="F7" s="396"/>
      <c r="G7" s="396"/>
      <c r="H7" s="396"/>
      <c r="I7" s="396"/>
      <c r="J7" s="396"/>
      <c r="K7" s="4"/>
      <c r="L7" s="4"/>
      <c r="M7" s="4"/>
    </row>
    <row r="8" spans="1:15" ht="15" customHeight="1">
      <c r="A8" s="4" t="s">
        <v>542</v>
      </c>
      <c r="B8" s="396"/>
      <c r="C8" s="396"/>
      <c r="D8" s="396"/>
      <c r="E8" s="396"/>
      <c r="F8" s="396"/>
      <c r="G8" s="396"/>
      <c r="H8" s="396"/>
      <c r="I8" s="396"/>
      <c r="J8" s="396"/>
      <c r="K8" s="4"/>
      <c r="L8" s="4"/>
      <c r="M8" s="4"/>
    </row>
    <row r="9" spans="1:15" ht="15" customHeight="1">
      <c r="A9" s="4" t="s">
        <v>543</v>
      </c>
      <c r="B9" s="396"/>
      <c r="C9" s="396"/>
      <c r="D9" s="396"/>
      <c r="E9" s="396"/>
      <c r="F9" s="396"/>
      <c r="G9" s="396"/>
      <c r="H9" s="396"/>
      <c r="I9" s="396"/>
      <c r="J9" s="396"/>
      <c r="K9" s="4"/>
      <c r="L9" s="4"/>
      <c r="M9" s="4"/>
    </row>
    <row r="10" spans="1:15" ht="15" customHeight="1">
      <c r="A10" s="361"/>
      <c r="B10" s="4"/>
      <c r="C10" s="4"/>
      <c r="D10" s="4"/>
      <c r="E10" s="4"/>
      <c r="F10" s="4"/>
      <c r="G10" s="4"/>
      <c r="H10" s="4"/>
      <c r="I10" s="4"/>
      <c r="J10" s="4"/>
      <c r="K10" s="4"/>
      <c r="L10" s="4"/>
      <c r="M10" s="4"/>
    </row>
    <row r="11" spans="1:15" s="340" customFormat="1">
      <c r="A11" s="338" t="s">
        <v>175</v>
      </c>
      <c r="B11" s="338">
        <v>2008</v>
      </c>
      <c r="C11" s="338">
        <v>2009</v>
      </c>
      <c r="D11" s="338">
        <v>2010</v>
      </c>
      <c r="E11" s="338">
        <v>2011</v>
      </c>
      <c r="F11" s="338">
        <v>2012</v>
      </c>
      <c r="G11" s="338">
        <v>2013</v>
      </c>
      <c r="H11" s="338">
        <v>2014</v>
      </c>
      <c r="I11" s="338">
        <v>2015</v>
      </c>
      <c r="J11" s="338">
        <v>2016</v>
      </c>
      <c r="K11" s="338" t="s">
        <v>102</v>
      </c>
      <c r="L11" s="338" t="s">
        <v>103</v>
      </c>
      <c r="M11" s="338" t="s">
        <v>104</v>
      </c>
      <c r="N11" s="339" t="s">
        <v>105</v>
      </c>
      <c r="O11" s="350" t="s">
        <v>333</v>
      </c>
    </row>
    <row r="12" spans="1:15">
      <c r="A12" s="165" t="s">
        <v>544</v>
      </c>
      <c r="B12" s="3"/>
      <c r="C12" s="3"/>
      <c r="D12" s="3"/>
      <c r="E12" s="3"/>
      <c r="F12" s="3"/>
      <c r="G12" s="3"/>
      <c r="H12" s="3"/>
      <c r="I12" s="3"/>
      <c r="J12" s="3"/>
      <c r="K12" s="3"/>
      <c r="L12" s="3"/>
      <c r="M12" s="3"/>
      <c r="N12" s="112"/>
      <c r="O12" s="1"/>
    </row>
    <row r="13" spans="1:15">
      <c r="A13" s="4" t="s">
        <v>545</v>
      </c>
      <c r="B13" s="175"/>
      <c r="C13" s="175"/>
      <c r="D13" s="175"/>
      <c r="E13" s="139">
        <f>SUM(E14:E16)</f>
        <v>430</v>
      </c>
      <c r="F13" s="153">
        <f>SUM(F14:F16)</f>
        <v>400</v>
      </c>
      <c r="G13" s="175"/>
      <c r="H13" s="175"/>
      <c r="I13" s="55"/>
      <c r="J13" s="55"/>
      <c r="K13" s="4" t="s">
        <v>508</v>
      </c>
      <c r="L13" s="13"/>
      <c r="M13" s="4"/>
      <c r="N13" s="17"/>
    </row>
    <row r="14" spans="1:15" s="315" customFormat="1">
      <c r="A14" s="23" t="s">
        <v>546</v>
      </c>
      <c r="B14" s="316"/>
      <c r="C14" s="316"/>
      <c r="D14" s="316"/>
      <c r="E14" s="143">
        <v>300</v>
      </c>
      <c r="F14" s="143">
        <v>290</v>
      </c>
      <c r="G14" s="316"/>
      <c r="H14" s="316"/>
      <c r="I14" s="316"/>
      <c r="J14" s="316"/>
      <c r="K14" s="4" t="s">
        <v>508</v>
      </c>
      <c r="L14" s="23"/>
      <c r="M14" s="23"/>
    </row>
    <row r="15" spans="1:15" s="315" customFormat="1">
      <c r="A15" s="23" t="s">
        <v>547</v>
      </c>
      <c r="B15" s="316"/>
      <c r="C15" s="316"/>
      <c r="D15" s="316"/>
      <c r="E15" s="143">
        <v>70</v>
      </c>
      <c r="F15" s="143">
        <v>60</v>
      </c>
      <c r="G15" s="316"/>
      <c r="H15" s="316"/>
      <c r="I15" s="316"/>
      <c r="J15" s="316"/>
      <c r="K15" s="4" t="s">
        <v>508</v>
      </c>
      <c r="L15" s="23"/>
      <c r="M15" s="23"/>
    </row>
    <row r="16" spans="1:15" s="315" customFormat="1">
      <c r="A16" s="23" t="s">
        <v>548</v>
      </c>
      <c r="B16" s="316"/>
      <c r="C16" s="316"/>
      <c r="D16" s="316"/>
      <c r="E16" s="143">
        <v>60</v>
      </c>
      <c r="F16" s="143">
        <v>50</v>
      </c>
      <c r="G16" s="316"/>
      <c r="H16" s="316"/>
      <c r="I16" s="316"/>
      <c r="J16" s="316"/>
      <c r="K16" s="4" t="s">
        <v>508</v>
      </c>
      <c r="L16" s="23"/>
      <c r="M16" s="23"/>
    </row>
    <row r="17" spans="1:14" ht="15.75">
      <c r="A17" s="54" t="s">
        <v>391</v>
      </c>
      <c r="B17" s="4">
        <v>43.61</v>
      </c>
      <c r="C17" s="4">
        <v>40.44</v>
      </c>
      <c r="D17" s="4">
        <v>40.44</v>
      </c>
      <c r="E17" s="4">
        <v>40.44</v>
      </c>
      <c r="F17" s="4">
        <v>40.44</v>
      </c>
      <c r="G17" s="4">
        <v>41.88</v>
      </c>
      <c r="H17" s="4">
        <v>41.88</v>
      </c>
      <c r="I17" s="4">
        <v>44.34</v>
      </c>
      <c r="J17" s="55"/>
      <c r="K17" s="4" t="s">
        <v>387</v>
      </c>
      <c r="L17" s="13" t="s">
        <v>388</v>
      </c>
      <c r="M17" s="4"/>
      <c r="N17" s="4"/>
    </row>
    <row r="18" spans="1:14">
      <c r="A18" s="4"/>
      <c r="B18" s="12"/>
      <c r="C18" s="12"/>
      <c r="D18" s="12"/>
      <c r="E18" s="12"/>
      <c r="F18" s="12"/>
      <c r="G18" s="12"/>
      <c r="H18" s="12"/>
      <c r="I18" s="4"/>
      <c r="J18" s="4"/>
      <c r="K18" s="4"/>
      <c r="L18" s="269"/>
      <c r="M18" s="4"/>
    </row>
    <row r="19" spans="1:14">
      <c r="A19" s="221" t="s">
        <v>549</v>
      </c>
      <c r="B19" s="12"/>
      <c r="C19" s="12"/>
      <c r="D19" s="12"/>
      <c r="E19" s="12"/>
      <c r="F19" s="12"/>
      <c r="G19" s="12"/>
      <c r="H19" s="12"/>
      <c r="I19" s="4"/>
      <c r="J19" s="4"/>
      <c r="K19" s="4"/>
      <c r="L19" s="13"/>
      <c r="M19" s="4"/>
    </row>
    <row r="20" spans="1:14">
      <c r="A20" s="4" t="s">
        <v>550</v>
      </c>
      <c r="B20" s="164">
        <v>12045</v>
      </c>
      <c r="C20" s="12">
        <v>13067</v>
      </c>
      <c r="D20" s="12">
        <v>12425</v>
      </c>
      <c r="E20" s="12">
        <v>12313</v>
      </c>
      <c r="F20" s="12">
        <v>10755</v>
      </c>
      <c r="G20" s="12">
        <v>13828</v>
      </c>
      <c r="H20" s="12">
        <v>14215</v>
      </c>
      <c r="I20" s="12">
        <v>13601</v>
      </c>
      <c r="J20" s="12">
        <v>15148</v>
      </c>
      <c r="K20" t="s">
        <v>335</v>
      </c>
      <c r="L20" s="38" t="s">
        <v>356</v>
      </c>
      <c r="M20" s="4" t="s">
        <v>357</v>
      </c>
      <c r="N20" s="13" t="s">
        <v>358</v>
      </c>
    </row>
    <row r="21" spans="1:14">
      <c r="A21" s="4" t="s">
        <v>431</v>
      </c>
      <c r="B21" s="4">
        <v>239</v>
      </c>
      <c r="C21" s="4">
        <v>226</v>
      </c>
      <c r="D21" s="4">
        <v>180</v>
      </c>
      <c r="E21" s="4">
        <v>154</v>
      </c>
      <c r="F21" s="4">
        <v>218</v>
      </c>
      <c r="G21" s="4">
        <v>216</v>
      </c>
      <c r="H21" s="4">
        <v>181</v>
      </c>
      <c r="I21" s="4">
        <v>218</v>
      </c>
      <c r="J21" s="4">
        <v>199</v>
      </c>
      <c r="K21" t="s">
        <v>335</v>
      </c>
      <c r="L21" s="4"/>
      <c r="M21" s="4"/>
      <c r="N21" s="4"/>
    </row>
    <row r="22" spans="1:14">
      <c r="A22" s="4" t="s">
        <v>432</v>
      </c>
      <c r="B22" s="4">
        <v>475</v>
      </c>
      <c r="C22" s="4">
        <v>381</v>
      </c>
      <c r="D22" s="4">
        <v>345</v>
      </c>
      <c r="E22" s="4">
        <v>212</v>
      </c>
      <c r="F22" s="4">
        <v>247</v>
      </c>
      <c r="G22" s="4">
        <v>392</v>
      </c>
      <c r="H22" s="4">
        <v>432</v>
      </c>
      <c r="I22" s="4">
        <v>596</v>
      </c>
      <c r="J22" s="4">
        <v>480</v>
      </c>
      <c r="K22" t="s">
        <v>335</v>
      </c>
      <c r="L22" s="4"/>
      <c r="M22" s="4"/>
      <c r="N22" s="4"/>
    </row>
    <row r="23" spans="1:14">
      <c r="A23" s="4" t="s">
        <v>433</v>
      </c>
      <c r="B23" s="12">
        <v>2511</v>
      </c>
      <c r="C23" s="12">
        <v>2208</v>
      </c>
      <c r="D23" s="12">
        <v>2163</v>
      </c>
      <c r="E23" s="12">
        <v>1993</v>
      </c>
      <c r="F23" s="12">
        <v>2252</v>
      </c>
      <c r="G23" s="12">
        <v>2134</v>
      </c>
      <c r="H23" s="12">
        <v>2026</v>
      </c>
      <c r="I23" s="12">
        <v>2061</v>
      </c>
      <c r="J23" s="12">
        <v>2309</v>
      </c>
      <c r="K23" t="s">
        <v>335</v>
      </c>
      <c r="L23" s="4"/>
      <c r="M23" s="4"/>
      <c r="N23" s="4"/>
    </row>
    <row r="24" spans="1:14">
      <c r="A24" s="4"/>
      <c r="B24" s="12"/>
      <c r="C24" s="12"/>
      <c r="D24" s="12"/>
      <c r="E24" s="12"/>
      <c r="F24" s="12"/>
      <c r="G24" s="12"/>
      <c r="H24" s="12"/>
      <c r="I24" s="41"/>
      <c r="J24" s="41"/>
      <c r="L24" s="360"/>
      <c r="M24" s="4"/>
    </row>
    <row r="25" spans="1:14">
      <c r="A25" s="311"/>
      <c r="B25" s="311"/>
      <c r="C25" s="311"/>
      <c r="D25" s="311"/>
      <c r="E25" s="311"/>
      <c r="F25" s="311"/>
      <c r="G25" s="311"/>
      <c r="H25" s="311"/>
      <c r="I25" s="311"/>
      <c r="J25" s="311"/>
      <c r="K25" s="311"/>
      <c r="L25" s="311"/>
      <c r="M25" s="311"/>
      <c r="N25" s="6"/>
    </row>
    <row r="26" spans="1:14" s="340" customFormat="1">
      <c r="A26" s="338" t="s">
        <v>502</v>
      </c>
      <c r="B26" s="338">
        <v>2008</v>
      </c>
      <c r="C26" s="338">
        <v>2009</v>
      </c>
      <c r="D26" s="338">
        <v>2010</v>
      </c>
      <c r="E26" s="338">
        <v>2011</v>
      </c>
      <c r="F26" s="338">
        <v>2012</v>
      </c>
      <c r="G26" s="338">
        <v>2013</v>
      </c>
      <c r="H26" s="338">
        <v>2014</v>
      </c>
      <c r="I26" s="338">
        <v>2015</v>
      </c>
      <c r="J26" s="338">
        <v>2016</v>
      </c>
      <c r="K26" s="338" t="s">
        <v>102</v>
      </c>
      <c r="L26" s="338" t="s">
        <v>103</v>
      </c>
      <c r="M26" s="338" t="s">
        <v>104</v>
      </c>
      <c r="N26" s="339" t="s">
        <v>105</v>
      </c>
    </row>
    <row r="27" spans="1:14">
      <c r="A27" s="3"/>
      <c r="B27" s="3"/>
      <c r="C27" s="3"/>
      <c r="D27" s="3"/>
      <c r="E27" s="3"/>
      <c r="F27" s="3"/>
      <c r="G27" s="3"/>
      <c r="H27" s="3"/>
      <c r="I27" s="3"/>
      <c r="J27" s="3"/>
      <c r="K27" s="3"/>
      <c r="L27" s="3"/>
      <c r="M27" s="3"/>
      <c r="N27" s="51"/>
    </row>
    <row r="28" spans="1:14">
      <c r="A28" s="165" t="s">
        <v>551</v>
      </c>
      <c r="B28" s="3"/>
      <c r="C28" s="3"/>
      <c r="D28" s="3"/>
      <c r="E28" s="3"/>
      <c r="F28" s="3"/>
      <c r="G28" s="3"/>
      <c r="H28" s="3"/>
      <c r="I28" s="3"/>
      <c r="J28" s="3"/>
      <c r="K28" s="3"/>
      <c r="L28" s="3"/>
      <c r="M28" s="3"/>
      <c r="N28" s="51"/>
    </row>
    <row r="29" spans="1:14">
      <c r="A29" s="23" t="s">
        <v>552</v>
      </c>
      <c r="B29" s="3"/>
      <c r="C29" s="3"/>
      <c r="D29" s="3"/>
      <c r="E29" s="3"/>
      <c r="F29" s="3"/>
      <c r="G29" s="3"/>
      <c r="H29" s="3"/>
      <c r="I29" s="3"/>
      <c r="J29" s="3"/>
      <c r="K29" s="3"/>
      <c r="L29" s="3"/>
      <c r="M29" s="3"/>
      <c r="N29" s="51"/>
    </row>
    <row r="30" spans="1:14">
      <c r="A30" s="23" t="s">
        <v>553</v>
      </c>
      <c r="B30" s="368"/>
      <c r="C30" s="368"/>
      <c r="D30" s="368"/>
      <c r="E30" s="368"/>
      <c r="F30" s="368"/>
      <c r="G30" s="368"/>
      <c r="H30" s="368"/>
      <c r="I30" s="368"/>
      <c r="J30" s="368"/>
      <c r="K30" s="3"/>
      <c r="L30" s="3"/>
      <c r="M30" s="3"/>
      <c r="N30" s="51"/>
    </row>
    <row r="31" spans="1:14">
      <c r="A31" s="23" t="s">
        <v>554</v>
      </c>
      <c r="B31" s="368"/>
      <c r="C31" s="368"/>
      <c r="D31" s="368"/>
      <c r="E31" s="368"/>
      <c r="F31" s="368"/>
      <c r="G31" s="368"/>
      <c r="H31" s="368"/>
      <c r="I31" s="368"/>
      <c r="J31" s="368"/>
      <c r="K31" s="3"/>
      <c r="L31" s="3"/>
      <c r="M31" s="3"/>
      <c r="N31" s="51"/>
    </row>
    <row r="32" spans="1:14">
      <c r="A32" s="23" t="s">
        <v>555</v>
      </c>
      <c r="B32" s="368"/>
      <c r="C32" s="368"/>
      <c r="D32" s="368"/>
      <c r="E32" s="368"/>
      <c r="F32" s="368"/>
      <c r="G32" s="368"/>
      <c r="H32" s="368"/>
      <c r="I32" s="368"/>
      <c r="J32" s="368"/>
      <c r="K32" s="3"/>
      <c r="L32" s="3"/>
      <c r="M32" s="3"/>
      <c r="N32" s="51"/>
    </row>
    <row r="33" spans="1:15">
      <c r="A33" s="3"/>
      <c r="B33" s="3"/>
      <c r="C33" s="3"/>
      <c r="D33" s="3"/>
      <c r="E33" s="3"/>
      <c r="F33" s="3"/>
      <c r="G33" s="3"/>
      <c r="H33" s="3"/>
      <c r="I33" s="3"/>
      <c r="J33" s="3"/>
      <c r="K33" s="3"/>
      <c r="L33" s="3"/>
      <c r="M33" s="3"/>
      <c r="N33" s="51"/>
    </row>
    <row r="34" spans="1:15">
      <c r="A34" s="367" t="s">
        <v>556</v>
      </c>
      <c r="B34" s="3"/>
      <c r="C34" s="3"/>
      <c r="D34" s="3"/>
      <c r="E34" s="3"/>
      <c r="F34" s="3"/>
      <c r="G34" s="3"/>
      <c r="H34" s="3"/>
      <c r="I34" s="3"/>
      <c r="J34" s="3"/>
      <c r="K34" s="3"/>
      <c r="L34" s="3"/>
      <c r="M34" s="3"/>
      <c r="N34" s="51"/>
    </row>
    <row r="35" spans="1:15">
      <c r="A35" s="4" t="s">
        <v>557</v>
      </c>
      <c r="B35" s="374"/>
      <c r="C35" s="368"/>
      <c r="D35" s="368"/>
      <c r="E35" s="368"/>
      <c r="F35" s="368"/>
      <c r="G35" s="368"/>
      <c r="H35" s="368"/>
      <c r="I35" s="368"/>
      <c r="J35" s="368"/>
      <c r="K35" s="3"/>
      <c r="L35" s="3"/>
      <c r="M35" s="3"/>
      <c r="N35" s="51"/>
    </row>
    <row r="36" spans="1:15">
      <c r="A36" s="4" t="s">
        <v>558</v>
      </c>
      <c r="B36" s="368"/>
      <c r="C36" s="368"/>
      <c r="D36" s="368"/>
      <c r="E36" s="368"/>
      <c r="F36" s="368"/>
      <c r="G36" s="368"/>
      <c r="H36" s="368"/>
      <c r="I36" s="368"/>
      <c r="J36" s="368"/>
      <c r="K36" s="3"/>
      <c r="L36" s="3"/>
      <c r="M36" s="3"/>
      <c r="N36" s="51"/>
    </row>
    <row r="37" spans="1:15">
      <c r="A37" s="4" t="s">
        <v>559</v>
      </c>
      <c r="B37" s="368"/>
      <c r="C37" s="368"/>
      <c r="D37" s="368"/>
      <c r="E37" s="368"/>
      <c r="F37" s="368"/>
      <c r="G37" s="368"/>
      <c r="H37" s="368"/>
      <c r="I37" s="368"/>
      <c r="J37" s="368"/>
      <c r="K37" s="3"/>
      <c r="L37" s="3"/>
      <c r="M37" s="3"/>
      <c r="N37" s="51"/>
    </row>
    <row r="38" spans="1:15">
      <c r="A38" s="4" t="s">
        <v>560</v>
      </c>
      <c r="B38" s="368"/>
      <c r="C38" s="368"/>
      <c r="D38" s="368"/>
      <c r="E38" s="368"/>
      <c r="F38" s="368"/>
      <c r="G38" s="368"/>
      <c r="H38" s="368"/>
      <c r="I38" s="368"/>
      <c r="J38" s="368"/>
      <c r="K38" s="3"/>
      <c r="L38" s="3"/>
      <c r="M38" s="3"/>
      <c r="N38" s="51"/>
    </row>
    <row r="39" spans="1:15" s="315" customFormat="1">
      <c r="A39" s="23"/>
      <c r="B39" s="23"/>
      <c r="C39" s="23"/>
      <c r="D39" s="23"/>
      <c r="E39" s="23"/>
      <c r="F39" s="23"/>
      <c r="G39" s="23"/>
      <c r="H39" s="23"/>
      <c r="I39" s="23"/>
      <c r="J39" s="23"/>
      <c r="K39" s="23"/>
      <c r="L39" s="23"/>
      <c r="M39" s="23"/>
    </row>
    <row r="40" spans="1:15">
      <c r="A40" s="311"/>
      <c r="B40" s="311"/>
      <c r="C40" s="311"/>
      <c r="D40" s="311"/>
      <c r="E40" s="311"/>
      <c r="F40" s="311"/>
      <c r="G40" s="311"/>
      <c r="H40" s="311"/>
      <c r="I40" s="311"/>
      <c r="J40" s="311"/>
      <c r="K40" s="311"/>
      <c r="L40" s="311"/>
      <c r="M40" s="311"/>
      <c r="N40" s="6"/>
    </row>
    <row r="41" spans="1:15" s="340" customFormat="1" ht="15" customHeight="1">
      <c r="A41" s="358" t="s">
        <v>125</v>
      </c>
      <c r="B41" s="358">
        <v>2008</v>
      </c>
      <c r="C41" s="358">
        <v>2009</v>
      </c>
      <c r="D41" s="358">
        <v>2010</v>
      </c>
      <c r="E41" s="358">
        <v>2011</v>
      </c>
      <c r="F41" s="358">
        <v>2012</v>
      </c>
      <c r="G41" s="358">
        <v>2013</v>
      </c>
      <c r="H41" s="358">
        <v>2014</v>
      </c>
      <c r="I41" s="358">
        <v>2015</v>
      </c>
      <c r="J41" s="358">
        <v>2016</v>
      </c>
      <c r="K41" s="357" t="s">
        <v>102</v>
      </c>
      <c r="L41" s="357" t="s">
        <v>103</v>
      </c>
      <c r="M41" s="357" t="s">
        <v>104</v>
      </c>
      <c r="N41" s="359" t="s">
        <v>105</v>
      </c>
    </row>
    <row r="42" spans="1:15" ht="15" customHeight="1">
      <c r="A42" s="369"/>
      <c r="B42" s="369"/>
      <c r="C42" s="369"/>
      <c r="D42" s="369"/>
      <c r="E42" s="369"/>
      <c r="F42" s="369"/>
      <c r="G42" s="369"/>
      <c r="H42" s="369"/>
      <c r="I42" s="369"/>
      <c r="J42" s="369"/>
      <c r="K42" s="14"/>
      <c r="L42" s="14"/>
      <c r="M42" s="14"/>
      <c r="N42" s="370"/>
    </row>
    <row r="43" spans="1:15" ht="15" customHeight="1">
      <c r="A43" s="373" t="s">
        <v>456</v>
      </c>
      <c r="B43" s="371"/>
      <c r="C43" s="371"/>
      <c r="D43" s="371"/>
      <c r="E43" s="371"/>
      <c r="F43" s="371"/>
      <c r="G43" s="371"/>
      <c r="H43" s="371"/>
      <c r="I43" s="371"/>
      <c r="J43" s="371"/>
      <c r="K43" s="290"/>
      <c r="L43" s="290"/>
      <c r="M43" s="290"/>
      <c r="N43" s="372"/>
    </row>
    <row r="44" spans="1:15">
      <c r="A44" s="62" t="s">
        <v>457</v>
      </c>
      <c r="B44" s="178"/>
      <c r="C44" s="178"/>
      <c r="D44" s="178"/>
      <c r="E44" s="178"/>
      <c r="F44" s="178"/>
      <c r="G44" s="178"/>
      <c r="H44" s="62">
        <v>3.53</v>
      </c>
      <c r="I44" s="62">
        <v>3.56</v>
      </c>
      <c r="J44" s="62">
        <v>3.45</v>
      </c>
      <c r="K44" s="4" t="s">
        <v>335</v>
      </c>
      <c r="L44" s="13" t="s">
        <v>360</v>
      </c>
      <c r="M44" s="4"/>
      <c r="N44" s="4"/>
      <c r="O44" t="s">
        <v>458</v>
      </c>
    </row>
    <row r="45" spans="1:15" ht="15" customHeight="1">
      <c r="A45" s="320" t="s">
        <v>561</v>
      </c>
      <c r="B45" s="371"/>
      <c r="C45" s="371"/>
      <c r="D45" s="371"/>
      <c r="E45" s="371"/>
      <c r="F45" s="371"/>
      <c r="G45" s="371"/>
      <c r="H45" s="371"/>
      <c r="I45" s="371"/>
      <c r="J45" s="371"/>
      <c r="K45" s="290"/>
      <c r="L45" s="290"/>
      <c r="M45" s="290"/>
      <c r="N45" s="372"/>
    </row>
    <row r="46" spans="1:15" ht="15" customHeight="1">
      <c r="A46" s="320" t="s">
        <v>562</v>
      </c>
      <c r="B46" s="371"/>
      <c r="C46" s="371"/>
      <c r="D46" s="371"/>
      <c r="E46" s="371"/>
      <c r="F46" s="371"/>
      <c r="G46" s="371"/>
      <c r="H46" s="371"/>
      <c r="I46" s="371"/>
      <c r="J46" s="371"/>
      <c r="K46" s="290"/>
      <c r="L46" s="290"/>
      <c r="M46" s="290"/>
      <c r="N46" s="372"/>
    </row>
    <row r="47" spans="1:15" ht="15" customHeight="1">
      <c r="A47" s="320" t="s">
        <v>563</v>
      </c>
      <c r="B47" s="371"/>
      <c r="C47" s="371"/>
      <c r="D47" s="371"/>
      <c r="E47" s="371"/>
      <c r="F47" s="371"/>
      <c r="G47" s="371"/>
      <c r="H47" s="371"/>
      <c r="I47" s="371"/>
      <c r="J47" s="371"/>
      <c r="K47" s="290"/>
      <c r="L47" s="290"/>
      <c r="M47" s="290"/>
      <c r="N47" s="372"/>
    </row>
    <row r="48" spans="1:15" ht="15" customHeight="1">
      <c r="A48" s="320"/>
      <c r="B48" s="371"/>
      <c r="C48" s="371"/>
      <c r="D48" s="371"/>
      <c r="E48" s="371"/>
      <c r="F48" s="371"/>
      <c r="G48" s="371"/>
      <c r="H48" s="371"/>
      <c r="I48" s="371"/>
      <c r="J48" s="371"/>
      <c r="K48" s="290"/>
      <c r="L48" s="290"/>
      <c r="M48" s="290"/>
      <c r="N48" s="372"/>
    </row>
    <row r="49" spans="1:14" ht="15" customHeight="1">
      <c r="A49" s="373" t="s">
        <v>564</v>
      </c>
      <c r="B49" s="369"/>
      <c r="C49" s="369"/>
      <c r="D49" s="369"/>
      <c r="E49" s="369"/>
      <c r="F49" s="369"/>
      <c r="G49" s="369"/>
      <c r="H49" s="369"/>
      <c r="I49" s="369"/>
      <c r="J49" s="369"/>
      <c r="K49" s="14"/>
      <c r="L49" s="14"/>
      <c r="M49" s="14"/>
      <c r="N49" s="370"/>
    </row>
    <row r="50" spans="1:14" ht="15" customHeight="1">
      <c r="A50" s="373"/>
      <c r="B50" s="369"/>
      <c r="C50" s="369"/>
      <c r="D50" s="369"/>
      <c r="E50" s="369"/>
      <c r="F50" s="369"/>
      <c r="G50" s="369"/>
      <c r="H50" s="369"/>
      <c r="I50" s="369"/>
      <c r="J50" s="369"/>
      <c r="K50" s="14"/>
      <c r="L50" s="14"/>
      <c r="M50" s="14"/>
      <c r="N50" s="370"/>
    </row>
    <row r="51" spans="1:14" ht="15" customHeight="1">
      <c r="A51" s="373"/>
      <c r="B51" s="369"/>
      <c r="C51" s="369"/>
      <c r="D51" s="369"/>
      <c r="E51" s="369"/>
      <c r="F51" s="369"/>
      <c r="G51" s="369"/>
      <c r="H51" s="369"/>
      <c r="I51" s="369"/>
      <c r="J51" s="369"/>
      <c r="K51" s="14"/>
      <c r="L51" s="14"/>
      <c r="M51" s="14"/>
      <c r="N51" s="370"/>
    </row>
    <row r="52" spans="1:14" s="315" customFormat="1">
      <c r="A52" s="373" t="s">
        <v>565</v>
      </c>
      <c r="B52" s="320"/>
      <c r="C52" s="320"/>
      <c r="D52" s="320"/>
      <c r="E52" s="320"/>
      <c r="F52" s="320"/>
      <c r="G52" s="320"/>
      <c r="H52" s="320"/>
      <c r="I52" s="320"/>
      <c r="J52" s="320"/>
      <c r="K52" s="138"/>
      <c r="L52" s="138"/>
      <c r="M52" s="138"/>
      <c r="N52" s="321"/>
    </row>
    <row r="53" spans="1:14" s="315" customFormat="1">
      <c r="A53" s="320" t="s">
        <v>566</v>
      </c>
      <c r="B53" s="323"/>
      <c r="C53" s="323"/>
      <c r="D53" s="323"/>
      <c r="E53" s="323"/>
      <c r="F53" s="323"/>
      <c r="G53" s="323"/>
      <c r="H53" s="323"/>
      <c r="I53" s="322">
        <v>900000</v>
      </c>
      <c r="J53" s="323"/>
      <c r="K53" s="138" t="s">
        <v>567</v>
      </c>
      <c r="L53" s="138"/>
      <c r="M53" s="138"/>
      <c r="N53" s="321"/>
    </row>
    <row r="54" spans="1:14" s="315" customFormat="1">
      <c r="A54" s="23"/>
      <c r="B54" s="23"/>
      <c r="C54" s="23"/>
      <c r="D54" s="23"/>
      <c r="E54" s="23"/>
      <c r="F54" s="23"/>
      <c r="G54" s="23"/>
      <c r="H54" s="23"/>
      <c r="I54" s="23"/>
      <c r="J54" s="23"/>
      <c r="K54" s="23"/>
      <c r="L54" s="23"/>
      <c r="M54" s="23"/>
      <c r="N54" s="23"/>
    </row>
    <row r="55" spans="1:14">
      <c r="A55" s="4" t="s">
        <v>568</v>
      </c>
      <c r="B55" s="55"/>
      <c r="C55" s="55"/>
      <c r="D55" s="55"/>
      <c r="E55" s="55"/>
      <c r="F55" s="4">
        <v>150</v>
      </c>
      <c r="G55" s="55"/>
      <c r="H55" s="55"/>
      <c r="I55" s="55"/>
      <c r="J55" s="55"/>
      <c r="K55" s="4" t="s">
        <v>508</v>
      </c>
      <c r="L55" s="4"/>
      <c r="M55" s="4"/>
      <c r="N55" s="4"/>
    </row>
    <row r="56" spans="1:14">
      <c r="A56" s="4" t="s">
        <v>569</v>
      </c>
      <c r="B56" s="55"/>
      <c r="C56" s="55"/>
      <c r="D56" s="55"/>
      <c r="E56" s="55"/>
      <c r="F56" s="4">
        <v>235</v>
      </c>
      <c r="G56" s="55"/>
      <c r="H56" s="55"/>
      <c r="I56" s="55"/>
      <c r="J56" s="55"/>
      <c r="K56" s="4" t="s">
        <v>508</v>
      </c>
      <c r="L56" s="4"/>
      <c r="M56" s="4"/>
      <c r="N56" s="4"/>
    </row>
    <row r="57" spans="1:14">
      <c r="A57" s="4" t="s">
        <v>570</v>
      </c>
      <c r="B57" s="55"/>
      <c r="C57" s="55"/>
      <c r="D57" s="55"/>
      <c r="E57" s="55"/>
      <c r="F57" s="4">
        <v>15</v>
      </c>
      <c r="G57" s="55"/>
      <c r="H57" s="55"/>
      <c r="I57" s="55"/>
      <c r="J57" s="55"/>
      <c r="K57" s="4" t="s">
        <v>508</v>
      </c>
      <c r="L57" s="4"/>
      <c r="M57" s="4"/>
      <c r="N57" s="4"/>
    </row>
    <row r="58" spans="1:14">
      <c r="A58" s="4"/>
      <c r="B58" s="4"/>
      <c r="C58" s="4"/>
      <c r="D58" s="4"/>
      <c r="E58" s="4"/>
      <c r="F58" s="4"/>
      <c r="G58" s="4"/>
      <c r="H58" s="4"/>
      <c r="I58" s="4"/>
      <c r="J58" s="4"/>
      <c r="K58" s="4"/>
      <c r="L58" s="4"/>
      <c r="M58" s="4"/>
      <c r="N58" s="4"/>
    </row>
    <row r="59" spans="1:14">
      <c r="A59" s="4"/>
      <c r="B59" s="4"/>
      <c r="C59" s="4"/>
      <c r="D59" s="4"/>
      <c r="E59" s="4"/>
      <c r="F59" s="4"/>
      <c r="G59" s="4"/>
      <c r="H59" s="4"/>
      <c r="I59" s="4"/>
      <c r="J59" s="4"/>
      <c r="K59" s="4"/>
      <c r="L59" s="4"/>
      <c r="M59" s="4"/>
      <c r="N59" s="4"/>
    </row>
  </sheetData>
  <mergeCells count="1">
    <mergeCell ref="A2:A3"/>
  </mergeCells>
  <hyperlinks>
    <hyperlink ref="L44" r:id="rId1" xr:uid="{00000000-0004-0000-0B00-000000000000}"/>
    <hyperlink ref="L6" r:id="rId2" xr:uid="{00000000-0004-0000-0B00-000001000000}"/>
    <hyperlink ref="N6" r:id="rId3" location="/app/downloads" xr:uid="{00000000-0004-0000-0B00-000002000000}"/>
    <hyperlink ref="L17" r:id="rId4" location="data/FO/visualize" xr:uid="{00000000-0004-0000-0B00-000003000000}"/>
    <hyperlink ref="N20" r:id="rId5" xr:uid="{00000000-0004-0000-0B00-000004000000}"/>
    <hyperlink ref="L20" r:id="rId6" location="/app/downloads" xr:uid="{00000000-0004-0000-0B00-000005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499984740745262"/>
  </sheetPr>
  <dimension ref="A1:O26"/>
  <sheetViews>
    <sheetView zoomScaleNormal="100" workbookViewId="0"/>
  </sheetViews>
  <sheetFormatPr defaultColWidth="8.85546875" defaultRowHeight="15"/>
  <cols>
    <col min="1" max="1" width="42.7109375" customWidth="1"/>
  </cols>
  <sheetData>
    <row r="1" spans="1:15">
      <c r="A1" s="6"/>
      <c r="B1" s="6"/>
      <c r="C1" s="6"/>
      <c r="D1" s="6"/>
      <c r="E1" s="6"/>
      <c r="F1" s="6"/>
      <c r="G1" s="6"/>
      <c r="H1" s="6"/>
      <c r="I1" s="6"/>
      <c r="J1" s="6"/>
      <c r="K1" s="6"/>
      <c r="L1" s="6"/>
      <c r="M1" s="6"/>
      <c r="N1" s="6"/>
    </row>
    <row r="2" spans="1:15">
      <c r="A2" s="469" t="s">
        <v>571</v>
      </c>
      <c r="B2" s="4"/>
      <c r="C2" s="4"/>
      <c r="D2" s="4"/>
      <c r="E2" s="4"/>
      <c r="F2" s="4"/>
      <c r="G2" s="4"/>
      <c r="H2" s="4"/>
      <c r="I2" s="4"/>
      <c r="J2" s="4"/>
      <c r="K2" s="4"/>
      <c r="L2" s="4"/>
      <c r="M2" s="4"/>
      <c r="N2" s="4"/>
    </row>
    <row r="3" spans="1:15">
      <c r="A3" s="469"/>
      <c r="B3" s="4"/>
      <c r="C3" s="4"/>
      <c r="D3" s="4"/>
      <c r="E3" s="4"/>
      <c r="F3" s="4"/>
      <c r="G3" s="4"/>
      <c r="H3" s="4"/>
      <c r="I3" s="4"/>
      <c r="J3" s="4"/>
      <c r="K3" s="4"/>
      <c r="L3" s="4"/>
      <c r="M3" s="4"/>
      <c r="N3" s="4"/>
    </row>
    <row r="4" spans="1:15" s="340" customFormat="1">
      <c r="A4" s="338" t="s">
        <v>420</v>
      </c>
      <c r="B4" s="338">
        <v>2008</v>
      </c>
      <c r="C4" s="338">
        <v>2009</v>
      </c>
      <c r="D4" s="338">
        <v>2010</v>
      </c>
      <c r="E4" s="338">
        <v>2011</v>
      </c>
      <c r="F4" s="338">
        <v>2012</v>
      </c>
      <c r="G4" s="338">
        <v>2013</v>
      </c>
      <c r="H4" s="338">
        <v>2014</v>
      </c>
      <c r="I4" s="338">
        <v>2015</v>
      </c>
      <c r="J4" s="338">
        <v>2016</v>
      </c>
      <c r="K4" s="338" t="s">
        <v>102</v>
      </c>
      <c r="L4" s="338" t="s">
        <v>103</v>
      </c>
      <c r="M4" s="338" t="s">
        <v>104</v>
      </c>
      <c r="N4" s="339" t="s">
        <v>105</v>
      </c>
      <c r="O4" s="350" t="s">
        <v>333</v>
      </c>
    </row>
    <row r="5" spans="1:15" ht="15" customHeight="1">
      <c r="A5" s="361"/>
      <c r="B5" s="4"/>
      <c r="C5" s="4"/>
      <c r="D5" s="4"/>
      <c r="E5" s="4"/>
      <c r="F5" s="4"/>
      <c r="G5" s="4"/>
      <c r="H5" s="4"/>
      <c r="I5" s="4"/>
      <c r="J5" s="4"/>
      <c r="K5" s="4"/>
      <c r="L5" s="4"/>
      <c r="M5" s="4"/>
    </row>
    <row r="6" spans="1:15" ht="15" customHeight="1">
      <c r="A6" s="362" t="s">
        <v>421</v>
      </c>
      <c r="B6" s="4"/>
      <c r="C6" s="4"/>
      <c r="D6" s="4"/>
      <c r="E6" s="4"/>
      <c r="F6" s="4"/>
      <c r="G6" s="4"/>
      <c r="H6" s="4"/>
      <c r="I6" s="4"/>
      <c r="J6" s="4"/>
      <c r="K6" s="4"/>
      <c r="L6" s="4"/>
      <c r="M6" s="4"/>
    </row>
    <row r="7" spans="1:15" ht="15" customHeight="1">
      <c r="A7" s="362"/>
      <c r="B7" s="4"/>
      <c r="C7" s="4"/>
      <c r="D7" s="4"/>
      <c r="E7" s="4"/>
      <c r="F7" s="4"/>
      <c r="G7" s="4"/>
      <c r="H7" s="4"/>
      <c r="I7" s="4"/>
      <c r="J7" s="4"/>
      <c r="K7" s="4"/>
      <c r="L7" s="4"/>
      <c r="M7" s="4"/>
    </row>
    <row r="8" spans="1:15" ht="15" customHeight="1">
      <c r="A8" s="362"/>
      <c r="B8" s="4"/>
      <c r="C8" s="4"/>
      <c r="D8" s="4"/>
      <c r="E8" s="4"/>
      <c r="F8" s="4"/>
      <c r="G8" s="4"/>
      <c r="H8" s="4"/>
      <c r="I8" s="4"/>
      <c r="J8" s="4"/>
      <c r="K8" s="4"/>
      <c r="L8" s="4"/>
      <c r="M8" s="4"/>
    </row>
    <row r="9" spans="1:15" ht="15" customHeight="1">
      <c r="A9" s="362"/>
      <c r="B9" s="4"/>
      <c r="C9" s="4"/>
      <c r="D9" s="4"/>
      <c r="E9" s="4"/>
      <c r="F9" s="4"/>
      <c r="G9" s="4"/>
      <c r="H9" s="4"/>
      <c r="I9" s="4"/>
      <c r="J9" s="4"/>
      <c r="K9" s="4"/>
      <c r="L9" s="4"/>
      <c r="M9" s="4"/>
    </row>
    <row r="10" spans="1:15">
      <c r="A10" s="311"/>
      <c r="B10" s="311"/>
      <c r="C10" s="311"/>
      <c r="D10" s="311"/>
      <c r="E10" s="311"/>
      <c r="F10" s="311"/>
      <c r="G10" s="311"/>
      <c r="H10" s="311"/>
      <c r="I10" s="311"/>
      <c r="J10" s="311"/>
      <c r="K10" s="311"/>
      <c r="L10" s="311"/>
      <c r="M10" s="311"/>
      <c r="N10" s="311"/>
    </row>
    <row r="11" spans="1:15" s="340" customFormat="1">
      <c r="A11" s="338" t="s">
        <v>175</v>
      </c>
      <c r="B11" s="338">
        <v>2008</v>
      </c>
      <c r="C11" s="338">
        <v>2009</v>
      </c>
      <c r="D11" s="338">
        <v>2010</v>
      </c>
      <c r="E11" s="338">
        <v>2011</v>
      </c>
      <c r="F11" s="338">
        <v>2012</v>
      </c>
      <c r="G11" s="338">
        <v>2013</v>
      </c>
      <c r="H11" s="338">
        <v>2014</v>
      </c>
      <c r="I11" s="338">
        <v>2015</v>
      </c>
      <c r="J11" s="338">
        <v>2016</v>
      </c>
      <c r="K11" s="338" t="s">
        <v>102</v>
      </c>
      <c r="L11" s="338" t="s">
        <v>103</v>
      </c>
      <c r="M11" s="338" t="s">
        <v>104</v>
      </c>
      <c r="N11" s="339" t="s">
        <v>105</v>
      </c>
      <c r="O11" s="350" t="s">
        <v>333</v>
      </c>
    </row>
    <row r="12" spans="1:15">
      <c r="A12" s="4"/>
      <c r="B12" s="4"/>
      <c r="C12" s="4"/>
      <c r="D12" s="4"/>
      <c r="E12" s="4"/>
      <c r="F12" s="4"/>
      <c r="G12" s="4"/>
      <c r="H12" s="4"/>
      <c r="I12" s="4"/>
      <c r="J12" s="4"/>
      <c r="K12" s="4"/>
      <c r="L12" s="4"/>
      <c r="M12" s="4"/>
      <c r="N12" s="4"/>
    </row>
    <row r="13" spans="1:15">
      <c r="A13" s="4" t="s">
        <v>572</v>
      </c>
      <c r="B13" s="55"/>
      <c r="C13" s="55"/>
      <c r="D13" s="4">
        <v>251.1</v>
      </c>
      <c r="E13" s="55"/>
      <c r="F13" s="55"/>
      <c r="G13" s="55"/>
      <c r="H13" s="4">
        <v>258.5</v>
      </c>
      <c r="I13" s="55"/>
      <c r="J13" s="55"/>
      <c r="K13" s="4" t="s">
        <v>122</v>
      </c>
      <c r="L13" s="13" t="s">
        <v>573</v>
      </c>
      <c r="M13" s="4"/>
      <c r="N13" s="4"/>
    </row>
    <row r="14" spans="1:15">
      <c r="A14" s="4" t="s">
        <v>574</v>
      </c>
      <c r="B14" s="55"/>
      <c r="C14" s="55"/>
      <c r="D14" s="55"/>
      <c r="E14" s="55"/>
      <c r="F14" s="55"/>
      <c r="G14" s="55"/>
      <c r="H14" s="324">
        <v>0.14899999999999999</v>
      </c>
      <c r="I14" s="55"/>
      <c r="J14" s="55"/>
      <c r="K14" s="4" t="s">
        <v>122</v>
      </c>
      <c r="L14" s="13" t="s">
        <v>573</v>
      </c>
      <c r="M14" s="4"/>
      <c r="N14" s="4"/>
    </row>
    <row r="15" spans="1:15">
      <c r="A15" s="4"/>
      <c r="B15" s="4"/>
      <c r="C15" s="4"/>
      <c r="D15" s="4"/>
      <c r="E15" s="4"/>
      <c r="F15" s="4"/>
      <c r="G15" s="4"/>
      <c r="H15" s="4"/>
      <c r="I15" s="4"/>
      <c r="J15" s="4"/>
      <c r="K15" s="4"/>
      <c r="L15" s="4"/>
      <c r="M15" s="4"/>
      <c r="N15" s="4"/>
    </row>
    <row r="16" spans="1:15">
      <c r="A16" s="311"/>
      <c r="B16" s="311"/>
      <c r="C16" s="311"/>
      <c r="D16" s="311"/>
      <c r="E16" s="311"/>
      <c r="F16" s="311"/>
      <c r="G16" s="311"/>
      <c r="H16" s="311"/>
      <c r="I16" s="311"/>
      <c r="J16" s="311"/>
      <c r="K16" s="311"/>
      <c r="L16" s="311"/>
      <c r="M16" s="311"/>
      <c r="N16" s="311"/>
    </row>
    <row r="17" spans="1:14" s="340" customFormat="1">
      <c r="A17" s="338" t="s">
        <v>502</v>
      </c>
      <c r="B17" s="338">
        <v>2008</v>
      </c>
      <c r="C17" s="338">
        <v>2009</v>
      </c>
      <c r="D17" s="338">
        <v>2010</v>
      </c>
      <c r="E17" s="338">
        <v>2011</v>
      </c>
      <c r="F17" s="338">
        <v>2012</v>
      </c>
      <c r="G17" s="338">
        <v>2013</v>
      </c>
      <c r="H17" s="338">
        <v>2014</v>
      </c>
      <c r="I17" s="338">
        <v>2015</v>
      </c>
      <c r="J17" s="338">
        <v>2016</v>
      </c>
      <c r="K17" s="338" t="s">
        <v>102</v>
      </c>
      <c r="L17" s="338" t="s">
        <v>103</v>
      </c>
      <c r="M17" s="338" t="s">
        <v>104</v>
      </c>
      <c r="N17" s="339" t="s">
        <v>105</v>
      </c>
    </row>
    <row r="18" spans="1:14">
      <c r="A18" s="4"/>
      <c r="B18" s="4"/>
      <c r="C18" s="4"/>
      <c r="D18" s="4"/>
      <c r="E18" s="4"/>
      <c r="F18" s="4"/>
      <c r="G18" s="4"/>
      <c r="H18" s="4"/>
      <c r="I18" s="4"/>
      <c r="J18" s="4"/>
      <c r="K18" s="4"/>
      <c r="L18" s="4"/>
      <c r="M18" s="4"/>
      <c r="N18" s="4"/>
    </row>
    <row r="19" spans="1:14">
      <c r="A19" s="4"/>
      <c r="B19" s="4"/>
      <c r="C19" s="4"/>
      <c r="D19" s="4"/>
      <c r="E19" s="4"/>
      <c r="F19" s="4"/>
      <c r="G19" s="4"/>
      <c r="H19" s="4"/>
      <c r="I19" s="4"/>
      <c r="J19" s="4"/>
      <c r="K19" s="4"/>
      <c r="L19" s="4"/>
      <c r="M19" s="4"/>
      <c r="N19" s="4"/>
    </row>
    <row r="20" spans="1:14">
      <c r="A20" s="4"/>
      <c r="B20" s="4"/>
      <c r="C20" s="4"/>
      <c r="D20" s="4"/>
      <c r="E20" s="4"/>
      <c r="F20" s="4"/>
      <c r="G20" s="4"/>
      <c r="H20" s="4"/>
      <c r="I20" s="4"/>
      <c r="J20" s="4"/>
      <c r="K20" s="4"/>
      <c r="L20" s="4"/>
      <c r="M20" s="4"/>
      <c r="N20" s="4"/>
    </row>
    <row r="21" spans="1:14">
      <c r="A21" s="311"/>
      <c r="B21" s="311"/>
      <c r="C21" s="311"/>
      <c r="D21" s="311"/>
      <c r="E21" s="311"/>
      <c r="F21" s="311"/>
      <c r="G21" s="311"/>
      <c r="H21" s="311"/>
      <c r="I21" s="311"/>
      <c r="J21" s="311"/>
      <c r="K21" s="311"/>
      <c r="L21" s="311"/>
      <c r="M21" s="311"/>
      <c r="N21" s="311"/>
    </row>
    <row r="22" spans="1:14" s="340" customFormat="1" ht="15" customHeight="1">
      <c r="A22" s="341" t="s">
        <v>125</v>
      </c>
      <c r="B22" s="341">
        <v>2008</v>
      </c>
      <c r="C22" s="341">
        <v>2009</v>
      </c>
      <c r="D22" s="341">
        <v>2010</v>
      </c>
      <c r="E22" s="341">
        <v>2011</v>
      </c>
      <c r="F22" s="341">
        <v>2012</v>
      </c>
      <c r="G22" s="341">
        <v>2013</v>
      </c>
      <c r="H22" s="341">
        <v>2014</v>
      </c>
      <c r="I22" s="341">
        <v>2015</v>
      </c>
      <c r="J22" s="341">
        <v>2016</v>
      </c>
      <c r="K22" s="338" t="s">
        <v>102</v>
      </c>
      <c r="L22" s="338" t="s">
        <v>103</v>
      </c>
      <c r="M22" s="338" t="s">
        <v>104</v>
      </c>
      <c r="N22" s="338" t="s">
        <v>105</v>
      </c>
    </row>
    <row r="23" spans="1:14">
      <c r="A23" s="4"/>
      <c r="B23" s="4"/>
      <c r="C23" s="4"/>
      <c r="D23" s="4"/>
      <c r="E23" s="4"/>
      <c r="F23" s="4"/>
      <c r="G23" s="4"/>
      <c r="H23" s="4"/>
      <c r="I23" s="4"/>
      <c r="J23" s="4"/>
      <c r="K23" s="4"/>
      <c r="L23" s="4"/>
      <c r="M23" s="4"/>
      <c r="N23" s="4"/>
    </row>
    <row r="24" spans="1:14">
      <c r="A24" s="4"/>
      <c r="B24" s="4"/>
      <c r="C24" s="4"/>
      <c r="D24" s="4"/>
      <c r="E24" s="4"/>
      <c r="F24" s="4"/>
      <c r="G24" s="4"/>
      <c r="H24" s="4"/>
      <c r="I24" s="4"/>
      <c r="J24" s="4"/>
      <c r="K24" s="4"/>
      <c r="L24" s="4"/>
      <c r="M24" s="4"/>
      <c r="N24" s="4"/>
    </row>
    <row r="25" spans="1:14">
      <c r="A25" s="4"/>
      <c r="B25" s="4"/>
      <c r="C25" s="4"/>
      <c r="D25" s="4"/>
      <c r="E25" s="4"/>
      <c r="F25" s="4"/>
      <c r="G25" s="4"/>
      <c r="H25" s="4"/>
      <c r="I25" s="4"/>
      <c r="J25" s="4"/>
      <c r="K25" s="4"/>
      <c r="L25" s="4"/>
      <c r="M25" s="4"/>
      <c r="N25" s="4"/>
    </row>
    <row r="26" spans="1:14">
      <c r="A26" s="4"/>
      <c r="B26" s="4"/>
      <c r="C26" s="4"/>
      <c r="D26" s="4"/>
      <c r="E26" s="4"/>
      <c r="F26" s="4"/>
      <c r="G26" s="4"/>
      <c r="H26" s="4"/>
      <c r="I26" s="4"/>
      <c r="J26" s="4"/>
      <c r="K26" s="4"/>
      <c r="L26" s="4"/>
      <c r="M26" s="4"/>
      <c r="N26" s="4"/>
    </row>
  </sheetData>
  <mergeCells count="1">
    <mergeCell ref="A2:A3"/>
  </mergeCells>
  <hyperlinks>
    <hyperlink ref="L13" r:id="rId1" xr:uid="{00000000-0004-0000-0C00-000000000000}"/>
    <hyperlink ref="L14" r:id="rId2" xr:uid="{00000000-0004-0000-0C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499984740745262"/>
  </sheetPr>
  <dimension ref="A1:O31"/>
  <sheetViews>
    <sheetView zoomScale="85" zoomScaleNormal="85" workbookViewId="0">
      <selection activeCell="E11" sqref="E11"/>
    </sheetView>
  </sheetViews>
  <sheetFormatPr defaultColWidth="8.85546875" defaultRowHeight="15"/>
  <cols>
    <col min="1" max="1" width="58" customWidth="1"/>
    <col min="11" max="11" width="17.85546875" customWidth="1"/>
    <col min="12" max="12" width="22.85546875" customWidth="1"/>
    <col min="13" max="13" width="24.42578125" customWidth="1"/>
    <col min="14" max="14" width="18.42578125" customWidth="1"/>
  </cols>
  <sheetData>
    <row r="1" spans="1:15">
      <c r="A1" s="6"/>
      <c r="B1" s="6"/>
      <c r="C1" s="6"/>
      <c r="D1" s="6"/>
      <c r="E1" s="6"/>
      <c r="F1" s="6"/>
      <c r="G1" s="6"/>
      <c r="H1" s="6"/>
      <c r="I1" s="6"/>
      <c r="J1" s="6"/>
      <c r="K1" s="6"/>
      <c r="L1" s="6"/>
      <c r="M1" s="6"/>
      <c r="N1" s="6"/>
    </row>
    <row r="2" spans="1:15">
      <c r="A2" s="467" t="s">
        <v>575</v>
      </c>
    </row>
    <row r="3" spans="1:15">
      <c r="A3" s="468"/>
    </row>
    <row r="4" spans="1:15">
      <c r="A4" s="3" t="s">
        <v>576</v>
      </c>
      <c r="B4" s="3">
        <v>2008</v>
      </c>
      <c r="C4" s="3">
        <v>2009</v>
      </c>
      <c r="D4" s="3">
        <v>2010</v>
      </c>
      <c r="E4" s="3">
        <v>2011</v>
      </c>
      <c r="F4" s="3">
        <v>2012</v>
      </c>
      <c r="G4" s="3">
        <v>2013</v>
      </c>
      <c r="H4" s="3">
        <v>2014</v>
      </c>
      <c r="I4" s="3">
        <v>2015</v>
      </c>
      <c r="J4" s="3">
        <v>2016</v>
      </c>
      <c r="K4" s="3" t="s">
        <v>102</v>
      </c>
      <c r="L4" s="3" t="s">
        <v>103</v>
      </c>
      <c r="M4" s="3" t="s">
        <v>104</v>
      </c>
      <c r="N4" s="3" t="s">
        <v>105</v>
      </c>
      <c r="O4" s="1" t="s">
        <v>333</v>
      </c>
    </row>
    <row r="5" spans="1:15">
      <c r="A5" s="4" t="s">
        <v>577</v>
      </c>
      <c r="B5" s="12">
        <v>21468</v>
      </c>
      <c r="C5" s="12">
        <v>17689</v>
      </c>
      <c r="D5" s="12">
        <v>20843</v>
      </c>
      <c r="E5" s="12">
        <v>21753</v>
      </c>
      <c r="F5" s="4"/>
      <c r="G5" s="4"/>
      <c r="H5" s="4"/>
      <c r="I5" s="4"/>
      <c r="J5" s="4"/>
      <c r="K5" s="4"/>
      <c r="L5" s="4"/>
      <c r="M5" s="4"/>
      <c r="N5" s="4"/>
    </row>
    <row r="6" spans="1:15">
      <c r="A6" s="4" t="s">
        <v>578</v>
      </c>
      <c r="B6" s="4"/>
      <c r="C6" s="4"/>
      <c r="D6" s="4"/>
      <c r="E6" s="4"/>
      <c r="F6" s="4"/>
      <c r="G6" s="4"/>
      <c r="H6" s="4"/>
      <c r="I6" s="4"/>
      <c r="J6" s="4"/>
      <c r="K6" s="4"/>
      <c r="L6" s="4"/>
      <c r="M6" s="4"/>
      <c r="N6" s="4"/>
    </row>
    <row r="8" spans="1:15">
      <c r="A8" s="6"/>
      <c r="B8" s="6"/>
      <c r="C8" s="6"/>
      <c r="D8" s="6"/>
      <c r="E8" s="6"/>
      <c r="F8" s="6"/>
      <c r="G8" s="6"/>
      <c r="H8" s="6"/>
      <c r="I8" s="6"/>
      <c r="J8" s="6"/>
      <c r="K8" s="6"/>
      <c r="L8" s="6"/>
    </row>
    <row r="9" spans="1:15">
      <c r="A9" s="4"/>
      <c r="B9" s="4"/>
      <c r="C9" s="4"/>
      <c r="D9" s="4"/>
      <c r="E9" s="4"/>
      <c r="F9" s="4"/>
      <c r="G9" s="4"/>
      <c r="H9" s="4"/>
      <c r="I9" s="4"/>
      <c r="J9" s="4"/>
      <c r="K9" s="4"/>
      <c r="L9" s="4"/>
      <c r="M9" s="4"/>
      <c r="N9" s="4"/>
    </row>
    <row r="10" spans="1:15">
      <c r="A10" s="4" t="s">
        <v>579</v>
      </c>
      <c r="B10" s="65">
        <v>12561</v>
      </c>
      <c r="C10" s="65">
        <v>11461</v>
      </c>
      <c r="D10" s="12">
        <v>12285</v>
      </c>
      <c r="E10" s="12">
        <v>12840</v>
      </c>
      <c r="F10" s="189"/>
      <c r="G10" s="189"/>
      <c r="H10" s="189"/>
      <c r="I10" s="189"/>
      <c r="J10" s="189"/>
      <c r="K10" s="4" t="s">
        <v>335</v>
      </c>
      <c r="L10" s="13" t="s">
        <v>580</v>
      </c>
      <c r="M10" s="4"/>
      <c r="N10" s="4"/>
      <c r="O10" t="s">
        <v>581</v>
      </c>
    </row>
    <row r="11" spans="1:15">
      <c r="A11" s="4" t="s">
        <v>582</v>
      </c>
      <c r="B11" s="4">
        <v>355</v>
      </c>
      <c r="C11" s="4">
        <v>240</v>
      </c>
      <c r="D11" s="4">
        <v>247</v>
      </c>
      <c r="E11" s="4">
        <v>342</v>
      </c>
      <c r="F11" s="4">
        <v>362</v>
      </c>
      <c r="G11" s="174"/>
      <c r="H11" s="174"/>
      <c r="I11" s="174"/>
      <c r="J11" s="174"/>
      <c r="K11" s="4" t="s">
        <v>335</v>
      </c>
      <c r="L11" s="13" t="s">
        <v>580</v>
      </c>
      <c r="M11" s="4"/>
      <c r="N11" s="4"/>
    </row>
    <row r="12" spans="1:15">
      <c r="A12" s="4"/>
      <c r="B12" s="4"/>
      <c r="C12" s="4"/>
      <c r="D12" s="4"/>
      <c r="E12" s="4"/>
      <c r="F12" s="4"/>
      <c r="G12" s="4"/>
      <c r="H12" s="4"/>
      <c r="I12" s="4"/>
      <c r="J12" s="4"/>
      <c r="K12" s="4"/>
      <c r="L12" s="4"/>
      <c r="M12" s="4"/>
      <c r="N12" s="4"/>
    </row>
    <row r="13" spans="1:15">
      <c r="A13" s="4" t="s">
        <v>583</v>
      </c>
      <c r="B13" s="12">
        <v>4247</v>
      </c>
      <c r="C13" s="12">
        <v>3138</v>
      </c>
      <c r="D13" s="12">
        <v>4099</v>
      </c>
      <c r="E13" s="12">
        <v>4321</v>
      </c>
      <c r="F13" s="55"/>
      <c r="G13" s="55"/>
      <c r="H13" s="55"/>
      <c r="I13" s="55"/>
      <c r="J13" s="55"/>
      <c r="K13" s="4" t="s">
        <v>335</v>
      </c>
      <c r="L13" s="13" t="s">
        <v>580</v>
      </c>
      <c r="M13" s="4"/>
      <c r="N13" s="4"/>
    </row>
    <row r="14" spans="1:15">
      <c r="A14" s="4" t="s">
        <v>584</v>
      </c>
      <c r="B14" s="4">
        <v>389</v>
      </c>
      <c r="C14" s="4">
        <v>195</v>
      </c>
      <c r="D14" s="4">
        <v>222</v>
      </c>
      <c r="E14" s="4">
        <v>296</v>
      </c>
      <c r="F14" s="4">
        <v>270</v>
      </c>
      <c r="G14" s="55"/>
      <c r="H14" s="55"/>
      <c r="I14" s="55"/>
      <c r="J14" s="55"/>
      <c r="K14" s="4" t="s">
        <v>335</v>
      </c>
      <c r="L14" s="13" t="s">
        <v>580</v>
      </c>
      <c r="M14" s="4"/>
      <c r="N14" s="4"/>
    </row>
    <row r="15" spans="1:15">
      <c r="A15" s="4"/>
      <c r="B15" s="12"/>
      <c r="C15" s="4"/>
      <c r="D15" s="4"/>
      <c r="E15" s="4"/>
      <c r="F15" s="4"/>
      <c r="G15" s="4"/>
      <c r="H15" s="4"/>
      <c r="I15" s="4"/>
      <c r="J15" s="4"/>
      <c r="K15" s="4"/>
      <c r="L15" s="13"/>
      <c r="M15" s="4"/>
      <c r="N15" s="4"/>
    </row>
    <row r="16" spans="1:15">
      <c r="A16" s="4" t="s">
        <v>585</v>
      </c>
      <c r="B16" s="18">
        <v>4660</v>
      </c>
      <c r="C16" s="12">
        <v>3090</v>
      </c>
      <c r="D16" s="18">
        <v>4458</v>
      </c>
      <c r="E16" s="12">
        <v>4591</v>
      </c>
      <c r="F16" s="55"/>
      <c r="G16" s="55"/>
      <c r="H16" s="55"/>
      <c r="I16" s="55"/>
      <c r="J16" s="55"/>
      <c r="K16" s="4" t="s">
        <v>335</v>
      </c>
      <c r="L16" s="13" t="s">
        <v>580</v>
      </c>
      <c r="M16" s="4"/>
      <c r="N16" s="4"/>
    </row>
    <row r="17" spans="1:15">
      <c r="A17" s="16" t="s">
        <v>586</v>
      </c>
      <c r="B17" s="4">
        <v>561</v>
      </c>
      <c r="C17" s="17">
        <v>853</v>
      </c>
      <c r="D17" s="4">
        <v>511</v>
      </c>
      <c r="E17" s="17">
        <v>601</v>
      </c>
      <c r="F17" s="4">
        <v>647</v>
      </c>
      <c r="G17" s="4">
        <v>595</v>
      </c>
      <c r="H17" s="55"/>
      <c r="I17" s="55"/>
      <c r="J17" s="55"/>
      <c r="K17" s="4" t="s">
        <v>335</v>
      </c>
      <c r="L17" s="13" t="s">
        <v>580</v>
      </c>
      <c r="M17" s="4"/>
      <c r="N17" s="4"/>
    </row>
    <row r="18" spans="1:15">
      <c r="A18" s="4"/>
      <c r="B18" s="19"/>
      <c r="C18" s="4"/>
      <c r="D18" s="19"/>
      <c r="E18" s="4"/>
      <c r="F18" s="4"/>
      <c r="G18" s="4"/>
      <c r="H18" s="4"/>
      <c r="I18" s="4"/>
      <c r="J18" s="4"/>
      <c r="K18" s="4"/>
      <c r="L18" s="4"/>
      <c r="M18" s="4"/>
      <c r="N18" s="4"/>
    </row>
    <row r="19" spans="1:15">
      <c r="A19" s="14" t="s">
        <v>587</v>
      </c>
      <c r="B19" s="15"/>
      <c r="C19" s="15"/>
      <c r="D19" s="15"/>
      <c r="E19" s="15"/>
      <c r="F19" s="15"/>
      <c r="G19" s="15"/>
      <c r="H19" s="15"/>
      <c r="I19" s="15"/>
      <c r="J19" s="15"/>
      <c r="K19" s="15"/>
      <c r="L19" s="15"/>
      <c r="M19" s="15"/>
      <c r="N19" s="15"/>
      <c r="O19" t="s">
        <v>588</v>
      </c>
    </row>
    <row r="20" spans="1:15">
      <c r="A20" s="4" t="s">
        <v>589</v>
      </c>
      <c r="B20" s="12">
        <v>71851</v>
      </c>
      <c r="C20" s="55"/>
      <c r="D20" s="55"/>
      <c r="E20" s="55"/>
      <c r="F20" s="55"/>
      <c r="G20" s="55"/>
      <c r="H20" s="55"/>
      <c r="I20" s="55"/>
      <c r="J20" s="55"/>
      <c r="K20" s="4" t="s">
        <v>335</v>
      </c>
      <c r="L20" s="32" t="s">
        <v>590</v>
      </c>
      <c r="M20" s="4"/>
      <c r="N20" s="4"/>
    </row>
    <row r="21" spans="1:15">
      <c r="A21" s="4" t="s">
        <v>591</v>
      </c>
      <c r="B21" s="176"/>
      <c r="C21" s="177"/>
      <c r="D21" s="177"/>
      <c r="E21" s="177"/>
      <c r="F21" s="177"/>
      <c r="G21" s="177"/>
      <c r="H21" s="177"/>
      <c r="I21" s="177"/>
      <c r="J21" s="177"/>
      <c r="K21" s="4"/>
      <c r="L21" s="32"/>
      <c r="M21" s="4"/>
      <c r="N21" s="4"/>
    </row>
    <row r="22" spans="1:15">
      <c r="A22" s="4" t="s">
        <v>592</v>
      </c>
      <c r="B22" s="179"/>
      <c r="C22" s="179"/>
      <c r="D22" s="179"/>
      <c r="E22" s="179"/>
      <c r="F22" s="179"/>
      <c r="G22" s="179"/>
      <c r="H22" s="179"/>
      <c r="I22" s="179"/>
      <c r="J22" s="179"/>
      <c r="K22" s="4"/>
      <c r="L22" s="16"/>
      <c r="M22" s="4"/>
      <c r="N22" s="4"/>
    </row>
    <row r="23" spans="1:15">
      <c r="A23" s="4"/>
      <c r="B23" s="4"/>
      <c r="C23" s="4"/>
      <c r="D23" s="4"/>
      <c r="E23" s="4"/>
      <c r="F23" s="4"/>
      <c r="G23" s="4"/>
      <c r="H23" s="4"/>
      <c r="I23" s="4"/>
      <c r="J23" s="4"/>
      <c r="K23" s="4"/>
      <c r="L23" s="16"/>
      <c r="M23" s="4"/>
      <c r="N23" s="4"/>
    </row>
    <row r="24" spans="1:15">
      <c r="A24" s="4" t="s">
        <v>593</v>
      </c>
      <c r="B24" s="179"/>
      <c r="C24" s="179"/>
      <c r="D24" s="179"/>
      <c r="E24" s="179"/>
      <c r="F24" s="179"/>
      <c r="G24" s="179"/>
      <c r="H24" s="179"/>
      <c r="I24" s="179"/>
      <c r="J24" s="179"/>
      <c r="K24" s="4"/>
      <c r="L24" s="16"/>
      <c r="M24" s="4"/>
      <c r="N24" s="4"/>
      <c r="O24" t="s">
        <v>594</v>
      </c>
    </row>
    <row r="25" spans="1:15">
      <c r="A25" s="4" t="s">
        <v>595</v>
      </c>
      <c r="B25" s="179"/>
      <c r="C25" s="179"/>
      <c r="D25" s="179"/>
      <c r="E25" s="179"/>
      <c r="F25" s="179"/>
      <c r="G25" s="179"/>
      <c r="H25" s="179"/>
      <c r="I25" s="179"/>
      <c r="J25" s="179"/>
      <c r="K25" s="4"/>
      <c r="L25" s="16"/>
      <c r="M25" s="4"/>
      <c r="N25" s="4"/>
    </row>
    <row r="26" spans="1:15">
      <c r="A26" s="4" t="s">
        <v>596</v>
      </c>
      <c r="B26" s="179"/>
      <c r="C26" s="179"/>
      <c r="D26" s="179"/>
      <c r="E26" s="179"/>
      <c r="F26" s="179"/>
      <c r="G26" s="179"/>
      <c r="H26" s="179"/>
      <c r="I26" s="179"/>
      <c r="J26" s="179"/>
      <c r="K26" s="4"/>
      <c r="L26" s="16"/>
      <c r="M26" s="4"/>
      <c r="N26" s="4"/>
    </row>
    <row r="27" spans="1:15">
      <c r="A27" s="4" t="s">
        <v>597</v>
      </c>
      <c r="B27" s="179"/>
      <c r="C27" s="179"/>
      <c r="D27" s="179"/>
      <c r="E27" s="179"/>
      <c r="F27" s="179"/>
      <c r="G27" s="179"/>
      <c r="H27" s="179"/>
      <c r="I27" s="179"/>
      <c r="J27" s="179"/>
      <c r="K27" s="4"/>
      <c r="L27" s="16"/>
      <c r="M27" s="4"/>
      <c r="N27" s="4"/>
    </row>
    <row r="28" spans="1:15">
      <c r="A28" s="4"/>
      <c r="B28" s="4"/>
      <c r="C28" s="4"/>
      <c r="D28" s="4"/>
      <c r="E28" s="4"/>
      <c r="F28" s="4"/>
      <c r="G28" s="4"/>
      <c r="H28" s="4"/>
      <c r="I28" s="4"/>
      <c r="J28" s="4"/>
      <c r="K28" s="4"/>
      <c r="L28" s="16"/>
      <c r="M28" s="4"/>
      <c r="N28" s="4"/>
    </row>
    <row r="29" spans="1:15">
      <c r="A29" s="3" t="s">
        <v>598</v>
      </c>
      <c r="B29" s="4"/>
      <c r="C29" s="4"/>
      <c r="D29" s="4"/>
      <c r="E29" s="4"/>
      <c r="F29" s="4"/>
      <c r="G29" s="4"/>
      <c r="H29" s="4"/>
      <c r="I29" s="4"/>
      <c r="J29" s="4"/>
      <c r="K29" s="4"/>
      <c r="L29" s="16"/>
      <c r="M29" s="4"/>
      <c r="N29" s="4"/>
    </row>
    <row r="30" spans="1:15">
      <c r="A30" s="4" t="s">
        <v>599</v>
      </c>
      <c r="B30" s="4"/>
      <c r="C30" s="4"/>
      <c r="D30" s="4"/>
      <c r="E30" s="4"/>
      <c r="F30" s="4"/>
      <c r="G30" s="4"/>
      <c r="H30" s="4"/>
      <c r="I30" s="4"/>
      <c r="J30" s="4"/>
      <c r="K30" s="4"/>
      <c r="L30" s="16"/>
      <c r="M30" s="4"/>
      <c r="N30" s="4"/>
    </row>
    <row r="31" spans="1:15">
      <c r="A31" s="4"/>
      <c r="B31" s="4"/>
      <c r="C31" s="4"/>
      <c r="D31" s="4"/>
      <c r="E31" s="4"/>
      <c r="F31" s="4"/>
      <c r="G31" s="4"/>
      <c r="H31" s="4"/>
      <c r="I31" s="4"/>
      <c r="J31" s="4"/>
      <c r="K31" s="4"/>
      <c r="L31" s="16"/>
      <c r="M31" s="4"/>
      <c r="N31" s="4"/>
    </row>
  </sheetData>
  <mergeCells count="1">
    <mergeCell ref="A2:A3"/>
  </mergeCells>
  <hyperlinks>
    <hyperlink ref="L10" r:id="rId1" xr:uid="{00000000-0004-0000-0D00-000000000000}"/>
    <hyperlink ref="L11" r:id="rId2" xr:uid="{00000000-0004-0000-0D00-000001000000}"/>
    <hyperlink ref="L13" r:id="rId3" xr:uid="{00000000-0004-0000-0D00-000002000000}"/>
    <hyperlink ref="L14" r:id="rId4" xr:uid="{00000000-0004-0000-0D00-000003000000}"/>
    <hyperlink ref="L16" r:id="rId5" xr:uid="{00000000-0004-0000-0D00-000004000000}"/>
    <hyperlink ref="L17" r:id="rId6" xr:uid="{00000000-0004-0000-0D00-000005000000}"/>
    <hyperlink ref="L20" r:id="rId7" location="1.%20Total%20irrigation%20values,%20all%20irrigated%20farms" xr:uid="{00000000-0004-0000-0D00-000006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499984740745262"/>
  </sheetPr>
  <dimension ref="A1:O61"/>
  <sheetViews>
    <sheetView topLeftCell="A4" zoomScale="70" zoomScaleNormal="70" workbookViewId="0">
      <selection activeCell="B6" sqref="B6:G6"/>
    </sheetView>
  </sheetViews>
  <sheetFormatPr defaultColWidth="8.85546875" defaultRowHeight="15"/>
  <cols>
    <col min="1" max="1" width="56.42578125" customWidth="1"/>
    <col min="9" max="9" width="12.85546875" bestFit="1" customWidth="1"/>
    <col min="11" max="11" width="11.85546875" customWidth="1"/>
  </cols>
  <sheetData>
    <row r="1" spans="1:15">
      <c r="A1" s="6"/>
      <c r="B1" s="6"/>
      <c r="C1" s="6"/>
      <c r="D1" s="6"/>
      <c r="E1" s="6"/>
      <c r="F1" s="6"/>
      <c r="G1" s="6"/>
      <c r="H1" s="6"/>
      <c r="I1" s="6"/>
      <c r="J1" s="6"/>
      <c r="K1" s="6"/>
      <c r="L1" s="6"/>
      <c r="M1" s="6"/>
      <c r="N1" s="6"/>
    </row>
    <row r="2" spans="1:15">
      <c r="A2" s="467" t="s">
        <v>600</v>
      </c>
    </row>
    <row r="3" spans="1:15">
      <c r="A3" s="468"/>
    </row>
    <row r="4" spans="1:15">
      <c r="A4" s="3" t="s">
        <v>101</v>
      </c>
      <c r="B4" s="3">
        <v>2008</v>
      </c>
      <c r="C4" s="3">
        <v>2009</v>
      </c>
      <c r="D4" s="3">
        <v>2010</v>
      </c>
      <c r="E4" s="3">
        <v>2011</v>
      </c>
      <c r="F4" s="3">
        <v>2012</v>
      </c>
      <c r="G4" s="3">
        <v>2013</v>
      </c>
      <c r="H4" s="3">
        <v>2014</v>
      </c>
      <c r="I4" s="3">
        <v>2015</v>
      </c>
      <c r="J4" s="3">
        <v>2016</v>
      </c>
      <c r="K4" s="3" t="s">
        <v>102</v>
      </c>
      <c r="L4" s="3" t="s">
        <v>103</v>
      </c>
      <c r="M4" s="3" t="s">
        <v>104</v>
      </c>
      <c r="N4" s="3" t="s">
        <v>105</v>
      </c>
      <c r="O4" s="1" t="s">
        <v>333</v>
      </c>
    </row>
    <row r="5" spans="1:15">
      <c r="A5" s="4" t="s">
        <v>467</v>
      </c>
      <c r="B5" s="175"/>
      <c r="C5" s="175"/>
      <c r="D5" s="175"/>
      <c r="E5" s="175"/>
      <c r="F5" s="184">
        <v>167000</v>
      </c>
      <c r="G5" s="175"/>
      <c r="H5" s="175"/>
      <c r="I5" s="55"/>
      <c r="J5" s="55"/>
      <c r="K5" s="4" t="s">
        <v>338</v>
      </c>
      <c r="L5" s="13" t="s">
        <v>348</v>
      </c>
      <c r="M5" s="4"/>
      <c r="N5" s="4"/>
    </row>
    <row r="6" spans="1:15">
      <c r="A6" s="4" t="s">
        <v>468</v>
      </c>
      <c r="B6" s="4">
        <v>68.790000000000006</v>
      </c>
      <c r="C6" s="4">
        <v>73.42</v>
      </c>
      <c r="D6" s="4">
        <v>75.849999999999994</v>
      </c>
      <c r="E6" s="4">
        <v>81.209999999999994</v>
      </c>
      <c r="F6" s="4">
        <v>85.5</v>
      </c>
      <c r="G6" s="4">
        <v>87.64</v>
      </c>
      <c r="H6" s="55"/>
      <c r="I6" s="55"/>
      <c r="J6" s="55"/>
      <c r="K6" s="4" t="s">
        <v>335</v>
      </c>
      <c r="L6" s="13" t="s">
        <v>423</v>
      </c>
      <c r="M6" s="4" t="s">
        <v>424</v>
      </c>
      <c r="N6" s="13" t="s">
        <v>356</v>
      </c>
      <c r="O6" t="s">
        <v>425</v>
      </c>
    </row>
    <row r="7" spans="1:15">
      <c r="A7" s="4" t="s">
        <v>469</v>
      </c>
      <c r="B7" s="55"/>
      <c r="C7" s="55"/>
      <c r="D7" s="55"/>
      <c r="E7" s="55"/>
      <c r="F7" s="55"/>
      <c r="G7" s="55"/>
      <c r="H7" s="4">
        <v>10.73</v>
      </c>
      <c r="I7" s="4">
        <v>10.57</v>
      </c>
      <c r="J7" s="4">
        <v>10.96</v>
      </c>
      <c r="K7" s="4" t="s">
        <v>424</v>
      </c>
      <c r="L7" s="13" t="s">
        <v>356</v>
      </c>
      <c r="M7" s="4"/>
      <c r="N7" s="13"/>
    </row>
    <row r="8" spans="1:15">
      <c r="A8" s="4" t="s">
        <v>601</v>
      </c>
      <c r="B8" s="179"/>
      <c r="C8" s="179"/>
      <c r="D8" s="179"/>
      <c r="E8" s="179"/>
      <c r="F8" s="179"/>
      <c r="G8" s="179"/>
      <c r="H8" s="179"/>
      <c r="I8" s="179"/>
      <c r="J8" s="179"/>
      <c r="K8" s="179"/>
      <c r="L8" s="179"/>
      <c r="M8" s="179"/>
      <c r="N8" s="179"/>
      <c r="O8" t="s">
        <v>602</v>
      </c>
    </row>
    <row r="9" spans="1:15">
      <c r="A9" s="4" t="s">
        <v>603</v>
      </c>
      <c r="B9" s="179"/>
      <c r="C9" s="179"/>
      <c r="D9" s="179"/>
      <c r="E9" s="179"/>
      <c r="F9" s="179"/>
      <c r="G9" s="179"/>
      <c r="H9" s="179"/>
      <c r="I9" s="179"/>
      <c r="J9" s="179"/>
      <c r="K9" s="179"/>
      <c r="L9" s="179"/>
      <c r="M9" s="179"/>
      <c r="N9" s="179"/>
    </row>
    <row r="10" spans="1:15">
      <c r="A10" s="4"/>
      <c r="B10" s="4"/>
      <c r="C10" s="4"/>
      <c r="D10" s="4"/>
      <c r="E10" s="4"/>
      <c r="F10" s="4"/>
      <c r="G10" s="4"/>
      <c r="H10" s="4"/>
      <c r="I10" s="4"/>
      <c r="J10" s="4"/>
      <c r="K10" s="4"/>
      <c r="L10" s="4"/>
      <c r="M10" s="4"/>
      <c r="N10" s="4"/>
    </row>
    <row r="11" spans="1:15">
      <c r="A11" s="6"/>
      <c r="B11" s="6"/>
      <c r="C11" s="6"/>
      <c r="D11" s="6"/>
      <c r="E11" s="6"/>
      <c r="F11" s="6"/>
      <c r="G11" s="6"/>
      <c r="H11" s="6"/>
      <c r="I11" s="6"/>
      <c r="J11" s="6"/>
      <c r="K11" s="6"/>
      <c r="L11" s="6"/>
      <c r="M11" s="6"/>
      <c r="N11" s="6"/>
    </row>
    <row r="12" spans="1:15">
      <c r="A12" s="3" t="s">
        <v>256</v>
      </c>
      <c r="B12" s="3">
        <v>2008</v>
      </c>
      <c r="C12" s="3">
        <v>2009</v>
      </c>
      <c r="D12" s="3">
        <v>2010</v>
      </c>
      <c r="E12" s="3">
        <v>2011</v>
      </c>
      <c r="F12" s="3">
        <v>2012</v>
      </c>
      <c r="G12" s="3">
        <v>2013</v>
      </c>
      <c r="H12" s="3">
        <v>2014</v>
      </c>
      <c r="I12" s="3">
        <v>2015</v>
      </c>
      <c r="J12" s="3">
        <v>2016</v>
      </c>
      <c r="K12" s="3" t="s">
        <v>102</v>
      </c>
      <c r="L12" s="3" t="s">
        <v>103</v>
      </c>
      <c r="M12" s="3" t="s">
        <v>104</v>
      </c>
      <c r="N12" s="3" t="s">
        <v>105</v>
      </c>
    </row>
    <row r="13" spans="1:15">
      <c r="A13" s="4" t="s">
        <v>355</v>
      </c>
      <c r="B13" s="55"/>
      <c r="C13" s="55"/>
      <c r="D13" s="55"/>
      <c r="E13" s="55"/>
      <c r="F13" s="55"/>
      <c r="G13" s="55"/>
      <c r="H13" s="4">
        <v>361.09</v>
      </c>
      <c r="I13" s="4">
        <v>345.51</v>
      </c>
      <c r="J13" s="4">
        <v>384.78</v>
      </c>
      <c r="K13" t="s">
        <v>335</v>
      </c>
      <c r="L13" s="38" t="s">
        <v>356</v>
      </c>
      <c r="M13" s="4" t="s">
        <v>357</v>
      </c>
      <c r="N13" s="13" t="s">
        <v>358</v>
      </c>
    </row>
    <row r="14" spans="1:15">
      <c r="A14" s="4"/>
      <c r="B14" s="4"/>
      <c r="C14" s="4"/>
      <c r="D14" s="4"/>
      <c r="E14" s="4"/>
      <c r="F14" s="4"/>
      <c r="G14" s="4"/>
      <c r="H14" s="4"/>
      <c r="I14" s="4"/>
      <c r="J14" s="16"/>
      <c r="L14" s="360"/>
      <c r="M14" s="17"/>
      <c r="N14" s="269"/>
    </row>
    <row r="15" spans="1:15">
      <c r="A15" s="221" t="s">
        <v>604</v>
      </c>
      <c r="B15" s="4"/>
      <c r="C15" s="4"/>
      <c r="D15" s="4"/>
      <c r="E15" s="4"/>
      <c r="F15" s="4"/>
      <c r="G15" s="4"/>
      <c r="H15" s="4"/>
      <c r="I15" s="4"/>
      <c r="J15" s="16"/>
      <c r="K15" s="4"/>
      <c r="L15" s="13"/>
      <c r="M15" s="17"/>
      <c r="N15" s="13"/>
    </row>
    <row r="16" spans="1:15">
      <c r="A16" s="4" t="s">
        <v>359</v>
      </c>
      <c r="B16" s="55"/>
      <c r="C16" s="55"/>
      <c r="D16" s="55"/>
      <c r="E16" s="55"/>
      <c r="F16" s="55"/>
      <c r="G16" s="55"/>
      <c r="H16" s="4">
        <v>479.08</v>
      </c>
      <c r="I16" s="4">
        <v>477.89</v>
      </c>
      <c r="J16" s="56"/>
      <c r="K16" s="4" t="s">
        <v>335</v>
      </c>
      <c r="L16" s="13" t="s">
        <v>360</v>
      </c>
      <c r="M16" s="17"/>
      <c r="N16" s="13"/>
    </row>
    <row r="17" spans="1:15">
      <c r="A17" s="4" t="s">
        <v>361</v>
      </c>
      <c r="B17" s="55"/>
      <c r="C17" s="55"/>
      <c r="D17" s="55"/>
      <c r="E17" s="55"/>
      <c r="F17" s="55"/>
      <c r="G17" s="55"/>
      <c r="H17" s="4">
        <v>302.14</v>
      </c>
      <c r="I17" s="4">
        <v>330.49</v>
      </c>
      <c r="J17" s="56"/>
      <c r="K17" s="4" t="s">
        <v>335</v>
      </c>
      <c r="L17" s="13" t="s">
        <v>360</v>
      </c>
      <c r="M17" s="17"/>
      <c r="N17" s="13"/>
    </row>
    <row r="18" spans="1:15">
      <c r="A18" s="4" t="s">
        <v>362</v>
      </c>
      <c r="B18" s="55"/>
      <c r="C18" s="55"/>
      <c r="D18" s="55"/>
      <c r="E18" s="55"/>
      <c r="F18" s="55"/>
      <c r="G18" s="55"/>
      <c r="H18" s="4">
        <v>247.48</v>
      </c>
      <c r="I18" s="4">
        <v>243.57</v>
      </c>
      <c r="J18" s="56"/>
      <c r="K18" s="4" t="s">
        <v>335</v>
      </c>
      <c r="L18" s="13" t="s">
        <v>360</v>
      </c>
      <c r="M18" s="17"/>
      <c r="N18" s="13"/>
    </row>
    <row r="19" spans="1:15">
      <c r="A19" s="4" t="s">
        <v>363</v>
      </c>
      <c r="B19" s="55"/>
      <c r="C19" s="55"/>
      <c r="D19" s="55"/>
      <c r="E19" s="55"/>
      <c r="F19" s="55"/>
      <c r="G19" s="55"/>
      <c r="H19" s="41">
        <v>5200.09</v>
      </c>
      <c r="I19" s="41">
        <v>5206.0600000000004</v>
      </c>
      <c r="J19" s="56"/>
      <c r="K19" s="4" t="s">
        <v>335</v>
      </c>
      <c r="L19" s="13" t="s">
        <v>360</v>
      </c>
      <c r="M19" s="17"/>
      <c r="N19" s="13"/>
    </row>
    <row r="20" spans="1:15">
      <c r="A20" s="4" t="s">
        <v>364</v>
      </c>
      <c r="B20" s="55"/>
      <c r="C20" s="55"/>
      <c r="D20" s="55"/>
      <c r="E20" s="55"/>
      <c r="F20" s="55"/>
      <c r="G20" s="55"/>
      <c r="H20" s="4">
        <v>142.19</v>
      </c>
      <c r="I20" s="4">
        <v>143</v>
      </c>
      <c r="J20" s="56"/>
      <c r="K20" s="4" t="s">
        <v>335</v>
      </c>
      <c r="L20" s="13" t="s">
        <v>360</v>
      </c>
      <c r="M20" s="17"/>
      <c r="N20" s="13"/>
    </row>
    <row r="21" spans="1:15">
      <c r="A21" s="4" t="s">
        <v>365</v>
      </c>
      <c r="B21" s="55"/>
      <c r="C21" s="55"/>
      <c r="D21" s="55"/>
      <c r="E21" s="55"/>
      <c r="F21" s="55"/>
      <c r="G21" s="55"/>
      <c r="H21" s="4">
        <v>201.21</v>
      </c>
      <c r="I21" s="4">
        <v>203</v>
      </c>
      <c r="J21" s="56"/>
      <c r="K21" s="15" t="s">
        <v>335</v>
      </c>
      <c r="L21" s="35" t="s">
        <v>360</v>
      </c>
      <c r="M21" s="17"/>
      <c r="N21" s="13"/>
    </row>
    <row r="22" spans="1:15">
      <c r="A22" s="4" t="s">
        <v>366</v>
      </c>
      <c r="B22" s="55"/>
      <c r="C22" s="55"/>
      <c r="D22" s="55"/>
      <c r="E22" s="55"/>
      <c r="F22" s="55"/>
      <c r="G22" s="55"/>
      <c r="H22" s="4">
        <v>29.26</v>
      </c>
      <c r="I22" s="4">
        <v>30.56</v>
      </c>
      <c r="J22" s="56"/>
      <c r="K22" s="4" t="s">
        <v>335</v>
      </c>
      <c r="L22" s="13" t="s">
        <v>360</v>
      </c>
      <c r="M22" s="17"/>
      <c r="N22" s="13"/>
    </row>
    <row r="23" spans="1:15">
      <c r="A23" s="4"/>
      <c r="B23" s="4"/>
      <c r="C23" s="4"/>
      <c r="D23" s="4"/>
      <c r="E23" s="4"/>
      <c r="F23" s="4"/>
      <c r="G23" s="4"/>
      <c r="H23" s="4"/>
      <c r="I23" s="4"/>
      <c r="J23" s="16"/>
      <c r="K23" s="4"/>
      <c r="L23" s="13"/>
      <c r="M23" s="17"/>
      <c r="N23" s="13"/>
    </row>
    <row r="24" spans="1:15">
      <c r="A24" s="4" t="s">
        <v>605</v>
      </c>
      <c r="B24" s="55"/>
      <c r="C24" s="55"/>
      <c r="D24" s="55"/>
      <c r="E24" s="55"/>
      <c r="F24" s="55"/>
      <c r="G24" s="4">
        <v>21.47</v>
      </c>
      <c r="H24" s="55"/>
      <c r="I24" s="55"/>
      <c r="J24" s="56"/>
      <c r="K24" s="4" t="s">
        <v>606</v>
      </c>
      <c r="L24" s="13" t="s">
        <v>607</v>
      </c>
      <c r="M24" s="17" t="s">
        <v>357</v>
      </c>
      <c r="N24" s="13" t="s">
        <v>358</v>
      </c>
      <c r="O24" t="s">
        <v>608</v>
      </c>
    </row>
    <row r="25" spans="1:15">
      <c r="A25" s="4" t="s">
        <v>609</v>
      </c>
      <c r="B25" s="55"/>
      <c r="C25" s="55"/>
      <c r="D25" s="55"/>
      <c r="E25" s="55"/>
      <c r="F25" s="55"/>
      <c r="G25" s="4">
        <v>42.36</v>
      </c>
      <c r="H25" s="55"/>
      <c r="I25" s="55"/>
      <c r="J25" s="56"/>
      <c r="K25" s="4" t="s">
        <v>606</v>
      </c>
      <c r="L25" s="13" t="s">
        <v>607</v>
      </c>
      <c r="M25" s="17"/>
      <c r="N25" s="13"/>
      <c r="O25" t="s">
        <v>610</v>
      </c>
    </row>
    <row r="26" spans="1:15">
      <c r="A26" s="4" t="s">
        <v>611</v>
      </c>
      <c r="B26" s="55"/>
      <c r="C26" s="55"/>
      <c r="D26" s="55"/>
      <c r="E26" s="55"/>
      <c r="F26" s="55"/>
      <c r="G26" s="4">
        <v>36.340000000000003</v>
      </c>
      <c r="H26" s="55"/>
      <c r="I26" s="55"/>
      <c r="J26" s="56"/>
      <c r="K26" s="4" t="s">
        <v>606</v>
      </c>
      <c r="L26" s="13" t="s">
        <v>607</v>
      </c>
      <c r="M26" s="17"/>
      <c r="N26" s="13"/>
    </row>
    <row r="27" spans="1:15">
      <c r="A27" s="4"/>
      <c r="B27" s="55"/>
      <c r="C27" s="55"/>
      <c r="D27" s="55"/>
      <c r="E27" s="55"/>
      <c r="F27" s="55"/>
      <c r="G27" s="4"/>
      <c r="H27" s="55"/>
      <c r="I27" s="55"/>
      <c r="J27" s="56"/>
      <c r="K27" s="4"/>
      <c r="L27" s="13"/>
      <c r="M27" s="17"/>
      <c r="N27" s="13"/>
    </row>
    <row r="28" spans="1:15">
      <c r="A28" s="221" t="s">
        <v>612</v>
      </c>
      <c r="B28" s="4"/>
      <c r="C28" s="4"/>
      <c r="D28" s="4"/>
      <c r="E28" s="4"/>
      <c r="F28" s="4"/>
      <c r="G28" s="4"/>
      <c r="H28" s="4"/>
      <c r="I28" s="4"/>
      <c r="J28" s="16"/>
      <c r="K28" s="4"/>
      <c r="L28" s="13"/>
      <c r="M28" s="17"/>
      <c r="N28" s="13"/>
    </row>
    <row r="29" spans="1:15">
      <c r="A29" s="4" t="s">
        <v>613</v>
      </c>
      <c r="B29" s="4">
        <v>9.4</v>
      </c>
      <c r="C29" s="55"/>
      <c r="D29" s="55"/>
      <c r="E29" s="55"/>
      <c r="F29" s="55"/>
      <c r="G29" s="55"/>
      <c r="H29" s="55"/>
      <c r="I29" s="55"/>
      <c r="J29" s="56"/>
      <c r="K29" s="4" t="s">
        <v>614</v>
      </c>
      <c r="L29" s="13" t="s">
        <v>615</v>
      </c>
      <c r="M29" s="17"/>
      <c r="N29" s="13"/>
    </row>
    <row r="30" spans="1:15">
      <c r="A30" s="4" t="s">
        <v>616</v>
      </c>
      <c r="B30" s="4">
        <v>399</v>
      </c>
      <c r="C30" s="55"/>
      <c r="D30" s="55"/>
      <c r="E30" s="55"/>
      <c r="F30" s="55"/>
      <c r="G30" s="55"/>
      <c r="H30" s="55"/>
      <c r="I30" s="55"/>
      <c r="J30" s="56"/>
      <c r="K30" s="4" t="s">
        <v>614</v>
      </c>
      <c r="L30" s="13" t="s">
        <v>615</v>
      </c>
      <c r="M30" s="17"/>
      <c r="N30" s="13"/>
    </row>
    <row r="31" spans="1:15">
      <c r="A31" s="4" t="s">
        <v>617</v>
      </c>
      <c r="B31" s="12">
        <v>3751</v>
      </c>
      <c r="C31" s="55"/>
      <c r="D31" s="55"/>
      <c r="E31" s="55"/>
      <c r="F31" s="55"/>
      <c r="G31" s="55"/>
      <c r="H31" s="55"/>
      <c r="I31" s="55"/>
      <c r="J31" s="56"/>
      <c r="K31" s="4" t="s">
        <v>614</v>
      </c>
      <c r="L31" s="13" t="s">
        <v>615</v>
      </c>
      <c r="M31" s="17"/>
      <c r="N31" s="13"/>
    </row>
    <row r="32" spans="1:15">
      <c r="A32" s="4"/>
      <c r="B32" s="4"/>
      <c r="C32" s="4"/>
      <c r="D32" s="4"/>
      <c r="E32" s="4"/>
      <c r="F32" s="4"/>
      <c r="G32" s="4"/>
      <c r="H32" s="4"/>
      <c r="I32" s="4"/>
      <c r="J32" s="16"/>
      <c r="K32" s="4"/>
      <c r="L32" s="4"/>
      <c r="M32" s="17"/>
      <c r="N32" s="4"/>
    </row>
    <row r="33" spans="1:15">
      <c r="A33" s="221" t="s">
        <v>618</v>
      </c>
      <c r="B33" s="4"/>
      <c r="C33" s="16"/>
      <c r="D33" s="4"/>
      <c r="E33" s="4"/>
      <c r="F33" s="4"/>
      <c r="G33" s="4"/>
      <c r="H33" s="4"/>
      <c r="I33" s="4"/>
      <c r="J33" s="333"/>
      <c r="K33" s="4"/>
      <c r="L33" s="4"/>
      <c r="M33" s="17"/>
      <c r="N33" s="4"/>
    </row>
    <row r="34" spans="1:15">
      <c r="A34" s="4" t="s">
        <v>619</v>
      </c>
      <c r="B34" s="12">
        <v>5224</v>
      </c>
      <c r="C34" s="52">
        <v>4875</v>
      </c>
      <c r="D34" s="12">
        <v>5610</v>
      </c>
      <c r="E34" s="55"/>
      <c r="F34" s="55"/>
      <c r="G34" s="55"/>
      <c r="H34" s="55"/>
      <c r="I34" s="55"/>
      <c r="J34" s="334"/>
      <c r="K34" s="4" t="s">
        <v>335</v>
      </c>
      <c r="L34" s="13" t="s">
        <v>580</v>
      </c>
      <c r="M34" s="17"/>
      <c r="N34" s="4"/>
    </row>
    <row r="35" spans="1:15">
      <c r="A35" s="4" t="s">
        <v>620</v>
      </c>
      <c r="B35" s="12">
        <v>1888</v>
      </c>
      <c r="C35" s="52">
        <v>1425</v>
      </c>
      <c r="D35" s="12">
        <v>1933</v>
      </c>
      <c r="E35" s="55"/>
      <c r="F35" s="55"/>
      <c r="G35" s="55"/>
      <c r="H35" s="55"/>
      <c r="I35" s="55"/>
      <c r="J35" s="334"/>
      <c r="K35" s="4" t="s">
        <v>335</v>
      </c>
      <c r="L35" s="13" t="s">
        <v>580</v>
      </c>
      <c r="M35" s="17"/>
      <c r="N35" s="4"/>
    </row>
    <row r="36" spans="1:15">
      <c r="A36" s="4" t="s">
        <v>621</v>
      </c>
      <c r="B36" s="12">
        <v>1687</v>
      </c>
      <c r="C36" s="52">
        <v>1457</v>
      </c>
      <c r="D36" s="12">
        <v>1991</v>
      </c>
      <c r="E36" s="55"/>
      <c r="F36" s="55"/>
      <c r="G36" s="55"/>
      <c r="H36" s="55"/>
      <c r="I36" s="55"/>
      <c r="J36" s="334"/>
      <c r="K36" s="4" t="s">
        <v>335</v>
      </c>
      <c r="L36" s="13" t="s">
        <v>580</v>
      </c>
      <c r="M36" s="17"/>
      <c r="N36" s="4"/>
    </row>
    <row r="37" spans="1:15">
      <c r="A37" s="4"/>
      <c r="B37" s="4"/>
      <c r="C37" s="16"/>
      <c r="D37" s="4"/>
      <c r="E37" s="4"/>
      <c r="F37" s="4"/>
      <c r="G37" s="4"/>
      <c r="H37" s="4"/>
      <c r="I37" s="4"/>
      <c r="J37" s="333"/>
      <c r="K37" s="4"/>
      <c r="L37" s="4"/>
      <c r="M37" s="17"/>
      <c r="N37" s="4"/>
    </row>
    <row r="38" spans="1:15">
      <c r="A38" s="221" t="s">
        <v>622</v>
      </c>
      <c r="B38" s="4"/>
      <c r="C38" s="16"/>
      <c r="D38" s="4"/>
      <c r="E38" s="4"/>
      <c r="F38" s="4"/>
      <c r="G38" s="4"/>
      <c r="H38" s="4"/>
      <c r="I38" s="4"/>
      <c r="J38" s="17"/>
      <c r="K38" s="4"/>
      <c r="L38" s="4"/>
      <c r="M38" s="4"/>
      <c r="N38" s="4"/>
    </row>
    <row r="39" spans="1:15">
      <c r="A39" s="4" t="s">
        <v>623</v>
      </c>
      <c r="B39" s="174"/>
      <c r="C39" s="174"/>
      <c r="D39" s="19">
        <v>48.4</v>
      </c>
      <c r="E39" s="19">
        <v>46.7</v>
      </c>
      <c r="F39" s="19">
        <v>45.8</v>
      </c>
      <c r="G39" s="19">
        <v>43.7</v>
      </c>
      <c r="H39" s="19">
        <v>43.6</v>
      </c>
      <c r="I39" s="19">
        <v>42.5</v>
      </c>
      <c r="J39" s="4"/>
      <c r="K39" s="4" t="s">
        <v>335</v>
      </c>
      <c r="L39" s="13" t="s">
        <v>624</v>
      </c>
      <c r="M39" s="4"/>
      <c r="N39" s="4"/>
    </row>
    <row r="40" spans="1:15">
      <c r="A40" s="4" t="s">
        <v>625</v>
      </c>
      <c r="B40" s="179"/>
      <c r="C40" s="179"/>
      <c r="D40" s="179"/>
      <c r="E40" s="179"/>
      <c r="F40" s="179"/>
      <c r="G40" s="179"/>
      <c r="H40" s="179"/>
      <c r="I40" s="179"/>
      <c r="J40" s="179"/>
      <c r="K40" s="4"/>
      <c r="L40" s="4"/>
      <c r="M40" s="4"/>
      <c r="N40" s="4"/>
    </row>
    <row r="41" spans="1:15">
      <c r="A41" s="4" t="s">
        <v>626</v>
      </c>
      <c r="B41" s="179"/>
      <c r="C41" s="179"/>
      <c r="D41" s="179"/>
      <c r="E41" s="179"/>
      <c r="F41" s="179"/>
      <c r="G41" s="179"/>
      <c r="H41" s="179"/>
      <c r="I41" s="179"/>
      <c r="J41" s="179"/>
      <c r="K41" s="4"/>
      <c r="L41" s="4"/>
      <c r="M41" s="4"/>
      <c r="N41" s="4"/>
    </row>
    <row r="42" spans="1:15">
      <c r="A42" s="4"/>
      <c r="B42" s="4"/>
      <c r="C42" s="4"/>
      <c r="D42" s="4"/>
      <c r="E42" s="4"/>
      <c r="F42" s="4"/>
      <c r="G42" s="4"/>
      <c r="H42" s="4"/>
      <c r="I42" s="4"/>
      <c r="J42" s="4"/>
      <c r="K42" s="4"/>
      <c r="L42" s="4"/>
      <c r="M42" s="4"/>
      <c r="N42" s="4"/>
    </row>
    <row r="43" spans="1:15">
      <c r="A43" s="6"/>
      <c r="B43" s="6"/>
      <c r="C43" s="6"/>
      <c r="D43" s="6"/>
      <c r="E43" s="6"/>
      <c r="F43" s="6"/>
      <c r="G43" s="6"/>
      <c r="H43" s="6"/>
      <c r="I43" s="6"/>
      <c r="J43" s="6"/>
      <c r="K43" s="6"/>
      <c r="L43" s="6"/>
      <c r="M43" s="6"/>
      <c r="N43" s="6"/>
    </row>
    <row r="44" spans="1:15">
      <c r="A44" s="64" t="s">
        <v>125</v>
      </c>
      <c r="B44" s="64">
        <v>2008</v>
      </c>
      <c r="C44" s="64">
        <v>2009</v>
      </c>
      <c r="D44" s="64">
        <v>2010</v>
      </c>
      <c r="E44" s="64">
        <v>2011</v>
      </c>
      <c r="F44" s="64">
        <v>2012</v>
      </c>
      <c r="G44" s="64">
        <v>2013</v>
      </c>
      <c r="H44" s="64">
        <v>2014</v>
      </c>
      <c r="I44" s="64">
        <v>2015</v>
      </c>
      <c r="J44" s="64">
        <v>2016</v>
      </c>
      <c r="K44" s="3" t="s">
        <v>102</v>
      </c>
      <c r="L44" s="3" t="s">
        <v>103</v>
      </c>
      <c r="M44" s="3" t="s">
        <v>104</v>
      </c>
      <c r="N44" s="3" t="s">
        <v>105</v>
      </c>
    </row>
    <row r="45" spans="1:15">
      <c r="A45" s="62" t="s">
        <v>627</v>
      </c>
      <c r="B45" s="178"/>
      <c r="C45" s="178"/>
      <c r="D45" s="293">
        <v>47.54</v>
      </c>
      <c r="E45" s="62">
        <v>62.74</v>
      </c>
      <c r="F45" s="62">
        <v>72.02</v>
      </c>
      <c r="G45" s="62">
        <v>59.95</v>
      </c>
      <c r="H45" s="62">
        <v>54.47</v>
      </c>
      <c r="I45" s="62">
        <v>47.2</v>
      </c>
      <c r="J45" s="62">
        <v>46.64</v>
      </c>
      <c r="K45" s="4" t="s">
        <v>335</v>
      </c>
      <c r="L45" s="13" t="s">
        <v>360</v>
      </c>
      <c r="M45" s="4"/>
      <c r="N45" s="4"/>
      <c r="O45" t="s">
        <v>402</v>
      </c>
    </row>
    <row r="46" spans="1:15">
      <c r="A46" s="62" t="s">
        <v>403</v>
      </c>
      <c r="B46" s="182"/>
      <c r="C46" s="182"/>
      <c r="D46" s="182"/>
      <c r="E46" s="182"/>
      <c r="F46" s="182"/>
      <c r="G46" s="182"/>
      <c r="H46" s="182"/>
      <c r="I46" s="182"/>
      <c r="J46" s="182"/>
      <c r="K46" s="4"/>
      <c r="L46" s="4"/>
      <c r="M46" s="4"/>
      <c r="N46" s="4"/>
    </row>
    <row r="47" spans="1:15">
      <c r="A47" s="62"/>
      <c r="B47" s="62"/>
      <c r="C47" s="62"/>
      <c r="D47" s="62"/>
      <c r="E47" s="62"/>
      <c r="F47" s="62"/>
      <c r="G47" s="62"/>
      <c r="H47" s="62"/>
      <c r="I47" s="62"/>
      <c r="J47" s="62"/>
      <c r="K47" s="4"/>
      <c r="L47" s="4"/>
      <c r="M47" s="4"/>
      <c r="N47" s="4"/>
    </row>
    <row r="48" spans="1:15">
      <c r="A48" s="62" t="s">
        <v>457</v>
      </c>
      <c r="B48" s="178"/>
      <c r="C48" s="178"/>
      <c r="D48" s="178"/>
      <c r="E48" s="178"/>
      <c r="F48" s="178"/>
      <c r="G48" s="178"/>
      <c r="H48" s="62">
        <v>3.53</v>
      </c>
      <c r="I48" s="62">
        <v>3.56</v>
      </c>
      <c r="J48" s="62">
        <v>3.45</v>
      </c>
      <c r="K48" s="4" t="s">
        <v>335</v>
      </c>
      <c r="L48" s="13" t="s">
        <v>360</v>
      </c>
      <c r="M48" s="4"/>
      <c r="N48" s="4"/>
      <c r="O48" t="s">
        <v>458</v>
      </c>
    </row>
    <row r="49" spans="1:15">
      <c r="A49" s="62"/>
      <c r="B49" s="62"/>
      <c r="C49" s="62"/>
      <c r="D49" s="62"/>
      <c r="E49" s="62"/>
      <c r="F49" s="62"/>
      <c r="G49" s="62"/>
      <c r="H49" s="62"/>
      <c r="I49" s="62"/>
      <c r="J49" s="62"/>
      <c r="K49" s="4"/>
      <c r="L49" s="4"/>
      <c r="M49" s="4"/>
      <c r="N49" s="4"/>
    </row>
    <row r="50" spans="1:15">
      <c r="A50" s="62" t="s">
        <v>628</v>
      </c>
      <c r="B50" s="178"/>
      <c r="C50" s="178"/>
      <c r="D50" s="178"/>
      <c r="E50" s="178"/>
      <c r="F50" s="178"/>
      <c r="G50" s="178"/>
      <c r="H50" s="178"/>
      <c r="I50" s="65">
        <v>5219402000</v>
      </c>
      <c r="J50" s="178"/>
      <c r="K50" s="4" t="s">
        <v>629</v>
      </c>
      <c r="L50" s="13" t="s">
        <v>630</v>
      </c>
      <c r="M50" s="4"/>
      <c r="N50" s="4"/>
    </row>
    <row r="51" spans="1:15">
      <c r="A51" s="62"/>
      <c r="B51" s="62"/>
      <c r="C51" s="62"/>
      <c r="D51" s="62"/>
      <c r="E51" s="62"/>
      <c r="F51" s="62"/>
      <c r="G51" s="62"/>
      <c r="H51" s="62"/>
      <c r="I51" s="65"/>
      <c r="J51" s="62"/>
      <c r="K51" s="4"/>
      <c r="L51" s="13"/>
      <c r="M51" s="4"/>
      <c r="N51" s="4"/>
    </row>
    <row r="52" spans="1:15">
      <c r="A52" s="59" t="s">
        <v>631</v>
      </c>
      <c r="B52" s="178"/>
      <c r="C52" s="178"/>
      <c r="D52" s="178"/>
      <c r="E52" s="178"/>
      <c r="F52" s="178"/>
      <c r="G52" s="62">
        <v>36</v>
      </c>
      <c r="H52" s="62">
        <v>32</v>
      </c>
      <c r="I52" s="65">
        <v>67</v>
      </c>
      <c r="J52" s="62">
        <v>55</v>
      </c>
      <c r="K52" s="4" t="s">
        <v>335</v>
      </c>
      <c r="L52" s="13" t="s">
        <v>360</v>
      </c>
      <c r="M52" s="4"/>
      <c r="N52" s="4"/>
    </row>
    <row r="53" spans="1:15">
      <c r="A53" s="62" t="s">
        <v>632</v>
      </c>
      <c r="B53" s="178"/>
      <c r="C53" s="178"/>
      <c r="D53" s="178"/>
      <c r="E53" s="178"/>
      <c r="F53" s="178"/>
      <c r="G53" s="65">
        <v>1921</v>
      </c>
      <c r="H53" s="65">
        <v>1867</v>
      </c>
      <c r="I53" s="65">
        <v>1898</v>
      </c>
      <c r="J53" s="65">
        <v>2225</v>
      </c>
      <c r="K53" s="4" t="s">
        <v>335</v>
      </c>
      <c r="L53" s="13" t="s">
        <v>360</v>
      </c>
      <c r="M53" s="4"/>
      <c r="N53" s="4"/>
    </row>
    <row r="54" spans="1:15">
      <c r="A54" s="62"/>
      <c r="B54" s="62"/>
      <c r="C54" s="62"/>
      <c r="D54" s="62"/>
      <c r="E54" s="62"/>
      <c r="F54" s="62"/>
      <c r="G54" s="62"/>
      <c r="H54" s="62"/>
      <c r="I54" s="65"/>
      <c r="J54" s="62"/>
      <c r="K54" s="4"/>
      <c r="L54" s="13"/>
      <c r="M54" s="4"/>
      <c r="N54" s="4"/>
    </row>
    <row r="55" spans="1:15">
      <c r="A55" s="62" t="s">
        <v>633</v>
      </c>
      <c r="B55" s="178"/>
      <c r="C55" s="178"/>
      <c r="D55" s="178"/>
      <c r="E55" s="178"/>
      <c r="F55" s="178"/>
      <c r="G55" s="62">
        <v>821</v>
      </c>
      <c r="H55" s="65">
        <v>1232</v>
      </c>
      <c r="I55" s="65">
        <v>1731</v>
      </c>
      <c r="J55" s="65">
        <v>1737</v>
      </c>
      <c r="K55" s="4" t="s">
        <v>335</v>
      </c>
      <c r="L55" s="13" t="s">
        <v>360</v>
      </c>
      <c r="M55" s="4"/>
      <c r="N55" s="4"/>
      <c r="O55" t="s">
        <v>634</v>
      </c>
    </row>
    <row r="56" spans="1:15">
      <c r="A56" s="15" t="s">
        <v>635</v>
      </c>
      <c r="B56" s="57"/>
      <c r="C56" s="57"/>
      <c r="D56" s="57"/>
      <c r="E56" s="57"/>
      <c r="F56" s="57"/>
      <c r="G56" s="18">
        <v>1232</v>
      </c>
      <c r="H56" s="18">
        <v>1731</v>
      </c>
      <c r="I56" s="18">
        <v>1737</v>
      </c>
      <c r="J56" s="18">
        <v>2320</v>
      </c>
      <c r="K56" s="15" t="s">
        <v>335</v>
      </c>
      <c r="L56" s="35" t="s">
        <v>360</v>
      </c>
      <c r="M56" s="15"/>
      <c r="N56" s="15"/>
    </row>
    <row r="57" spans="1:15">
      <c r="A57" s="4"/>
      <c r="B57" s="4"/>
      <c r="C57" s="4"/>
      <c r="D57" s="4"/>
      <c r="E57" s="4"/>
      <c r="F57" s="4"/>
      <c r="G57" s="4"/>
      <c r="H57" s="4"/>
      <c r="I57" s="16"/>
      <c r="J57" s="4"/>
      <c r="K57" s="4"/>
      <c r="L57" s="4"/>
      <c r="M57" s="4"/>
      <c r="N57" s="4"/>
    </row>
    <row r="58" spans="1:15">
      <c r="A58" s="4" t="s">
        <v>636</v>
      </c>
      <c r="B58" s="174"/>
      <c r="C58" s="174"/>
      <c r="D58" s="174"/>
      <c r="E58" s="174"/>
      <c r="F58" s="174"/>
      <c r="G58" s="174"/>
      <c r="H58" s="174"/>
      <c r="I58" s="16" t="s">
        <v>637</v>
      </c>
      <c r="J58" s="55"/>
      <c r="K58" s="4" t="s">
        <v>638</v>
      </c>
      <c r="L58" s="13" t="s">
        <v>358</v>
      </c>
      <c r="M58" s="4"/>
      <c r="N58" s="4"/>
      <c r="O58" t="s">
        <v>639</v>
      </c>
    </row>
    <row r="59" spans="1:15">
      <c r="A59" s="4" t="s">
        <v>640</v>
      </c>
      <c r="B59" s="174"/>
      <c r="C59" s="174"/>
      <c r="D59" s="174"/>
      <c r="E59" s="174"/>
      <c r="F59" s="174"/>
      <c r="G59" s="174"/>
      <c r="H59" s="174"/>
      <c r="I59" s="16" t="s">
        <v>641</v>
      </c>
      <c r="J59" s="55"/>
      <c r="K59" s="4" t="s">
        <v>638</v>
      </c>
      <c r="L59" s="13" t="s">
        <v>358</v>
      </c>
      <c r="M59" s="4"/>
      <c r="N59" s="4"/>
      <c r="O59" t="s">
        <v>642</v>
      </c>
    </row>
    <row r="60" spans="1:15">
      <c r="A60" s="4" t="s">
        <v>643</v>
      </c>
      <c r="B60" s="174"/>
      <c r="C60" s="174"/>
      <c r="D60" s="174"/>
      <c r="E60" s="174"/>
      <c r="F60" s="174"/>
      <c r="G60" s="174"/>
      <c r="H60" s="174"/>
      <c r="I60" s="16" t="s">
        <v>644</v>
      </c>
      <c r="J60" s="55"/>
      <c r="K60" s="4" t="s">
        <v>638</v>
      </c>
      <c r="L60" s="13" t="s">
        <v>358</v>
      </c>
      <c r="M60" s="4"/>
      <c r="N60" s="4"/>
    </row>
    <row r="61" spans="1:15">
      <c r="A61" s="4" t="s">
        <v>645</v>
      </c>
      <c r="B61" s="174"/>
      <c r="C61" s="174"/>
      <c r="D61" s="174"/>
      <c r="E61" s="174"/>
      <c r="F61" s="174"/>
      <c r="G61" s="174"/>
      <c r="H61" s="174"/>
      <c r="I61" s="16" t="s">
        <v>646</v>
      </c>
      <c r="J61" s="55"/>
      <c r="K61" s="4" t="s">
        <v>638</v>
      </c>
      <c r="L61" s="13" t="s">
        <v>358</v>
      </c>
      <c r="M61" s="4"/>
      <c r="N61" s="4"/>
    </row>
  </sheetData>
  <mergeCells count="1">
    <mergeCell ref="A2:A3"/>
  </mergeCells>
  <hyperlinks>
    <hyperlink ref="L6" r:id="rId1" xr:uid="{00000000-0004-0000-0E00-000000000000}"/>
    <hyperlink ref="N13" r:id="rId2" xr:uid="{00000000-0004-0000-0E00-000001000000}"/>
    <hyperlink ref="N24" r:id="rId3" xr:uid="{00000000-0004-0000-0E00-000002000000}"/>
    <hyperlink ref="L50" r:id="rId4" xr:uid="{00000000-0004-0000-0E00-000003000000}"/>
    <hyperlink ref="N6" r:id="rId5" location="/app/downloads" xr:uid="{00000000-0004-0000-0E00-000004000000}"/>
    <hyperlink ref="L7" r:id="rId6" location="/app/downloads" xr:uid="{00000000-0004-0000-0E00-000005000000}"/>
    <hyperlink ref="L13" r:id="rId7" location="/app/downloads" xr:uid="{00000000-0004-0000-0E00-000006000000}"/>
    <hyperlink ref="L39" r:id="rId8" xr:uid="{00000000-0004-0000-0E00-000007000000}"/>
    <hyperlink ref="L24" r:id="rId9" xr:uid="{00000000-0004-0000-0E00-000008000000}"/>
    <hyperlink ref="L25" r:id="rId10" xr:uid="{00000000-0004-0000-0E00-000009000000}"/>
    <hyperlink ref="L26" r:id="rId11" xr:uid="{00000000-0004-0000-0E00-00000A000000}"/>
    <hyperlink ref="L55" r:id="rId12" xr:uid="{00000000-0004-0000-0E00-00000B000000}"/>
    <hyperlink ref="L56" r:id="rId13" xr:uid="{00000000-0004-0000-0E00-00000C000000}"/>
    <hyperlink ref="L52" r:id="rId14" xr:uid="{00000000-0004-0000-0E00-00000D000000}"/>
    <hyperlink ref="L53" r:id="rId15" xr:uid="{00000000-0004-0000-0E00-00000E000000}"/>
    <hyperlink ref="L16" r:id="rId16" xr:uid="{00000000-0004-0000-0E00-00000F000000}"/>
    <hyperlink ref="L17" r:id="rId17" xr:uid="{00000000-0004-0000-0E00-000010000000}"/>
    <hyperlink ref="L18" r:id="rId18" xr:uid="{00000000-0004-0000-0E00-000011000000}"/>
    <hyperlink ref="L19" r:id="rId19" xr:uid="{00000000-0004-0000-0E00-000012000000}"/>
    <hyperlink ref="L20" r:id="rId20" xr:uid="{00000000-0004-0000-0E00-000013000000}"/>
    <hyperlink ref="L21" r:id="rId21" xr:uid="{00000000-0004-0000-0E00-000014000000}"/>
    <hyperlink ref="L22" r:id="rId22" xr:uid="{00000000-0004-0000-0E00-000015000000}"/>
    <hyperlink ref="L48" r:id="rId23" xr:uid="{00000000-0004-0000-0E00-000016000000}"/>
    <hyperlink ref="L29" r:id="rId24" xr:uid="{00000000-0004-0000-0E00-000017000000}"/>
    <hyperlink ref="L30" r:id="rId25" xr:uid="{00000000-0004-0000-0E00-000018000000}"/>
    <hyperlink ref="L31" r:id="rId26" xr:uid="{00000000-0004-0000-0E00-000019000000}"/>
    <hyperlink ref="L5" r:id="rId27" xr:uid="{00000000-0004-0000-0E00-00001A000000}"/>
    <hyperlink ref="L58" r:id="rId28" xr:uid="{00000000-0004-0000-0E00-00001B000000}"/>
    <hyperlink ref="L59" r:id="rId29" xr:uid="{00000000-0004-0000-0E00-00001C000000}"/>
    <hyperlink ref="L60" r:id="rId30" xr:uid="{00000000-0004-0000-0E00-00001D000000}"/>
    <hyperlink ref="L61" r:id="rId31" xr:uid="{00000000-0004-0000-0E00-00001E000000}"/>
    <hyperlink ref="L45" r:id="rId32" xr:uid="{00000000-0004-0000-0E00-00001F000000}"/>
    <hyperlink ref="L34" r:id="rId33" xr:uid="{00000000-0004-0000-0E00-000020000000}"/>
    <hyperlink ref="L35" r:id="rId34" xr:uid="{00000000-0004-0000-0E00-000021000000}"/>
    <hyperlink ref="L36" r:id="rId35" xr:uid="{00000000-0004-0000-0E00-000022000000}"/>
  </hyperlinks>
  <pageMargins left="0.7" right="0.7" top="0.75" bottom="0.75" header="0.3" footer="0.3"/>
  <drawing r:id="rId3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499984740745262"/>
  </sheetPr>
  <dimension ref="A1:O36"/>
  <sheetViews>
    <sheetView topLeftCell="A16" zoomScaleNormal="100" workbookViewId="0">
      <selection activeCell="A6" sqref="A6"/>
    </sheetView>
  </sheetViews>
  <sheetFormatPr defaultColWidth="8.85546875" defaultRowHeight="15"/>
  <cols>
    <col min="1" max="1" width="53.42578125" customWidth="1"/>
    <col min="11" max="11" width="14" customWidth="1"/>
    <col min="12" max="12" width="16" customWidth="1"/>
    <col min="13" max="13" width="16.140625" customWidth="1"/>
    <col min="14" max="14" width="14.7109375" customWidth="1"/>
    <col min="15" max="15" width="15.85546875" customWidth="1"/>
  </cols>
  <sheetData>
    <row r="1" spans="1:14">
      <c r="A1" s="6"/>
      <c r="B1" s="6"/>
      <c r="C1" s="6"/>
      <c r="D1" s="6"/>
      <c r="E1" s="6"/>
      <c r="F1" s="6"/>
      <c r="G1" s="6"/>
      <c r="H1" s="6"/>
      <c r="I1" s="6"/>
      <c r="J1" s="6"/>
      <c r="K1" s="6"/>
      <c r="L1" s="6"/>
      <c r="M1" s="6"/>
      <c r="N1" s="6"/>
    </row>
    <row r="2" spans="1:14">
      <c r="A2" s="467" t="s">
        <v>647</v>
      </c>
    </row>
    <row r="3" spans="1:14">
      <c r="A3" s="468"/>
    </row>
    <row r="4" spans="1:14">
      <c r="A4" s="3" t="s">
        <v>101</v>
      </c>
      <c r="B4" s="3">
        <v>2008</v>
      </c>
      <c r="C4" s="3">
        <v>2009</v>
      </c>
      <c r="D4" s="3">
        <v>2010</v>
      </c>
      <c r="E4" s="3">
        <v>2011</v>
      </c>
      <c r="F4" s="3">
        <v>2012</v>
      </c>
      <c r="G4" s="3">
        <v>2013</v>
      </c>
      <c r="H4" s="3">
        <v>2014</v>
      </c>
      <c r="I4" s="3">
        <v>2015</v>
      </c>
      <c r="J4" s="3">
        <v>2016</v>
      </c>
      <c r="K4" s="3" t="s">
        <v>102</v>
      </c>
      <c r="L4" s="3" t="s">
        <v>103</v>
      </c>
      <c r="M4" s="3" t="s">
        <v>104</v>
      </c>
      <c r="N4" s="3" t="s">
        <v>105</v>
      </c>
    </row>
    <row r="5" spans="1:14">
      <c r="A5" s="4" t="s">
        <v>648</v>
      </c>
      <c r="B5" s="175"/>
      <c r="C5" s="175"/>
      <c r="D5" s="175"/>
      <c r="E5" s="175"/>
      <c r="F5" s="185">
        <v>89.9</v>
      </c>
      <c r="G5" s="175"/>
      <c r="H5" s="175"/>
      <c r="I5" s="55"/>
      <c r="J5" s="55"/>
      <c r="K5" s="4" t="s">
        <v>338</v>
      </c>
      <c r="L5" s="13" t="s">
        <v>348</v>
      </c>
      <c r="M5" s="4"/>
      <c r="N5" s="4"/>
    </row>
    <row r="6" spans="1:14">
      <c r="A6" s="4" t="s">
        <v>649</v>
      </c>
      <c r="B6" s="55"/>
      <c r="C6" s="55"/>
      <c r="D6" s="4">
        <v>71.989999999999995</v>
      </c>
      <c r="E6" s="4">
        <v>70.459999999999994</v>
      </c>
      <c r="F6" s="4">
        <v>77.2</v>
      </c>
      <c r="G6" s="4">
        <v>76.8</v>
      </c>
      <c r="H6" s="4">
        <v>83.3</v>
      </c>
      <c r="I6" s="4">
        <v>82.7</v>
      </c>
      <c r="J6" s="4">
        <v>83.87</v>
      </c>
      <c r="K6" s="4" t="s">
        <v>335</v>
      </c>
      <c r="L6" s="13" t="s">
        <v>369</v>
      </c>
      <c r="M6" s="4"/>
      <c r="N6" s="4"/>
    </row>
    <row r="7" spans="1:14" s="38" customFormat="1">
      <c r="A7" s="59" t="s">
        <v>650</v>
      </c>
      <c r="B7" s="180"/>
      <c r="C7" s="180"/>
      <c r="D7" s="181"/>
      <c r="E7" s="181"/>
      <c r="F7" s="181"/>
      <c r="G7" s="181"/>
      <c r="H7" s="59">
        <v>3.2</v>
      </c>
      <c r="I7" s="59">
        <v>3.23</v>
      </c>
      <c r="J7" s="59">
        <v>3.5</v>
      </c>
      <c r="K7" s="59" t="s">
        <v>335</v>
      </c>
      <c r="L7" s="13" t="s">
        <v>356</v>
      </c>
      <c r="M7" s="13"/>
      <c r="N7" s="13"/>
    </row>
    <row r="8" spans="1:14">
      <c r="A8" s="4" t="s">
        <v>651</v>
      </c>
      <c r="B8" s="179"/>
      <c r="C8" s="179"/>
      <c r="D8" s="182"/>
      <c r="E8" s="182"/>
      <c r="F8" s="182"/>
      <c r="G8" s="182"/>
      <c r="H8" s="182"/>
      <c r="I8" s="182"/>
      <c r="J8" s="182"/>
      <c r="K8" s="62"/>
      <c r="L8" s="4"/>
      <c r="M8" s="4"/>
      <c r="N8" s="4"/>
    </row>
    <row r="9" spans="1:14">
      <c r="A9" s="4" t="s">
        <v>652</v>
      </c>
      <c r="B9" s="179"/>
      <c r="C9" s="179"/>
      <c r="D9" s="182"/>
      <c r="E9" s="182"/>
      <c r="F9" s="182"/>
      <c r="G9" s="182"/>
      <c r="H9" s="182"/>
      <c r="I9" s="182"/>
      <c r="J9" s="182"/>
      <c r="K9" s="62"/>
      <c r="L9" s="4"/>
      <c r="M9" s="4"/>
      <c r="N9" s="4"/>
    </row>
    <row r="10" spans="1:14">
      <c r="A10" s="4"/>
      <c r="B10" s="4"/>
      <c r="C10" s="4"/>
      <c r="D10" s="62"/>
      <c r="E10" s="62"/>
      <c r="F10" s="62"/>
      <c r="G10" s="62"/>
      <c r="H10" s="62"/>
      <c r="I10" s="62"/>
      <c r="J10" s="62"/>
      <c r="K10" s="62"/>
      <c r="L10" s="4"/>
      <c r="M10" s="4"/>
      <c r="N10" s="4"/>
    </row>
    <row r="11" spans="1:14">
      <c r="A11" s="6"/>
      <c r="B11" s="6"/>
      <c r="C11" s="6"/>
      <c r="D11" s="63"/>
      <c r="E11" s="63"/>
      <c r="F11" s="63"/>
      <c r="G11" s="63"/>
      <c r="H11" s="63"/>
      <c r="I11" s="63"/>
      <c r="J11" s="63"/>
      <c r="K11" s="63"/>
      <c r="L11" s="6"/>
      <c r="M11" s="6"/>
      <c r="N11" s="6"/>
    </row>
    <row r="12" spans="1:14">
      <c r="A12" s="3" t="s">
        <v>256</v>
      </c>
      <c r="B12" s="3">
        <v>2008</v>
      </c>
      <c r="C12" s="3">
        <v>2009</v>
      </c>
      <c r="D12" s="64">
        <v>2010</v>
      </c>
      <c r="E12" s="64">
        <v>2011</v>
      </c>
      <c r="F12" s="64">
        <v>2012</v>
      </c>
      <c r="G12" s="64">
        <v>2013</v>
      </c>
      <c r="H12" s="64">
        <v>2014</v>
      </c>
      <c r="I12" s="64">
        <v>2015</v>
      </c>
      <c r="J12" s="64">
        <v>2016</v>
      </c>
      <c r="K12" s="64" t="s">
        <v>102</v>
      </c>
      <c r="L12" s="3" t="s">
        <v>103</v>
      </c>
      <c r="M12" s="3" t="s">
        <v>104</v>
      </c>
      <c r="N12" s="3" t="s">
        <v>105</v>
      </c>
    </row>
    <row r="13" spans="1:14">
      <c r="A13" s="4" t="s">
        <v>368</v>
      </c>
      <c r="B13" s="55"/>
      <c r="C13" s="55"/>
      <c r="D13" s="178"/>
      <c r="E13" s="178"/>
      <c r="F13" s="65">
        <v>3042</v>
      </c>
      <c r="G13" s="65">
        <v>3358</v>
      </c>
      <c r="H13" s="65">
        <v>3927</v>
      </c>
      <c r="I13" s="65">
        <v>3929</v>
      </c>
      <c r="J13" s="65">
        <v>4201</v>
      </c>
      <c r="K13" s="62" t="s">
        <v>335</v>
      </c>
      <c r="L13" s="13" t="s">
        <v>369</v>
      </c>
      <c r="M13" s="4"/>
      <c r="N13" s="4"/>
    </row>
    <row r="14" spans="1:14">
      <c r="A14" s="4" t="s">
        <v>370</v>
      </c>
      <c r="B14" s="179"/>
      <c r="C14" s="179"/>
      <c r="D14" s="182"/>
      <c r="E14" s="182"/>
      <c r="F14" s="182"/>
      <c r="G14" s="182"/>
      <c r="H14" s="182"/>
      <c r="I14" s="182"/>
      <c r="J14" s="182"/>
      <c r="K14" s="62"/>
      <c r="L14" s="4"/>
      <c r="M14" s="4"/>
      <c r="N14" s="4"/>
    </row>
    <row r="15" spans="1:14">
      <c r="A15" s="4" t="s">
        <v>371</v>
      </c>
      <c r="B15" s="179"/>
      <c r="C15" s="179"/>
      <c r="D15" s="182"/>
      <c r="E15" s="182"/>
      <c r="F15" s="182"/>
      <c r="G15" s="182"/>
      <c r="H15" s="182"/>
      <c r="I15" s="182"/>
      <c r="J15" s="182"/>
      <c r="K15" s="62"/>
      <c r="L15" s="4"/>
      <c r="M15" s="4"/>
      <c r="N15" s="4"/>
    </row>
    <row r="16" spans="1:14">
      <c r="A16" s="4" t="s">
        <v>372</v>
      </c>
      <c r="B16" s="179"/>
      <c r="C16" s="179"/>
      <c r="D16" s="182"/>
      <c r="E16" s="182"/>
      <c r="F16" s="182"/>
      <c r="G16" s="182"/>
      <c r="H16" s="182"/>
      <c r="I16" s="182"/>
      <c r="J16" s="182"/>
      <c r="K16" s="62"/>
      <c r="L16" s="4"/>
      <c r="M16" s="4"/>
      <c r="N16" s="4"/>
    </row>
    <row r="17" spans="1:15">
      <c r="A17" s="4"/>
      <c r="B17" s="4"/>
      <c r="C17" s="4"/>
      <c r="D17" s="62"/>
      <c r="E17" s="62"/>
      <c r="F17" s="62"/>
      <c r="G17" s="62"/>
      <c r="H17" s="62"/>
      <c r="I17" s="62"/>
      <c r="J17" s="62"/>
      <c r="K17" s="62"/>
      <c r="L17" s="4"/>
      <c r="M17" s="4"/>
      <c r="N17" s="4"/>
    </row>
    <row r="18" spans="1:15">
      <c r="A18" s="4" t="s">
        <v>653</v>
      </c>
      <c r="B18" s="4">
        <v>2.7</v>
      </c>
      <c r="C18" s="55"/>
      <c r="D18" s="178"/>
      <c r="E18" s="178"/>
      <c r="F18" s="178"/>
      <c r="G18" s="178"/>
      <c r="H18" s="178"/>
      <c r="I18" s="178"/>
      <c r="J18" s="178"/>
      <c r="K18" s="59" t="s">
        <v>335</v>
      </c>
      <c r="L18" s="13" t="s">
        <v>356</v>
      </c>
      <c r="M18" s="4"/>
      <c r="N18" s="4"/>
    </row>
    <row r="19" spans="1:15">
      <c r="A19" s="4" t="s">
        <v>654</v>
      </c>
      <c r="B19" s="4">
        <v>205</v>
      </c>
      <c r="C19" s="55"/>
      <c r="D19" s="178"/>
      <c r="E19" s="178"/>
      <c r="F19" s="178"/>
      <c r="G19" s="178"/>
      <c r="H19" s="178"/>
      <c r="I19" s="178"/>
      <c r="J19" s="178"/>
      <c r="K19" s="59" t="s">
        <v>335</v>
      </c>
      <c r="L19" s="13" t="s">
        <v>356</v>
      </c>
      <c r="M19" s="4"/>
      <c r="N19" s="4"/>
    </row>
    <row r="20" spans="1:15">
      <c r="A20" s="4" t="s">
        <v>655</v>
      </c>
      <c r="B20" s="4">
        <v>552</v>
      </c>
      <c r="C20" s="55"/>
      <c r="D20" s="178"/>
      <c r="E20" s="178"/>
      <c r="F20" s="178"/>
      <c r="G20" s="178"/>
      <c r="H20" s="178"/>
      <c r="I20" s="178"/>
      <c r="J20" s="178"/>
      <c r="K20" s="59" t="s">
        <v>335</v>
      </c>
      <c r="L20" s="13" t="s">
        <v>356</v>
      </c>
      <c r="M20" s="4"/>
      <c r="N20" s="4"/>
    </row>
    <row r="21" spans="1:15">
      <c r="A21" s="4"/>
      <c r="B21" s="4"/>
      <c r="C21" s="4"/>
      <c r="D21" s="62"/>
      <c r="E21" s="62"/>
      <c r="F21" s="62"/>
      <c r="G21" s="62"/>
      <c r="H21" s="62"/>
      <c r="I21" s="62"/>
      <c r="J21" s="62"/>
      <c r="K21" s="62"/>
      <c r="L21" s="4"/>
      <c r="M21" s="4"/>
      <c r="N21" s="4"/>
    </row>
    <row r="22" spans="1:15">
      <c r="A22" s="4" t="s">
        <v>656</v>
      </c>
      <c r="B22" s="193"/>
      <c r="C22" s="193"/>
      <c r="D22" s="193"/>
      <c r="E22" s="193"/>
      <c r="F22" s="193"/>
      <c r="G22" s="193"/>
      <c r="H22" s="193"/>
      <c r="I22" s="193"/>
      <c r="J22" s="193"/>
      <c r="K22" s="62"/>
      <c r="L22" s="4"/>
      <c r="M22" s="4"/>
      <c r="N22" s="4"/>
      <c r="O22" t="s">
        <v>657</v>
      </c>
    </row>
    <row r="23" spans="1:15">
      <c r="A23" s="4" t="s">
        <v>658</v>
      </c>
      <c r="B23" s="193"/>
      <c r="C23" s="193"/>
      <c r="D23" s="193"/>
      <c r="E23" s="194"/>
      <c r="F23" s="194"/>
      <c r="G23" s="194"/>
      <c r="H23" s="194"/>
      <c r="I23" s="194"/>
      <c r="J23" s="194"/>
      <c r="K23" s="62" t="s">
        <v>436</v>
      </c>
      <c r="L23" s="13" t="s">
        <v>659</v>
      </c>
      <c r="M23" s="4"/>
      <c r="N23" s="4"/>
    </row>
    <row r="24" spans="1:15">
      <c r="A24" s="4"/>
      <c r="B24" s="4"/>
      <c r="C24" s="4"/>
      <c r="D24" s="62"/>
      <c r="E24" s="62"/>
      <c r="F24" s="62"/>
      <c r="G24" s="62"/>
      <c r="H24" s="62"/>
      <c r="I24" s="62"/>
      <c r="J24" s="62"/>
      <c r="K24" s="62"/>
      <c r="L24" s="4"/>
      <c r="M24" s="4"/>
      <c r="N24" s="4"/>
    </row>
    <row r="25" spans="1:15">
      <c r="A25" s="6"/>
      <c r="B25" s="6"/>
      <c r="C25" s="6"/>
      <c r="D25" s="6"/>
      <c r="E25" s="6"/>
      <c r="F25" s="6"/>
      <c r="G25" s="6"/>
      <c r="H25" s="6"/>
      <c r="I25" s="6"/>
      <c r="J25" s="6"/>
      <c r="K25" s="6"/>
      <c r="L25" s="6"/>
      <c r="M25" s="6"/>
      <c r="N25" s="6"/>
    </row>
    <row r="26" spans="1:15">
      <c r="A26" s="3" t="s">
        <v>125</v>
      </c>
      <c r="B26" s="3">
        <v>2008</v>
      </c>
      <c r="C26" s="3">
        <v>2009</v>
      </c>
      <c r="D26" s="3">
        <v>2010</v>
      </c>
      <c r="E26" s="3">
        <v>2011</v>
      </c>
      <c r="F26" s="3">
        <v>2012</v>
      </c>
      <c r="G26" s="3">
        <v>2013</v>
      </c>
      <c r="H26" s="3">
        <v>2014</v>
      </c>
      <c r="I26" s="3">
        <v>2015</v>
      </c>
      <c r="J26" s="3">
        <v>2016</v>
      </c>
      <c r="K26" s="3" t="s">
        <v>102</v>
      </c>
      <c r="L26" s="3" t="s">
        <v>103</v>
      </c>
      <c r="M26" s="3" t="s">
        <v>104</v>
      </c>
      <c r="N26" s="3" t="s">
        <v>105</v>
      </c>
    </row>
    <row r="27" spans="1:15">
      <c r="A27" s="4" t="s">
        <v>404</v>
      </c>
      <c r="B27" s="179"/>
      <c r="C27" s="179"/>
      <c r="D27" s="179"/>
      <c r="E27" s="179"/>
      <c r="F27" s="29">
        <v>43.7</v>
      </c>
      <c r="G27" s="29">
        <v>43.6</v>
      </c>
      <c r="H27" s="29">
        <v>39.5</v>
      </c>
      <c r="I27" s="29">
        <v>35.200000000000003</v>
      </c>
      <c r="J27" s="30">
        <v>38</v>
      </c>
      <c r="K27" s="4" t="s">
        <v>335</v>
      </c>
      <c r="L27" s="13" t="s">
        <v>369</v>
      </c>
      <c r="M27" s="4"/>
      <c r="N27" s="4"/>
    </row>
    <row r="28" spans="1:15">
      <c r="A28" s="4" t="s">
        <v>405</v>
      </c>
      <c r="B28" s="174"/>
      <c r="C28" s="174"/>
      <c r="D28" s="174"/>
      <c r="E28" s="174"/>
      <c r="F28" s="174"/>
      <c r="G28" s="174"/>
      <c r="H28" s="174"/>
      <c r="I28" s="174"/>
      <c r="J28" s="174"/>
      <c r="K28" s="4"/>
      <c r="L28" s="13"/>
      <c r="M28" s="4"/>
      <c r="N28" s="4"/>
    </row>
    <row r="29" spans="1:15">
      <c r="A29" s="4"/>
      <c r="B29" s="4"/>
      <c r="C29" s="4"/>
      <c r="D29" s="4"/>
      <c r="E29" s="4"/>
      <c r="F29" s="4"/>
      <c r="G29" s="4"/>
      <c r="H29" s="4"/>
      <c r="I29" s="4"/>
      <c r="J29" s="4"/>
      <c r="K29" s="4"/>
      <c r="L29" s="4"/>
      <c r="M29" s="4"/>
      <c r="N29" s="4"/>
    </row>
    <row r="30" spans="1:15">
      <c r="A30" s="4" t="s">
        <v>660</v>
      </c>
      <c r="B30" s="55"/>
      <c r="C30" s="55"/>
      <c r="D30" s="55"/>
      <c r="E30" s="55"/>
      <c r="F30" s="29">
        <v>14.4</v>
      </c>
      <c r="G30" s="29">
        <v>13</v>
      </c>
      <c r="H30" s="29">
        <v>10.1</v>
      </c>
      <c r="I30" s="29">
        <v>8.9499999999999993</v>
      </c>
      <c r="J30" s="4" t="s">
        <v>661</v>
      </c>
      <c r="K30" s="4" t="s">
        <v>335</v>
      </c>
      <c r="L30" s="13" t="s">
        <v>369</v>
      </c>
      <c r="M30" s="4"/>
      <c r="N30" s="4"/>
    </row>
    <row r="31" spans="1:15">
      <c r="A31" s="4"/>
      <c r="B31" s="4"/>
      <c r="C31" s="4"/>
      <c r="D31" s="4"/>
      <c r="E31" s="4"/>
      <c r="F31" s="29"/>
      <c r="G31" s="29"/>
      <c r="H31" s="29"/>
      <c r="I31" s="29"/>
      <c r="J31" s="4"/>
      <c r="K31" s="4"/>
      <c r="L31" s="13"/>
      <c r="M31" s="4"/>
      <c r="N31" s="4"/>
    </row>
    <row r="32" spans="1:15">
      <c r="A32" s="4" t="s">
        <v>662</v>
      </c>
      <c r="B32" s="55"/>
      <c r="C32" s="55"/>
      <c r="D32" s="55"/>
      <c r="E32" s="55"/>
      <c r="F32" s="55"/>
      <c r="G32" s="4">
        <v>33</v>
      </c>
      <c r="H32" s="4">
        <v>24</v>
      </c>
      <c r="I32" s="4">
        <v>30</v>
      </c>
      <c r="J32" s="55"/>
      <c r="K32" s="4" t="s">
        <v>335</v>
      </c>
      <c r="L32" s="13" t="s">
        <v>369</v>
      </c>
      <c r="M32" s="4"/>
      <c r="N32" s="4"/>
    </row>
    <row r="33" spans="1:15">
      <c r="A33" s="4" t="s">
        <v>663</v>
      </c>
      <c r="B33" s="15"/>
      <c r="C33" s="15"/>
      <c r="D33" s="15"/>
      <c r="E33" s="15"/>
      <c r="F33" s="18">
        <v>1328</v>
      </c>
      <c r="G33" s="18">
        <v>1639</v>
      </c>
      <c r="H33" s="18">
        <v>1842</v>
      </c>
      <c r="I33" s="18">
        <v>1940</v>
      </c>
      <c r="J33" s="18">
        <v>1985</v>
      </c>
      <c r="K33" s="4" t="s">
        <v>335</v>
      </c>
      <c r="L33" s="13" t="s">
        <v>369</v>
      </c>
      <c r="M33" s="4"/>
      <c r="N33" s="4"/>
    </row>
    <row r="34" spans="1:15">
      <c r="B34" s="4"/>
      <c r="C34" s="4"/>
      <c r="D34" s="4"/>
      <c r="E34" s="4"/>
      <c r="F34" s="4"/>
      <c r="G34" s="4"/>
      <c r="H34" s="4"/>
      <c r="I34" s="4"/>
      <c r="J34" s="4"/>
    </row>
    <row r="35" spans="1:15">
      <c r="A35" s="4" t="s">
        <v>633</v>
      </c>
      <c r="B35" s="195"/>
      <c r="C35" s="195"/>
      <c r="D35" s="195"/>
      <c r="E35" s="195"/>
      <c r="F35" s="195"/>
      <c r="G35" s="19">
        <v>92</v>
      </c>
      <c r="H35" s="19">
        <v>191</v>
      </c>
      <c r="I35" s="19">
        <v>197</v>
      </c>
      <c r="J35" s="195"/>
      <c r="K35" s="4" t="s">
        <v>335</v>
      </c>
      <c r="L35" s="13" t="s">
        <v>369</v>
      </c>
      <c r="M35" s="4"/>
      <c r="N35" s="4"/>
      <c r="O35" t="s">
        <v>664</v>
      </c>
    </row>
    <row r="36" spans="1:15">
      <c r="A36" s="4" t="s">
        <v>635</v>
      </c>
      <c r="B36" s="55"/>
      <c r="C36" s="55"/>
      <c r="D36" s="55"/>
      <c r="E36" s="55"/>
      <c r="F36" s="55"/>
      <c r="G36" s="4">
        <v>191</v>
      </c>
      <c r="H36" s="4">
        <v>197</v>
      </c>
      <c r="I36" s="4">
        <v>420</v>
      </c>
      <c r="J36" s="55"/>
      <c r="K36" s="4" t="s">
        <v>335</v>
      </c>
      <c r="L36" s="13" t="s">
        <v>369</v>
      </c>
      <c r="M36" s="4"/>
      <c r="N36" s="4"/>
    </row>
  </sheetData>
  <mergeCells count="1">
    <mergeCell ref="A2:A3"/>
  </mergeCells>
  <hyperlinks>
    <hyperlink ref="L6" r:id="rId1" xr:uid="{00000000-0004-0000-0F00-000000000000}"/>
    <hyperlink ref="L13" r:id="rId2" xr:uid="{00000000-0004-0000-0F00-000001000000}"/>
    <hyperlink ref="L27" r:id="rId3" xr:uid="{00000000-0004-0000-0F00-000002000000}"/>
    <hyperlink ref="L33" r:id="rId4" xr:uid="{00000000-0004-0000-0F00-000003000000}"/>
    <hyperlink ref="L30" r:id="rId5" xr:uid="{00000000-0004-0000-0F00-000004000000}"/>
    <hyperlink ref="L7" r:id="rId6" location="/app/downloads" xr:uid="{00000000-0004-0000-0F00-000005000000}"/>
    <hyperlink ref="L18" r:id="rId7" location="/app/downloads" xr:uid="{00000000-0004-0000-0F00-000006000000}"/>
    <hyperlink ref="L19" r:id="rId8" location="/app/downloads" xr:uid="{00000000-0004-0000-0F00-000007000000}"/>
    <hyperlink ref="L20" r:id="rId9" location="/app/downloads" xr:uid="{00000000-0004-0000-0F00-000008000000}"/>
    <hyperlink ref="L5" r:id="rId10" xr:uid="{00000000-0004-0000-0F00-000009000000}"/>
    <hyperlink ref="L32" r:id="rId11" xr:uid="{00000000-0004-0000-0F00-00000A000000}"/>
    <hyperlink ref="L23" r:id="rId12" xr:uid="{00000000-0004-0000-0F00-00000B000000}"/>
    <hyperlink ref="L36" r:id="rId13" xr:uid="{00000000-0004-0000-0F00-00000C000000}"/>
    <hyperlink ref="L35" r:id="rId14" xr:uid="{00000000-0004-0000-0F00-00000D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R93"/>
  <sheetViews>
    <sheetView topLeftCell="B103" zoomScale="85" zoomScaleNormal="85" workbookViewId="0">
      <selection activeCell="M118" sqref="M118"/>
    </sheetView>
  </sheetViews>
  <sheetFormatPr defaultColWidth="8.85546875" defaultRowHeight="15"/>
  <cols>
    <col min="1" max="1" width="99.140625" customWidth="1"/>
    <col min="3" max="6" width="11.140625" bestFit="1" customWidth="1"/>
    <col min="7" max="7" width="11.42578125" style="21" bestFit="1" customWidth="1"/>
    <col min="8" max="8" width="12.42578125" style="21" bestFit="1" customWidth="1"/>
    <col min="9" max="9" width="8.85546875" style="261"/>
    <col min="10" max="10" width="13.42578125" bestFit="1" customWidth="1"/>
    <col min="11" max="11" width="75.42578125" customWidth="1"/>
    <col min="12" max="12" width="85.85546875" customWidth="1"/>
    <col min="13" max="13" width="86.42578125" customWidth="1"/>
    <col min="14" max="14" width="76.42578125" bestFit="1" customWidth="1"/>
    <col min="15" max="15" width="61.140625" bestFit="1" customWidth="1"/>
    <col min="16" max="16" width="76.42578125" bestFit="1" customWidth="1"/>
    <col min="18" max="18" width="137.28515625" bestFit="1" customWidth="1"/>
  </cols>
  <sheetData>
    <row r="1" spans="1:17">
      <c r="A1" s="470" t="s">
        <v>665</v>
      </c>
    </row>
    <row r="2" spans="1:17">
      <c r="A2" s="471"/>
    </row>
    <row r="3" spans="1:17">
      <c r="A3" s="6"/>
      <c r="B3" s="6"/>
      <c r="C3" s="6"/>
      <c r="D3" s="6"/>
      <c r="E3" s="6"/>
      <c r="F3" s="6"/>
      <c r="G3" s="22"/>
      <c r="H3" s="22"/>
      <c r="I3" s="281"/>
      <c r="J3" s="6"/>
      <c r="K3" s="6"/>
      <c r="L3" s="6"/>
      <c r="M3" s="6"/>
      <c r="N3" s="6"/>
      <c r="O3" s="4"/>
      <c r="P3" s="4"/>
      <c r="Q3" s="4"/>
    </row>
    <row r="4" spans="1:17">
      <c r="A4" s="3" t="s">
        <v>666</v>
      </c>
      <c r="B4" s="3">
        <v>2008</v>
      </c>
      <c r="C4" s="3">
        <v>2009</v>
      </c>
      <c r="D4" s="3">
        <v>2010</v>
      </c>
      <c r="E4" s="3">
        <v>2011</v>
      </c>
      <c r="F4" s="14">
        <v>2012</v>
      </c>
      <c r="G4" s="26">
        <v>2013</v>
      </c>
      <c r="H4" s="26">
        <v>2014</v>
      </c>
      <c r="I4" s="3">
        <v>2015</v>
      </c>
      <c r="J4" s="3">
        <v>2016</v>
      </c>
      <c r="K4" s="14" t="s">
        <v>102</v>
      </c>
      <c r="L4" s="3" t="s">
        <v>103</v>
      </c>
      <c r="M4" s="3" t="s">
        <v>104</v>
      </c>
      <c r="N4" s="31" t="s">
        <v>105</v>
      </c>
      <c r="O4" s="3" t="s">
        <v>667</v>
      </c>
      <c r="P4" s="3" t="s">
        <v>126</v>
      </c>
      <c r="Q4" s="4"/>
    </row>
    <row r="5" spans="1:17">
      <c r="A5" s="44" t="s">
        <v>668</v>
      </c>
      <c r="B5" s="169"/>
      <c r="C5" s="139">
        <v>13344</v>
      </c>
      <c r="D5" s="139">
        <v>19022</v>
      </c>
      <c r="E5" s="140">
        <v>19978</v>
      </c>
      <c r="F5" s="139">
        <v>22618</v>
      </c>
      <c r="G5" s="141">
        <v>25568</v>
      </c>
      <c r="H5" s="141">
        <v>26794</v>
      </c>
      <c r="I5" s="398">
        <v>26046</v>
      </c>
      <c r="J5" s="183"/>
      <c r="K5" s="23" t="s">
        <v>669</v>
      </c>
      <c r="L5" s="112"/>
      <c r="M5" s="44" t="s">
        <v>670</v>
      </c>
      <c r="N5" s="31"/>
      <c r="O5" s="3"/>
      <c r="P5" s="3"/>
      <c r="Q5" s="4"/>
    </row>
    <row r="6" spans="1:17">
      <c r="A6" s="44" t="s">
        <v>671</v>
      </c>
      <c r="B6" s="169"/>
      <c r="C6" s="139">
        <v>33.427</v>
      </c>
      <c r="D6" s="139">
        <v>35.694000000000003</v>
      </c>
      <c r="E6" s="140">
        <v>38.137999999999998</v>
      </c>
      <c r="F6" s="139">
        <v>38.066000000000003</v>
      </c>
      <c r="G6" s="141">
        <v>38.454000000000001</v>
      </c>
      <c r="H6" s="141">
        <v>38.874000000000002</v>
      </c>
      <c r="I6" s="119"/>
      <c r="J6" s="183"/>
      <c r="K6" s="23" t="s">
        <v>669</v>
      </c>
      <c r="L6" s="120"/>
      <c r="M6" s="44" t="s">
        <v>670</v>
      </c>
      <c r="N6" s="31"/>
      <c r="O6" s="3"/>
      <c r="P6" s="3"/>
      <c r="Q6" s="4"/>
    </row>
    <row r="7" spans="1:17">
      <c r="A7" s="44" t="s">
        <v>672</v>
      </c>
      <c r="B7" s="169"/>
      <c r="C7" s="139">
        <v>8.4030000000000005</v>
      </c>
      <c r="D7" s="139">
        <v>9.109</v>
      </c>
      <c r="E7" s="140">
        <v>11.792</v>
      </c>
      <c r="F7" s="139">
        <v>10.012</v>
      </c>
      <c r="G7" s="141">
        <v>9.9290000000000003</v>
      </c>
      <c r="H7" s="141">
        <v>13.94</v>
      </c>
      <c r="I7" s="398">
        <v>24.861000000000001</v>
      </c>
      <c r="J7" s="183"/>
      <c r="K7" s="23" t="s">
        <v>669</v>
      </c>
      <c r="L7" s="112"/>
      <c r="M7" s="44" t="s">
        <v>670</v>
      </c>
      <c r="N7" s="31"/>
      <c r="O7" s="3"/>
      <c r="P7" s="3"/>
      <c r="Q7" s="4"/>
    </row>
    <row r="8" spans="1:17">
      <c r="A8" s="6"/>
      <c r="B8" s="6"/>
      <c r="C8" s="6"/>
      <c r="D8" s="6"/>
      <c r="E8" s="6"/>
      <c r="F8" s="6"/>
      <c r="G8" s="22"/>
      <c r="H8" s="22"/>
      <c r="I8" s="281"/>
      <c r="J8" s="6"/>
      <c r="K8" s="6"/>
      <c r="L8" s="6"/>
      <c r="M8" s="6"/>
      <c r="N8" s="6"/>
      <c r="O8" s="4"/>
      <c r="P8" s="4"/>
      <c r="Q8" s="4"/>
    </row>
    <row r="9" spans="1:17">
      <c r="A9" s="3" t="s">
        <v>673</v>
      </c>
      <c r="B9" s="3">
        <v>2008</v>
      </c>
      <c r="C9" s="3">
        <v>2009</v>
      </c>
      <c r="D9" s="3">
        <v>2010</v>
      </c>
      <c r="E9" s="3">
        <v>2011</v>
      </c>
      <c r="F9" s="14">
        <v>2012</v>
      </c>
      <c r="G9" s="26">
        <v>2013</v>
      </c>
      <c r="H9" s="26">
        <v>2014</v>
      </c>
      <c r="I9" s="3">
        <v>2015</v>
      </c>
      <c r="J9" s="3">
        <v>2016</v>
      </c>
      <c r="K9" s="3"/>
      <c r="L9" s="3"/>
      <c r="M9" s="3"/>
      <c r="N9" s="31"/>
      <c r="O9" s="3"/>
      <c r="P9" s="3"/>
      <c r="Q9" s="4"/>
    </row>
    <row r="10" spans="1:17">
      <c r="A10" s="4" t="s">
        <v>674</v>
      </c>
      <c r="B10" s="55"/>
      <c r="C10" s="55"/>
      <c r="D10" s="55"/>
      <c r="E10" s="55"/>
      <c r="F10" s="204"/>
      <c r="G10" s="142">
        <v>1.52</v>
      </c>
      <c r="H10" s="142">
        <v>1.528</v>
      </c>
      <c r="I10" s="188"/>
      <c r="J10" s="55"/>
      <c r="K10" s="4" t="s">
        <v>675</v>
      </c>
      <c r="L10" s="13" t="s">
        <v>676</v>
      </c>
      <c r="M10" s="4" t="s">
        <v>677</v>
      </c>
      <c r="N10" s="32" t="s">
        <v>678</v>
      </c>
      <c r="O10" s="4"/>
      <c r="P10" s="4"/>
      <c r="Q10" s="4"/>
    </row>
    <row r="11" spans="1:17">
      <c r="A11" s="4" t="s">
        <v>679</v>
      </c>
      <c r="B11" s="55"/>
      <c r="C11" s="55"/>
      <c r="D11" s="55"/>
      <c r="E11" s="55"/>
      <c r="F11" s="205"/>
      <c r="G11" s="123">
        <v>2.5</v>
      </c>
      <c r="H11" s="123">
        <v>2.6949999999999998</v>
      </c>
      <c r="I11" s="188"/>
      <c r="J11" s="55"/>
      <c r="K11" s="4" t="s">
        <v>675</v>
      </c>
      <c r="L11" s="13" t="s">
        <v>676</v>
      </c>
      <c r="M11" s="4" t="s">
        <v>677</v>
      </c>
      <c r="N11" s="32" t="s">
        <v>678</v>
      </c>
      <c r="O11" s="4"/>
      <c r="P11" s="4"/>
      <c r="Q11" s="4"/>
    </row>
    <row r="12" spans="1:17">
      <c r="A12" s="4" t="s">
        <v>680</v>
      </c>
      <c r="B12" s="55"/>
      <c r="C12" s="55"/>
      <c r="D12" s="55"/>
      <c r="E12" s="55"/>
      <c r="F12" s="205"/>
      <c r="G12" s="123">
        <v>4.0199999999999996</v>
      </c>
      <c r="H12" s="123">
        <v>4.2229999999999999</v>
      </c>
      <c r="I12" s="188"/>
      <c r="J12" s="55"/>
      <c r="K12" s="4" t="s">
        <v>675</v>
      </c>
      <c r="L12" s="13" t="s">
        <v>676</v>
      </c>
      <c r="M12" s="4" t="s">
        <v>677</v>
      </c>
      <c r="N12" s="32" t="s">
        <v>678</v>
      </c>
      <c r="O12" s="4"/>
      <c r="P12" s="4"/>
      <c r="Q12" s="4"/>
    </row>
    <row r="13" spans="1:17">
      <c r="A13" s="4" t="s">
        <v>681</v>
      </c>
      <c r="B13" s="55"/>
      <c r="C13" s="55"/>
      <c r="D13" s="55"/>
      <c r="E13" s="55"/>
      <c r="F13" s="205"/>
      <c r="G13" s="123">
        <v>126</v>
      </c>
      <c r="H13" s="123">
        <v>127</v>
      </c>
      <c r="I13" s="188"/>
      <c r="J13" s="55"/>
      <c r="K13" s="4" t="s">
        <v>675</v>
      </c>
      <c r="L13" s="13" t="s">
        <v>676</v>
      </c>
      <c r="M13" s="4" t="s">
        <v>677</v>
      </c>
      <c r="N13" s="32" t="s">
        <v>678</v>
      </c>
      <c r="O13" s="4"/>
      <c r="P13" s="4"/>
      <c r="Q13" s="4"/>
    </row>
    <row r="14" spans="1:17">
      <c r="A14" s="4" t="s">
        <v>682</v>
      </c>
      <c r="B14" s="55"/>
      <c r="C14" s="55"/>
      <c r="D14" s="55"/>
      <c r="E14" s="55"/>
      <c r="F14" s="205"/>
      <c r="G14" s="206"/>
      <c r="H14" s="123">
        <v>266</v>
      </c>
      <c r="I14" s="188"/>
      <c r="J14" s="55"/>
      <c r="K14" s="4" t="s">
        <v>675</v>
      </c>
      <c r="L14" s="13" t="s">
        <v>676</v>
      </c>
      <c r="M14" s="4" t="s">
        <v>677</v>
      </c>
      <c r="N14" s="32" t="s">
        <v>678</v>
      </c>
      <c r="O14" s="4"/>
      <c r="P14" s="4"/>
      <c r="Q14" s="4"/>
    </row>
    <row r="15" spans="1:17">
      <c r="A15" s="4" t="s">
        <v>683</v>
      </c>
      <c r="B15" s="55"/>
      <c r="C15" s="55"/>
      <c r="D15" s="55"/>
      <c r="E15" s="55"/>
      <c r="F15" s="143">
        <v>353</v>
      </c>
      <c r="G15" s="123">
        <v>369</v>
      </c>
      <c r="H15" s="123">
        <v>393</v>
      </c>
      <c r="I15" s="188"/>
      <c r="J15" s="55"/>
      <c r="K15" s="4" t="s">
        <v>675</v>
      </c>
      <c r="L15" s="13" t="s">
        <v>676</v>
      </c>
      <c r="M15" s="4" t="s">
        <v>677</v>
      </c>
      <c r="N15" s="32" t="s">
        <v>678</v>
      </c>
      <c r="O15" s="4" t="s">
        <v>684</v>
      </c>
      <c r="P15" s="13" t="s">
        <v>678</v>
      </c>
      <c r="Q15" s="4"/>
    </row>
    <row r="16" spans="1:17">
      <c r="A16" s="15" t="s">
        <v>685</v>
      </c>
      <c r="B16" s="57"/>
      <c r="C16" s="57"/>
      <c r="D16" s="57"/>
      <c r="E16" s="57"/>
      <c r="F16" s="207"/>
      <c r="G16" s="144">
        <v>2.64</v>
      </c>
      <c r="H16" s="144">
        <v>2.76</v>
      </c>
      <c r="I16" s="211"/>
      <c r="J16" s="57"/>
      <c r="K16" s="15" t="s">
        <v>675</v>
      </c>
      <c r="L16" s="35" t="s">
        <v>676</v>
      </c>
      <c r="M16" s="15" t="s">
        <v>677</v>
      </c>
      <c r="N16" s="46" t="s">
        <v>678</v>
      </c>
      <c r="O16" s="15"/>
      <c r="P16" s="15"/>
      <c r="Q16" s="15"/>
    </row>
    <row r="17" spans="1:18">
      <c r="A17" s="6"/>
      <c r="B17" s="6"/>
      <c r="C17" s="6"/>
      <c r="D17" s="6"/>
      <c r="E17" s="6"/>
      <c r="F17" s="6"/>
      <c r="G17" s="22"/>
      <c r="H17" s="22"/>
      <c r="I17" s="281"/>
      <c r="J17" s="6"/>
      <c r="K17" s="6"/>
      <c r="L17" s="6"/>
      <c r="M17" s="6"/>
      <c r="N17" s="6"/>
      <c r="O17" s="19"/>
      <c r="P17" s="19"/>
      <c r="Q17" s="19"/>
    </row>
    <row r="18" spans="1:18">
      <c r="A18" s="3" t="s">
        <v>686</v>
      </c>
      <c r="B18" s="3">
        <v>2008</v>
      </c>
      <c r="C18" s="3">
        <v>2009</v>
      </c>
      <c r="D18" s="3">
        <v>2010</v>
      </c>
      <c r="E18" s="3">
        <v>2011</v>
      </c>
      <c r="F18" s="3">
        <v>2012</v>
      </c>
      <c r="G18" s="20">
        <v>2013</v>
      </c>
      <c r="H18" s="20">
        <v>2014</v>
      </c>
      <c r="I18" s="3">
        <v>2015</v>
      </c>
      <c r="J18" s="3">
        <v>2016</v>
      </c>
      <c r="K18" s="3" t="s">
        <v>102</v>
      </c>
      <c r="L18" s="3" t="s">
        <v>103</v>
      </c>
      <c r="M18" s="3" t="s">
        <v>104</v>
      </c>
      <c r="N18" s="31" t="s">
        <v>105</v>
      </c>
      <c r="O18" s="4"/>
      <c r="P18" s="4"/>
      <c r="Q18" s="4"/>
    </row>
    <row r="19" spans="1:18">
      <c r="A19" s="19" t="s">
        <v>687</v>
      </c>
      <c r="B19" s="195"/>
      <c r="C19" s="195"/>
      <c r="D19" s="195"/>
      <c r="E19" s="195"/>
      <c r="F19" s="195"/>
      <c r="G19" s="208"/>
      <c r="H19" s="149">
        <v>150</v>
      </c>
      <c r="I19" s="292"/>
      <c r="J19" s="19"/>
      <c r="K19" s="4" t="s">
        <v>675</v>
      </c>
      <c r="L19" s="13" t="s">
        <v>676</v>
      </c>
      <c r="M19" s="4" t="s">
        <v>677</v>
      </c>
      <c r="N19" s="32" t="s">
        <v>678</v>
      </c>
      <c r="O19" s="4"/>
      <c r="P19" s="4"/>
      <c r="Q19" s="4"/>
    </row>
    <row r="20" spans="1:18">
      <c r="A20" s="6"/>
      <c r="B20" s="6"/>
      <c r="C20" s="6"/>
      <c r="D20" s="6"/>
      <c r="E20" s="6"/>
      <c r="F20" s="6"/>
      <c r="G20" s="22"/>
      <c r="H20" s="22"/>
      <c r="I20" s="281"/>
      <c r="J20" s="6"/>
      <c r="K20" s="6"/>
      <c r="L20" s="6"/>
      <c r="M20" s="6"/>
      <c r="N20" s="6"/>
      <c r="O20" s="4"/>
      <c r="P20" s="4"/>
      <c r="Q20" s="4"/>
    </row>
    <row r="21" spans="1:18">
      <c r="A21" s="3" t="s">
        <v>688</v>
      </c>
      <c r="B21" s="3">
        <v>2008</v>
      </c>
      <c r="C21" s="3">
        <v>2009</v>
      </c>
      <c r="D21" s="3">
        <v>2010</v>
      </c>
      <c r="E21" s="3">
        <v>2011</v>
      </c>
      <c r="F21" s="3">
        <v>2012</v>
      </c>
      <c r="G21" s="20">
        <v>2013</v>
      </c>
      <c r="H21" s="20">
        <v>2014</v>
      </c>
      <c r="I21" s="3">
        <v>2015</v>
      </c>
      <c r="J21" s="3">
        <v>2016</v>
      </c>
      <c r="K21" s="3" t="s">
        <v>102</v>
      </c>
      <c r="L21" s="3" t="s">
        <v>103</v>
      </c>
      <c r="M21" s="3" t="s">
        <v>104</v>
      </c>
      <c r="N21" s="31" t="s">
        <v>105</v>
      </c>
      <c r="O21" s="4"/>
      <c r="P21" s="4"/>
      <c r="Q21" s="4"/>
    </row>
    <row r="22" spans="1:18">
      <c r="A22" s="44" t="s">
        <v>689</v>
      </c>
      <c r="B22" s="139">
        <v>17197</v>
      </c>
      <c r="C22" s="139">
        <v>24361</v>
      </c>
      <c r="D22" s="139">
        <v>30334</v>
      </c>
      <c r="E22" s="139">
        <v>36053</v>
      </c>
      <c r="F22" s="139">
        <v>38978</v>
      </c>
      <c r="G22" s="141">
        <v>39626</v>
      </c>
      <c r="H22" s="141">
        <v>40424</v>
      </c>
      <c r="I22" s="145"/>
      <c r="J22" s="145"/>
      <c r="K22" s="4" t="s">
        <v>690</v>
      </c>
      <c r="L22" s="3"/>
      <c r="M22" s="4" t="s">
        <v>675</v>
      </c>
      <c r="N22" s="13" t="s">
        <v>676</v>
      </c>
      <c r="O22" s="4" t="s">
        <v>677</v>
      </c>
      <c r="P22" s="32" t="s">
        <v>678</v>
      </c>
      <c r="Q22" s="4"/>
      <c r="R22" t="s">
        <v>691</v>
      </c>
    </row>
    <row r="23" spans="1:18">
      <c r="A23" s="44" t="s">
        <v>692</v>
      </c>
      <c r="B23" s="139">
        <v>32</v>
      </c>
      <c r="C23" s="139">
        <v>42</v>
      </c>
      <c r="D23" s="139">
        <v>50</v>
      </c>
      <c r="E23" s="139">
        <v>64</v>
      </c>
      <c r="F23" s="139">
        <v>89</v>
      </c>
      <c r="G23" s="141">
        <v>97</v>
      </c>
      <c r="H23" s="141">
        <v>97</v>
      </c>
      <c r="I23" s="143">
        <v>97</v>
      </c>
      <c r="J23" s="143">
        <v>97</v>
      </c>
      <c r="K23" s="4" t="s">
        <v>690</v>
      </c>
      <c r="L23" s="3"/>
      <c r="M23" s="114"/>
      <c r="N23" s="31"/>
      <c r="O23" s="4"/>
      <c r="P23" s="4"/>
      <c r="Q23" s="4"/>
    </row>
    <row r="24" spans="1:18">
      <c r="A24" s="44" t="s">
        <v>693</v>
      </c>
      <c r="B24" s="139" t="s">
        <v>40</v>
      </c>
      <c r="C24" s="139" t="s">
        <v>40</v>
      </c>
      <c r="D24" s="139" t="s">
        <v>40</v>
      </c>
      <c r="E24" s="139">
        <v>50</v>
      </c>
      <c r="F24" s="139">
        <v>75</v>
      </c>
      <c r="G24" s="141">
        <v>97</v>
      </c>
      <c r="H24" s="141">
        <v>98</v>
      </c>
      <c r="I24" s="143">
        <v>99</v>
      </c>
      <c r="J24" s="143">
        <v>100</v>
      </c>
      <c r="K24" s="4" t="s">
        <v>690</v>
      </c>
      <c r="L24" s="3"/>
      <c r="M24" s="114"/>
      <c r="N24" s="31"/>
      <c r="O24" s="4"/>
      <c r="P24" s="4"/>
      <c r="Q24" s="4"/>
    </row>
    <row r="25" spans="1:18">
      <c r="A25" s="122" t="s">
        <v>694</v>
      </c>
      <c r="B25" s="146">
        <v>32</v>
      </c>
      <c r="C25" s="146">
        <v>42</v>
      </c>
      <c r="D25" s="146">
        <v>50</v>
      </c>
      <c r="E25" s="146">
        <v>114</v>
      </c>
      <c r="F25" s="146">
        <v>164</v>
      </c>
      <c r="G25" s="147">
        <v>194</v>
      </c>
      <c r="H25" s="147">
        <v>195</v>
      </c>
      <c r="I25" s="148">
        <v>196</v>
      </c>
      <c r="J25" s="148">
        <v>197</v>
      </c>
      <c r="K25" s="15" t="s">
        <v>690</v>
      </c>
      <c r="L25" s="14"/>
      <c r="M25" s="132"/>
      <c r="N25" s="47"/>
      <c r="O25" s="15"/>
      <c r="P25" s="15"/>
      <c r="Q25" s="15"/>
    </row>
    <row r="26" spans="1:18" s="4" customFormat="1">
      <c r="A26" s="4" t="s">
        <v>695</v>
      </c>
      <c r="B26" s="205"/>
      <c r="C26" s="205"/>
      <c r="D26" s="205"/>
      <c r="E26" s="205"/>
      <c r="F26" s="205"/>
      <c r="G26" s="206"/>
      <c r="H26" s="141">
        <v>14200</v>
      </c>
      <c r="I26" s="143" t="s">
        <v>696</v>
      </c>
      <c r="J26" s="143"/>
      <c r="K26" s="4" t="s">
        <v>675</v>
      </c>
      <c r="L26" s="13" t="s">
        <v>676</v>
      </c>
      <c r="M26" s="4" t="s">
        <v>677</v>
      </c>
      <c r="N26" s="13" t="s">
        <v>678</v>
      </c>
      <c r="O26" s="4" t="s">
        <v>697</v>
      </c>
    </row>
    <row r="27" spans="1:18" s="4" customFormat="1">
      <c r="A27" s="4" t="s">
        <v>698</v>
      </c>
      <c r="B27" s="205"/>
      <c r="C27" s="205"/>
      <c r="D27" s="205"/>
      <c r="E27" s="205"/>
      <c r="F27" s="205"/>
      <c r="G27" s="206"/>
      <c r="H27" s="123" t="s">
        <v>699</v>
      </c>
      <c r="I27" s="143"/>
      <c r="J27" s="143"/>
      <c r="K27" s="4" t="s">
        <v>675</v>
      </c>
      <c r="L27" s="13" t="s">
        <v>676</v>
      </c>
      <c r="M27" s="4" t="s">
        <v>677</v>
      </c>
      <c r="N27" s="13" t="s">
        <v>678</v>
      </c>
    </row>
    <row r="28" spans="1:18" s="4" customFormat="1">
      <c r="A28" s="402" t="s">
        <v>700</v>
      </c>
      <c r="B28" s="143" t="s">
        <v>40</v>
      </c>
      <c r="C28" s="143" t="s">
        <v>40</v>
      </c>
      <c r="D28" s="143" t="s">
        <v>40</v>
      </c>
      <c r="E28" s="39" t="s">
        <v>701</v>
      </c>
      <c r="F28" s="42" t="s">
        <v>701</v>
      </c>
      <c r="G28" s="42" t="s">
        <v>701</v>
      </c>
      <c r="H28" s="141">
        <v>1800</v>
      </c>
      <c r="I28" s="139">
        <v>2500</v>
      </c>
      <c r="J28" s="139">
        <v>2900</v>
      </c>
      <c r="K28" s="4" t="s">
        <v>675</v>
      </c>
      <c r="L28" s="13" t="s">
        <v>676</v>
      </c>
      <c r="M28" s="4" t="s">
        <v>677</v>
      </c>
      <c r="N28" s="13" t="s">
        <v>678</v>
      </c>
      <c r="O28" s="4" t="s">
        <v>697</v>
      </c>
    </row>
    <row r="29" spans="1:18" s="4" customFormat="1">
      <c r="A29" s="4" t="s">
        <v>702</v>
      </c>
      <c r="B29" s="143" t="s">
        <v>40</v>
      </c>
      <c r="C29" s="143" t="s">
        <v>40</v>
      </c>
      <c r="D29" s="143" t="s">
        <v>40</v>
      </c>
      <c r="E29" s="143" t="s">
        <v>40</v>
      </c>
      <c r="F29" s="143" t="s">
        <v>40</v>
      </c>
      <c r="G29" s="143" t="s">
        <v>40</v>
      </c>
      <c r="H29" s="143" t="s">
        <v>40</v>
      </c>
      <c r="I29" s="143" t="s">
        <v>703</v>
      </c>
      <c r="J29" s="143">
        <v>500</v>
      </c>
      <c r="K29" s="4" t="s">
        <v>697</v>
      </c>
      <c r="L29" s="13"/>
      <c r="N29" s="13"/>
    </row>
    <row r="30" spans="1:18" s="4" customFormat="1">
      <c r="A30" s="4" t="s">
        <v>704</v>
      </c>
      <c r="B30" s="143" t="s">
        <v>40</v>
      </c>
      <c r="C30" s="143" t="s">
        <v>40</v>
      </c>
      <c r="D30" s="143" t="s">
        <v>40</v>
      </c>
      <c r="E30" s="143" t="s">
        <v>40</v>
      </c>
      <c r="F30" s="143" t="s">
        <v>40</v>
      </c>
      <c r="G30" s="143" t="s">
        <v>40</v>
      </c>
      <c r="H30" s="143" t="s">
        <v>40</v>
      </c>
      <c r="I30" s="397">
        <v>90</v>
      </c>
      <c r="J30" s="143">
        <v>125</v>
      </c>
      <c r="K30" s="4" t="s">
        <v>697</v>
      </c>
      <c r="L30" s="13"/>
      <c r="N30" s="13"/>
    </row>
    <row r="31" spans="1:18" s="4" customFormat="1">
      <c r="A31" s="4" t="s">
        <v>705</v>
      </c>
      <c r="B31" s="143" t="s">
        <v>40</v>
      </c>
      <c r="C31" s="143" t="s">
        <v>40</v>
      </c>
      <c r="D31" s="143" t="s">
        <v>40</v>
      </c>
      <c r="E31" s="143" t="s">
        <v>40</v>
      </c>
      <c r="F31" s="143" t="s">
        <v>40</v>
      </c>
      <c r="G31" s="143" t="s">
        <v>40</v>
      </c>
      <c r="H31" s="143" t="s">
        <v>40</v>
      </c>
      <c r="I31" s="143">
        <v>200</v>
      </c>
      <c r="J31" s="143">
        <v>300</v>
      </c>
      <c r="K31" s="4" t="s">
        <v>697</v>
      </c>
      <c r="L31" s="13"/>
      <c r="N31" s="13"/>
    </row>
    <row r="32" spans="1:18" s="4" customFormat="1">
      <c r="A32" s="4" t="s">
        <v>706</v>
      </c>
      <c r="B32" s="143" t="s">
        <v>40</v>
      </c>
      <c r="C32" s="143" t="s">
        <v>40</v>
      </c>
      <c r="D32" s="143" t="s">
        <v>40</v>
      </c>
      <c r="E32" s="143" t="s">
        <v>40</v>
      </c>
      <c r="F32" s="143" t="s">
        <v>40</v>
      </c>
      <c r="G32" s="143" t="s">
        <v>40</v>
      </c>
      <c r="H32" s="143" t="s">
        <v>40</v>
      </c>
      <c r="I32" s="143" t="s">
        <v>703</v>
      </c>
      <c r="J32" s="143">
        <v>250</v>
      </c>
      <c r="K32" s="4" t="s">
        <v>697</v>
      </c>
      <c r="L32" s="13"/>
      <c r="N32" s="13"/>
    </row>
    <row r="33" spans="1:17" s="4" customFormat="1">
      <c r="A33" s="4" t="s">
        <v>707</v>
      </c>
      <c r="B33" s="143" t="s">
        <v>40</v>
      </c>
      <c r="C33" s="143" t="s">
        <v>40</v>
      </c>
      <c r="D33" s="143" t="s">
        <v>40</v>
      </c>
      <c r="E33" s="143" t="s">
        <v>40</v>
      </c>
      <c r="F33" s="143" t="s">
        <v>40</v>
      </c>
      <c r="G33" s="143" t="s">
        <v>40</v>
      </c>
      <c r="H33" s="143" t="s">
        <v>40</v>
      </c>
      <c r="I33" s="143" t="s">
        <v>703</v>
      </c>
      <c r="J33" s="143">
        <v>2250</v>
      </c>
      <c r="K33" s="4" t="s">
        <v>697</v>
      </c>
      <c r="L33" s="13"/>
      <c r="N33" s="13"/>
    </row>
    <row r="34" spans="1:17" s="4" customFormat="1">
      <c r="A34" s="402" t="s">
        <v>708</v>
      </c>
      <c r="B34" s="399"/>
      <c r="C34" s="399"/>
      <c r="D34" s="399"/>
      <c r="E34" s="399"/>
      <c r="F34" s="399"/>
      <c r="G34" s="400"/>
      <c r="H34" s="401"/>
      <c r="I34" s="399"/>
      <c r="J34" s="399"/>
      <c r="L34" s="13"/>
      <c r="N34" s="13"/>
    </row>
    <row r="35" spans="1:17" s="4" customFormat="1">
      <c r="A35" s="4" t="s">
        <v>702</v>
      </c>
      <c r="B35" s="143" t="s">
        <v>40</v>
      </c>
      <c r="C35" s="143" t="s">
        <v>40</v>
      </c>
      <c r="D35" s="143" t="s">
        <v>40</v>
      </c>
      <c r="E35" s="143" t="s">
        <v>40</v>
      </c>
      <c r="F35" s="143" t="s">
        <v>40</v>
      </c>
      <c r="G35" s="143" t="s">
        <v>40</v>
      </c>
      <c r="H35" s="143" t="s">
        <v>40</v>
      </c>
      <c r="I35" s="143" t="s">
        <v>703</v>
      </c>
      <c r="J35" s="143" t="s">
        <v>703</v>
      </c>
      <c r="K35" s="23">
        <v>125</v>
      </c>
      <c r="L35" s="4" t="s">
        <v>709</v>
      </c>
      <c r="N35" s="13"/>
    </row>
    <row r="36" spans="1:17" s="4" customFormat="1">
      <c r="A36" s="4" t="s">
        <v>704</v>
      </c>
      <c r="B36" s="143" t="s">
        <v>40</v>
      </c>
      <c r="C36" s="143" t="s">
        <v>40</v>
      </c>
      <c r="D36" s="143" t="s">
        <v>40</v>
      </c>
      <c r="E36" s="143" t="s">
        <v>40</v>
      </c>
      <c r="F36" s="143" t="s">
        <v>40</v>
      </c>
      <c r="G36" s="143" t="s">
        <v>40</v>
      </c>
      <c r="H36" s="143" t="s">
        <v>40</v>
      </c>
      <c r="I36" s="143">
        <v>90</v>
      </c>
      <c r="J36" s="143">
        <v>125</v>
      </c>
      <c r="K36" s="23">
        <v>150</v>
      </c>
      <c r="L36" s="4" t="s">
        <v>709</v>
      </c>
      <c r="N36" s="13"/>
    </row>
    <row r="37" spans="1:17" s="4" customFormat="1">
      <c r="A37" s="4" t="s">
        <v>705</v>
      </c>
      <c r="B37" s="143" t="s">
        <v>40</v>
      </c>
      <c r="C37" s="143" t="s">
        <v>40</v>
      </c>
      <c r="D37" s="143" t="s">
        <v>40</v>
      </c>
      <c r="E37" s="143" t="s">
        <v>40</v>
      </c>
      <c r="F37" s="143" t="s">
        <v>40</v>
      </c>
      <c r="G37" s="143" t="s">
        <v>40</v>
      </c>
      <c r="H37" s="143" t="s">
        <v>40</v>
      </c>
      <c r="I37" s="143">
        <v>120</v>
      </c>
      <c r="J37" s="143">
        <v>235</v>
      </c>
      <c r="K37" s="23">
        <v>240</v>
      </c>
      <c r="L37" s="4" t="s">
        <v>709</v>
      </c>
      <c r="N37" s="13"/>
    </row>
    <row r="38" spans="1:17" s="4" customFormat="1">
      <c r="A38" s="4" t="s">
        <v>706</v>
      </c>
      <c r="B38" s="143" t="s">
        <v>40</v>
      </c>
      <c r="C38" s="143" t="s">
        <v>40</v>
      </c>
      <c r="D38" s="143" t="s">
        <v>40</v>
      </c>
      <c r="E38" s="143" t="s">
        <v>40</v>
      </c>
      <c r="F38" s="143" t="s">
        <v>40</v>
      </c>
      <c r="G38" s="143" t="s">
        <v>40</v>
      </c>
      <c r="H38" s="143" t="s">
        <v>40</v>
      </c>
      <c r="I38" s="143">
        <v>55</v>
      </c>
      <c r="J38" s="143">
        <v>70</v>
      </c>
      <c r="K38" s="23">
        <v>70</v>
      </c>
      <c r="L38" s="4" t="s">
        <v>709</v>
      </c>
      <c r="N38" s="13"/>
    </row>
    <row r="39" spans="1:17" s="4" customFormat="1">
      <c r="A39" s="4" t="s">
        <v>707</v>
      </c>
      <c r="B39" s="143" t="s">
        <v>40</v>
      </c>
      <c r="C39" s="143" t="s">
        <v>40</v>
      </c>
      <c r="D39" s="143" t="s">
        <v>40</v>
      </c>
      <c r="E39" s="143" t="s">
        <v>40</v>
      </c>
      <c r="F39" s="143" t="s">
        <v>40</v>
      </c>
      <c r="G39" s="143" t="s">
        <v>40</v>
      </c>
      <c r="H39" s="143" t="s">
        <v>40</v>
      </c>
      <c r="I39" s="143" t="s">
        <v>703</v>
      </c>
      <c r="J39" s="143">
        <v>725</v>
      </c>
      <c r="K39" s="23">
        <v>740</v>
      </c>
      <c r="L39" s="4" t="s">
        <v>709</v>
      </c>
      <c r="M39" s="13" t="s">
        <v>676</v>
      </c>
      <c r="N39" s="4" t="s">
        <v>677</v>
      </c>
    </row>
    <row r="40" spans="1:17" s="4" customFormat="1">
      <c r="A40" s="402" t="s">
        <v>710</v>
      </c>
      <c r="B40" s="399"/>
      <c r="C40" s="399"/>
      <c r="D40" s="399"/>
      <c r="E40" s="399"/>
      <c r="F40" s="399"/>
      <c r="G40" s="400"/>
      <c r="H40" s="400"/>
      <c r="I40" s="399"/>
      <c r="J40" s="399"/>
      <c r="L40" s="13"/>
      <c r="N40" s="13"/>
    </row>
    <row r="41" spans="1:17" s="4" customFormat="1">
      <c r="A41" s="4" t="s">
        <v>702</v>
      </c>
      <c r="B41" s="143" t="s">
        <v>40</v>
      </c>
      <c r="C41" s="143" t="s">
        <v>40</v>
      </c>
      <c r="D41" s="143" t="s">
        <v>40</v>
      </c>
      <c r="E41" s="143" t="s">
        <v>40</v>
      </c>
      <c r="F41" s="143" t="s">
        <v>40</v>
      </c>
      <c r="G41" s="143" t="s">
        <v>40</v>
      </c>
      <c r="H41" s="143" t="s">
        <v>40</v>
      </c>
      <c r="I41" s="143" t="s">
        <v>703</v>
      </c>
      <c r="J41" s="143" t="s">
        <v>703</v>
      </c>
      <c r="K41" s="4" t="s">
        <v>709</v>
      </c>
      <c r="L41" s="13"/>
      <c r="N41" s="13"/>
    </row>
    <row r="42" spans="1:17" s="4" customFormat="1">
      <c r="A42" s="4" t="s">
        <v>704</v>
      </c>
      <c r="B42" s="143" t="s">
        <v>40</v>
      </c>
      <c r="C42" s="143" t="s">
        <v>40</v>
      </c>
      <c r="D42" s="143" t="s">
        <v>40</v>
      </c>
      <c r="E42" s="143" t="s">
        <v>40</v>
      </c>
      <c r="F42" s="143" t="s">
        <v>40</v>
      </c>
      <c r="G42" s="143" t="s">
        <v>40</v>
      </c>
      <c r="H42" s="143" t="s">
        <v>40</v>
      </c>
      <c r="I42" s="143">
        <v>0</v>
      </c>
      <c r="J42" s="143">
        <v>0</v>
      </c>
      <c r="K42" s="4" t="s">
        <v>709</v>
      </c>
      <c r="L42" s="13"/>
      <c r="N42" s="13"/>
    </row>
    <row r="43" spans="1:17" s="4" customFormat="1">
      <c r="A43" s="4" t="s">
        <v>705</v>
      </c>
      <c r="B43" s="143" t="s">
        <v>40</v>
      </c>
      <c r="C43" s="143" t="s">
        <v>40</v>
      </c>
      <c r="D43" s="143" t="s">
        <v>40</v>
      </c>
      <c r="E43" s="143" t="s">
        <v>40</v>
      </c>
      <c r="F43" s="143" t="s">
        <v>40</v>
      </c>
      <c r="G43" s="143" t="s">
        <v>40</v>
      </c>
      <c r="H43" s="143" t="s">
        <v>40</v>
      </c>
      <c r="I43" s="143">
        <v>80</v>
      </c>
      <c r="J43" s="143">
        <f>J31-J37</f>
        <v>65</v>
      </c>
      <c r="K43" s="4" t="s">
        <v>709</v>
      </c>
      <c r="L43" s="13"/>
      <c r="N43" s="13"/>
    </row>
    <row r="44" spans="1:17" s="4" customFormat="1">
      <c r="A44" s="4" t="s">
        <v>706</v>
      </c>
      <c r="B44" s="143" t="s">
        <v>40</v>
      </c>
      <c r="C44" s="143" t="s">
        <v>40</v>
      </c>
      <c r="D44" s="143" t="s">
        <v>40</v>
      </c>
      <c r="E44" s="143" t="s">
        <v>40</v>
      </c>
      <c r="F44" s="143" t="s">
        <v>40</v>
      </c>
      <c r="G44" s="143" t="s">
        <v>40</v>
      </c>
      <c r="H44" s="143" t="s">
        <v>40</v>
      </c>
      <c r="I44" s="143" t="s">
        <v>703</v>
      </c>
      <c r="J44" s="143">
        <f>J32-J38</f>
        <v>180</v>
      </c>
      <c r="K44" s="4" t="s">
        <v>709</v>
      </c>
      <c r="L44" s="13"/>
      <c r="N44" s="13"/>
    </row>
    <row r="45" spans="1:17" s="4" customFormat="1">
      <c r="A45" s="4" t="s">
        <v>707</v>
      </c>
      <c r="B45" s="143" t="s">
        <v>40</v>
      </c>
      <c r="C45" s="143" t="s">
        <v>40</v>
      </c>
      <c r="D45" s="143" t="s">
        <v>40</v>
      </c>
      <c r="E45" s="143" t="s">
        <v>40</v>
      </c>
      <c r="F45" s="143" t="s">
        <v>40</v>
      </c>
      <c r="G45" s="143" t="s">
        <v>40</v>
      </c>
      <c r="H45" s="143" t="s">
        <v>40</v>
      </c>
      <c r="I45" s="143" t="s">
        <v>703</v>
      </c>
      <c r="J45" s="143">
        <f>J33-J39</f>
        <v>1525</v>
      </c>
      <c r="K45" s="4" t="s">
        <v>709</v>
      </c>
      <c r="L45" s="13"/>
      <c r="N45" s="13"/>
    </row>
    <row r="46" spans="1:17" s="4" customFormat="1">
      <c r="A46" s="4" t="s">
        <v>711</v>
      </c>
      <c r="B46" s="205"/>
      <c r="C46" s="205"/>
      <c r="D46" s="205"/>
      <c r="E46" s="205"/>
      <c r="F46" s="205"/>
      <c r="G46" s="206"/>
      <c r="H46" s="123">
        <v>2.7</v>
      </c>
      <c r="I46" s="143" t="s">
        <v>712</v>
      </c>
      <c r="J46" s="143" t="s">
        <v>712</v>
      </c>
      <c r="K46" s="4" t="s">
        <v>675</v>
      </c>
      <c r="L46" s="13"/>
      <c r="N46" s="13"/>
    </row>
    <row r="47" spans="1:17" s="4" customFormat="1">
      <c r="A47" s="34" t="s">
        <v>713</v>
      </c>
      <c r="B47" s="205"/>
      <c r="C47" s="205"/>
      <c r="D47" s="205"/>
      <c r="E47" s="123">
        <v>575</v>
      </c>
      <c r="F47" s="123">
        <v>425</v>
      </c>
      <c r="G47" s="123">
        <v>125</v>
      </c>
      <c r="H47" s="123">
        <v>300</v>
      </c>
      <c r="I47" s="123">
        <v>450</v>
      </c>
      <c r="J47" s="123">
        <v>375</v>
      </c>
      <c r="K47" s="4" t="s">
        <v>697</v>
      </c>
      <c r="L47" s="13"/>
      <c r="N47" s="13"/>
    </row>
    <row r="48" spans="1:17">
      <c r="A48" s="6"/>
      <c r="B48" s="6"/>
      <c r="C48" s="6"/>
      <c r="D48" s="6"/>
      <c r="E48" s="6"/>
      <c r="F48" s="6"/>
      <c r="G48" s="22"/>
      <c r="H48" s="22"/>
      <c r="I48" s="281"/>
      <c r="J48" s="6"/>
      <c r="K48" s="6"/>
      <c r="L48" s="6"/>
      <c r="M48" s="6"/>
      <c r="N48" s="6"/>
      <c r="O48" s="19"/>
      <c r="P48" s="19"/>
      <c r="Q48" s="19"/>
    </row>
    <row r="49" spans="1:18">
      <c r="A49" s="3" t="s">
        <v>714</v>
      </c>
      <c r="B49" s="3">
        <v>2008</v>
      </c>
      <c r="C49" s="3">
        <v>2009</v>
      </c>
      <c r="D49" s="3">
        <v>2010</v>
      </c>
      <c r="E49" s="3">
        <v>2011</v>
      </c>
      <c r="F49" s="3">
        <v>2012</v>
      </c>
      <c r="G49" s="20">
        <v>2013</v>
      </c>
      <c r="H49" s="20">
        <v>2014</v>
      </c>
      <c r="I49" s="3">
        <v>2015</v>
      </c>
      <c r="J49" s="3">
        <v>2016</v>
      </c>
      <c r="K49" s="3" t="s">
        <v>102</v>
      </c>
      <c r="L49" s="3" t="s">
        <v>103</v>
      </c>
      <c r="M49" s="3" t="s">
        <v>104</v>
      </c>
      <c r="N49" s="31" t="s">
        <v>105</v>
      </c>
      <c r="O49" s="4"/>
      <c r="P49" s="4"/>
      <c r="Q49" s="4"/>
    </row>
    <row r="50" spans="1:18">
      <c r="A50" s="15" t="s">
        <v>715</v>
      </c>
      <c r="B50" s="57"/>
      <c r="C50" s="57"/>
      <c r="D50" s="57"/>
      <c r="E50" s="57"/>
      <c r="F50" s="57"/>
      <c r="G50" s="210"/>
      <c r="H50" s="144">
        <v>6.8</v>
      </c>
      <c r="I50" s="211"/>
      <c r="J50" s="57"/>
      <c r="K50" s="4" t="s">
        <v>675</v>
      </c>
      <c r="L50" s="13" t="s">
        <v>676</v>
      </c>
      <c r="M50" s="4" t="s">
        <v>677</v>
      </c>
      <c r="N50" s="32" t="s">
        <v>678</v>
      </c>
      <c r="O50" s="4"/>
      <c r="P50" s="4"/>
      <c r="Q50" s="4"/>
    </row>
    <row r="51" spans="1:18" s="15" customFormat="1">
      <c r="A51" s="15" t="s">
        <v>716</v>
      </c>
      <c r="B51" s="57"/>
      <c r="C51" s="57"/>
      <c r="D51" s="57"/>
      <c r="E51" s="57"/>
      <c r="F51" s="57"/>
      <c r="G51" s="210"/>
      <c r="H51" s="144">
        <v>10</v>
      </c>
      <c r="I51" s="211"/>
      <c r="J51" s="57"/>
      <c r="K51" s="4" t="s">
        <v>675</v>
      </c>
      <c r="L51" s="13" t="s">
        <v>676</v>
      </c>
      <c r="M51" s="4" t="s">
        <v>677</v>
      </c>
      <c r="N51" s="32" t="s">
        <v>678</v>
      </c>
      <c r="O51" s="4"/>
      <c r="P51" s="4"/>
      <c r="Q51" s="4"/>
      <c r="R51" s="33"/>
    </row>
    <row r="52" spans="1:18">
      <c r="A52" s="6"/>
      <c r="B52" s="6"/>
      <c r="C52" s="6"/>
      <c r="D52" s="6"/>
      <c r="E52" s="6"/>
      <c r="F52" s="6"/>
      <c r="G52" s="22"/>
      <c r="H52" s="22"/>
      <c r="I52" s="281"/>
      <c r="J52" s="6"/>
      <c r="K52" s="6"/>
      <c r="L52" s="6"/>
      <c r="M52" s="6"/>
      <c r="N52" s="6"/>
      <c r="O52" s="4"/>
      <c r="P52" s="4"/>
      <c r="Q52" s="4"/>
    </row>
    <row r="53" spans="1:18">
      <c r="A53" s="14" t="s">
        <v>717</v>
      </c>
      <c r="B53" s="14">
        <v>2008</v>
      </c>
      <c r="C53" s="14">
        <v>2009</v>
      </c>
      <c r="D53" s="14">
        <v>2010</v>
      </c>
      <c r="E53" s="14">
        <v>2011</v>
      </c>
      <c r="F53" s="14">
        <v>2012</v>
      </c>
      <c r="G53" s="26">
        <v>2013</v>
      </c>
      <c r="H53" s="26">
        <v>2014</v>
      </c>
      <c r="I53" s="14">
        <v>2015</v>
      </c>
      <c r="J53" s="14">
        <v>2016</v>
      </c>
      <c r="K53" s="14" t="s">
        <v>102</v>
      </c>
      <c r="L53" s="14" t="s">
        <v>103</v>
      </c>
      <c r="M53" s="14" t="s">
        <v>104</v>
      </c>
      <c r="N53" s="47" t="s">
        <v>105</v>
      </c>
      <c r="O53" s="15"/>
      <c r="P53" s="15"/>
      <c r="Q53" s="15"/>
    </row>
    <row r="54" spans="1:18">
      <c r="A54" s="122" t="s">
        <v>718</v>
      </c>
      <c r="B54" s="211"/>
      <c r="C54" s="211"/>
      <c r="D54" s="211"/>
      <c r="E54" s="211"/>
      <c r="F54" s="148">
        <v>316</v>
      </c>
      <c r="G54" s="144">
        <v>345</v>
      </c>
      <c r="H54" s="144">
        <v>409</v>
      </c>
      <c r="I54" s="290">
        <v>436</v>
      </c>
      <c r="J54" s="211"/>
      <c r="K54" s="122" t="s">
        <v>719</v>
      </c>
      <c r="L54" s="14"/>
      <c r="M54" s="14"/>
      <c r="N54" s="47"/>
      <c r="O54" s="15"/>
      <c r="P54" s="15"/>
      <c r="Q54" s="15"/>
    </row>
    <row r="55" spans="1:18">
      <c r="A55" s="122" t="s">
        <v>720</v>
      </c>
      <c r="B55" s="211"/>
      <c r="C55" s="211"/>
      <c r="D55" s="211"/>
      <c r="E55" s="211"/>
      <c r="F55" s="146">
        <v>2061</v>
      </c>
      <c r="G55" s="147">
        <v>2010</v>
      </c>
      <c r="H55" s="147">
        <v>2116</v>
      </c>
      <c r="I55" s="280">
        <v>2336</v>
      </c>
      <c r="J55" s="211"/>
      <c r="K55" s="122" t="s">
        <v>719</v>
      </c>
      <c r="L55" s="14"/>
      <c r="M55" s="14"/>
      <c r="N55" s="47"/>
      <c r="O55" s="15"/>
      <c r="P55" s="15"/>
      <c r="Q55" s="15"/>
    </row>
    <row r="56" spans="1:18" s="15" customFormat="1">
      <c r="A56" s="122" t="s">
        <v>721</v>
      </c>
      <c r="B56" s="211"/>
      <c r="C56" s="211"/>
      <c r="D56" s="211"/>
      <c r="E56" s="211"/>
      <c r="F56" s="146">
        <v>2377</v>
      </c>
      <c r="G56" s="147">
        <v>2355</v>
      </c>
      <c r="H56" s="147">
        <v>2763</v>
      </c>
      <c r="I56" s="280">
        <v>2772</v>
      </c>
      <c r="J56" s="211"/>
      <c r="K56" s="122" t="s">
        <v>719</v>
      </c>
      <c r="L56" s="14"/>
      <c r="M56" s="14"/>
      <c r="N56" s="14"/>
    </row>
    <row r="57" spans="1:18" s="4" customFormat="1">
      <c r="A57" s="4" t="s">
        <v>722</v>
      </c>
      <c r="B57" s="55"/>
      <c r="C57" s="55"/>
      <c r="D57" s="55"/>
      <c r="E57" s="55"/>
      <c r="F57" s="143" t="s">
        <v>723</v>
      </c>
      <c r="G57" s="224"/>
      <c r="H57" s="224"/>
      <c r="I57" s="188"/>
      <c r="J57" s="55"/>
      <c r="K57" s="4" t="s">
        <v>724</v>
      </c>
    </row>
    <row r="58" spans="1:18" s="4" customFormat="1">
      <c r="A58" s="4" t="s">
        <v>725</v>
      </c>
      <c r="B58" s="4">
        <v>14.75</v>
      </c>
      <c r="C58" s="4">
        <v>21.87</v>
      </c>
      <c r="D58" s="4">
        <v>43.33</v>
      </c>
      <c r="E58" s="4">
        <v>34.67</v>
      </c>
      <c r="F58" s="4">
        <v>35.229999999999997</v>
      </c>
      <c r="G58" s="224"/>
      <c r="H58" s="224"/>
      <c r="I58" s="188"/>
      <c r="J58" s="55"/>
      <c r="K58" s="4" t="s">
        <v>724</v>
      </c>
    </row>
    <row r="59" spans="1:18">
      <c r="A59" s="6"/>
      <c r="B59" s="6"/>
      <c r="C59" s="6"/>
      <c r="D59" s="6"/>
      <c r="E59" s="6"/>
      <c r="F59" s="6"/>
      <c r="G59" s="22"/>
      <c r="H59" s="22"/>
      <c r="I59" s="281"/>
      <c r="J59" s="6"/>
      <c r="K59" s="6"/>
      <c r="L59" s="6"/>
      <c r="M59" s="6"/>
      <c r="N59" s="6"/>
      <c r="O59" s="4"/>
      <c r="P59" s="4"/>
      <c r="Q59" s="4"/>
    </row>
    <row r="60" spans="1:18">
      <c r="A60" s="14" t="s">
        <v>726</v>
      </c>
      <c r="B60" s="14">
        <v>2008</v>
      </c>
      <c r="C60" s="14">
        <v>2009</v>
      </c>
      <c r="D60" s="14">
        <v>2010</v>
      </c>
      <c r="E60" s="14">
        <v>2011</v>
      </c>
      <c r="F60" s="14">
        <v>2012</v>
      </c>
      <c r="G60" s="26">
        <v>2013</v>
      </c>
      <c r="H60" s="26">
        <v>2014</v>
      </c>
      <c r="I60" s="14">
        <v>2015</v>
      </c>
      <c r="J60" s="14">
        <v>2016</v>
      </c>
      <c r="K60" s="14" t="s">
        <v>102</v>
      </c>
      <c r="L60" s="14" t="s">
        <v>103</v>
      </c>
      <c r="M60" s="14" t="s">
        <v>104</v>
      </c>
      <c r="N60" s="47" t="s">
        <v>105</v>
      </c>
      <c r="O60" s="15"/>
      <c r="P60" s="15"/>
      <c r="Q60" s="15"/>
    </row>
    <row r="61" spans="1:18">
      <c r="A61" s="15" t="s">
        <v>727</v>
      </c>
      <c r="B61" s="410"/>
      <c r="C61" s="410"/>
      <c r="D61" s="148">
        <v>10.6</v>
      </c>
      <c r="E61" s="148">
        <v>11.1</v>
      </c>
      <c r="F61" s="148">
        <v>11.7</v>
      </c>
      <c r="G61" s="144">
        <v>12.3</v>
      </c>
      <c r="H61" s="415"/>
      <c r="I61" s="410"/>
      <c r="J61" s="410"/>
      <c r="K61" s="15" t="s">
        <v>728</v>
      </c>
      <c r="L61" s="15"/>
      <c r="M61" s="15"/>
    </row>
    <row r="62" spans="1:18">
      <c r="A62" s="4" t="s">
        <v>729</v>
      </c>
      <c r="B62" s="177"/>
      <c r="C62" s="177"/>
      <c r="D62" s="143">
        <v>2.1</v>
      </c>
      <c r="E62" s="143">
        <v>2.2999999999999998</v>
      </c>
      <c r="F62" s="143">
        <v>2.6</v>
      </c>
      <c r="G62" s="411">
        <v>3</v>
      </c>
      <c r="H62" s="416"/>
      <c r="I62" s="417"/>
      <c r="J62" s="177"/>
      <c r="K62" s="15" t="s">
        <v>728</v>
      </c>
      <c r="L62" s="4"/>
      <c r="M62" s="4"/>
    </row>
    <row r="63" spans="1:18">
      <c r="A63" s="4" t="s">
        <v>34</v>
      </c>
      <c r="B63" s="177"/>
      <c r="C63" s="177"/>
      <c r="D63" s="143">
        <v>8.5</v>
      </c>
      <c r="E63" s="143">
        <v>8.8000000000000007</v>
      </c>
      <c r="F63" s="143">
        <v>9.1</v>
      </c>
      <c r="G63" s="411">
        <v>9.3000000000000007</v>
      </c>
      <c r="H63" s="416"/>
      <c r="I63" s="417"/>
      <c r="J63" s="177"/>
      <c r="K63" s="15" t="s">
        <v>728</v>
      </c>
      <c r="L63" s="4"/>
      <c r="M63" s="4"/>
    </row>
    <row r="64" spans="1:18">
      <c r="A64" s="4" t="s">
        <v>730</v>
      </c>
      <c r="B64" s="177"/>
      <c r="C64" s="177"/>
      <c r="D64" s="412">
        <v>4</v>
      </c>
      <c r="E64" s="412">
        <v>4.3</v>
      </c>
      <c r="F64" s="412">
        <v>5.0999999999999996</v>
      </c>
      <c r="G64" s="411">
        <v>5.6</v>
      </c>
      <c r="H64" s="416"/>
      <c r="I64" s="417"/>
      <c r="J64" s="177"/>
      <c r="K64" s="15" t="s">
        <v>728</v>
      </c>
      <c r="L64" s="4"/>
      <c r="M64" s="4"/>
    </row>
    <row r="65" spans="1:17">
      <c r="A65" s="4" t="s">
        <v>731</v>
      </c>
      <c r="B65" s="177"/>
      <c r="C65" s="177"/>
      <c r="D65" s="412">
        <v>2.1</v>
      </c>
      <c r="E65" s="412">
        <v>2.4</v>
      </c>
      <c r="F65" s="412">
        <v>2.7</v>
      </c>
      <c r="G65" s="411">
        <v>2.9</v>
      </c>
      <c r="H65" s="416"/>
      <c r="I65" s="417"/>
      <c r="J65" s="177"/>
      <c r="K65" s="15" t="s">
        <v>728</v>
      </c>
      <c r="L65" s="4"/>
      <c r="M65" s="4"/>
    </row>
    <row r="66" spans="1:17">
      <c r="A66" s="15" t="s">
        <v>1</v>
      </c>
      <c r="B66" s="410"/>
      <c r="C66" s="410"/>
      <c r="D66" s="413">
        <v>1.9</v>
      </c>
      <c r="E66" s="413">
        <v>1.9</v>
      </c>
      <c r="F66" s="413">
        <v>2.4</v>
      </c>
      <c r="G66" s="414">
        <v>2.7</v>
      </c>
      <c r="H66" s="418"/>
      <c r="I66" s="419"/>
      <c r="J66" s="410"/>
      <c r="K66" s="15" t="s">
        <v>728</v>
      </c>
      <c r="L66" s="15"/>
      <c r="M66" s="15"/>
    </row>
    <row r="67" spans="1:17" s="4" customFormat="1">
      <c r="A67" s="4" t="s">
        <v>732</v>
      </c>
      <c r="B67" s="179"/>
      <c r="C67" s="179"/>
      <c r="D67" s="412">
        <v>14.6</v>
      </c>
      <c r="E67" s="412">
        <v>15.4</v>
      </c>
      <c r="F67" s="412">
        <v>16.8</v>
      </c>
      <c r="G67" s="411">
        <v>17.899999999999999</v>
      </c>
      <c r="H67" s="416"/>
      <c r="I67" s="417"/>
      <c r="J67" s="177"/>
      <c r="K67" s="15" t="s">
        <v>728</v>
      </c>
    </row>
    <row r="68" spans="1:17">
      <c r="A68" s="6"/>
      <c r="B68" s="6"/>
      <c r="C68" s="6"/>
      <c r="D68" s="6"/>
      <c r="E68" s="6"/>
      <c r="F68" s="6"/>
      <c r="G68" s="22"/>
      <c r="H68" s="22"/>
      <c r="I68" s="281"/>
      <c r="J68" s="6"/>
      <c r="K68" s="6"/>
      <c r="L68" s="6"/>
      <c r="M68" s="6"/>
      <c r="N68" s="6"/>
      <c r="O68" s="4"/>
      <c r="P68" s="4"/>
      <c r="Q68" s="4"/>
    </row>
    <row r="69" spans="1:17">
      <c r="A69" s="14" t="s">
        <v>726</v>
      </c>
      <c r="B69" s="14">
        <v>2008</v>
      </c>
      <c r="C69" s="14">
        <v>2009</v>
      </c>
      <c r="D69" s="14">
        <v>2010</v>
      </c>
      <c r="E69" s="14">
        <v>2011</v>
      </c>
      <c r="F69" s="14">
        <v>2012</v>
      </c>
      <c r="G69" s="26">
        <v>2013</v>
      </c>
      <c r="H69" s="26">
        <v>2014</v>
      </c>
      <c r="I69" s="14">
        <v>2015</v>
      </c>
      <c r="J69" s="14">
        <v>2016</v>
      </c>
      <c r="K69" s="14" t="s">
        <v>102</v>
      </c>
      <c r="L69" s="14" t="s">
        <v>103</v>
      </c>
      <c r="M69" s="14" t="s">
        <v>104</v>
      </c>
      <c r="N69" s="47" t="s">
        <v>105</v>
      </c>
      <c r="O69" s="15"/>
      <c r="P69" s="15"/>
      <c r="Q69" s="15"/>
    </row>
    <row r="70" spans="1:17">
      <c r="A70" t="s">
        <v>733</v>
      </c>
    </row>
    <row r="71" spans="1:17">
      <c r="A71" t="s">
        <v>734</v>
      </c>
    </row>
    <row r="72" spans="1:17">
      <c r="A72" t="s">
        <v>735</v>
      </c>
    </row>
    <row r="73" spans="1:17">
      <c r="A73" t="s">
        <v>734</v>
      </c>
    </row>
    <row r="74" spans="1:17">
      <c r="A74" t="s">
        <v>736</v>
      </c>
    </row>
    <row r="75" spans="1:17">
      <c r="A75" t="s">
        <v>733</v>
      </c>
    </row>
    <row r="76" spans="1:17">
      <c r="A76" t="s">
        <v>734</v>
      </c>
    </row>
    <row r="77" spans="1:17">
      <c r="A77" t="s">
        <v>736</v>
      </c>
    </row>
    <row r="78" spans="1:17">
      <c r="A78" t="s">
        <v>737</v>
      </c>
    </row>
    <row r="79" spans="1:17">
      <c r="A79" t="s">
        <v>733</v>
      </c>
    </row>
    <row r="80" spans="1:17">
      <c r="A80" t="s">
        <v>733</v>
      </c>
    </row>
    <row r="81" spans="1:9">
      <c r="A81" t="s">
        <v>734</v>
      </c>
    </row>
    <row r="82" spans="1:9">
      <c r="A82" t="s">
        <v>736</v>
      </c>
    </row>
    <row r="83" spans="1:9">
      <c r="A83" t="s">
        <v>734</v>
      </c>
    </row>
    <row r="84" spans="1:9">
      <c r="A84" t="s">
        <v>735</v>
      </c>
    </row>
    <row r="85" spans="1:9">
      <c r="A85" t="s">
        <v>736</v>
      </c>
    </row>
    <row r="86" spans="1:9">
      <c r="A86" t="s">
        <v>738</v>
      </c>
    </row>
    <row r="87" spans="1:9">
      <c r="A87" t="s">
        <v>735</v>
      </c>
    </row>
    <row r="93" spans="1:9">
      <c r="I93" s="51"/>
    </row>
  </sheetData>
  <mergeCells count="1">
    <mergeCell ref="A1:A2"/>
  </mergeCells>
  <hyperlinks>
    <hyperlink ref="L10" r:id="rId1" xr:uid="{00000000-0004-0000-1000-000000000000}"/>
    <hyperlink ref="L11" r:id="rId2" xr:uid="{00000000-0004-0000-1000-000001000000}"/>
    <hyperlink ref="L12" r:id="rId3" xr:uid="{00000000-0004-0000-1000-000002000000}"/>
    <hyperlink ref="L13" r:id="rId4" xr:uid="{00000000-0004-0000-1000-000003000000}"/>
    <hyperlink ref="L14" r:id="rId5" xr:uid="{00000000-0004-0000-1000-000004000000}"/>
    <hyperlink ref="L15" r:id="rId6" xr:uid="{00000000-0004-0000-1000-000005000000}"/>
    <hyperlink ref="L16" r:id="rId7" xr:uid="{00000000-0004-0000-1000-000006000000}"/>
    <hyperlink ref="L19" r:id="rId8" xr:uid="{00000000-0004-0000-1000-000007000000}"/>
    <hyperlink ref="L26" r:id="rId9" xr:uid="{00000000-0004-0000-1000-000008000000}"/>
    <hyperlink ref="L27" r:id="rId10" xr:uid="{00000000-0004-0000-1000-000009000000}"/>
    <hyperlink ref="L28" r:id="rId11" xr:uid="{00000000-0004-0000-1000-00000A000000}"/>
    <hyperlink ref="L50" r:id="rId12" xr:uid="{00000000-0004-0000-1000-00000B000000}"/>
    <hyperlink ref="L51" r:id="rId13" xr:uid="{00000000-0004-0000-1000-00000C000000}"/>
    <hyperlink ref="N10" r:id="rId14" xr:uid="{00000000-0004-0000-1000-00000D000000}"/>
    <hyperlink ref="N11" r:id="rId15" xr:uid="{00000000-0004-0000-1000-00000E000000}"/>
    <hyperlink ref="N12" r:id="rId16" xr:uid="{00000000-0004-0000-1000-00000F000000}"/>
    <hyperlink ref="N13" r:id="rId17" xr:uid="{00000000-0004-0000-1000-000010000000}"/>
    <hyperlink ref="N14" r:id="rId18" xr:uid="{00000000-0004-0000-1000-000011000000}"/>
    <hyperlink ref="N15" r:id="rId19" xr:uid="{00000000-0004-0000-1000-000012000000}"/>
    <hyperlink ref="N16" r:id="rId20" xr:uid="{00000000-0004-0000-1000-000013000000}"/>
    <hyperlink ref="N19" r:id="rId21" xr:uid="{00000000-0004-0000-1000-000014000000}"/>
    <hyperlink ref="N27" r:id="rId22" xr:uid="{00000000-0004-0000-1000-000015000000}"/>
    <hyperlink ref="N28" r:id="rId23" xr:uid="{00000000-0004-0000-1000-000016000000}"/>
    <hyperlink ref="N50" r:id="rId24" xr:uid="{00000000-0004-0000-1000-000017000000}"/>
    <hyperlink ref="N51" r:id="rId25" xr:uid="{00000000-0004-0000-1000-000018000000}"/>
    <hyperlink ref="P15" r:id="rId26" xr:uid="{00000000-0004-0000-1000-000019000000}"/>
    <hyperlink ref="N26" r:id="rId27" xr:uid="{00000000-0004-0000-1000-00001A000000}"/>
    <hyperlink ref="N22" r:id="rId28" xr:uid="{00000000-0004-0000-1000-00001B000000}"/>
    <hyperlink ref="P22" r:id="rId29" xr:uid="{00000000-0004-0000-1000-00001C000000}"/>
    <hyperlink ref="M39" r:id="rId30" xr:uid="{00000000-0004-0000-1000-00001D000000}"/>
  </hyperlinks>
  <pageMargins left="0.7" right="0.7" top="0.75" bottom="0.75" header="0.3" footer="0.3"/>
  <pageSetup orientation="portrait" r:id="rId31"/>
  <drawing r:id="rId3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Q99"/>
  <sheetViews>
    <sheetView topLeftCell="B31" workbookViewId="0">
      <selection activeCell="K120" sqref="K120"/>
    </sheetView>
  </sheetViews>
  <sheetFormatPr defaultColWidth="8.85546875" defaultRowHeight="15"/>
  <cols>
    <col min="1" max="1" width="83.42578125" customWidth="1"/>
    <col min="6" max="6" width="11.28515625" style="261" customWidth="1"/>
    <col min="7" max="8" width="10.140625" style="21" bestFit="1" customWidth="1"/>
    <col min="9" max="9" width="11.140625" style="21" bestFit="1" customWidth="1"/>
    <col min="11" max="11" width="82.42578125" bestFit="1" customWidth="1"/>
    <col min="12" max="12" width="91.42578125" customWidth="1"/>
    <col min="13" max="13" width="32.85546875" bestFit="1" customWidth="1"/>
    <col min="14" max="14" width="69.85546875" bestFit="1" customWidth="1"/>
    <col min="15" max="15" width="56.140625" customWidth="1"/>
    <col min="16" max="16" width="38.85546875" customWidth="1"/>
    <col min="17" max="17" width="20" customWidth="1"/>
  </cols>
  <sheetData>
    <row r="1" spans="1:17">
      <c r="A1" s="470" t="s">
        <v>739</v>
      </c>
    </row>
    <row r="2" spans="1:17">
      <c r="A2" s="471"/>
    </row>
    <row r="3" spans="1:17" ht="15.75" customHeight="1">
      <c r="A3" s="6"/>
      <c r="B3" s="6"/>
      <c r="C3" s="6"/>
      <c r="D3" s="6"/>
      <c r="E3" s="6"/>
      <c r="F3" s="281"/>
      <c r="G3" s="22"/>
      <c r="H3" s="22"/>
      <c r="I3" s="22"/>
      <c r="J3" s="6"/>
      <c r="K3" s="6"/>
      <c r="L3" s="6"/>
      <c r="M3" s="6"/>
      <c r="N3" s="6"/>
    </row>
    <row r="4" spans="1:17" ht="15.75" customHeight="1">
      <c r="A4" s="14" t="s">
        <v>740</v>
      </c>
      <c r="B4" s="14">
        <v>2008</v>
      </c>
      <c r="C4" s="14">
        <v>2009</v>
      </c>
      <c r="D4" s="14">
        <v>2010</v>
      </c>
      <c r="E4" s="14">
        <v>2011</v>
      </c>
      <c r="F4" s="14">
        <v>2012</v>
      </c>
      <c r="G4" s="26">
        <v>2013</v>
      </c>
      <c r="H4" s="26">
        <v>2014</v>
      </c>
      <c r="I4" s="26">
        <v>2015</v>
      </c>
      <c r="J4" s="14">
        <v>2016</v>
      </c>
      <c r="K4" s="14" t="s">
        <v>102</v>
      </c>
      <c r="L4" s="14" t="s">
        <v>103</v>
      </c>
      <c r="M4" s="14" t="s">
        <v>104</v>
      </c>
      <c r="N4" s="14" t="s">
        <v>105</v>
      </c>
    </row>
    <row r="5" spans="1:17">
      <c r="A5" s="4" t="s">
        <v>741</v>
      </c>
      <c r="B5" s="282">
        <v>56312</v>
      </c>
      <c r="C5" s="282">
        <v>61494</v>
      </c>
      <c r="D5" s="282">
        <v>63659</v>
      </c>
      <c r="E5" s="282">
        <v>65935</v>
      </c>
      <c r="F5" s="282">
        <v>68895</v>
      </c>
      <c r="G5" s="283">
        <v>70789</v>
      </c>
      <c r="H5" s="283">
        <v>66553</v>
      </c>
      <c r="I5" s="282">
        <v>70785</v>
      </c>
      <c r="J5" s="309"/>
      <c r="K5" s="4" t="s">
        <v>742</v>
      </c>
      <c r="L5" s="53" t="s">
        <v>743</v>
      </c>
      <c r="M5" s="4" t="s">
        <v>744</v>
      </c>
      <c r="N5" s="13" t="s">
        <v>745</v>
      </c>
    </row>
    <row r="6" spans="1:17">
      <c r="A6" s="4" t="s">
        <v>746</v>
      </c>
      <c r="B6" s="306">
        <v>0.4</v>
      </c>
      <c r="C6" s="306">
        <v>0.4</v>
      </c>
      <c r="D6" s="306">
        <v>0.4</v>
      </c>
      <c r="E6" s="306">
        <v>0.4</v>
      </c>
      <c r="F6" s="306">
        <v>0.4</v>
      </c>
      <c r="G6" s="24">
        <v>0.4</v>
      </c>
      <c r="H6" s="24">
        <v>0.4</v>
      </c>
      <c r="I6" s="42">
        <v>0.4</v>
      </c>
      <c r="J6" s="309"/>
      <c r="K6" s="4" t="s">
        <v>742</v>
      </c>
      <c r="L6" s="53" t="s">
        <v>743</v>
      </c>
      <c r="M6" s="4" t="s">
        <v>744</v>
      </c>
      <c r="N6" s="13" t="s">
        <v>745</v>
      </c>
    </row>
    <row r="7" spans="1:17">
      <c r="A7" s="4" t="s">
        <v>747</v>
      </c>
      <c r="B7" s="282">
        <v>197414</v>
      </c>
      <c r="C7" s="282">
        <v>166170</v>
      </c>
      <c r="D7" s="282">
        <v>185064</v>
      </c>
      <c r="E7" s="282">
        <v>199912</v>
      </c>
      <c r="F7" s="282">
        <v>210337</v>
      </c>
      <c r="G7" s="308"/>
      <c r="H7" s="210"/>
      <c r="I7" s="224"/>
      <c r="J7" s="309"/>
      <c r="K7" s="4" t="s">
        <v>742</v>
      </c>
      <c r="L7" s="53" t="s">
        <v>743</v>
      </c>
      <c r="M7" s="3"/>
      <c r="N7" s="3"/>
    </row>
    <row r="8" spans="1:17" s="4" customFormat="1">
      <c r="A8" s="4" t="s">
        <v>748</v>
      </c>
      <c r="B8" s="127">
        <v>39983</v>
      </c>
      <c r="C8" s="127">
        <v>34498</v>
      </c>
      <c r="D8" s="127">
        <v>36586</v>
      </c>
      <c r="E8" s="127">
        <v>38162</v>
      </c>
      <c r="F8" s="127">
        <v>39654</v>
      </c>
      <c r="G8" s="282">
        <v>40002</v>
      </c>
      <c r="H8" s="282">
        <v>42097</v>
      </c>
      <c r="I8" s="282">
        <v>43651</v>
      </c>
      <c r="J8" s="224"/>
      <c r="K8" s="4" t="s">
        <v>742</v>
      </c>
      <c r="L8" s="53" t="s">
        <v>743</v>
      </c>
      <c r="M8" s="4" t="s">
        <v>744</v>
      </c>
      <c r="N8" s="13" t="s">
        <v>745</v>
      </c>
    </row>
    <row r="9" spans="1:17" s="4" customFormat="1">
      <c r="A9" s="4" t="s">
        <v>749</v>
      </c>
      <c r="B9" s="127">
        <v>1810</v>
      </c>
      <c r="C9" s="127">
        <v>1773</v>
      </c>
      <c r="D9" s="127">
        <v>1764</v>
      </c>
      <c r="E9" s="127">
        <v>1931</v>
      </c>
      <c r="F9" s="127">
        <v>1982</v>
      </c>
      <c r="G9" s="282">
        <v>1927</v>
      </c>
      <c r="H9" s="282">
        <v>1962</v>
      </c>
      <c r="I9" s="282">
        <v>2015</v>
      </c>
      <c r="J9" s="224"/>
      <c r="K9" s="4" t="s">
        <v>742</v>
      </c>
      <c r="L9" s="53" t="s">
        <v>743</v>
      </c>
      <c r="M9" s="4" t="s">
        <v>744</v>
      </c>
      <c r="N9" s="13" t="s">
        <v>745</v>
      </c>
    </row>
    <row r="10" spans="1:17" s="4" customFormat="1">
      <c r="A10" s="4" t="s">
        <v>750</v>
      </c>
      <c r="B10" s="127">
        <v>14519</v>
      </c>
      <c r="C10" s="127">
        <v>25223</v>
      </c>
      <c r="D10" s="127">
        <v>25309</v>
      </c>
      <c r="E10" s="127">
        <v>25842</v>
      </c>
      <c r="F10" s="127">
        <v>27259</v>
      </c>
      <c r="G10" s="42">
        <v>28860</v>
      </c>
      <c r="H10" s="42">
        <v>22494</v>
      </c>
      <c r="I10" s="42">
        <v>25119</v>
      </c>
      <c r="J10" s="224"/>
      <c r="K10" s="4" t="s">
        <v>742</v>
      </c>
      <c r="L10" s="53" t="s">
        <v>743</v>
      </c>
      <c r="M10" s="4" t="s">
        <v>744</v>
      </c>
      <c r="N10" s="13" t="s">
        <v>745</v>
      </c>
    </row>
    <row r="11" spans="1:17" s="4" customFormat="1">
      <c r="A11" s="4" t="s">
        <v>751</v>
      </c>
      <c r="B11" s="310">
        <v>727</v>
      </c>
      <c r="C11" s="310">
        <v>627</v>
      </c>
      <c r="D11" s="310">
        <v>624</v>
      </c>
      <c r="E11" s="310">
        <v>634</v>
      </c>
      <c r="F11" s="310">
        <v>646</v>
      </c>
      <c r="G11" s="224"/>
      <c r="H11" s="224"/>
      <c r="I11" s="224"/>
      <c r="J11" s="224"/>
      <c r="K11" s="4" t="s">
        <v>742</v>
      </c>
      <c r="L11" s="53" t="s">
        <v>743</v>
      </c>
    </row>
    <row r="12" spans="1:17" s="15" customFormat="1">
      <c r="A12" s="15" t="s">
        <v>752</v>
      </c>
      <c r="B12" s="24">
        <v>245</v>
      </c>
      <c r="C12" s="24">
        <v>250</v>
      </c>
      <c r="D12" s="24">
        <v>270</v>
      </c>
      <c r="E12" s="24">
        <v>279</v>
      </c>
      <c r="F12" s="24">
        <v>288</v>
      </c>
      <c r="G12" s="283">
        <v>299</v>
      </c>
      <c r="H12" s="283">
        <v>311</v>
      </c>
      <c r="I12" s="283">
        <v>322</v>
      </c>
      <c r="J12" s="210"/>
      <c r="K12" s="15" t="s">
        <v>753</v>
      </c>
      <c r="M12" s="44" t="s">
        <v>754</v>
      </c>
      <c r="O12" s="15" t="s">
        <v>755</v>
      </c>
    </row>
    <row r="13" spans="1:17" ht="15.75" customHeight="1">
      <c r="A13" s="6"/>
      <c r="B13" s="6"/>
      <c r="C13" s="6"/>
      <c r="D13" s="6"/>
      <c r="E13" s="6"/>
      <c r="F13" s="281"/>
      <c r="G13" s="22"/>
      <c r="H13" s="22"/>
      <c r="I13" s="22"/>
      <c r="J13" s="6"/>
      <c r="K13" s="6"/>
      <c r="L13" s="6"/>
      <c r="M13" s="6"/>
      <c r="N13" s="6"/>
      <c r="O13" s="6"/>
      <c r="P13" s="6"/>
    </row>
    <row r="14" spans="1:17" ht="15.75" customHeight="1">
      <c r="A14" s="14" t="s">
        <v>756</v>
      </c>
      <c r="B14" s="14">
        <v>2008</v>
      </c>
      <c r="C14" s="14">
        <v>2009</v>
      </c>
      <c r="D14" s="14">
        <v>2010</v>
      </c>
      <c r="E14" s="14">
        <v>2011</v>
      </c>
      <c r="F14" s="14">
        <v>2012</v>
      </c>
      <c r="G14" s="26">
        <v>2013</v>
      </c>
      <c r="H14" s="26">
        <v>2014</v>
      </c>
      <c r="I14" s="26">
        <v>2015</v>
      </c>
      <c r="J14" s="14">
        <v>2016</v>
      </c>
      <c r="K14" s="14" t="s">
        <v>102</v>
      </c>
      <c r="L14" s="14" t="s">
        <v>103</v>
      </c>
      <c r="M14" s="14" t="s">
        <v>104</v>
      </c>
      <c r="N14" s="14" t="s">
        <v>105</v>
      </c>
      <c r="O14" s="14" t="s">
        <v>104</v>
      </c>
      <c r="P14" s="14" t="s">
        <v>105</v>
      </c>
    </row>
    <row r="15" spans="1:17" s="15" customFormat="1">
      <c r="A15" s="15" t="s">
        <v>757</v>
      </c>
      <c r="B15" s="24">
        <v>6.0000000000000001E-3</v>
      </c>
      <c r="C15" s="24">
        <v>2.3E-2</v>
      </c>
      <c r="D15" s="24">
        <v>0.29599999999999999</v>
      </c>
      <c r="E15" s="24">
        <v>0.67500000000000004</v>
      </c>
      <c r="F15" s="24">
        <v>0.92100000000000004</v>
      </c>
      <c r="G15" s="283">
        <v>0.99</v>
      </c>
      <c r="H15" s="283">
        <v>1.034</v>
      </c>
      <c r="I15" s="283">
        <v>2.9950000000000001</v>
      </c>
      <c r="J15" s="283">
        <v>3.1920000000000002</v>
      </c>
      <c r="K15" t="s">
        <v>758</v>
      </c>
      <c r="M15" s="44" t="s">
        <v>754</v>
      </c>
      <c r="Q15" s="44" t="s">
        <v>759</v>
      </c>
    </row>
    <row r="16" spans="1:17" s="4" customFormat="1" ht="30">
      <c r="A16" s="34" t="s">
        <v>760</v>
      </c>
      <c r="B16" s="42">
        <v>180</v>
      </c>
      <c r="C16" s="42">
        <v>318</v>
      </c>
      <c r="D16" s="42">
        <v>724</v>
      </c>
      <c r="E16" s="282">
        <v>1161</v>
      </c>
      <c r="F16" s="282">
        <v>1492</v>
      </c>
      <c r="G16" s="305">
        <v>1581</v>
      </c>
      <c r="H16" s="305">
        <v>1697</v>
      </c>
      <c r="I16" s="282">
        <v>3952</v>
      </c>
      <c r="J16" s="282">
        <v>4156</v>
      </c>
      <c r="K16" s="44" t="s">
        <v>754</v>
      </c>
      <c r="M16" s="44" t="s">
        <v>759</v>
      </c>
      <c r="O16" s="15" t="s">
        <v>755</v>
      </c>
    </row>
    <row r="17" spans="1:15" s="4" customFormat="1">
      <c r="A17" s="4" t="s">
        <v>761</v>
      </c>
      <c r="B17" s="205"/>
      <c r="C17" s="205"/>
      <c r="D17" s="205"/>
      <c r="E17" s="205"/>
      <c r="F17" s="188"/>
      <c r="G17" s="282">
        <v>763</v>
      </c>
      <c r="H17" s="282">
        <v>790</v>
      </c>
      <c r="I17" s="209"/>
      <c r="J17" s="282">
        <v>1067</v>
      </c>
      <c r="K17" s="44" t="s">
        <v>754</v>
      </c>
      <c r="M17" s="44" t="s">
        <v>759</v>
      </c>
      <c r="O17" s="15" t="s">
        <v>755</v>
      </c>
    </row>
    <row r="18" spans="1:15" s="4" customFormat="1" ht="15.75" customHeight="1">
      <c r="A18" s="4" t="s">
        <v>762</v>
      </c>
      <c r="B18" s="205"/>
      <c r="C18" s="205"/>
      <c r="D18" s="205"/>
      <c r="E18" s="205"/>
      <c r="F18" s="188"/>
      <c r="G18" s="282">
        <v>329</v>
      </c>
      <c r="H18" s="282">
        <v>359</v>
      </c>
      <c r="I18" s="209"/>
      <c r="J18" s="42">
        <v>551</v>
      </c>
      <c r="K18" s="44" t="s">
        <v>754</v>
      </c>
      <c r="M18" s="44" t="s">
        <v>759</v>
      </c>
      <c r="O18" s="15" t="s">
        <v>755</v>
      </c>
    </row>
    <row r="19" spans="1:15" s="4" customFormat="1">
      <c r="A19" s="4" t="s">
        <v>706</v>
      </c>
      <c r="B19" s="205"/>
      <c r="C19" s="205"/>
      <c r="D19" s="205"/>
      <c r="E19" s="205"/>
      <c r="F19" s="188"/>
      <c r="G19" s="282">
        <v>167</v>
      </c>
      <c r="H19" s="282">
        <v>186</v>
      </c>
      <c r="I19" s="209"/>
      <c r="J19" s="42">
        <v>233</v>
      </c>
      <c r="K19" s="44" t="s">
        <v>754</v>
      </c>
      <c r="M19" s="44" t="s">
        <v>759</v>
      </c>
      <c r="O19" s="15" t="s">
        <v>755</v>
      </c>
    </row>
    <row r="20" spans="1:15" s="4" customFormat="1">
      <c r="A20" s="4" t="s">
        <v>763</v>
      </c>
      <c r="B20" s="205"/>
      <c r="C20" s="205"/>
      <c r="D20" s="205"/>
      <c r="E20" s="205"/>
      <c r="F20" s="188"/>
      <c r="G20" s="282">
        <v>103</v>
      </c>
      <c r="H20" s="282">
        <v>126</v>
      </c>
      <c r="I20" s="209"/>
      <c r="J20" s="42">
        <v>904</v>
      </c>
      <c r="K20" s="44" t="s">
        <v>754</v>
      </c>
      <c r="M20" s="44" t="s">
        <v>759</v>
      </c>
      <c r="O20" s="15" t="s">
        <v>755</v>
      </c>
    </row>
    <row r="21" spans="1:15" s="4" customFormat="1">
      <c r="A21" s="4" t="s">
        <v>764</v>
      </c>
      <c r="B21" s="205"/>
      <c r="C21" s="205"/>
      <c r="D21" s="205"/>
      <c r="E21" s="205"/>
      <c r="F21" s="188"/>
      <c r="G21" s="282">
        <v>89</v>
      </c>
      <c r="H21" s="282">
        <v>107</v>
      </c>
      <c r="I21" s="209"/>
      <c r="J21" s="42">
        <v>117</v>
      </c>
      <c r="K21" s="44" t="s">
        <v>754</v>
      </c>
      <c r="M21" s="44" t="s">
        <v>759</v>
      </c>
      <c r="O21" s="15" t="s">
        <v>755</v>
      </c>
    </row>
    <row r="22" spans="1:15" s="4" customFormat="1">
      <c r="A22" s="4" t="s">
        <v>765</v>
      </c>
      <c r="B22" s="205"/>
      <c r="C22" s="205"/>
      <c r="D22" s="205"/>
      <c r="E22" s="205"/>
      <c r="F22" s="188"/>
      <c r="G22" s="282">
        <v>85</v>
      </c>
      <c r="H22" s="282">
        <v>94</v>
      </c>
      <c r="I22" s="209"/>
      <c r="J22" s="42">
        <v>567</v>
      </c>
      <c r="K22" s="44" t="s">
        <v>754</v>
      </c>
      <c r="M22" s="44" t="s">
        <v>759</v>
      </c>
      <c r="O22" s="15" t="s">
        <v>755</v>
      </c>
    </row>
    <row r="23" spans="1:15" s="4" customFormat="1">
      <c r="A23" s="4" t="s">
        <v>766</v>
      </c>
      <c r="B23" s="205"/>
      <c r="C23" s="205"/>
      <c r="D23" s="205"/>
      <c r="E23" s="205"/>
      <c r="F23" s="188"/>
      <c r="G23" s="282">
        <v>16</v>
      </c>
      <c r="H23" s="282">
        <v>20</v>
      </c>
      <c r="I23" s="209"/>
      <c r="J23" s="42">
        <v>566</v>
      </c>
      <c r="K23" s="44" t="s">
        <v>754</v>
      </c>
      <c r="M23" s="44" t="s">
        <v>759</v>
      </c>
      <c r="O23" s="15" t="s">
        <v>755</v>
      </c>
    </row>
    <row r="24" spans="1:15" s="4" customFormat="1">
      <c r="A24" s="4" t="s">
        <v>767</v>
      </c>
      <c r="B24" s="205"/>
      <c r="C24" s="205"/>
      <c r="D24" s="205"/>
      <c r="E24" s="205"/>
      <c r="F24" s="188"/>
      <c r="G24" s="282">
        <v>64</v>
      </c>
      <c r="H24" s="306">
        <v>7.6</v>
      </c>
      <c r="I24" s="209"/>
      <c r="J24" s="42">
        <v>124</v>
      </c>
      <c r="K24" s="44" t="s">
        <v>754</v>
      </c>
      <c r="M24" s="44" t="s">
        <v>759</v>
      </c>
      <c r="O24" s="15" t="s">
        <v>755</v>
      </c>
    </row>
    <row r="25" spans="1:15" s="4" customFormat="1">
      <c r="A25" s="4" t="s">
        <v>768</v>
      </c>
      <c r="B25" s="205"/>
      <c r="C25" s="205"/>
      <c r="D25" s="205"/>
      <c r="E25" s="205"/>
      <c r="F25" s="188"/>
      <c r="G25" s="306">
        <v>5</v>
      </c>
      <c r="H25" s="306">
        <v>6.7</v>
      </c>
      <c r="I25" s="209"/>
      <c r="J25" s="42">
        <v>27</v>
      </c>
      <c r="K25" s="44" t="s">
        <v>754</v>
      </c>
      <c r="M25" s="44" t="s">
        <v>759</v>
      </c>
      <c r="O25" s="15" t="s">
        <v>755</v>
      </c>
    </row>
    <row r="26" spans="1:15" s="15" customFormat="1">
      <c r="A26" s="15" t="s">
        <v>769</v>
      </c>
      <c r="B26" s="207"/>
      <c r="C26" s="207"/>
      <c r="D26" s="207"/>
      <c r="E26" s="24">
        <v>0.4</v>
      </c>
      <c r="F26" s="211"/>
      <c r="G26" s="223"/>
      <c r="H26" s="223"/>
      <c r="I26" s="223"/>
      <c r="J26" s="207"/>
      <c r="K26" s="15" t="s">
        <v>770</v>
      </c>
    </row>
    <row r="27" spans="1:15" s="4" customFormat="1">
      <c r="A27" s="4" t="s">
        <v>771</v>
      </c>
      <c r="B27" s="205"/>
      <c r="C27" s="205"/>
      <c r="D27" s="205"/>
      <c r="E27" s="205"/>
      <c r="F27" s="188"/>
      <c r="G27" s="307">
        <v>0.6</v>
      </c>
      <c r="H27" s="307">
        <v>0.68</v>
      </c>
      <c r="I27" s="295"/>
      <c r="J27" s="296"/>
      <c r="K27" s="4" t="s">
        <v>758</v>
      </c>
    </row>
    <row r="28" spans="1:15" s="4" customFormat="1">
      <c r="A28" s="4" t="s">
        <v>772</v>
      </c>
      <c r="B28" s="205"/>
      <c r="C28" s="205"/>
      <c r="D28" s="205"/>
      <c r="E28" s="205"/>
      <c r="F28" s="188"/>
      <c r="G28" s="307">
        <v>0.01</v>
      </c>
      <c r="H28" s="307">
        <v>0.01</v>
      </c>
      <c r="I28" s="295"/>
      <c r="J28" s="296"/>
      <c r="K28" s="4" t="s">
        <v>758</v>
      </c>
    </row>
    <row r="29" spans="1:15">
      <c r="A29" t="s">
        <v>773</v>
      </c>
      <c r="B29" s="405"/>
      <c r="C29" s="405"/>
      <c r="D29" s="405"/>
      <c r="E29" s="405"/>
      <c r="F29" s="406"/>
      <c r="G29" s="407"/>
      <c r="H29" s="407"/>
      <c r="I29" s="408"/>
      <c r="J29" s="409"/>
    </row>
    <row r="30" spans="1:15">
      <c r="A30" s="6"/>
      <c r="B30" s="6"/>
      <c r="C30" s="6"/>
      <c r="D30" s="6"/>
      <c r="E30" s="6"/>
      <c r="F30" s="281"/>
      <c r="G30" s="22"/>
      <c r="H30" s="22"/>
      <c r="I30" s="22"/>
      <c r="J30" s="6"/>
      <c r="K30" s="6"/>
      <c r="L30" s="6"/>
      <c r="M30" s="6"/>
      <c r="N30" s="6"/>
    </row>
    <row r="31" spans="1:15" s="4" customFormat="1">
      <c r="A31" s="3" t="s">
        <v>774</v>
      </c>
      <c r="B31" s="3">
        <v>2008</v>
      </c>
      <c r="C31" s="3">
        <v>2009</v>
      </c>
      <c r="D31" s="3">
        <v>2010</v>
      </c>
      <c r="E31" s="3">
        <v>2011</v>
      </c>
      <c r="F31" s="3">
        <v>2012</v>
      </c>
      <c r="G31" s="20">
        <v>2013</v>
      </c>
      <c r="H31" s="20">
        <v>2014</v>
      </c>
      <c r="I31" s="20">
        <v>2015</v>
      </c>
      <c r="J31" s="3">
        <v>2016</v>
      </c>
      <c r="K31" s="3" t="s">
        <v>102</v>
      </c>
      <c r="L31" s="3" t="s">
        <v>103</v>
      </c>
      <c r="M31" s="3" t="s">
        <v>104</v>
      </c>
      <c r="N31" s="3" t="s">
        <v>105</v>
      </c>
    </row>
    <row r="32" spans="1:15" s="4" customFormat="1">
      <c r="A32" s="25" t="s">
        <v>775</v>
      </c>
      <c r="B32" s="139">
        <v>11.993</v>
      </c>
      <c r="C32" s="139">
        <v>10.817</v>
      </c>
      <c r="D32" s="139">
        <v>10.808</v>
      </c>
      <c r="E32" s="139">
        <v>11.78</v>
      </c>
      <c r="F32" s="279">
        <v>12.496</v>
      </c>
      <c r="G32" s="141">
        <v>12.366</v>
      </c>
      <c r="H32" s="141">
        <v>12.835000000000001</v>
      </c>
      <c r="I32" s="141">
        <v>12.507</v>
      </c>
      <c r="J32" s="205"/>
      <c r="K32" s="4" t="s">
        <v>742</v>
      </c>
      <c r="L32" s="13" t="s">
        <v>743</v>
      </c>
    </row>
    <row r="33" spans="1:14">
      <c r="A33" s="133" t="s">
        <v>776</v>
      </c>
      <c r="B33" s="284"/>
      <c r="C33" s="284"/>
      <c r="D33" s="284"/>
      <c r="E33" s="284"/>
      <c r="F33" s="285"/>
      <c r="G33" s="286">
        <v>2.8E-3</v>
      </c>
      <c r="H33" s="287"/>
      <c r="I33" s="288"/>
      <c r="J33" s="284"/>
      <c r="K33" s="49" t="s">
        <v>675</v>
      </c>
      <c r="L33" s="36" t="s">
        <v>676</v>
      </c>
      <c r="M33" s="19"/>
      <c r="N33" s="19"/>
    </row>
    <row r="34" spans="1:14">
      <c r="A34" s="6"/>
      <c r="B34" s="6"/>
      <c r="C34" s="6"/>
      <c r="D34" s="6"/>
      <c r="E34" s="6"/>
      <c r="F34" s="281"/>
      <c r="G34" s="22"/>
      <c r="H34" s="22"/>
      <c r="I34" s="22"/>
      <c r="J34" s="6"/>
      <c r="K34" s="6"/>
      <c r="L34" s="6"/>
      <c r="M34" s="6"/>
      <c r="N34" s="6"/>
    </row>
    <row r="35" spans="1:14" s="15" customFormat="1">
      <c r="A35" s="14" t="s">
        <v>777</v>
      </c>
      <c r="B35" s="14">
        <v>2008</v>
      </c>
      <c r="C35" s="14">
        <v>2009</v>
      </c>
      <c r="D35" s="14">
        <v>2010</v>
      </c>
      <c r="E35" s="14">
        <v>2011</v>
      </c>
      <c r="F35" s="14">
        <v>2012</v>
      </c>
      <c r="G35" s="26">
        <v>2013</v>
      </c>
      <c r="H35" s="26">
        <v>2014</v>
      </c>
      <c r="I35" s="26">
        <v>2015</v>
      </c>
      <c r="J35" s="14">
        <v>2016</v>
      </c>
      <c r="K35" s="14" t="s">
        <v>102</v>
      </c>
      <c r="L35" s="14" t="s">
        <v>103</v>
      </c>
      <c r="M35" s="14" t="s">
        <v>104</v>
      </c>
      <c r="N35" s="14" t="s">
        <v>105</v>
      </c>
    </row>
    <row r="36" spans="1:14" s="4" customFormat="1">
      <c r="A36" s="23" t="s">
        <v>778</v>
      </c>
      <c r="B36" s="39">
        <v>120.2</v>
      </c>
      <c r="C36" s="39">
        <v>110.8</v>
      </c>
      <c r="D36" s="39">
        <v>122.7</v>
      </c>
      <c r="E36" s="186">
        <v>129</v>
      </c>
      <c r="F36" s="39">
        <v>137.30000000000001</v>
      </c>
      <c r="G36" s="39">
        <v>146.9</v>
      </c>
      <c r="H36" s="42">
        <v>148.69999999999999</v>
      </c>
      <c r="I36" s="42">
        <v>171.3</v>
      </c>
      <c r="J36" s="39">
        <v>177.9</v>
      </c>
      <c r="K36" s="4" t="s">
        <v>779</v>
      </c>
      <c r="L36" s="3"/>
      <c r="M36" s="3"/>
      <c r="N36" s="3"/>
    </row>
    <row r="37" spans="1:14" s="4" customFormat="1">
      <c r="A37" s="23" t="s">
        <v>780</v>
      </c>
      <c r="B37" s="39">
        <v>43.1</v>
      </c>
      <c r="C37" s="39">
        <v>38.5</v>
      </c>
      <c r="D37" s="39">
        <v>43.2</v>
      </c>
      <c r="E37" s="39">
        <v>44.8</v>
      </c>
      <c r="F37" s="39">
        <v>43.4</v>
      </c>
      <c r="G37" s="42">
        <v>52.3</v>
      </c>
      <c r="H37" s="297">
        <v>52</v>
      </c>
      <c r="I37" s="42">
        <v>57.6</v>
      </c>
      <c r="J37" s="39">
        <v>58.9</v>
      </c>
      <c r="K37" s="4" t="s">
        <v>779</v>
      </c>
      <c r="L37" s="3"/>
      <c r="M37" s="3"/>
      <c r="N37" s="3"/>
    </row>
    <row r="38" spans="1:14" s="4" customFormat="1">
      <c r="A38" s="23" t="s">
        <v>781</v>
      </c>
      <c r="B38" s="39">
        <v>53</v>
      </c>
      <c r="C38" s="39">
        <v>51</v>
      </c>
      <c r="D38" s="39">
        <v>54</v>
      </c>
      <c r="E38" s="39">
        <v>56</v>
      </c>
      <c r="F38" s="42">
        <v>59</v>
      </c>
      <c r="G38" s="42">
        <v>61</v>
      </c>
      <c r="H38" s="42">
        <v>63</v>
      </c>
      <c r="I38" s="39">
        <v>69</v>
      </c>
      <c r="J38" s="39">
        <v>71</v>
      </c>
      <c r="K38" s="4" t="s">
        <v>779</v>
      </c>
      <c r="L38" s="3"/>
      <c r="M38" s="3"/>
      <c r="N38" s="3"/>
    </row>
    <row r="39" spans="1:14" s="4" customFormat="1">
      <c r="A39" s="23" t="s">
        <v>782</v>
      </c>
      <c r="B39" s="39">
        <v>47</v>
      </c>
      <c r="C39" s="39">
        <v>45</v>
      </c>
      <c r="D39" s="39">
        <v>47</v>
      </c>
      <c r="E39" s="39">
        <v>49</v>
      </c>
      <c r="F39" s="39">
        <v>51</v>
      </c>
      <c r="G39" s="42">
        <v>53</v>
      </c>
      <c r="H39" s="42">
        <v>55</v>
      </c>
      <c r="I39" s="42">
        <v>60</v>
      </c>
      <c r="J39" s="39">
        <v>62</v>
      </c>
      <c r="K39" s="4" t="s">
        <v>779</v>
      </c>
      <c r="L39" s="3"/>
      <c r="M39" s="3"/>
      <c r="N39" s="3"/>
    </row>
    <row r="40" spans="1:14" s="4" customFormat="1">
      <c r="A40" s="23" t="s">
        <v>565</v>
      </c>
      <c r="B40" s="39">
        <v>314</v>
      </c>
      <c r="C40" s="39">
        <v>296</v>
      </c>
      <c r="D40" s="39">
        <v>319</v>
      </c>
      <c r="E40" s="39">
        <v>334</v>
      </c>
      <c r="F40" s="39">
        <v>351</v>
      </c>
      <c r="G40" s="42">
        <v>372</v>
      </c>
      <c r="H40" s="42">
        <v>383</v>
      </c>
      <c r="I40" s="42">
        <v>429</v>
      </c>
      <c r="J40" s="39">
        <v>445</v>
      </c>
      <c r="K40" s="4" t="s">
        <v>779</v>
      </c>
      <c r="L40" s="3"/>
      <c r="M40" s="3"/>
      <c r="N40" s="3"/>
    </row>
    <row r="41" spans="1:14" s="4" customFormat="1">
      <c r="A41" s="23" t="s">
        <v>783</v>
      </c>
      <c r="B41" s="186">
        <v>47</v>
      </c>
      <c r="C41" s="39">
        <v>19.5</v>
      </c>
      <c r="D41" s="39">
        <v>28.1</v>
      </c>
      <c r="E41" s="39">
        <v>16.8</v>
      </c>
      <c r="F41" s="39">
        <v>20.5</v>
      </c>
      <c r="G41" s="42">
        <v>23.6</v>
      </c>
      <c r="H41" s="42">
        <v>13.2</v>
      </c>
      <c r="I41" s="297">
        <v>10</v>
      </c>
      <c r="J41" s="39">
        <v>9.4</v>
      </c>
      <c r="K41" s="4" t="s">
        <v>779</v>
      </c>
      <c r="L41" s="3"/>
      <c r="M41" s="3"/>
      <c r="N41" s="3"/>
    </row>
    <row r="42" spans="1:14" s="4" customFormat="1">
      <c r="A42" s="23" t="s">
        <v>784</v>
      </c>
      <c r="B42" s="39">
        <v>3.5</v>
      </c>
      <c r="C42" s="186">
        <v>3</v>
      </c>
      <c r="D42" s="39">
        <v>3.5</v>
      </c>
      <c r="E42" s="39">
        <v>4.5999999999999996</v>
      </c>
      <c r="F42" s="39">
        <v>7.8</v>
      </c>
      <c r="G42" s="42">
        <v>16.2</v>
      </c>
      <c r="H42" s="42">
        <v>1.7</v>
      </c>
      <c r="I42" s="297">
        <v>3</v>
      </c>
      <c r="J42" s="39">
        <v>18.5</v>
      </c>
      <c r="K42" s="4" t="s">
        <v>779</v>
      </c>
      <c r="L42" s="3"/>
      <c r="M42" s="3"/>
      <c r="N42" s="3"/>
    </row>
    <row r="43" spans="1:14" s="4" customFormat="1">
      <c r="A43" s="23" t="s">
        <v>785</v>
      </c>
      <c r="B43" s="39">
        <v>20.9</v>
      </c>
      <c r="C43" s="39">
        <v>19.7</v>
      </c>
      <c r="D43" s="39">
        <v>21.5</v>
      </c>
      <c r="E43" s="39">
        <v>22.7</v>
      </c>
      <c r="F43" s="39">
        <v>24.1</v>
      </c>
      <c r="G43" s="42">
        <v>25.7</v>
      </c>
      <c r="H43" s="42">
        <v>26.5</v>
      </c>
      <c r="I43" s="42">
        <v>30.4</v>
      </c>
      <c r="J43" s="39">
        <v>31.6</v>
      </c>
      <c r="K43" s="4" t="s">
        <v>779</v>
      </c>
      <c r="L43" s="3"/>
      <c r="M43" s="3"/>
      <c r="N43" s="3"/>
    </row>
    <row r="44" spans="1:14" s="4" customFormat="1">
      <c r="A44" s="23" t="s">
        <v>786</v>
      </c>
      <c r="B44" s="39">
        <v>76.7</v>
      </c>
      <c r="C44" s="39">
        <v>94.3</v>
      </c>
      <c r="D44" s="39">
        <v>98.1</v>
      </c>
      <c r="E44" s="39">
        <v>116.8</v>
      </c>
      <c r="F44" s="39">
        <v>124.6</v>
      </c>
      <c r="G44" s="42">
        <v>139.5</v>
      </c>
      <c r="H44" s="42">
        <v>137.19999999999999</v>
      </c>
      <c r="I44" s="42">
        <v>164.3</v>
      </c>
      <c r="J44" s="39">
        <v>187</v>
      </c>
      <c r="K44" s="4" t="s">
        <v>779</v>
      </c>
      <c r="L44" s="3"/>
      <c r="M44" s="3"/>
      <c r="N44" s="3"/>
    </row>
    <row r="45" spans="1:14">
      <c r="A45" s="6"/>
      <c r="B45" s="6"/>
      <c r="C45" s="6"/>
      <c r="D45" s="6"/>
      <c r="E45" s="6"/>
      <c r="F45" s="281"/>
      <c r="G45" s="22"/>
      <c r="H45" s="22"/>
      <c r="I45" s="22"/>
      <c r="J45" s="6"/>
      <c r="K45" s="6"/>
      <c r="L45" s="6"/>
      <c r="M45" s="6"/>
      <c r="N45" s="6"/>
    </row>
    <row r="46" spans="1:14" s="4" customFormat="1">
      <c r="A46" s="3" t="s">
        <v>787</v>
      </c>
      <c r="B46" s="3">
        <v>2008</v>
      </c>
      <c r="C46" s="3">
        <v>2009</v>
      </c>
      <c r="D46" s="3">
        <v>2010</v>
      </c>
      <c r="E46" s="3">
        <v>2011</v>
      </c>
      <c r="F46" s="3">
        <v>2012</v>
      </c>
      <c r="G46" s="20">
        <v>2013</v>
      </c>
      <c r="H46" s="20">
        <v>2014</v>
      </c>
      <c r="I46" s="20">
        <v>2015</v>
      </c>
      <c r="J46" s="3">
        <v>2016</v>
      </c>
      <c r="K46" s="3" t="s">
        <v>102</v>
      </c>
      <c r="L46" s="3" t="s">
        <v>103</v>
      </c>
      <c r="M46" s="3" t="s">
        <v>104</v>
      </c>
      <c r="N46" s="3" t="s">
        <v>105</v>
      </c>
    </row>
    <row r="47" spans="1:14" s="4" customFormat="1">
      <c r="A47" s="23" t="s">
        <v>788</v>
      </c>
      <c r="B47" s="39">
        <v>10.3</v>
      </c>
      <c r="C47" s="298">
        <v>-7.8</v>
      </c>
      <c r="D47" s="39">
        <v>10.7</v>
      </c>
      <c r="E47" s="39">
        <v>5.0999999999999996</v>
      </c>
      <c r="F47" s="39">
        <v>6.4</v>
      </c>
      <c r="G47" s="42">
        <v>7</v>
      </c>
      <c r="H47" s="42">
        <v>1.2</v>
      </c>
      <c r="I47" s="42">
        <v>15.2</v>
      </c>
      <c r="J47" s="39">
        <v>3.9</v>
      </c>
      <c r="K47" s="4" t="s">
        <v>779</v>
      </c>
      <c r="L47" s="3"/>
      <c r="M47" s="3"/>
      <c r="N47" s="3"/>
    </row>
    <row r="48" spans="1:14" s="4" customFormat="1">
      <c r="A48" s="23" t="s">
        <v>789</v>
      </c>
      <c r="B48" s="39">
        <v>18.100000000000001</v>
      </c>
      <c r="C48" s="298">
        <v>-10.7</v>
      </c>
      <c r="D48" s="39">
        <v>12.2</v>
      </c>
      <c r="E48" s="39">
        <v>3.7</v>
      </c>
      <c r="F48" s="298">
        <v>-3.1</v>
      </c>
      <c r="G48" s="42">
        <v>20.5</v>
      </c>
      <c r="H48" s="299">
        <v>-0.6</v>
      </c>
      <c r="I48" s="42">
        <v>10.8</v>
      </c>
      <c r="J48" s="39">
        <v>2.2999999999999998</v>
      </c>
      <c r="K48" s="4" t="s">
        <v>779</v>
      </c>
      <c r="L48" s="3"/>
      <c r="M48" s="3"/>
      <c r="N48" s="3"/>
    </row>
    <row r="49" spans="1:14" s="4" customFormat="1">
      <c r="A49" s="23" t="s">
        <v>790</v>
      </c>
      <c r="B49" s="39">
        <v>3.9</v>
      </c>
      <c r="C49" s="298">
        <v>-3.8</v>
      </c>
      <c r="D49" s="39">
        <v>5.9</v>
      </c>
      <c r="E49" s="39">
        <v>3.7</v>
      </c>
      <c r="F49" s="39">
        <v>5.4</v>
      </c>
      <c r="G49" s="42">
        <v>3.4</v>
      </c>
      <c r="H49" s="42">
        <v>3.3</v>
      </c>
      <c r="I49" s="42">
        <v>9.5</v>
      </c>
      <c r="J49" s="39">
        <v>2.9</v>
      </c>
      <c r="K49" s="4" t="s">
        <v>779</v>
      </c>
      <c r="L49" s="3"/>
      <c r="M49" s="3"/>
      <c r="N49" s="3"/>
    </row>
    <row r="50" spans="1:14" s="4" customFormat="1">
      <c r="A50" s="23" t="s">
        <v>791</v>
      </c>
      <c r="B50" s="39">
        <v>4.4000000000000004</v>
      </c>
      <c r="C50" s="298">
        <v>-4.3</v>
      </c>
      <c r="D50" s="39">
        <v>4.4000000000000004</v>
      </c>
      <c r="E50" s="39">
        <v>4.3</v>
      </c>
      <c r="F50" s="39">
        <v>4.0999999999999996</v>
      </c>
      <c r="G50" s="42">
        <v>3.9</v>
      </c>
      <c r="H50" s="42">
        <v>3.8</v>
      </c>
      <c r="I50" s="42">
        <v>9.1</v>
      </c>
      <c r="J50" s="39">
        <v>3.3</v>
      </c>
      <c r="K50" s="4" t="s">
        <v>779</v>
      </c>
      <c r="L50" s="3"/>
      <c r="M50" s="3"/>
      <c r="N50" s="3"/>
    </row>
    <row r="51" spans="1:14" s="4" customFormat="1">
      <c r="A51" s="23" t="s">
        <v>792</v>
      </c>
      <c r="B51" s="186">
        <v>1</v>
      </c>
      <c r="C51" s="298">
        <v>-5.7</v>
      </c>
      <c r="D51" s="39">
        <v>7.8</v>
      </c>
      <c r="E51" s="39">
        <v>4.7</v>
      </c>
      <c r="F51" s="39">
        <v>5.0999999999999996</v>
      </c>
      <c r="G51" s="297">
        <v>6</v>
      </c>
      <c r="H51" s="297">
        <v>3</v>
      </c>
      <c r="I51" s="297">
        <v>12</v>
      </c>
      <c r="J51" s="39">
        <v>3.7</v>
      </c>
      <c r="K51" s="4" t="s">
        <v>779</v>
      </c>
      <c r="L51" s="3"/>
      <c r="M51" s="3"/>
      <c r="N51" s="3"/>
    </row>
    <row r="52" spans="1:14" s="4" customFormat="1">
      <c r="A52" s="23" t="s">
        <v>793</v>
      </c>
      <c r="B52" s="39">
        <v>-24.2</v>
      </c>
      <c r="C52" s="298">
        <v>-58.5</v>
      </c>
      <c r="D52" s="39">
        <v>44.1</v>
      </c>
      <c r="E52" s="298">
        <v>-40.200000000000003</v>
      </c>
      <c r="F52" s="186">
        <v>22</v>
      </c>
      <c r="G52" s="42">
        <v>15.1</v>
      </c>
      <c r="H52" s="299">
        <v>-44.1</v>
      </c>
      <c r="I52" s="299">
        <v>-24.2</v>
      </c>
      <c r="J52" s="300">
        <v>-6</v>
      </c>
      <c r="K52" s="4" t="s">
        <v>779</v>
      </c>
      <c r="L52" s="3"/>
      <c r="M52" s="3"/>
      <c r="N52" s="3"/>
    </row>
    <row r="53" spans="1:14" s="4" customFormat="1">
      <c r="A53" s="23" t="s">
        <v>794</v>
      </c>
      <c r="B53" s="39">
        <v>-14.6</v>
      </c>
      <c r="C53" s="298">
        <v>-14.3</v>
      </c>
      <c r="D53" s="39">
        <v>16.7</v>
      </c>
      <c r="E53" s="39">
        <v>31.4</v>
      </c>
      <c r="F53" s="39">
        <v>69.599999999999994</v>
      </c>
      <c r="G53" s="42">
        <v>107.7</v>
      </c>
      <c r="H53" s="299">
        <v>-89.5</v>
      </c>
      <c r="I53" s="42">
        <v>76.5</v>
      </c>
      <c r="J53" s="39">
        <v>516.70000000000005</v>
      </c>
      <c r="K53" s="4" t="s">
        <v>779</v>
      </c>
      <c r="L53" s="3"/>
      <c r="M53" s="3"/>
      <c r="N53" s="3"/>
    </row>
    <row r="54" spans="1:14" s="4" customFormat="1">
      <c r="A54" s="23" t="s">
        <v>795</v>
      </c>
      <c r="B54" s="39">
        <v>9.4</v>
      </c>
      <c r="C54" s="298">
        <v>-5.7</v>
      </c>
      <c r="D54" s="39">
        <v>9.1</v>
      </c>
      <c r="E54" s="39">
        <v>5.6</v>
      </c>
      <c r="F54" s="39">
        <v>6.2</v>
      </c>
      <c r="G54" s="42">
        <v>6.6</v>
      </c>
      <c r="H54" s="42">
        <v>3.1</v>
      </c>
      <c r="I54" s="42">
        <v>14.7</v>
      </c>
      <c r="J54" s="39">
        <v>3.9</v>
      </c>
      <c r="K54" s="4" t="s">
        <v>779</v>
      </c>
      <c r="L54" s="3"/>
      <c r="M54" s="3"/>
      <c r="N54" s="3"/>
    </row>
    <row r="55" spans="1:14" s="4" customFormat="1">
      <c r="A55" s="23" t="s">
        <v>796</v>
      </c>
      <c r="B55" s="39">
        <v>50.1</v>
      </c>
      <c r="C55" s="39">
        <v>22.9</v>
      </c>
      <c r="D55" s="186">
        <v>4</v>
      </c>
      <c r="E55" s="39">
        <v>19.100000000000001</v>
      </c>
      <c r="F55" s="39">
        <v>6.7</v>
      </c>
      <c r="G55" s="297">
        <v>12</v>
      </c>
      <c r="H55" s="299">
        <v>-1.6</v>
      </c>
      <c r="I55" s="42">
        <v>19.8</v>
      </c>
      <c r="J55" s="39">
        <v>13.8</v>
      </c>
      <c r="K55" s="4" t="s">
        <v>779</v>
      </c>
      <c r="L55" s="3"/>
      <c r="M55" s="3"/>
      <c r="N55" s="3"/>
    </row>
    <row r="56" spans="1:14">
      <c r="A56" s="6"/>
      <c r="B56" s="6"/>
      <c r="C56" s="6"/>
      <c r="D56" s="6"/>
      <c r="E56" s="6"/>
      <c r="F56" s="281"/>
      <c r="G56" s="22"/>
      <c r="H56" s="22"/>
      <c r="I56" s="22"/>
      <c r="J56" s="6"/>
      <c r="K56" s="6"/>
      <c r="L56" s="6"/>
      <c r="M56" s="6"/>
      <c r="N56" s="6"/>
    </row>
    <row r="57" spans="1:14" s="4" customFormat="1">
      <c r="A57" s="3" t="s">
        <v>797</v>
      </c>
      <c r="B57" s="3">
        <v>2008</v>
      </c>
      <c r="C57" s="3">
        <v>2009</v>
      </c>
      <c r="D57" s="3">
        <v>2010</v>
      </c>
      <c r="E57" s="3">
        <v>2011</v>
      </c>
      <c r="F57" s="3">
        <v>2012</v>
      </c>
      <c r="G57" s="20">
        <v>2013</v>
      </c>
      <c r="H57" s="20">
        <v>2014</v>
      </c>
      <c r="I57" s="20">
        <v>2015</v>
      </c>
      <c r="J57" s="3">
        <v>2016</v>
      </c>
      <c r="K57" s="3" t="s">
        <v>102</v>
      </c>
      <c r="L57" s="3" t="s">
        <v>103</v>
      </c>
      <c r="M57" s="3" t="s">
        <v>104</v>
      </c>
      <c r="N57" s="3" t="s">
        <v>105</v>
      </c>
    </row>
    <row r="58" spans="1:14" s="4" customFormat="1">
      <c r="A58" s="44" t="s">
        <v>798</v>
      </c>
      <c r="B58" s="169"/>
      <c r="C58" s="169"/>
      <c r="D58" s="169"/>
      <c r="E58" s="169"/>
      <c r="F58" s="279">
        <v>4680000</v>
      </c>
      <c r="G58" s="282">
        <v>5132000</v>
      </c>
      <c r="H58" s="282">
        <v>5690000</v>
      </c>
      <c r="I58" s="302"/>
      <c r="J58" s="169"/>
      <c r="K58" s="44" t="s">
        <v>754</v>
      </c>
      <c r="L58" s="3"/>
      <c r="M58" s="3"/>
      <c r="N58" s="3"/>
    </row>
    <row r="59" spans="1:14" s="4" customFormat="1">
      <c r="A59" s="25" t="s">
        <v>799</v>
      </c>
      <c r="B59" s="212"/>
      <c r="C59" s="212"/>
      <c r="D59" s="212"/>
      <c r="E59" s="212"/>
      <c r="F59" s="279">
        <v>835000</v>
      </c>
      <c r="G59" s="141">
        <v>845000</v>
      </c>
      <c r="H59" s="282">
        <v>855000</v>
      </c>
      <c r="I59" s="209"/>
      <c r="J59" s="205"/>
      <c r="K59" s="44" t="s">
        <v>754</v>
      </c>
      <c r="L59" s="13"/>
    </row>
    <row r="60" spans="1:14">
      <c r="A60" s="23" t="s">
        <v>800</v>
      </c>
      <c r="B60" s="169"/>
      <c r="C60" s="169"/>
      <c r="D60" s="169"/>
      <c r="E60" s="169"/>
      <c r="F60" s="279">
        <v>1120000</v>
      </c>
      <c r="G60" s="282">
        <v>1210000</v>
      </c>
      <c r="H60" s="282">
        <v>1520000</v>
      </c>
      <c r="I60" s="302"/>
      <c r="J60" s="169"/>
      <c r="K60" s="44" t="s">
        <v>754</v>
      </c>
      <c r="L60" s="3"/>
      <c r="M60" s="3"/>
      <c r="N60" s="3"/>
    </row>
    <row r="61" spans="1:14" s="4" customFormat="1">
      <c r="A61" s="4" t="s">
        <v>801</v>
      </c>
      <c r="B61" s="169"/>
      <c r="C61" s="169"/>
      <c r="D61" s="169"/>
      <c r="E61" s="169"/>
      <c r="F61" s="279">
        <v>45000</v>
      </c>
      <c r="G61" s="282">
        <v>45000</v>
      </c>
      <c r="H61" s="282">
        <v>45000</v>
      </c>
      <c r="I61" s="302"/>
      <c r="J61" s="169"/>
      <c r="K61" s="44" t="s">
        <v>754</v>
      </c>
      <c r="L61" s="3"/>
      <c r="M61" s="3"/>
      <c r="N61" s="3"/>
    </row>
    <row r="62" spans="1:14" s="4" customFormat="1">
      <c r="A62" s="23" t="s">
        <v>802</v>
      </c>
      <c r="B62" s="169"/>
      <c r="C62" s="169"/>
      <c r="D62" s="169"/>
      <c r="E62" s="169"/>
      <c r="F62" s="279">
        <v>65000</v>
      </c>
      <c r="G62" s="282">
        <v>85000</v>
      </c>
      <c r="H62" s="282">
        <v>95000</v>
      </c>
      <c r="I62" s="302"/>
      <c r="J62" s="169"/>
      <c r="K62" s="44" t="s">
        <v>754</v>
      </c>
      <c r="L62" s="3"/>
      <c r="M62" s="3"/>
      <c r="N62" s="3"/>
    </row>
    <row r="63" spans="1:14" s="4" customFormat="1">
      <c r="A63" s="23" t="s">
        <v>803</v>
      </c>
      <c r="B63" s="169"/>
      <c r="C63" s="169"/>
      <c r="D63" s="169"/>
      <c r="E63" s="169"/>
      <c r="F63" s="279">
        <v>75000</v>
      </c>
      <c r="G63" s="282">
        <v>75000</v>
      </c>
      <c r="H63" s="282">
        <v>95000</v>
      </c>
      <c r="I63" s="302"/>
      <c r="J63" s="169"/>
      <c r="K63" s="44" t="s">
        <v>754</v>
      </c>
      <c r="L63" s="3"/>
      <c r="M63" s="3"/>
      <c r="N63" s="3"/>
    </row>
    <row r="64" spans="1:14" s="15" customFormat="1">
      <c r="A64" s="138" t="s">
        <v>804</v>
      </c>
      <c r="B64" s="301"/>
      <c r="C64" s="301"/>
      <c r="D64" s="301"/>
      <c r="E64" s="301"/>
      <c r="F64" s="280">
        <v>125000</v>
      </c>
      <c r="G64" s="283">
        <v>125000</v>
      </c>
      <c r="H64" s="283">
        <v>125000</v>
      </c>
      <c r="I64" s="303"/>
      <c r="J64" s="301"/>
      <c r="K64" s="44" t="s">
        <v>754</v>
      </c>
      <c r="L64" s="14"/>
      <c r="M64" s="14"/>
      <c r="N64" s="14"/>
    </row>
    <row r="65" spans="1:17" s="4" customFormat="1">
      <c r="A65" s="23" t="s">
        <v>805</v>
      </c>
      <c r="B65" s="169"/>
      <c r="C65" s="169"/>
      <c r="D65" s="169"/>
      <c r="E65" s="169"/>
      <c r="F65" s="279">
        <v>200000</v>
      </c>
      <c r="G65" s="282">
        <v>200000</v>
      </c>
      <c r="H65" s="282">
        <v>200000</v>
      </c>
      <c r="I65" s="302"/>
      <c r="J65" s="169"/>
      <c r="K65" s="44" t="s">
        <v>754</v>
      </c>
      <c r="L65" s="3"/>
      <c r="M65" s="3"/>
      <c r="N65" s="3"/>
    </row>
    <row r="66" spans="1:17" s="4" customFormat="1">
      <c r="A66" s="4" t="s">
        <v>806</v>
      </c>
      <c r="B66" s="55"/>
      <c r="C66" s="55"/>
      <c r="D66" s="55"/>
      <c r="E66" s="55"/>
      <c r="F66" s="279">
        <v>450000</v>
      </c>
      <c r="G66" s="282">
        <v>600000</v>
      </c>
      <c r="H66" s="282">
        <v>600000</v>
      </c>
      <c r="I66" s="224"/>
      <c r="J66" s="55"/>
      <c r="K66" s="44" t="s">
        <v>754</v>
      </c>
    </row>
    <row r="67" spans="1:17" s="4" customFormat="1">
      <c r="A67" s="4" t="s">
        <v>807</v>
      </c>
      <c r="B67" s="55"/>
      <c r="C67" s="55"/>
      <c r="D67" s="55"/>
      <c r="E67" s="55"/>
      <c r="F67" s="279">
        <v>30000</v>
      </c>
      <c r="G67" s="282">
        <v>32000</v>
      </c>
      <c r="H67" s="282">
        <v>35000</v>
      </c>
      <c r="I67" s="224"/>
      <c r="J67" s="55"/>
      <c r="K67" s="44" t="s">
        <v>754</v>
      </c>
    </row>
    <row r="68" spans="1:17" s="4" customFormat="1">
      <c r="A68" s="4" t="s">
        <v>808</v>
      </c>
      <c r="B68" s="55"/>
      <c r="C68" s="55"/>
      <c r="D68" s="55"/>
      <c r="E68" s="55"/>
      <c r="F68" s="279">
        <v>180000</v>
      </c>
      <c r="G68" s="282">
        <v>195000</v>
      </c>
      <c r="H68" s="282">
        <v>205000</v>
      </c>
      <c r="I68" s="224"/>
      <c r="J68" s="55"/>
      <c r="K68" s="44" t="s">
        <v>754</v>
      </c>
    </row>
    <row r="69" spans="1:17" s="4" customFormat="1">
      <c r="A69" s="4" t="s">
        <v>809</v>
      </c>
      <c r="B69" s="55"/>
      <c r="C69" s="55"/>
      <c r="D69" s="55"/>
      <c r="E69" s="55"/>
      <c r="F69" s="279">
        <v>90000</v>
      </c>
      <c r="G69" s="282">
        <v>120000</v>
      </c>
      <c r="H69" s="282">
        <v>120000</v>
      </c>
      <c r="I69" s="224"/>
      <c r="J69" s="55"/>
      <c r="K69" s="44" t="s">
        <v>754</v>
      </c>
      <c r="M69" s="20"/>
      <c r="N69" s="20"/>
      <c r="O69" s="3"/>
      <c r="P69" s="3"/>
      <c r="Q69" s="3"/>
    </row>
    <row r="70" spans="1:17" s="4" customFormat="1">
      <c r="A70" s="4" t="s">
        <v>810</v>
      </c>
      <c r="B70" s="55"/>
      <c r="C70" s="55"/>
      <c r="D70" s="55"/>
      <c r="E70" s="55"/>
      <c r="F70" s="279">
        <v>1100000</v>
      </c>
      <c r="G70" s="282">
        <v>1200000</v>
      </c>
      <c r="H70" s="282">
        <v>1400000</v>
      </c>
      <c r="I70" s="224"/>
      <c r="J70" s="55"/>
      <c r="K70" s="44" t="s">
        <v>754</v>
      </c>
    </row>
    <row r="71" spans="1:17" s="4" customFormat="1">
      <c r="A71" s="4" t="s">
        <v>811</v>
      </c>
      <c r="B71" s="55"/>
      <c r="C71" s="55"/>
      <c r="D71" s="55"/>
      <c r="E71" s="55"/>
      <c r="F71" s="279">
        <v>365000</v>
      </c>
      <c r="G71" s="282">
        <v>400000</v>
      </c>
      <c r="H71" s="282">
        <v>395000</v>
      </c>
      <c r="I71" s="224"/>
      <c r="J71" s="55"/>
      <c r="K71" s="44" t="s">
        <v>754</v>
      </c>
      <c r="O71" s="34"/>
      <c r="P71" s="34"/>
      <c r="Q71" s="34"/>
    </row>
    <row r="72" spans="1:17">
      <c r="A72" s="6"/>
      <c r="B72" s="6"/>
      <c r="C72" s="6"/>
      <c r="D72" s="6"/>
      <c r="E72" s="6"/>
      <c r="F72" s="6"/>
      <c r="G72" s="22"/>
      <c r="H72" s="22"/>
      <c r="I72" s="6"/>
      <c r="J72" s="6"/>
      <c r="K72" s="6"/>
      <c r="L72" s="6"/>
      <c r="M72" s="6"/>
      <c r="N72" s="6"/>
      <c r="O72" s="4"/>
      <c r="P72" s="4"/>
      <c r="Q72" s="4"/>
    </row>
    <row r="73" spans="1:17">
      <c r="A73" s="14" t="s">
        <v>812</v>
      </c>
      <c r="B73" s="14">
        <v>2008</v>
      </c>
      <c r="C73" s="14">
        <v>2009</v>
      </c>
      <c r="D73" s="14">
        <v>2010</v>
      </c>
      <c r="E73" s="14">
        <v>2011</v>
      </c>
      <c r="F73" s="14">
        <v>2012</v>
      </c>
      <c r="G73" s="26">
        <v>2013</v>
      </c>
      <c r="H73" s="26">
        <v>2014</v>
      </c>
      <c r="I73" s="14">
        <v>2015</v>
      </c>
      <c r="J73" s="14">
        <v>2016</v>
      </c>
      <c r="K73" s="14" t="s">
        <v>102</v>
      </c>
      <c r="L73" s="14" t="s">
        <v>103</v>
      </c>
      <c r="M73" s="14" t="s">
        <v>104</v>
      </c>
      <c r="N73" s="47" t="s">
        <v>105</v>
      </c>
      <c r="O73" s="15"/>
      <c r="P73" s="15"/>
      <c r="Q73" s="15"/>
    </row>
    <row r="74" spans="1:17" s="4" customFormat="1">
      <c r="A74" s="4" t="s">
        <v>813</v>
      </c>
      <c r="B74" s="55"/>
      <c r="C74" s="55"/>
      <c r="D74" s="55"/>
      <c r="E74" s="4">
        <v>0.4</v>
      </c>
      <c r="F74" s="4">
        <v>0.7</v>
      </c>
      <c r="G74" s="42">
        <v>0.8</v>
      </c>
      <c r="H74" s="42">
        <v>0.8</v>
      </c>
      <c r="I74" s="4">
        <v>1.2</v>
      </c>
      <c r="J74" s="4">
        <v>1.5</v>
      </c>
      <c r="K74" s="4" t="s">
        <v>779</v>
      </c>
      <c r="P74" s="4" t="s">
        <v>814</v>
      </c>
    </row>
    <row r="75" spans="1:17">
      <c r="A75" s="6"/>
      <c r="B75" s="6"/>
      <c r="C75" s="6"/>
      <c r="D75" s="6"/>
      <c r="E75" s="6"/>
      <c r="F75" s="6"/>
      <c r="G75" s="22"/>
      <c r="H75" s="22"/>
      <c r="I75" s="6"/>
      <c r="J75" s="6"/>
      <c r="K75" s="6"/>
      <c r="L75" s="6"/>
      <c r="M75" s="6"/>
      <c r="N75" s="6"/>
      <c r="O75" s="4"/>
      <c r="P75" s="4"/>
      <c r="Q75" s="4"/>
    </row>
    <row r="76" spans="1:17">
      <c r="A76" s="14"/>
      <c r="B76" s="14">
        <v>2008</v>
      </c>
      <c r="C76" s="14">
        <v>2009</v>
      </c>
      <c r="D76" s="14">
        <v>2010</v>
      </c>
      <c r="E76" s="14">
        <v>2011</v>
      </c>
      <c r="F76" s="14">
        <v>2012</v>
      </c>
      <c r="G76" s="26">
        <v>2013</v>
      </c>
      <c r="H76" s="26">
        <v>2014</v>
      </c>
      <c r="I76" s="14">
        <v>2015</v>
      </c>
      <c r="J76" s="14">
        <v>2016</v>
      </c>
      <c r="K76" s="14" t="s">
        <v>102</v>
      </c>
      <c r="L76" s="14" t="s">
        <v>103</v>
      </c>
      <c r="M76" s="14" t="s">
        <v>104</v>
      </c>
      <c r="N76" s="47" t="s">
        <v>105</v>
      </c>
      <c r="O76" s="15"/>
      <c r="P76" s="15"/>
      <c r="Q76" s="15"/>
    </row>
    <row r="77" spans="1:17" s="4" customFormat="1">
      <c r="A77" s="15" t="s">
        <v>815</v>
      </c>
      <c r="B77" s="57"/>
      <c r="C77" s="57"/>
      <c r="D77" s="57"/>
      <c r="E77" s="57"/>
      <c r="F77" s="57"/>
      <c r="G77" s="283">
        <v>64600</v>
      </c>
      <c r="H77" s="283">
        <v>71400</v>
      </c>
      <c r="I77" s="18">
        <v>74300</v>
      </c>
      <c r="J77" s="57"/>
      <c r="K77" s="15" t="s">
        <v>816</v>
      </c>
      <c r="P77" s="4" t="s">
        <v>814</v>
      </c>
    </row>
    <row r="78" spans="1:17">
      <c r="A78" s="4" t="s">
        <v>817</v>
      </c>
      <c r="B78" s="55"/>
      <c r="C78" s="55"/>
      <c r="D78" s="55"/>
      <c r="E78" s="55"/>
      <c r="F78" s="55"/>
      <c r="G78" s="282">
        <v>26300</v>
      </c>
      <c r="H78" s="282">
        <v>28500</v>
      </c>
      <c r="I78" s="282">
        <v>31200</v>
      </c>
      <c r="J78" s="55"/>
      <c r="K78" s="4" t="s">
        <v>816</v>
      </c>
    </row>
    <row r="79" spans="1:17">
      <c r="A79" s="4" t="s">
        <v>818</v>
      </c>
      <c r="B79" s="55"/>
      <c r="C79" s="55"/>
      <c r="D79" s="55"/>
      <c r="E79" s="55"/>
      <c r="F79" s="55"/>
      <c r="G79" s="282">
        <v>8494</v>
      </c>
      <c r="H79" s="282">
        <v>11194</v>
      </c>
      <c r="I79" s="282">
        <v>12990</v>
      </c>
      <c r="J79" s="55"/>
      <c r="K79" s="4" t="s">
        <v>816</v>
      </c>
      <c r="M79" s="50"/>
      <c r="N79" s="50"/>
      <c r="O79" s="51"/>
      <c r="P79" s="51"/>
      <c r="Q79" s="51"/>
    </row>
    <row r="80" spans="1:17">
      <c r="A80" s="15" t="s">
        <v>819</v>
      </c>
      <c r="B80" s="55"/>
      <c r="C80" s="55"/>
      <c r="D80" s="55"/>
      <c r="E80" s="55"/>
      <c r="F80" s="55"/>
      <c r="G80" s="283">
        <v>0.402644</v>
      </c>
      <c r="H80" s="283">
        <v>0.51469399999999998</v>
      </c>
      <c r="I80" s="283">
        <v>0.58352000000000004</v>
      </c>
      <c r="J80" s="55"/>
      <c r="K80" s="4" t="s">
        <v>816</v>
      </c>
      <c r="M80" s="50"/>
      <c r="N80" s="50"/>
      <c r="O80" s="51"/>
      <c r="P80" s="51"/>
      <c r="Q80" s="51"/>
    </row>
    <row r="81" spans="1:17">
      <c r="A81" s="4" t="s">
        <v>820</v>
      </c>
      <c r="B81" s="55"/>
      <c r="C81" s="55"/>
      <c r="D81" s="55"/>
      <c r="E81" s="55"/>
      <c r="F81" s="55"/>
      <c r="G81" s="282">
        <v>162200</v>
      </c>
      <c r="H81" s="282">
        <v>231700</v>
      </c>
      <c r="I81" s="282">
        <v>273400</v>
      </c>
      <c r="J81" s="55"/>
      <c r="K81" s="4" t="s">
        <v>816</v>
      </c>
      <c r="M81" s="50"/>
      <c r="N81" s="50"/>
      <c r="O81" s="51"/>
      <c r="P81" s="51"/>
      <c r="Q81" s="51"/>
    </row>
    <row r="82" spans="1:17">
      <c r="A82" s="4" t="s">
        <v>821</v>
      </c>
      <c r="B82" s="55"/>
      <c r="C82" s="55"/>
      <c r="D82" s="55"/>
      <c r="E82" s="55"/>
      <c r="F82" s="55"/>
      <c r="G82" s="282">
        <v>135144</v>
      </c>
      <c r="H82" s="282">
        <v>170794</v>
      </c>
      <c r="I82" s="282">
        <v>190650</v>
      </c>
      <c r="J82" s="55"/>
      <c r="K82" s="4" t="s">
        <v>816</v>
      </c>
      <c r="M82" s="50"/>
      <c r="N82" s="50"/>
      <c r="O82" s="51"/>
      <c r="P82" s="51"/>
      <c r="Q82" s="51"/>
    </row>
    <row r="83" spans="1:17">
      <c r="A83" s="4" t="s">
        <v>822</v>
      </c>
      <c r="B83" s="55"/>
      <c r="C83" s="55"/>
      <c r="D83" s="55"/>
      <c r="E83" s="55"/>
      <c r="F83" s="55"/>
      <c r="G83" s="282">
        <v>65000</v>
      </c>
      <c r="H83" s="282">
        <v>69000</v>
      </c>
      <c r="I83" s="282">
        <v>73000</v>
      </c>
      <c r="J83" s="55"/>
      <c r="K83" s="4" t="s">
        <v>816</v>
      </c>
      <c r="M83" s="50"/>
      <c r="N83" s="50"/>
      <c r="O83" s="51"/>
      <c r="P83" s="51"/>
      <c r="Q83" s="51"/>
    </row>
    <row r="84" spans="1:17">
      <c r="A84" s="4" t="s">
        <v>823</v>
      </c>
      <c r="B84" s="55"/>
      <c r="C84" s="55"/>
      <c r="D84" s="55"/>
      <c r="E84" s="55"/>
      <c r="F84" s="55"/>
      <c r="G84" s="282">
        <v>34000</v>
      </c>
      <c r="H84" s="282">
        <v>36000</v>
      </c>
      <c r="I84" s="282">
        <v>38000</v>
      </c>
      <c r="J84" s="55"/>
      <c r="K84" s="4" t="s">
        <v>816</v>
      </c>
      <c r="M84" s="50"/>
      <c r="N84" s="50"/>
      <c r="O84" s="51"/>
      <c r="P84" s="51"/>
      <c r="Q84" s="51"/>
    </row>
    <row r="85" spans="1:17">
      <c r="A85" s="4" t="s">
        <v>824</v>
      </c>
      <c r="B85" s="55"/>
      <c r="C85" s="55"/>
      <c r="D85" s="55"/>
      <c r="E85" s="55"/>
      <c r="F85" s="55"/>
      <c r="G85" s="282">
        <v>3800</v>
      </c>
      <c r="H85" s="282">
        <v>4200</v>
      </c>
      <c r="I85" s="282">
        <v>4700</v>
      </c>
      <c r="J85" s="55"/>
      <c r="K85" s="4" t="s">
        <v>816</v>
      </c>
      <c r="M85" s="50"/>
      <c r="N85" s="50"/>
      <c r="O85" s="51"/>
      <c r="P85" s="51"/>
      <c r="Q85" s="51"/>
    </row>
    <row r="86" spans="1:17">
      <c r="A86" s="4" t="s">
        <v>825</v>
      </c>
      <c r="B86" s="55"/>
      <c r="C86" s="55"/>
      <c r="D86" s="55"/>
      <c r="E86" s="55"/>
      <c r="F86" s="55"/>
      <c r="G86" s="282">
        <v>2500</v>
      </c>
      <c r="H86" s="282">
        <v>3000</v>
      </c>
      <c r="I86" s="282">
        <v>3500</v>
      </c>
      <c r="J86" s="55"/>
      <c r="K86" s="4" t="s">
        <v>816</v>
      </c>
      <c r="M86" s="50"/>
      <c r="N86" s="50"/>
      <c r="O86" s="51"/>
      <c r="P86" s="51"/>
      <c r="Q86" s="51"/>
    </row>
    <row r="87" spans="1:17">
      <c r="G87" s="423"/>
      <c r="H87" s="423"/>
      <c r="I87" s="423"/>
      <c r="M87" s="50"/>
      <c r="N87" s="50"/>
      <c r="O87" s="51"/>
      <c r="P87" s="51"/>
      <c r="Q87" s="51"/>
    </row>
    <row r="89" spans="1:17">
      <c r="A89" t="s">
        <v>826</v>
      </c>
      <c r="M89" s="460"/>
      <c r="N89" s="460"/>
      <c r="O89" s="460"/>
      <c r="P89" s="460"/>
      <c r="Q89" s="460"/>
    </row>
    <row r="90" spans="1:17">
      <c r="F90" s="51"/>
      <c r="M90" s="50"/>
      <c r="N90" s="50"/>
      <c r="O90" s="51"/>
      <c r="P90" s="51"/>
      <c r="Q90" s="51"/>
    </row>
    <row r="91" spans="1:17">
      <c r="M91" s="21"/>
      <c r="N91" s="21"/>
      <c r="O91" s="21"/>
      <c r="P91" s="21"/>
    </row>
    <row r="92" spans="1:17" ht="43.5" customHeight="1">
      <c r="A92" s="48" t="s">
        <v>827</v>
      </c>
      <c r="M92" s="21"/>
      <c r="N92" s="21"/>
      <c r="O92" s="43"/>
      <c r="P92" s="43"/>
      <c r="Q92" s="48"/>
    </row>
    <row r="93" spans="1:17" ht="48" customHeight="1">
      <c r="A93" s="48" t="s">
        <v>828</v>
      </c>
      <c r="M93" s="21"/>
      <c r="N93" s="21"/>
      <c r="O93" s="43"/>
      <c r="P93" s="43"/>
      <c r="Q93" s="48"/>
    </row>
    <row r="94" spans="1:17" ht="30.75" customHeight="1">
      <c r="A94" s="48" t="s">
        <v>829</v>
      </c>
      <c r="M94" s="21"/>
      <c r="N94" s="21"/>
      <c r="O94" s="21"/>
      <c r="P94" s="21"/>
    </row>
    <row r="95" spans="1:17" ht="28.5" customHeight="1">
      <c r="A95" s="48" t="s">
        <v>830</v>
      </c>
      <c r="M95" s="43"/>
      <c r="N95" s="21"/>
      <c r="O95" s="21"/>
      <c r="P95" s="21"/>
    </row>
    <row r="96" spans="1:17" ht="46.5" customHeight="1">
      <c r="A96" s="48" t="s">
        <v>831</v>
      </c>
      <c r="M96" s="21"/>
      <c r="N96" s="21"/>
      <c r="O96" s="21"/>
      <c r="P96" s="21"/>
      <c r="Q96" s="48"/>
    </row>
    <row r="97" spans="1:16" ht="30">
      <c r="A97" s="48" t="s">
        <v>832</v>
      </c>
      <c r="M97" s="21"/>
      <c r="N97" s="21"/>
      <c r="O97" s="21"/>
      <c r="P97" s="21"/>
    </row>
    <row r="98" spans="1:16">
      <c r="M98" s="21"/>
      <c r="N98" s="21"/>
      <c r="O98" s="21"/>
      <c r="P98" s="21"/>
    </row>
    <row r="99" spans="1:16">
      <c r="M99" s="21"/>
      <c r="N99" s="21"/>
      <c r="O99" s="21"/>
      <c r="P99" s="21"/>
    </row>
  </sheetData>
  <mergeCells count="2">
    <mergeCell ref="A1:A2"/>
    <mergeCell ref="M89:Q89"/>
  </mergeCells>
  <hyperlinks>
    <hyperlink ref="L33" r:id="rId1" xr:uid="{00000000-0004-0000-1100-000000000000}"/>
    <hyperlink ref="L32" r:id="rId2" xr:uid="{00000000-0004-0000-1100-000001000000}"/>
    <hyperlink ref="L5" r:id="rId3" xr:uid="{00000000-0004-0000-1100-000002000000}"/>
    <hyperlink ref="L6" r:id="rId4" xr:uid="{00000000-0004-0000-1100-000003000000}"/>
    <hyperlink ref="L8" r:id="rId5" xr:uid="{00000000-0004-0000-1100-000004000000}"/>
    <hyperlink ref="L11" r:id="rId6" xr:uid="{00000000-0004-0000-1100-000005000000}"/>
    <hyperlink ref="L9" r:id="rId7" xr:uid="{00000000-0004-0000-1100-000006000000}"/>
    <hyperlink ref="L10" r:id="rId8" xr:uid="{00000000-0004-0000-1100-000007000000}"/>
    <hyperlink ref="L7" r:id="rId9" xr:uid="{00000000-0004-0000-1100-000008000000}"/>
    <hyperlink ref="N5" r:id="rId10" xr:uid="{00000000-0004-0000-1100-000009000000}"/>
    <hyperlink ref="N6" r:id="rId11" xr:uid="{00000000-0004-0000-1100-00000A000000}"/>
    <hyperlink ref="N8" r:id="rId12" xr:uid="{00000000-0004-0000-1100-00000B000000}"/>
    <hyperlink ref="N9" r:id="rId13" xr:uid="{00000000-0004-0000-1100-00000C000000}"/>
    <hyperlink ref="N10" r:id="rId14" xr:uid="{00000000-0004-0000-1100-00000D000000}"/>
  </hyperlinks>
  <pageMargins left="0.7" right="0.7" top="0.75" bottom="0.75" header="0.3" footer="0.3"/>
  <drawing r:id="rId1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N28"/>
  <sheetViews>
    <sheetView topLeftCell="A5" workbookViewId="0">
      <selection activeCell="B68" sqref="B68"/>
    </sheetView>
  </sheetViews>
  <sheetFormatPr defaultColWidth="8.85546875" defaultRowHeight="15"/>
  <cols>
    <col min="1" max="1" width="72.28515625" bestFit="1" customWidth="1"/>
    <col min="2" max="9" width="11.140625" bestFit="1" customWidth="1"/>
    <col min="11" max="11" width="150.7109375" bestFit="1" customWidth="1"/>
    <col min="12" max="12" width="11.28515625" customWidth="1"/>
    <col min="13" max="13" width="32.85546875" bestFit="1" customWidth="1"/>
    <col min="14" max="14" width="15.42578125" customWidth="1"/>
  </cols>
  <sheetData>
    <row r="1" spans="1:14">
      <c r="A1" s="6"/>
      <c r="B1" s="6"/>
      <c r="C1" s="6"/>
      <c r="D1" s="6"/>
      <c r="E1" s="6"/>
      <c r="F1" s="6"/>
      <c r="G1" s="6"/>
      <c r="H1" s="6"/>
      <c r="I1" s="6"/>
      <c r="J1" s="6"/>
      <c r="K1" s="6"/>
      <c r="L1" s="6"/>
      <c r="M1" s="6"/>
      <c r="N1" s="6"/>
    </row>
    <row r="2" spans="1:14">
      <c r="A2" s="470" t="s">
        <v>833</v>
      </c>
    </row>
    <row r="3" spans="1:14">
      <c r="A3" s="471"/>
    </row>
    <row r="4" spans="1:14">
      <c r="A4" s="6"/>
      <c r="B4" s="6"/>
      <c r="C4" s="6"/>
      <c r="D4" s="6"/>
      <c r="E4" s="6"/>
      <c r="F4" s="6"/>
      <c r="G4" s="6"/>
      <c r="H4" s="6"/>
      <c r="I4" s="6"/>
      <c r="J4" s="6"/>
      <c r="K4" s="6"/>
      <c r="L4" s="6"/>
      <c r="M4" s="6"/>
      <c r="N4" s="6"/>
    </row>
    <row r="5" spans="1:14">
      <c r="A5" s="3" t="s">
        <v>834</v>
      </c>
      <c r="B5" s="3">
        <v>2008</v>
      </c>
      <c r="C5" s="3">
        <v>2009</v>
      </c>
      <c r="D5" s="3">
        <v>2010</v>
      </c>
      <c r="E5" s="3">
        <v>2011</v>
      </c>
      <c r="F5" s="3">
        <v>2012</v>
      </c>
      <c r="G5" s="3">
        <v>2013</v>
      </c>
      <c r="H5" s="3">
        <v>2014</v>
      </c>
      <c r="I5" s="3">
        <v>2015</v>
      </c>
      <c r="J5" s="3">
        <v>2016</v>
      </c>
      <c r="K5" s="3" t="s">
        <v>102</v>
      </c>
      <c r="L5" s="3" t="s">
        <v>103</v>
      </c>
      <c r="M5" s="3" t="s">
        <v>104</v>
      </c>
      <c r="N5" s="3" t="s">
        <v>105</v>
      </c>
    </row>
    <row r="6" spans="1:14">
      <c r="A6" s="4" t="s">
        <v>835</v>
      </c>
      <c r="B6" s="139">
        <v>275.839</v>
      </c>
      <c r="C6" s="139">
        <v>305.209</v>
      </c>
      <c r="D6" s="139">
        <v>326.23</v>
      </c>
      <c r="E6" s="139">
        <v>339.101</v>
      </c>
      <c r="F6" s="139">
        <v>370.14299999999997</v>
      </c>
      <c r="G6" s="126">
        <v>355.1</v>
      </c>
      <c r="H6" s="126">
        <v>364.589</v>
      </c>
      <c r="I6" s="126">
        <v>377.315</v>
      </c>
      <c r="J6" s="55"/>
      <c r="K6" s="4" t="s">
        <v>742</v>
      </c>
      <c r="L6" s="53" t="s">
        <v>743</v>
      </c>
      <c r="M6" s="4" t="s">
        <v>744</v>
      </c>
      <c r="N6" s="13" t="s">
        <v>745</v>
      </c>
    </row>
    <row r="7" spans="1:14">
      <c r="A7" s="15" t="s">
        <v>836</v>
      </c>
      <c r="B7" s="150">
        <v>1.9</v>
      </c>
      <c r="C7" s="150">
        <v>2.1</v>
      </c>
      <c r="D7" s="150">
        <v>2.2000000000000002</v>
      </c>
      <c r="E7" s="150">
        <v>2.2000000000000002</v>
      </c>
      <c r="F7" s="150">
        <v>2.2999999999999998</v>
      </c>
      <c r="G7" s="196">
        <v>2.1</v>
      </c>
      <c r="H7" s="196">
        <v>2.1</v>
      </c>
      <c r="I7" s="196">
        <v>2.1</v>
      </c>
      <c r="J7" s="57"/>
      <c r="K7" s="15" t="s">
        <v>742</v>
      </c>
      <c r="L7" s="121" t="s">
        <v>743</v>
      </c>
      <c r="M7" s="4" t="s">
        <v>744</v>
      </c>
      <c r="N7" s="13" t="s">
        <v>745</v>
      </c>
    </row>
    <row r="8" spans="1:14" s="4" customFormat="1">
      <c r="A8" s="4" t="s">
        <v>837</v>
      </c>
      <c r="B8" s="151">
        <v>735587</v>
      </c>
      <c r="C8" s="151">
        <v>622647</v>
      </c>
      <c r="D8" s="151">
        <v>714847</v>
      </c>
      <c r="E8" s="151">
        <v>782105</v>
      </c>
      <c r="F8" s="151">
        <v>794207</v>
      </c>
      <c r="G8" s="205"/>
      <c r="H8" s="205"/>
      <c r="I8" s="205"/>
      <c r="J8" s="55"/>
      <c r="K8" s="4" t="s">
        <v>742</v>
      </c>
      <c r="L8" s="53" t="s">
        <v>743</v>
      </c>
    </row>
    <row r="9" spans="1:14" s="19" customFormat="1">
      <c r="A9" s="19" t="s">
        <v>838</v>
      </c>
      <c r="B9" s="152">
        <v>86589</v>
      </c>
      <c r="C9" s="152">
        <v>84267</v>
      </c>
      <c r="D9" s="152">
        <v>87295</v>
      </c>
      <c r="E9" s="152">
        <v>88082</v>
      </c>
      <c r="F9" s="152">
        <v>91425</v>
      </c>
      <c r="G9" s="202">
        <v>92015</v>
      </c>
      <c r="H9" s="202">
        <v>97270</v>
      </c>
      <c r="I9" s="203">
        <v>100470</v>
      </c>
      <c r="J9" s="195"/>
      <c r="K9" s="4" t="s">
        <v>742</v>
      </c>
      <c r="L9" s="53" t="s">
        <v>743</v>
      </c>
      <c r="M9" s="4" t="s">
        <v>744</v>
      </c>
      <c r="N9" s="13" t="s">
        <v>745</v>
      </c>
    </row>
    <row r="10" spans="1:14" s="4" customFormat="1">
      <c r="A10" s="4" t="s">
        <v>839</v>
      </c>
      <c r="B10" s="126">
        <v>6212</v>
      </c>
      <c r="C10" s="126">
        <v>6581</v>
      </c>
      <c r="D10" s="126">
        <v>6480</v>
      </c>
      <c r="E10" s="126">
        <v>6482</v>
      </c>
      <c r="F10" s="126">
        <v>6689</v>
      </c>
      <c r="G10" s="123">
        <v>15790</v>
      </c>
      <c r="H10" s="123">
        <v>16292</v>
      </c>
      <c r="I10" s="143">
        <v>16541</v>
      </c>
      <c r="J10" s="55"/>
      <c r="K10" s="4" t="s">
        <v>742</v>
      </c>
      <c r="L10" s="53" t="s">
        <v>743</v>
      </c>
      <c r="M10" s="4" t="s">
        <v>744</v>
      </c>
      <c r="N10" s="13" t="s">
        <v>745</v>
      </c>
    </row>
    <row r="11" spans="1:14" s="4" customFormat="1">
      <c r="A11" s="4" t="s">
        <v>840</v>
      </c>
      <c r="B11" s="126">
        <v>183038</v>
      </c>
      <c r="C11" s="126">
        <v>214361</v>
      </c>
      <c r="D11" s="126">
        <v>232456</v>
      </c>
      <c r="E11" s="126">
        <v>244537</v>
      </c>
      <c r="F11" s="126">
        <v>272029</v>
      </c>
      <c r="G11" s="143">
        <v>247296</v>
      </c>
      <c r="H11" s="143">
        <v>251027</v>
      </c>
      <c r="I11" s="143">
        <v>260304</v>
      </c>
      <c r="J11" s="55"/>
      <c r="K11" s="4" t="s">
        <v>742</v>
      </c>
      <c r="L11" s="53" t="s">
        <v>743</v>
      </c>
      <c r="M11" s="4" t="s">
        <v>744</v>
      </c>
      <c r="N11" s="13" t="s">
        <v>745</v>
      </c>
    </row>
    <row r="12" spans="1:14" s="4" customFormat="1">
      <c r="A12" s="4" t="s">
        <v>751</v>
      </c>
      <c r="B12" s="126">
        <v>848</v>
      </c>
      <c r="C12" s="126">
        <v>800</v>
      </c>
      <c r="D12" s="126">
        <v>788</v>
      </c>
      <c r="E12" s="126">
        <v>785</v>
      </c>
      <c r="F12" s="126">
        <v>788</v>
      </c>
      <c r="G12" s="205"/>
      <c r="H12" s="205"/>
      <c r="I12" s="205"/>
      <c r="J12" s="55"/>
      <c r="K12" s="4" t="s">
        <v>742</v>
      </c>
      <c r="L12" s="53" t="s">
        <v>743</v>
      </c>
    </row>
    <row r="13" spans="1:14" s="15" customFormat="1">
      <c r="A13" s="15" t="s">
        <v>841</v>
      </c>
      <c r="B13" s="150">
        <v>743.7</v>
      </c>
      <c r="C13" s="150">
        <v>624.5</v>
      </c>
      <c r="D13" s="150">
        <v>693.2</v>
      </c>
      <c r="E13" s="150">
        <v>781</v>
      </c>
      <c r="F13" s="150">
        <v>794.6</v>
      </c>
      <c r="G13" s="150">
        <v>782.1</v>
      </c>
      <c r="H13" s="150">
        <v>793.9</v>
      </c>
      <c r="I13" s="150">
        <v>818.2</v>
      </c>
      <c r="J13" s="57"/>
      <c r="K13" s="15" t="s">
        <v>842</v>
      </c>
      <c r="L13" s="35"/>
    </row>
    <row r="14" spans="1:14" s="4" customFormat="1">
      <c r="A14" s="4" t="s">
        <v>843</v>
      </c>
      <c r="B14" s="153">
        <v>170885</v>
      </c>
      <c r="C14" s="153">
        <v>145664</v>
      </c>
      <c r="D14" s="153">
        <v>166401</v>
      </c>
      <c r="E14" s="153">
        <v>191283</v>
      </c>
      <c r="F14" s="153">
        <v>188044</v>
      </c>
      <c r="G14" s="153">
        <v>185674</v>
      </c>
      <c r="H14" s="153">
        <v>196551</v>
      </c>
      <c r="I14" s="153">
        <v>204997</v>
      </c>
      <c r="J14" s="55"/>
      <c r="K14" s="15" t="s">
        <v>842</v>
      </c>
      <c r="L14" s="13"/>
    </row>
    <row r="15" spans="1:14">
      <c r="A15" s="6"/>
      <c r="B15" s="6"/>
      <c r="C15" s="6"/>
      <c r="D15" s="6"/>
      <c r="E15" s="6"/>
      <c r="F15" s="6"/>
      <c r="G15" s="6"/>
      <c r="H15" s="6"/>
      <c r="I15" s="6"/>
      <c r="J15" s="6"/>
      <c r="K15" s="6"/>
      <c r="L15" s="6"/>
      <c r="M15" s="6"/>
      <c r="N15" s="6"/>
    </row>
    <row r="16" spans="1:14">
      <c r="A16" s="14" t="s">
        <v>844</v>
      </c>
      <c r="B16" s="14">
        <v>2008</v>
      </c>
      <c r="C16" s="14">
        <v>2009</v>
      </c>
      <c r="D16" s="14">
        <v>2010</v>
      </c>
      <c r="E16" s="14">
        <v>2011</v>
      </c>
      <c r="F16" s="14">
        <v>2012</v>
      </c>
      <c r="G16" s="14">
        <v>2013</v>
      </c>
      <c r="H16" s="14">
        <v>2014</v>
      </c>
      <c r="I16" s="14">
        <v>2015</v>
      </c>
      <c r="J16" s="14">
        <v>2016</v>
      </c>
      <c r="K16" s="14" t="s">
        <v>102</v>
      </c>
      <c r="L16" s="14" t="s">
        <v>103</v>
      </c>
      <c r="M16" s="14" t="s">
        <v>104</v>
      </c>
      <c r="N16" s="14" t="s">
        <v>105</v>
      </c>
    </row>
    <row r="17" spans="1:14">
      <c r="A17" s="15" t="s">
        <v>845</v>
      </c>
      <c r="B17" s="212"/>
      <c r="C17" s="212"/>
      <c r="D17" s="421">
        <v>2846.6</v>
      </c>
      <c r="E17" s="420">
        <v>3197.1</v>
      </c>
      <c r="F17" s="420">
        <v>3484.9</v>
      </c>
      <c r="G17" s="420">
        <v>3839.7</v>
      </c>
      <c r="H17" s="55"/>
      <c r="I17" s="55"/>
      <c r="J17" s="55"/>
      <c r="K17" s="15" t="s">
        <v>728</v>
      </c>
      <c r="L17" s="14"/>
      <c r="M17" s="14"/>
      <c r="N17" s="14"/>
    </row>
    <row r="18" spans="1:14">
      <c r="A18" s="15" t="s">
        <v>846</v>
      </c>
      <c r="B18" s="212"/>
      <c r="C18" s="212"/>
      <c r="D18" s="421">
        <v>94.57</v>
      </c>
      <c r="E18" s="420">
        <v>115.1</v>
      </c>
      <c r="F18" s="420">
        <v>135.91</v>
      </c>
      <c r="G18" s="420">
        <v>157.43</v>
      </c>
      <c r="H18" s="57"/>
      <c r="I18" s="57"/>
      <c r="J18" s="57"/>
      <c r="K18" s="15" t="s">
        <v>728</v>
      </c>
      <c r="L18" s="14"/>
      <c r="M18" s="14"/>
      <c r="N18" s="14"/>
    </row>
    <row r="19" spans="1:14">
      <c r="A19" s="138" t="s">
        <v>847</v>
      </c>
      <c r="B19" s="212"/>
      <c r="C19" s="212"/>
      <c r="D19" s="290">
        <v>3.2</v>
      </c>
      <c r="E19" s="290">
        <v>3.6</v>
      </c>
      <c r="F19" s="290">
        <v>3.9</v>
      </c>
      <c r="G19" s="422">
        <v>4.0999999999999996</v>
      </c>
      <c r="H19" s="55"/>
      <c r="I19" s="55"/>
      <c r="J19" s="55"/>
      <c r="K19" s="15" t="s">
        <v>728</v>
      </c>
      <c r="L19" s="14"/>
      <c r="M19" s="14"/>
      <c r="N19" s="14"/>
    </row>
    <row r="20" spans="1:14" s="4" customFormat="1">
      <c r="A20" s="4" t="s">
        <v>848</v>
      </c>
      <c r="B20" s="212"/>
      <c r="C20" s="212"/>
      <c r="D20" s="139">
        <v>4400</v>
      </c>
      <c r="E20" s="139">
        <v>4743</v>
      </c>
      <c r="F20" s="139">
        <v>5040</v>
      </c>
      <c r="G20" s="126">
        <v>5900</v>
      </c>
      <c r="H20" s="152">
        <v>6200</v>
      </c>
      <c r="I20" s="152">
        <v>6100</v>
      </c>
      <c r="J20" s="195"/>
      <c r="K20" s="4" t="s">
        <v>849</v>
      </c>
      <c r="L20" s="13"/>
    </row>
    <row r="21" spans="1:14" s="4" customFormat="1">
      <c r="A21" s="4" t="s">
        <v>850</v>
      </c>
      <c r="B21" s="55"/>
      <c r="C21" s="55"/>
      <c r="D21" s="12">
        <v>45200</v>
      </c>
      <c r="E21" s="12">
        <v>47957</v>
      </c>
      <c r="F21" s="12">
        <v>50960</v>
      </c>
      <c r="G21" s="12">
        <v>54400</v>
      </c>
      <c r="H21" s="12">
        <v>57100</v>
      </c>
      <c r="I21" s="12">
        <v>60700</v>
      </c>
      <c r="J21" s="55"/>
      <c r="K21" s="4" t="s">
        <v>849</v>
      </c>
    </row>
    <row r="22" spans="1:14">
      <c r="D22" s="164"/>
      <c r="E22" s="164"/>
      <c r="F22" s="164"/>
      <c r="G22" s="164"/>
      <c r="H22" s="164"/>
      <c r="I22" s="164"/>
    </row>
    <row r="23" spans="1:14">
      <c r="A23" s="6"/>
      <c r="B23" s="6"/>
      <c r="C23" s="6"/>
      <c r="D23" s="6"/>
      <c r="E23" s="6"/>
      <c r="F23" s="6"/>
      <c r="G23" s="6"/>
      <c r="H23" s="6"/>
      <c r="I23" s="6"/>
      <c r="J23" s="6"/>
      <c r="K23" s="6"/>
      <c r="L23" s="6"/>
      <c r="M23" s="6"/>
      <c r="N23" s="6"/>
    </row>
    <row r="24" spans="1:14" s="4" customFormat="1">
      <c r="A24" s="3" t="s">
        <v>851</v>
      </c>
      <c r="B24" s="3">
        <v>2008</v>
      </c>
      <c r="C24" s="3">
        <v>2009</v>
      </c>
      <c r="D24" s="3">
        <v>2010</v>
      </c>
      <c r="E24" s="3">
        <v>2011</v>
      </c>
      <c r="F24" s="3">
        <v>2012</v>
      </c>
      <c r="G24" s="3">
        <v>2013</v>
      </c>
      <c r="H24" s="3">
        <v>2014</v>
      </c>
      <c r="I24" s="3">
        <v>2015</v>
      </c>
      <c r="J24" s="3">
        <v>2016</v>
      </c>
      <c r="K24" s="3" t="s">
        <v>102</v>
      </c>
      <c r="L24" s="3" t="s">
        <v>103</v>
      </c>
      <c r="M24" s="3" t="s">
        <v>104</v>
      </c>
      <c r="N24" s="3" t="s">
        <v>105</v>
      </c>
    </row>
    <row r="25" spans="1:14" s="4" customFormat="1">
      <c r="A25" s="4" t="s">
        <v>852</v>
      </c>
      <c r="B25" s="55"/>
      <c r="C25" s="55"/>
      <c r="D25" s="55"/>
      <c r="E25" s="55"/>
      <c r="F25" s="4">
        <v>66</v>
      </c>
      <c r="G25" s="55"/>
      <c r="H25" s="55"/>
      <c r="I25" s="55"/>
      <c r="J25" s="55"/>
      <c r="K25" t="s">
        <v>724</v>
      </c>
    </row>
    <row r="27" spans="1:14">
      <c r="G27" s="164"/>
    </row>
    <row r="28" spans="1:14">
      <c r="G28" s="164"/>
    </row>
  </sheetData>
  <mergeCells count="1">
    <mergeCell ref="A2:A3"/>
  </mergeCells>
  <hyperlinks>
    <hyperlink ref="L6" r:id="rId1" xr:uid="{00000000-0004-0000-1200-000000000000}"/>
    <hyperlink ref="L7" r:id="rId2" xr:uid="{00000000-0004-0000-1200-000001000000}"/>
    <hyperlink ref="L8" r:id="rId3" xr:uid="{00000000-0004-0000-1200-000002000000}"/>
    <hyperlink ref="L9" r:id="rId4" xr:uid="{00000000-0004-0000-1200-000003000000}"/>
    <hyperlink ref="L12" r:id="rId5" xr:uid="{00000000-0004-0000-1200-000004000000}"/>
    <hyperlink ref="L10" r:id="rId6" xr:uid="{00000000-0004-0000-1200-000005000000}"/>
    <hyperlink ref="L11" r:id="rId7" xr:uid="{00000000-0004-0000-1200-000006000000}"/>
    <hyperlink ref="N6" r:id="rId8" xr:uid="{00000000-0004-0000-1200-000007000000}"/>
    <hyperlink ref="N7" r:id="rId9" xr:uid="{00000000-0004-0000-1200-000008000000}"/>
    <hyperlink ref="N9" r:id="rId10" xr:uid="{00000000-0004-0000-1200-000009000000}"/>
    <hyperlink ref="N10" r:id="rId11" xr:uid="{00000000-0004-0000-1200-00000A000000}"/>
    <hyperlink ref="N11" r:id="rId12" xr:uid="{00000000-0004-0000-1200-00000B000000}"/>
  </hyperlinks>
  <pageMargins left="0.7" right="0.7" top="0.75" bottom="0.75" header="0.3" footer="0.3"/>
  <drawing r:id="rId1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N10"/>
  <sheetViews>
    <sheetView workbookViewId="0">
      <selection activeCell="A20" sqref="A20"/>
    </sheetView>
  </sheetViews>
  <sheetFormatPr defaultColWidth="8.85546875" defaultRowHeight="15"/>
  <cols>
    <col min="1" max="1" width="50.85546875" bestFit="1" customWidth="1"/>
    <col min="11" max="11" width="131.140625" bestFit="1" customWidth="1"/>
    <col min="12" max="12" width="15.42578125" customWidth="1"/>
    <col min="13" max="13" width="16.85546875" customWidth="1"/>
    <col min="14" max="14" width="15.28515625" customWidth="1"/>
  </cols>
  <sheetData>
    <row r="1" spans="1:14">
      <c r="A1" s="6"/>
      <c r="B1" s="6"/>
      <c r="C1" s="6"/>
      <c r="D1" s="6"/>
      <c r="E1" s="6"/>
      <c r="F1" s="6"/>
      <c r="G1" s="6"/>
      <c r="H1" s="6"/>
      <c r="I1" s="6"/>
      <c r="J1" s="6"/>
      <c r="K1" s="6"/>
      <c r="L1" s="6"/>
      <c r="M1" s="6"/>
      <c r="N1" s="6"/>
    </row>
    <row r="2" spans="1:14">
      <c r="A2" s="470" t="s">
        <v>853</v>
      </c>
    </row>
    <row r="3" spans="1:14">
      <c r="A3" s="471"/>
    </row>
    <row r="4" spans="1:14">
      <c r="A4" s="3" t="s">
        <v>854</v>
      </c>
      <c r="B4" s="3">
        <v>2008</v>
      </c>
      <c r="C4" s="3">
        <v>2009</v>
      </c>
      <c r="D4" s="3">
        <v>2010</v>
      </c>
      <c r="E4" s="3">
        <v>2011</v>
      </c>
      <c r="F4" s="3">
        <v>2012</v>
      </c>
      <c r="G4" s="3">
        <v>2013</v>
      </c>
      <c r="H4" s="3">
        <v>2014</v>
      </c>
      <c r="I4" s="3">
        <v>2015</v>
      </c>
      <c r="J4" s="3">
        <v>2016</v>
      </c>
      <c r="K4" s="3" t="s">
        <v>102</v>
      </c>
      <c r="L4" s="3" t="s">
        <v>103</v>
      </c>
      <c r="M4" s="3" t="s">
        <v>104</v>
      </c>
      <c r="N4" s="3" t="s">
        <v>105</v>
      </c>
    </row>
    <row r="5" spans="1:14">
      <c r="A5" s="4" t="s">
        <v>855</v>
      </c>
      <c r="B5" s="41">
        <v>2.93</v>
      </c>
      <c r="C5" s="41">
        <v>3.16</v>
      </c>
      <c r="D5" s="41">
        <v>3.63</v>
      </c>
      <c r="E5" s="41">
        <v>4.03</v>
      </c>
      <c r="F5" s="41">
        <v>4.49</v>
      </c>
      <c r="G5" s="294">
        <v>4.7699999999999996</v>
      </c>
      <c r="H5" s="175"/>
      <c r="I5" s="55"/>
      <c r="J5" s="55"/>
      <c r="K5" s="4" t="s">
        <v>856</v>
      </c>
      <c r="L5" s="13"/>
      <c r="M5" s="4"/>
      <c r="N5" s="4"/>
    </row>
    <row r="6" spans="1:14">
      <c r="A6" s="4" t="s">
        <v>857</v>
      </c>
      <c r="B6" s="55"/>
      <c r="C6" s="55"/>
      <c r="D6" s="55"/>
      <c r="E6" s="41">
        <v>1204.8</v>
      </c>
      <c r="F6" s="41">
        <v>1347.2</v>
      </c>
      <c r="G6" s="41">
        <v>1347.2</v>
      </c>
      <c r="H6" s="55"/>
      <c r="I6" s="55"/>
      <c r="J6" s="55"/>
      <c r="K6" s="4" t="s">
        <v>858</v>
      </c>
      <c r="L6" s="4"/>
      <c r="M6" s="4"/>
      <c r="N6" s="4"/>
    </row>
    <row r="7" spans="1:14">
      <c r="A7" s="4" t="s">
        <v>859</v>
      </c>
      <c r="B7" s="55"/>
      <c r="C7" s="55"/>
      <c r="D7" s="55"/>
      <c r="E7" s="41">
        <v>1002.9</v>
      </c>
      <c r="F7" s="41">
        <v>1100.2</v>
      </c>
      <c r="G7" s="41">
        <v>1214.9000000000001</v>
      </c>
      <c r="H7" s="304"/>
      <c r="I7" s="55"/>
      <c r="J7" s="55"/>
      <c r="K7" s="4" t="s">
        <v>858</v>
      </c>
      <c r="L7" s="4"/>
      <c r="M7" s="4"/>
      <c r="N7" s="4"/>
    </row>
    <row r="8" spans="1:14">
      <c r="A8" s="4" t="s">
        <v>860</v>
      </c>
      <c r="B8" s="55"/>
      <c r="C8" s="55"/>
      <c r="D8" s="55"/>
      <c r="E8" s="4">
        <v>968.4</v>
      </c>
      <c r="F8" s="41">
        <v>1105.2</v>
      </c>
      <c r="G8" s="41">
        <v>1151.8</v>
      </c>
      <c r="H8" s="55"/>
      <c r="I8" s="55"/>
      <c r="J8" s="55"/>
      <c r="K8" s="4" t="s">
        <v>858</v>
      </c>
      <c r="L8" s="4"/>
      <c r="M8" s="4"/>
      <c r="N8" s="4"/>
    </row>
    <row r="9" spans="1:14">
      <c r="A9" s="4" t="s">
        <v>861</v>
      </c>
      <c r="B9" s="55"/>
      <c r="C9" s="55"/>
      <c r="D9" s="55"/>
      <c r="E9" s="4">
        <v>831.9</v>
      </c>
      <c r="F9" s="4">
        <v>966.9</v>
      </c>
      <c r="G9" s="41">
        <v>1053.5</v>
      </c>
      <c r="H9" s="55"/>
      <c r="I9" s="55"/>
      <c r="J9" s="55"/>
      <c r="K9" s="4" t="s">
        <v>858</v>
      </c>
      <c r="L9" s="4"/>
      <c r="M9" s="4"/>
      <c r="N9" s="4"/>
    </row>
    <row r="10" spans="1:14">
      <c r="A10" s="6"/>
      <c r="B10" s="6"/>
      <c r="C10" s="6"/>
      <c r="D10" s="6"/>
      <c r="E10" s="6"/>
      <c r="F10" s="6"/>
      <c r="G10" s="6"/>
      <c r="H10" s="6"/>
      <c r="I10" s="6"/>
      <c r="J10" s="6"/>
      <c r="K10" s="6"/>
      <c r="L10" s="6"/>
      <c r="M10" s="6"/>
      <c r="N10" s="6"/>
    </row>
  </sheetData>
  <mergeCells count="1">
    <mergeCell ref="A2:A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N20"/>
  <sheetViews>
    <sheetView topLeftCell="A7" workbookViewId="0">
      <selection activeCell="B14" sqref="B14"/>
    </sheetView>
  </sheetViews>
  <sheetFormatPr defaultColWidth="8.85546875" defaultRowHeight="15"/>
  <cols>
    <col min="1" max="1" width="88.140625" bestFit="1" customWidth="1"/>
    <col min="2" max="6" width="11.140625" bestFit="1" customWidth="1"/>
    <col min="11" max="11" width="26.85546875" bestFit="1" customWidth="1"/>
    <col min="12" max="12" width="12.85546875" customWidth="1"/>
    <col min="13" max="13" width="30.42578125" customWidth="1"/>
    <col min="14" max="14" width="14.7109375" customWidth="1"/>
  </cols>
  <sheetData>
    <row r="1" spans="1:14">
      <c r="A1" s="470" t="s">
        <v>862</v>
      </c>
      <c r="G1" s="21"/>
      <c r="H1" s="21"/>
    </row>
    <row r="2" spans="1:14">
      <c r="A2" s="471"/>
      <c r="G2" s="21"/>
      <c r="H2" s="21"/>
    </row>
    <row r="3" spans="1:14">
      <c r="A3" s="6"/>
      <c r="B3" s="6"/>
      <c r="C3" s="6"/>
      <c r="D3" s="6"/>
      <c r="E3" s="6"/>
      <c r="F3" s="6"/>
      <c r="G3" s="22"/>
      <c r="H3" s="22"/>
      <c r="I3" s="6"/>
      <c r="J3" s="6"/>
      <c r="K3" s="6"/>
      <c r="L3" s="6"/>
      <c r="M3" s="6"/>
      <c r="N3" s="6"/>
    </row>
    <row r="4" spans="1:14">
      <c r="A4" s="3" t="s">
        <v>863</v>
      </c>
      <c r="B4" s="3">
        <v>2008</v>
      </c>
      <c r="C4" s="3">
        <v>2009</v>
      </c>
      <c r="D4" s="3">
        <v>2010</v>
      </c>
      <c r="E4" s="3">
        <v>2011</v>
      </c>
      <c r="F4" s="3">
        <v>2012</v>
      </c>
      <c r="G4" s="26">
        <v>2013</v>
      </c>
      <c r="H4" s="26">
        <v>2014</v>
      </c>
      <c r="I4" s="3">
        <v>2015</v>
      </c>
      <c r="J4" s="3">
        <v>2016</v>
      </c>
      <c r="K4" s="3" t="s">
        <v>102</v>
      </c>
      <c r="L4" s="3" t="s">
        <v>103</v>
      </c>
      <c r="M4" s="3" t="s">
        <v>104</v>
      </c>
      <c r="N4" s="3" t="s">
        <v>105</v>
      </c>
    </row>
    <row r="5" spans="1:14">
      <c r="A5" s="4" t="s">
        <v>864</v>
      </c>
      <c r="B5" s="126">
        <v>25.37</v>
      </c>
      <c r="C5" s="126">
        <v>20.704000000000001</v>
      </c>
      <c r="D5" s="126">
        <v>22.123999999999999</v>
      </c>
      <c r="E5" s="126">
        <v>22.065999999999999</v>
      </c>
      <c r="F5" s="154">
        <v>23.783999999999999</v>
      </c>
      <c r="G5" s="127">
        <v>26.465</v>
      </c>
      <c r="H5" s="127">
        <v>29.097999999999999</v>
      </c>
      <c r="I5" s="129">
        <v>30.178000000000001</v>
      </c>
      <c r="J5" s="174"/>
      <c r="K5" s="4" t="s">
        <v>865</v>
      </c>
      <c r="L5" s="53" t="s">
        <v>743</v>
      </c>
      <c r="M5" s="4" t="s">
        <v>744</v>
      </c>
      <c r="N5" s="13" t="s">
        <v>745</v>
      </c>
    </row>
    <row r="6" spans="1:14">
      <c r="A6" s="4" t="s">
        <v>866</v>
      </c>
      <c r="B6" s="155">
        <v>0.2</v>
      </c>
      <c r="C6" s="155">
        <v>0.1</v>
      </c>
      <c r="D6" s="155">
        <v>0.1</v>
      </c>
      <c r="E6" s="155">
        <v>0.1</v>
      </c>
      <c r="F6" s="156">
        <v>0.1</v>
      </c>
      <c r="G6" s="162">
        <v>0.2</v>
      </c>
      <c r="H6" s="162">
        <v>0.2</v>
      </c>
      <c r="I6" s="163">
        <v>0.2</v>
      </c>
      <c r="J6" s="174"/>
      <c r="K6" s="4" t="s">
        <v>742</v>
      </c>
      <c r="L6" s="53" t="s">
        <v>743</v>
      </c>
      <c r="M6" s="4" t="s">
        <v>744</v>
      </c>
      <c r="N6" s="13" t="s">
        <v>745</v>
      </c>
    </row>
    <row r="7" spans="1:14">
      <c r="A7" s="4" t="s">
        <v>867</v>
      </c>
      <c r="B7" s="126">
        <v>87498</v>
      </c>
      <c r="C7" s="126">
        <v>64388</v>
      </c>
      <c r="D7" s="126">
        <v>70323</v>
      </c>
      <c r="E7" s="126">
        <v>71043</v>
      </c>
      <c r="F7" s="154">
        <v>76493</v>
      </c>
      <c r="G7" s="229"/>
      <c r="H7" s="229"/>
      <c r="I7" s="230"/>
      <c r="J7" s="174"/>
      <c r="K7" s="4" t="s">
        <v>742</v>
      </c>
      <c r="L7" s="53" t="s">
        <v>743</v>
      </c>
      <c r="M7" s="4"/>
      <c r="N7" s="4"/>
    </row>
    <row r="8" spans="1:14">
      <c r="A8" s="4" t="s">
        <v>868</v>
      </c>
      <c r="B8" s="126">
        <v>21235</v>
      </c>
      <c r="C8" s="126">
        <v>16317</v>
      </c>
      <c r="D8" s="126">
        <v>15882</v>
      </c>
      <c r="E8" s="126">
        <v>16268</v>
      </c>
      <c r="F8" s="126">
        <v>16875</v>
      </c>
      <c r="G8" s="127">
        <v>17700</v>
      </c>
      <c r="H8" s="127">
        <v>19391</v>
      </c>
      <c r="I8" s="124">
        <v>20429</v>
      </c>
      <c r="J8" s="174"/>
      <c r="K8" s="4" t="s">
        <v>742</v>
      </c>
      <c r="L8" s="53" t="s">
        <v>743</v>
      </c>
      <c r="M8" s="4" t="s">
        <v>744</v>
      </c>
      <c r="N8" s="13" t="s">
        <v>745</v>
      </c>
    </row>
    <row r="9" spans="1:14">
      <c r="A9" s="15" t="s">
        <v>869</v>
      </c>
      <c r="B9" s="157">
        <v>734</v>
      </c>
      <c r="C9" s="157">
        <v>727</v>
      </c>
      <c r="D9" s="157">
        <v>705</v>
      </c>
      <c r="E9" s="157">
        <v>685</v>
      </c>
      <c r="F9" s="157">
        <v>695</v>
      </c>
      <c r="G9" s="128">
        <v>686</v>
      </c>
      <c r="H9" s="128">
        <v>696</v>
      </c>
      <c r="I9" s="125">
        <v>711</v>
      </c>
      <c r="J9" s="213"/>
      <c r="K9" s="4" t="s">
        <v>742</v>
      </c>
      <c r="L9" s="53" t="s">
        <v>743</v>
      </c>
      <c r="M9" s="4" t="s">
        <v>744</v>
      </c>
      <c r="N9" s="13" t="s">
        <v>745</v>
      </c>
    </row>
    <row r="10" spans="1:14" s="4" customFormat="1">
      <c r="A10" s="4" t="s">
        <v>870</v>
      </c>
      <c r="B10" s="126">
        <v>3401</v>
      </c>
      <c r="C10" s="126">
        <v>3660</v>
      </c>
      <c r="D10" s="126">
        <v>5537</v>
      </c>
      <c r="E10" s="126">
        <v>5113</v>
      </c>
      <c r="F10" s="126">
        <v>6214</v>
      </c>
      <c r="G10" s="199">
        <v>8080</v>
      </c>
      <c r="H10" s="199">
        <v>9011</v>
      </c>
      <c r="I10" s="126">
        <v>9038</v>
      </c>
      <c r="J10" s="174"/>
      <c r="K10" s="4" t="s">
        <v>742</v>
      </c>
      <c r="L10" s="53" t="s">
        <v>743</v>
      </c>
      <c r="M10" s="4" t="s">
        <v>744</v>
      </c>
      <c r="N10" s="13" t="s">
        <v>745</v>
      </c>
    </row>
    <row r="11" spans="1:14" s="4" customFormat="1">
      <c r="A11" s="4" t="s">
        <v>871</v>
      </c>
      <c r="B11" s="126">
        <v>457</v>
      </c>
      <c r="C11" s="126">
        <v>362</v>
      </c>
      <c r="D11" s="126">
        <v>342</v>
      </c>
      <c r="E11" s="126">
        <v>338</v>
      </c>
      <c r="F11" s="126">
        <v>341</v>
      </c>
      <c r="G11" s="227"/>
      <c r="H11" s="227"/>
      <c r="I11" s="228"/>
      <c r="J11" s="174"/>
      <c r="K11" s="4" t="s">
        <v>742</v>
      </c>
      <c r="L11" s="53" t="s">
        <v>743</v>
      </c>
    </row>
    <row r="12" spans="1:14">
      <c r="A12" s="6"/>
      <c r="B12" s="6"/>
      <c r="C12" s="6"/>
      <c r="D12" s="6"/>
      <c r="E12" s="6"/>
      <c r="F12" s="6"/>
      <c r="G12" s="22"/>
      <c r="H12" s="22"/>
      <c r="I12" s="6"/>
      <c r="J12" s="6"/>
      <c r="K12" s="6"/>
      <c r="L12" s="6"/>
      <c r="M12" s="6"/>
      <c r="N12" s="6"/>
    </row>
    <row r="13" spans="1:14">
      <c r="A13" s="3" t="s">
        <v>872</v>
      </c>
      <c r="B13" s="3">
        <v>2008</v>
      </c>
      <c r="C13" s="3">
        <v>2009</v>
      </c>
      <c r="D13" s="3">
        <v>2010</v>
      </c>
      <c r="E13" s="3">
        <v>2011</v>
      </c>
      <c r="F13" s="3">
        <v>2012</v>
      </c>
      <c r="G13" s="20">
        <v>2013</v>
      </c>
      <c r="H13" s="20">
        <v>2014</v>
      </c>
      <c r="I13" s="3">
        <v>2015</v>
      </c>
      <c r="J13" s="3">
        <v>2016</v>
      </c>
      <c r="K13" s="3" t="s">
        <v>102</v>
      </c>
      <c r="L13" s="3" t="s">
        <v>103</v>
      </c>
      <c r="M13" s="3" t="s">
        <v>104</v>
      </c>
      <c r="N13" s="3" t="s">
        <v>105</v>
      </c>
    </row>
    <row r="14" spans="1:14">
      <c r="A14" s="4" t="s">
        <v>873</v>
      </c>
      <c r="B14" s="126">
        <v>51.091999999999999</v>
      </c>
      <c r="C14" s="126">
        <v>58.515000000000001</v>
      </c>
      <c r="D14" s="126">
        <v>55.161000000000001</v>
      </c>
      <c r="E14" s="126">
        <v>53.305</v>
      </c>
      <c r="F14" s="126">
        <v>53.427999999999997</v>
      </c>
      <c r="G14" s="130">
        <v>55.744</v>
      </c>
      <c r="H14" s="130">
        <v>56.609000000000002</v>
      </c>
      <c r="I14" s="124">
        <v>59.57</v>
      </c>
      <c r="J14" s="55"/>
      <c r="K14" s="4" t="s">
        <v>742</v>
      </c>
      <c r="L14" s="53" t="s">
        <v>743</v>
      </c>
      <c r="M14" s="4" t="s">
        <v>744</v>
      </c>
      <c r="N14" s="13" t="s">
        <v>745</v>
      </c>
    </row>
    <row r="15" spans="1:14">
      <c r="A15" s="4" t="s">
        <v>874</v>
      </c>
      <c r="B15" s="155">
        <v>0.3</v>
      </c>
      <c r="C15" s="155">
        <v>0.4</v>
      </c>
      <c r="D15" s="155">
        <v>0.4</v>
      </c>
      <c r="E15" s="155">
        <v>0.3</v>
      </c>
      <c r="F15" s="155">
        <v>0.3</v>
      </c>
      <c r="G15" s="226">
        <v>0.3</v>
      </c>
      <c r="H15" s="197">
        <v>0.3</v>
      </c>
      <c r="I15" s="198">
        <v>0.3</v>
      </c>
      <c r="J15" s="55"/>
      <c r="K15" s="4" t="s">
        <v>742</v>
      </c>
      <c r="L15" s="53" t="s">
        <v>743</v>
      </c>
      <c r="M15" s="4" t="s">
        <v>744</v>
      </c>
      <c r="N15" s="13" t="s">
        <v>745</v>
      </c>
    </row>
    <row r="16" spans="1:14">
      <c r="A16" s="4" t="s">
        <v>875</v>
      </c>
      <c r="B16" s="126">
        <v>177052</v>
      </c>
      <c r="C16" s="126">
        <v>160006</v>
      </c>
      <c r="D16" s="126">
        <v>168729</v>
      </c>
      <c r="E16" s="126">
        <v>174515</v>
      </c>
      <c r="F16" s="126">
        <v>172787</v>
      </c>
      <c r="G16" s="227"/>
      <c r="H16" s="227"/>
      <c r="I16" s="228"/>
      <c r="J16" s="55"/>
      <c r="K16" s="4" t="s">
        <v>742</v>
      </c>
      <c r="L16" s="53" t="s">
        <v>743</v>
      </c>
      <c r="M16" s="4"/>
      <c r="N16" s="4"/>
    </row>
    <row r="17" spans="1:14">
      <c r="A17" s="15" t="s">
        <v>876</v>
      </c>
      <c r="B17" s="157">
        <v>31216</v>
      </c>
      <c r="C17" s="157">
        <v>28472</v>
      </c>
      <c r="D17" s="157">
        <v>28801</v>
      </c>
      <c r="E17" s="157">
        <v>29343</v>
      </c>
      <c r="F17" s="157">
        <v>29485</v>
      </c>
      <c r="G17" s="147">
        <v>29298</v>
      </c>
      <c r="H17" s="147">
        <v>29830</v>
      </c>
      <c r="I17" s="18">
        <v>30362</v>
      </c>
      <c r="J17" s="57"/>
      <c r="K17" s="4" t="s">
        <v>742</v>
      </c>
      <c r="L17" s="53" t="s">
        <v>743</v>
      </c>
      <c r="M17" s="4" t="s">
        <v>744</v>
      </c>
      <c r="N17" s="13" t="s">
        <v>745</v>
      </c>
    </row>
    <row r="18" spans="1:14" s="4" customFormat="1">
      <c r="A18" s="4" t="s">
        <v>877</v>
      </c>
      <c r="B18" s="126">
        <v>1843</v>
      </c>
      <c r="C18" s="126">
        <v>1892</v>
      </c>
      <c r="D18" s="126">
        <v>1835</v>
      </c>
      <c r="E18" s="126">
        <v>1791</v>
      </c>
      <c r="F18" s="126">
        <v>1814</v>
      </c>
      <c r="G18" s="123">
        <v>1753</v>
      </c>
      <c r="H18" s="42">
        <v>1749</v>
      </c>
      <c r="I18" s="39">
        <v>1779</v>
      </c>
      <c r="J18" s="169"/>
      <c r="K18" s="4" t="s">
        <v>742</v>
      </c>
      <c r="L18" s="53" t="s">
        <v>743</v>
      </c>
      <c r="M18" s="4" t="s">
        <v>744</v>
      </c>
      <c r="N18" s="13" t="s">
        <v>745</v>
      </c>
    </row>
    <row r="19" spans="1:14" s="4" customFormat="1">
      <c r="A19" s="4" t="s">
        <v>878</v>
      </c>
      <c r="B19" s="126">
        <v>18033</v>
      </c>
      <c r="C19" s="126">
        <v>28151</v>
      </c>
      <c r="D19" s="126">
        <v>24525</v>
      </c>
      <c r="E19" s="126">
        <v>22171</v>
      </c>
      <c r="F19" s="126">
        <v>22129</v>
      </c>
      <c r="G19" s="4">
        <v>24693</v>
      </c>
      <c r="H19" s="4">
        <v>25030</v>
      </c>
      <c r="I19" s="4">
        <v>27429</v>
      </c>
      <c r="J19" s="55"/>
      <c r="K19" s="4" t="s">
        <v>742</v>
      </c>
      <c r="L19" s="53" t="s">
        <v>743</v>
      </c>
      <c r="M19" s="4" t="s">
        <v>744</v>
      </c>
      <c r="N19" s="13" t="s">
        <v>745</v>
      </c>
    </row>
    <row r="20" spans="1:14" s="4" customFormat="1">
      <c r="A20" s="4" t="s">
        <v>751</v>
      </c>
      <c r="B20" s="126">
        <v>442</v>
      </c>
      <c r="C20" s="126">
        <v>406</v>
      </c>
      <c r="D20" s="126">
        <v>394</v>
      </c>
      <c r="E20" s="126">
        <v>388</v>
      </c>
      <c r="F20" s="126">
        <v>380</v>
      </c>
      <c r="G20" s="55"/>
      <c r="H20" s="55"/>
      <c r="I20" s="55"/>
      <c r="J20" s="55"/>
      <c r="K20" s="4" t="s">
        <v>742</v>
      </c>
      <c r="L20" s="53" t="s">
        <v>743</v>
      </c>
    </row>
  </sheetData>
  <mergeCells count="1">
    <mergeCell ref="A1:A2"/>
  </mergeCells>
  <hyperlinks>
    <hyperlink ref="L5" r:id="rId1" xr:uid="{00000000-0004-0000-1400-000000000000}"/>
    <hyperlink ref="L14" r:id="rId2" xr:uid="{00000000-0004-0000-1400-000001000000}"/>
    <hyperlink ref="L6" r:id="rId3" xr:uid="{00000000-0004-0000-1400-000002000000}"/>
    <hyperlink ref="L7" r:id="rId4" xr:uid="{00000000-0004-0000-1400-000003000000}"/>
    <hyperlink ref="L15" r:id="rId5" xr:uid="{00000000-0004-0000-1400-000004000000}"/>
    <hyperlink ref="L9" r:id="rId6" xr:uid="{00000000-0004-0000-1400-000005000000}"/>
    <hyperlink ref="L16" r:id="rId7" xr:uid="{00000000-0004-0000-1400-000006000000}"/>
    <hyperlink ref="L8" r:id="rId8" xr:uid="{00000000-0004-0000-1400-000007000000}"/>
    <hyperlink ref="L17" r:id="rId9" xr:uid="{00000000-0004-0000-1400-000008000000}"/>
    <hyperlink ref="L20" r:id="rId10" xr:uid="{00000000-0004-0000-1400-000009000000}"/>
    <hyperlink ref="L18" r:id="rId11" xr:uid="{00000000-0004-0000-1400-00000A000000}"/>
    <hyperlink ref="L19" r:id="rId12" xr:uid="{00000000-0004-0000-1400-00000B000000}"/>
    <hyperlink ref="L11" r:id="rId13" xr:uid="{00000000-0004-0000-1400-00000C000000}"/>
    <hyperlink ref="L10" r:id="rId14" xr:uid="{00000000-0004-0000-1400-00000D000000}"/>
    <hyperlink ref="N5" r:id="rId15" xr:uid="{00000000-0004-0000-1400-00000E000000}"/>
    <hyperlink ref="N6" r:id="rId16" xr:uid="{00000000-0004-0000-1400-00000F000000}"/>
    <hyperlink ref="N8" r:id="rId17" xr:uid="{00000000-0004-0000-1400-000010000000}"/>
    <hyperlink ref="N9" r:id="rId18" xr:uid="{00000000-0004-0000-1400-000011000000}"/>
    <hyperlink ref="N10" r:id="rId19" xr:uid="{00000000-0004-0000-1400-000012000000}"/>
    <hyperlink ref="N14" r:id="rId20" xr:uid="{00000000-0004-0000-1400-000013000000}"/>
    <hyperlink ref="N15" r:id="rId21" xr:uid="{00000000-0004-0000-1400-000014000000}"/>
    <hyperlink ref="N17" r:id="rId22" xr:uid="{00000000-0004-0000-1400-000015000000}"/>
    <hyperlink ref="N18" r:id="rId23" xr:uid="{00000000-0004-0000-1400-000016000000}"/>
    <hyperlink ref="N19" r:id="rId24" xr:uid="{00000000-0004-0000-1400-000017000000}"/>
  </hyperlinks>
  <pageMargins left="0.7" right="0.7" top="0.75" bottom="0.75" header="0.3" footer="0.3"/>
  <drawing r:id="rId2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N34"/>
  <sheetViews>
    <sheetView workbookViewId="0">
      <selection activeCell="A29" sqref="A29"/>
    </sheetView>
  </sheetViews>
  <sheetFormatPr defaultColWidth="8.85546875" defaultRowHeight="15"/>
  <cols>
    <col min="1" max="1" width="89" customWidth="1"/>
    <col min="2" max="6" width="11.140625" bestFit="1" customWidth="1"/>
    <col min="7" max="9" width="10.140625" bestFit="1" customWidth="1"/>
    <col min="11" max="11" width="26.85546875" customWidth="1"/>
    <col min="12" max="12" width="11.85546875" customWidth="1"/>
    <col min="13" max="13" width="22.28515625" customWidth="1"/>
    <col min="14" max="14" width="69.85546875" bestFit="1" customWidth="1"/>
  </cols>
  <sheetData>
    <row r="1" spans="1:14">
      <c r="A1" s="470" t="s">
        <v>879</v>
      </c>
      <c r="G1" s="21"/>
      <c r="H1" s="21"/>
    </row>
    <row r="2" spans="1:14">
      <c r="A2" s="471"/>
      <c r="G2" s="21"/>
      <c r="H2" s="21"/>
    </row>
    <row r="3" spans="1:14">
      <c r="A3" s="6"/>
      <c r="B3" s="6"/>
      <c r="C3" s="6"/>
      <c r="D3" s="6"/>
      <c r="E3" s="6"/>
      <c r="F3" s="6"/>
      <c r="G3" s="22"/>
      <c r="H3" s="22"/>
      <c r="I3" s="6"/>
      <c r="J3" s="6"/>
      <c r="K3" s="6"/>
      <c r="L3" s="6"/>
      <c r="M3" s="6"/>
      <c r="N3" s="6"/>
    </row>
    <row r="4" spans="1:14">
      <c r="A4" s="3" t="s">
        <v>880</v>
      </c>
      <c r="B4" s="3">
        <v>2008</v>
      </c>
      <c r="C4" s="3">
        <v>2009</v>
      </c>
      <c r="D4" s="3">
        <v>2010</v>
      </c>
      <c r="E4" s="3">
        <v>2011</v>
      </c>
      <c r="F4" s="3">
        <v>2012</v>
      </c>
      <c r="G4" s="20">
        <v>2013</v>
      </c>
      <c r="H4" s="20">
        <v>2014</v>
      </c>
      <c r="I4" s="3">
        <v>2015</v>
      </c>
      <c r="J4" s="3">
        <v>2016</v>
      </c>
      <c r="K4" s="3" t="s">
        <v>102</v>
      </c>
      <c r="L4" s="3" t="s">
        <v>103</v>
      </c>
      <c r="M4" s="3" t="s">
        <v>104</v>
      </c>
      <c r="N4" s="3" t="s">
        <v>105</v>
      </c>
    </row>
    <row r="5" spans="1:14">
      <c r="A5" s="4" t="s">
        <v>881</v>
      </c>
      <c r="B5" s="139">
        <v>17.850000000000001</v>
      </c>
      <c r="C5" s="139">
        <v>15.167</v>
      </c>
      <c r="D5" s="139">
        <v>15.648999999999999</v>
      </c>
      <c r="E5" s="139">
        <v>15.662000000000001</v>
      </c>
      <c r="F5" s="139">
        <v>16.234000000000002</v>
      </c>
      <c r="G5" s="126">
        <v>16.646000000000001</v>
      </c>
      <c r="H5" s="126">
        <v>17.96</v>
      </c>
      <c r="I5" s="126">
        <v>18.146999999999998</v>
      </c>
      <c r="J5" s="55"/>
      <c r="K5" s="4" t="s">
        <v>742</v>
      </c>
      <c r="L5" s="53" t="s">
        <v>743</v>
      </c>
      <c r="M5" s="4" t="s">
        <v>744</v>
      </c>
      <c r="N5" s="13" t="s">
        <v>745</v>
      </c>
    </row>
    <row r="6" spans="1:14">
      <c r="A6" s="4" t="s">
        <v>882</v>
      </c>
      <c r="B6" s="158">
        <v>0.1</v>
      </c>
      <c r="C6" s="158">
        <v>0.1</v>
      </c>
      <c r="D6" s="158">
        <v>0.1</v>
      </c>
      <c r="E6" s="158">
        <v>0.1</v>
      </c>
      <c r="F6" s="158">
        <v>0.1</v>
      </c>
      <c r="G6" s="197">
        <v>0.1</v>
      </c>
      <c r="H6" s="197">
        <v>0.1</v>
      </c>
      <c r="I6" s="198">
        <v>0.1</v>
      </c>
      <c r="J6" s="55"/>
      <c r="K6" s="4" t="s">
        <v>742</v>
      </c>
      <c r="L6" s="53" t="s">
        <v>743</v>
      </c>
      <c r="M6" s="4" t="s">
        <v>744</v>
      </c>
      <c r="N6" s="13" t="s">
        <v>745</v>
      </c>
    </row>
    <row r="7" spans="1:14" ht="15.75" customHeight="1">
      <c r="A7" s="15" t="s">
        <v>883</v>
      </c>
      <c r="B7" s="146">
        <v>57219</v>
      </c>
      <c r="C7" s="146">
        <v>45970</v>
      </c>
      <c r="D7" s="146">
        <v>49681</v>
      </c>
      <c r="E7" s="146">
        <v>52458</v>
      </c>
      <c r="F7" s="146">
        <v>52776</v>
      </c>
      <c r="G7" s="232"/>
      <c r="H7" s="233"/>
      <c r="I7" s="234"/>
      <c r="J7" s="57"/>
      <c r="K7" s="15" t="s">
        <v>742</v>
      </c>
      <c r="L7" s="121" t="s">
        <v>743</v>
      </c>
      <c r="M7" s="15"/>
      <c r="N7" s="15"/>
    </row>
    <row r="8" spans="1:14" s="4" customFormat="1">
      <c r="A8" s="4" t="s">
        <v>884</v>
      </c>
      <c r="B8" s="139">
        <v>161</v>
      </c>
      <c r="C8" s="139">
        <v>134.6</v>
      </c>
      <c r="D8" s="139">
        <v>150.80000000000001</v>
      </c>
      <c r="E8" s="139"/>
      <c r="F8" s="212"/>
      <c r="G8" s="224"/>
      <c r="H8" s="224"/>
      <c r="I8" s="55"/>
      <c r="J8" s="55"/>
      <c r="K8" s="4" t="s">
        <v>885</v>
      </c>
      <c r="L8" s="13"/>
      <c r="M8" s="4" t="s">
        <v>744</v>
      </c>
      <c r="N8" s="13" t="s">
        <v>745</v>
      </c>
    </row>
    <row r="9" spans="1:14">
      <c r="A9" s="4" t="s">
        <v>886</v>
      </c>
      <c r="B9" s="126">
        <v>13476</v>
      </c>
      <c r="C9" s="126">
        <v>10879</v>
      </c>
      <c r="D9" s="126">
        <v>11004</v>
      </c>
      <c r="E9" s="126">
        <v>11144</v>
      </c>
      <c r="F9" s="126">
        <v>11340</v>
      </c>
      <c r="G9" s="199">
        <v>16646</v>
      </c>
      <c r="H9" s="199">
        <v>17960</v>
      </c>
      <c r="I9" s="126">
        <v>18147</v>
      </c>
      <c r="J9" s="55"/>
      <c r="K9" s="4" t="s">
        <v>742</v>
      </c>
      <c r="L9" s="53" t="s">
        <v>743</v>
      </c>
      <c r="M9" s="4" t="s">
        <v>744</v>
      </c>
      <c r="N9" s="13" t="s">
        <v>745</v>
      </c>
    </row>
    <row r="10" spans="1:14">
      <c r="A10" s="15" t="s">
        <v>887</v>
      </c>
      <c r="B10" s="157">
        <v>702</v>
      </c>
      <c r="C10" s="157">
        <v>721</v>
      </c>
      <c r="D10" s="157">
        <v>683</v>
      </c>
      <c r="E10" s="157">
        <v>651</v>
      </c>
      <c r="F10" s="157">
        <v>659</v>
      </c>
      <c r="G10" s="128">
        <v>613</v>
      </c>
      <c r="H10" s="24">
        <v>606</v>
      </c>
      <c r="I10" s="15">
        <v>612</v>
      </c>
      <c r="J10" s="57"/>
      <c r="K10" s="4" t="s">
        <v>742</v>
      </c>
      <c r="L10" s="53" t="s">
        <v>743</v>
      </c>
      <c r="M10" s="4" t="s">
        <v>744</v>
      </c>
      <c r="N10" s="13" t="s">
        <v>745</v>
      </c>
    </row>
    <row r="11" spans="1:14" s="4" customFormat="1">
      <c r="A11" s="4" t="s">
        <v>888</v>
      </c>
      <c r="B11" s="126">
        <v>3672</v>
      </c>
      <c r="C11" s="126">
        <v>3567</v>
      </c>
      <c r="D11" s="126">
        <v>3962</v>
      </c>
      <c r="E11" s="126">
        <v>3867</v>
      </c>
      <c r="F11" s="126">
        <v>4235</v>
      </c>
      <c r="G11" s="127">
        <v>4540</v>
      </c>
      <c r="H11" s="42">
        <v>5337</v>
      </c>
      <c r="I11" s="4">
        <v>5459</v>
      </c>
      <c r="J11" s="55"/>
      <c r="K11" s="4" t="s">
        <v>742</v>
      </c>
      <c r="L11" s="53" t="s">
        <v>743</v>
      </c>
    </row>
    <row r="12" spans="1:14" s="15" customFormat="1">
      <c r="A12" s="15" t="s">
        <v>751</v>
      </c>
      <c r="B12" s="157">
        <v>304</v>
      </c>
      <c r="C12" s="157">
        <v>252</v>
      </c>
      <c r="D12" s="157">
        <v>240</v>
      </c>
      <c r="E12" s="157">
        <v>240</v>
      </c>
      <c r="F12" s="157">
        <v>235</v>
      </c>
      <c r="G12" s="234"/>
      <c r="H12" s="57"/>
      <c r="I12" s="57"/>
      <c r="J12" s="57"/>
      <c r="K12" s="15" t="s">
        <v>742</v>
      </c>
      <c r="L12" s="121" t="s">
        <v>743</v>
      </c>
    </row>
    <row r="13" spans="1:14" s="4" customFormat="1">
      <c r="A13" s="4" t="s">
        <v>889</v>
      </c>
      <c r="B13" s="160">
        <v>126.3</v>
      </c>
      <c r="C13" s="160">
        <v>124.19</v>
      </c>
      <c r="D13" s="160">
        <v>102.43</v>
      </c>
      <c r="E13" s="160">
        <v>109.14</v>
      </c>
      <c r="F13" s="160">
        <v>122.62</v>
      </c>
      <c r="G13" s="161">
        <v>97.43</v>
      </c>
      <c r="H13" s="161">
        <v>95.95</v>
      </c>
      <c r="I13" s="161">
        <v>114.79</v>
      </c>
      <c r="J13" s="231"/>
      <c r="K13" s="4" t="s">
        <v>890</v>
      </c>
      <c r="L13" s="13"/>
    </row>
    <row r="14" spans="1:14">
      <c r="A14" s="6"/>
      <c r="B14" s="6"/>
      <c r="C14" s="6"/>
      <c r="D14" s="6"/>
      <c r="E14" s="6"/>
      <c r="F14" s="6"/>
      <c r="G14" s="22"/>
      <c r="H14" s="22"/>
      <c r="I14" s="6"/>
      <c r="J14" s="6"/>
      <c r="K14" s="6"/>
      <c r="L14" s="6"/>
      <c r="M14" s="6"/>
      <c r="N14" s="6"/>
    </row>
    <row r="15" spans="1:14">
      <c r="A15" s="3" t="s">
        <v>891</v>
      </c>
      <c r="B15" s="3">
        <v>2008</v>
      </c>
      <c r="C15" s="3">
        <v>2009</v>
      </c>
      <c r="D15" s="3">
        <v>2010</v>
      </c>
      <c r="E15" s="3">
        <v>2011</v>
      </c>
      <c r="F15" s="3">
        <v>2012</v>
      </c>
      <c r="G15" s="20">
        <v>2013</v>
      </c>
      <c r="H15" s="20">
        <v>2014</v>
      </c>
      <c r="I15" s="3">
        <v>2015</v>
      </c>
      <c r="J15" s="3">
        <v>2016</v>
      </c>
      <c r="K15" s="3" t="s">
        <v>102</v>
      </c>
      <c r="L15" s="3" t="s">
        <v>103</v>
      </c>
      <c r="M15" s="3" t="s">
        <v>104</v>
      </c>
      <c r="N15" s="3" t="s">
        <v>105</v>
      </c>
    </row>
    <row r="16" spans="1:14">
      <c r="A16" s="4" t="s">
        <v>892</v>
      </c>
      <c r="B16" s="139">
        <v>11.587</v>
      </c>
      <c r="C16" s="139">
        <v>9.9250000000000007</v>
      </c>
      <c r="D16" s="139">
        <v>10.715999999999999</v>
      </c>
      <c r="E16" s="139">
        <v>10.433999999999999</v>
      </c>
      <c r="F16" s="139">
        <v>10.587</v>
      </c>
      <c r="G16" s="12">
        <v>10.417999999999999</v>
      </c>
      <c r="H16" s="12">
        <v>10.112</v>
      </c>
      <c r="I16" s="124">
        <v>10.032</v>
      </c>
      <c r="J16" s="55"/>
      <c r="K16" s="4" t="s">
        <v>742</v>
      </c>
      <c r="L16" s="53" t="s">
        <v>743</v>
      </c>
      <c r="M16" s="4" t="s">
        <v>744</v>
      </c>
      <c r="N16" s="13" t="s">
        <v>745</v>
      </c>
    </row>
    <row r="17" spans="1:14">
      <c r="A17" s="4" t="s">
        <v>893</v>
      </c>
      <c r="B17" s="143">
        <v>0.1</v>
      </c>
      <c r="C17" s="143">
        <v>0.1</v>
      </c>
      <c r="D17" s="143">
        <v>0.1</v>
      </c>
      <c r="E17" s="143">
        <v>0.1</v>
      </c>
      <c r="F17" s="143">
        <v>0.1</v>
      </c>
      <c r="G17" s="42">
        <v>0.1</v>
      </c>
      <c r="H17" s="42">
        <v>0.1</v>
      </c>
      <c r="I17" s="4">
        <v>0.1</v>
      </c>
      <c r="J17" s="55"/>
      <c r="K17" s="4" t="s">
        <v>742</v>
      </c>
      <c r="L17" s="53" t="s">
        <v>743</v>
      </c>
      <c r="M17" s="4" t="s">
        <v>744</v>
      </c>
      <c r="N17" s="13" t="s">
        <v>745</v>
      </c>
    </row>
    <row r="18" spans="1:14">
      <c r="A18" s="4" t="s">
        <v>894</v>
      </c>
      <c r="B18" s="139">
        <v>21519</v>
      </c>
      <c r="C18" s="139">
        <v>17718</v>
      </c>
      <c r="D18" s="139">
        <v>18600</v>
      </c>
      <c r="E18" s="139">
        <v>19925</v>
      </c>
      <c r="F18" s="139">
        <v>20196</v>
      </c>
      <c r="G18" s="224"/>
      <c r="H18" s="224"/>
      <c r="I18" s="55"/>
      <c r="J18" s="55"/>
      <c r="K18" s="4" t="s">
        <v>742</v>
      </c>
      <c r="L18" s="53" t="s">
        <v>743</v>
      </c>
      <c r="M18" s="4"/>
      <c r="N18" s="4"/>
    </row>
    <row r="19" spans="1:14">
      <c r="A19" s="19" t="s">
        <v>895</v>
      </c>
      <c r="B19" s="152">
        <v>10451</v>
      </c>
      <c r="C19" s="152">
        <v>8585</v>
      </c>
      <c r="D19" s="152">
        <v>8584</v>
      </c>
      <c r="E19" s="152">
        <v>8329</v>
      </c>
      <c r="F19" s="152">
        <v>8371</v>
      </c>
      <c r="G19" s="130">
        <v>8190</v>
      </c>
      <c r="H19" s="200">
        <v>8345</v>
      </c>
      <c r="I19" s="201">
        <v>8197</v>
      </c>
      <c r="J19" s="195"/>
      <c r="K19" s="19" t="s">
        <v>742</v>
      </c>
      <c r="L19" s="131" t="s">
        <v>743</v>
      </c>
      <c r="M19" s="4" t="s">
        <v>744</v>
      </c>
      <c r="N19" s="13" t="s">
        <v>745</v>
      </c>
    </row>
    <row r="20" spans="1:14">
      <c r="A20" s="15" t="s">
        <v>896</v>
      </c>
      <c r="B20" s="157">
        <v>313</v>
      </c>
      <c r="C20" s="157">
        <v>319</v>
      </c>
      <c r="D20" s="157">
        <v>303</v>
      </c>
      <c r="E20" s="157">
        <v>293</v>
      </c>
      <c r="F20" s="157">
        <v>297</v>
      </c>
      <c r="G20" s="128">
        <v>280</v>
      </c>
      <c r="H20" s="24">
        <v>268</v>
      </c>
      <c r="I20" s="15">
        <v>274</v>
      </c>
      <c r="J20" s="57"/>
      <c r="K20" s="15" t="s">
        <v>742</v>
      </c>
      <c r="L20" s="121" t="s">
        <v>743</v>
      </c>
      <c r="M20" s="4" t="s">
        <v>744</v>
      </c>
      <c r="N20" s="13" t="s">
        <v>745</v>
      </c>
    </row>
    <row r="21" spans="1:14" s="4" customFormat="1">
      <c r="A21" s="4" t="s">
        <v>897</v>
      </c>
      <c r="B21" s="126">
        <v>823</v>
      </c>
      <c r="C21" s="126">
        <v>1021</v>
      </c>
      <c r="D21" s="126">
        <v>1829</v>
      </c>
      <c r="E21" s="126">
        <v>1812</v>
      </c>
      <c r="F21" s="126">
        <v>1919</v>
      </c>
      <c r="G21" s="127">
        <v>1948</v>
      </c>
      <c r="H21" s="42">
        <v>1499</v>
      </c>
      <c r="I21" s="4">
        <v>1561</v>
      </c>
      <c r="J21" s="55"/>
      <c r="K21" s="4" t="s">
        <v>742</v>
      </c>
      <c r="L21" s="13" t="s">
        <v>743</v>
      </c>
      <c r="M21" s="4" t="s">
        <v>744</v>
      </c>
      <c r="N21" s="13" t="s">
        <v>745</v>
      </c>
    </row>
    <row r="22" spans="1:14" s="4" customFormat="1">
      <c r="A22" s="4" t="s">
        <v>898</v>
      </c>
      <c r="B22" s="126">
        <v>233</v>
      </c>
      <c r="C22" s="126">
        <v>198</v>
      </c>
      <c r="D22" s="126">
        <v>187</v>
      </c>
      <c r="E22" s="126">
        <v>182</v>
      </c>
      <c r="F22" s="126">
        <v>179</v>
      </c>
      <c r="G22" s="227"/>
      <c r="H22" s="224"/>
      <c r="I22" s="55"/>
      <c r="J22" s="55"/>
      <c r="K22" s="4" t="s">
        <v>742</v>
      </c>
      <c r="L22" s="13" t="s">
        <v>743</v>
      </c>
    </row>
    <row r="24" spans="1:14">
      <c r="M24" s="136" t="s">
        <v>899</v>
      </c>
      <c r="N24" s="136" t="s">
        <v>900</v>
      </c>
    </row>
    <row r="25" spans="1:14" ht="30">
      <c r="M25" s="66" t="s">
        <v>901</v>
      </c>
      <c r="N25" s="135" t="s">
        <v>902</v>
      </c>
    </row>
    <row r="26" spans="1:14">
      <c r="M26" s="66" t="s">
        <v>903</v>
      </c>
      <c r="N26" s="135" t="s">
        <v>904</v>
      </c>
    </row>
    <row r="27" spans="1:14">
      <c r="M27" s="66" t="s">
        <v>373</v>
      </c>
      <c r="N27" s="135" t="s">
        <v>905</v>
      </c>
    </row>
    <row r="28" spans="1:14">
      <c r="M28" s="66" t="s">
        <v>906</v>
      </c>
      <c r="N28" s="135" t="s">
        <v>907</v>
      </c>
    </row>
    <row r="29" spans="1:14" ht="48.75" customHeight="1">
      <c r="M29" s="66" t="s">
        <v>908</v>
      </c>
      <c r="N29" s="135" t="s">
        <v>909</v>
      </c>
    </row>
    <row r="30" spans="1:14" ht="30">
      <c r="M30" s="66" t="s">
        <v>910</v>
      </c>
      <c r="N30" s="135" t="s">
        <v>911</v>
      </c>
    </row>
    <row r="31" spans="1:14">
      <c r="M31" s="66" t="s">
        <v>912</v>
      </c>
      <c r="N31" s="135" t="s">
        <v>913</v>
      </c>
    </row>
    <row r="32" spans="1:14">
      <c r="M32" s="66" t="s">
        <v>914</v>
      </c>
      <c r="N32" s="135" t="s">
        <v>909</v>
      </c>
    </row>
    <row r="33" spans="13:14">
      <c r="M33" s="66" t="s">
        <v>915</v>
      </c>
      <c r="N33" s="135" t="s">
        <v>916</v>
      </c>
    </row>
    <row r="34" spans="13:14">
      <c r="M34" s="472" t="s">
        <v>917</v>
      </c>
      <c r="N34" s="472"/>
    </row>
  </sheetData>
  <mergeCells count="2">
    <mergeCell ref="A1:A2"/>
    <mergeCell ref="M34:N34"/>
  </mergeCells>
  <hyperlinks>
    <hyperlink ref="L5" r:id="rId1" xr:uid="{00000000-0004-0000-1500-000000000000}"/>
    <hyperlink ref="L16" r:id="rId2" xr:uid="{00000000-0004-0000-1500-000001000000}"/>
    <hyperlink ref="L6" r:id="rId3" xr:uid="{00000000-0004-0000-1500-000002000000}"/>
    <hyperlink ref="L7" r:id="rId4" xr:uid="{00000000-0004-0000-1500-000003000000}"/>
    <hyperlink ref="L17" r:id="rId5" xr:uid="{00000000-0004-0000-1500-000004000000}"/>
    <hyperlink ref="L18" r:id="rId6" xr:uid="{00000000-0004-0000-1500-000005000000}"/>
    <hyperlink ref="L9" r:id="rId7" xr:uid="{00000000-0004-0000-1500-000006000000}"/>
    <hyperlink ref="L12" r:id="rId8" xr:uid="{00000000-0004-0000-1500-000007000000}"/>
    <hyperlink ref="L10" r:id="rId9" xr:uid="{00000000-0004-0000-1500-000008000000}"/>
    <hyperlink ref="L11" r:id="rId10" xr:uid="{00000000-0004-0000-1500-000009000000}"/>
    <hyperlink ref="L19" r:id="rId11" xr:uid="{00000000-0004-0000-1500-00000A000000}"/>
    <hyperlink ref="L22" r:id="rId12" xr:uid="{00000000-0004-0000-1500-00000B000000}"/>
    <hyperlink ref="L20" r:id="rId13" xr:uid="{00000000-0004-0000-1500-00000C000000}"/>
    <hyperlink ref="L21" r:id="rId14" xr:uid="{00000000-0004-0000-1500-00000D000000}"/>
    <hyperlink ref="N5" r:id="rId15" xr:uid="{00000000-0004-0000-1500-00000E000000}"/>
    <hyperlink ref="N6" r:id="rId16" xr:uid="{00000000-0004-0000-1500-00000F000000}"/>
    <hyperlink ref="N8" r:id="rId17" xr:uid="{00000000-0004-0000-1500-000010000000}"/>
    <hyperlink ref="N9" r:id="rId18" xr:uid="{00000000-0004-0000-1500-000011000000}"/>
    <hyperlink ref="N10" r:id="rId19" xr:uid="{00000000-0004-0000-1500-000012000000}"/>
    <hyperlink ref="N16" r:id="rId20" xr:uid="{00000000-0004-0000-1500-000013000000}"/>
    <hyperlink ref="N17" r:id="rId21" xr:uid="{00000000-0004-0000-1500-000014000000}"/>
    <hyperlink ref="N19" r:id="rId22" xr:uid="{00000000-0004-0000-1500-000015000000}"/>
    <hyperlink ref="N20" r:id="rId23" xr:uid="{00000000-0004-0000-1500-000016000000}"/>
    <hyperlink ref="N21" r:id="rId24" xr:uid="{00000000-0004-0000-1500-000017000000}"/>
  </hyperlinks>
  <pageMargins left="0.7" right="0.7" top="0.75" bottom="0.75" header="0.3" footer="0.3"/>
  <drawing r:id="rId2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A1:BO102"/>
  <sheetViews>
    <sheetView topLeftCell="A19" workbookViewId="0">
      <selection activeCell="C9" sqref="C9"/>
    </sheetView>
  </sheetViews>
  <sheetFormatPr defaultColWidth="11.42578125" defaultRowHeight="15"/>
  <cols>
    <col min="1" max="1" width="30" style="237" customWidth="1"/>
    <col min="2" max="2" width="12" style="102" customWidth="1"/>
    <col min="3" max="3" width="73.85546875" style="102" customWidth="1"/>
    <col min="4" max="4" width="41.42578125" style="102" bestFit="1" customWidth="1"/>
    <col min="5" max="5" width="27.85546875" style="102" customWidth="1"/>
    <col min="6" max="6" width="62.28515625" style="68" bestFit="1" customWidth="1"/>
    <col min="7" max="7" width="22.85546875" style="102" customWidth="1"/>
    <col min="8" max="8" width="10.42578125" style="68" customWidth="1"/>
    <col min="9" max="16384" width="11.42578125" style="68"/>
  </cols>
  <sheetData>
    <row r="1" spans="1:8" ht="18.75">
      <c r="A1" s="238" t="s">
        <v>918</v>
      </c>
      <c r="B1" s="473"/>
      <c r="C1" s="473"/>
      <c r="D1" s="444"/>
      <c r="E1" s="473"/>
      <c r="F1" s="473"/>
      <c r="G1" s="473"/>
      <c r="H1" s="473"/>
    </row>
    <row r="2" spans="1:8" ht="18.75">
      <c r="A2" s="239"/>
      <c r="B2" s="474"/>
      <c r="C2" s="474"/>
      <c r="D2" s="445"/>
      <c r="E2" s="474"/>
      <c r="F2" s="474"/>
      <c r="G2" s="474"/>
      <c r="H2" s="474"/>
    </row>
    <row r="3" spans="1:8">
      <c r="A3" s="235" t="s">
        <v>919</v>
      </c>
      <c r="B3" s="69"/>
      <c r="C3" s="69"/>
      <c r="D3" s="69"/>
      <c r="E3" s="69"/>
      <c r="F3" s="63"/>
      <c r="G3" s="69"/>
      <c r="H3" s="63"/>
    </row>
    <row r="4" spans="1:8">
      <c r="A4" s="236" t="s">
        <v>920</v>
      </c>
      <c r="B4" s="70" t="s">
        <v>921</v>
      </c>
      <c r="C4" s="70" t="s">
        <v>922</v>
      </c>
      <c r="D4" s="70" t="s">
        <v>923</v>
      </c>
      <c r="E4" s="70" t="s">
        <v>102</v>
      </c>
      <c r="F4" s="64" t="s">
        <v>103</v>
      </c>
      <c r="G4" s="70" t="s">
        <v>104</v>
      </c>
      <c r="H4" s="64" t="s">
        <v>105</v>
      </c>
    </row>
    <row r="5" spans="1:8" s="75" customFormat="1" ht="57" customHeight="1">
      <c r="A5" s="236" t="s">
        <v>924</v>
      </c>
      <c r="B5" s="71">
        <v>1975</v>
      </c>
      <c r="C5" s="72" t="s">
        <v>925</v>
      </c>
      <c r="D5" s="72" t="s">
        <v>926</v>
      </c>
      <c r="E5" s="71"/>
      <c r="F5" s="73" t="s">
        <v>927</v>
      </c>
      <c r="G5" s="71"/>
      <c r="H5" s="74"/>
    </row>
    <row r="6" spans="1:8" ht="57" customHeight="1">
      <c r="A6" s="236" t="s">
        <v>928</v>
      </c>
      <c r="B6" s="71">
        <v>1978</v>
      </c>
      <c r="C6" s="72" t="s">
        <v>929</v>
      </c>
      <c r="D6" s="72" t="s">
        <v>930</v>
      </c>
      <c r="E6" s="72" t="s">
        <v>931</v>
      </c>
      <c r="F6" s="73" t="s">
        <v>932</v>
      </c>
      <c r="G6" s="70"/>
      <c r="H6" s="64"/>
    </row>
    <row r="7" spans="1:8" ht="94.5" customHeight="1">
      <c r="A7" s="236" t="s">
        <v>933</v>
      </c>
      <c r="B7" s="71">
        <v>1988</v>
      </c>
      <c r="C7" s="72" t="s">
        <v>934</v>
      </c>
      <c r="D7" s="72" t="s">
        <v>935</v>
      </c>
      <c r="E7" s="72"/>
      <c r="F7" s="73" t="s">
        <v>927</v>
      </c>
      <c r="G7" s="70"/>
      <c r="H7" s="64"/>
    </row>
    <row r="8" spans="1:8" ht="84.75" customHeight="1">
      <c r="A8" s="236" t="s">
        <v>936</v>
      </c>
      <c r="B8" s="71">
        <v>1992</v>
      </c>
      <c r="C8" s="72" t="s">
        <v>937</v>
      </c>
      <c r="D8" s="72" t="s">
        <v>938</v>
      </c>
      <c r="E8" s="71"/>
      <c r="F8" s="73" t="s">
        <v>927</v>
      </c>
      <c r="G8" s="71"/>
      <c r="H8" s="62"/>
    </row>
    <row r="9" spans="1:8" ht="77.25" customHeight="1">
      <c r="A9" s="236" t="s">
        <v>939</v>
      </c>
      <c r="B9" s="71">
        <v>2000</v>
      </c>
      <c r="C9" s="72" t="s">
        <v>940</v>
      </c>
      <c r="D9" s="71" t="s">
        <v>941</v>
      </c>
      <c r="E9" s="71"/>
      <c r="F9" s="76" t="s">
        <v>942</v>
      </c>
      <c r="G9" s="71"/>
      <c r="H9" s="62"/>
    </row>
    <row r="10" spans="1:8" ht="112.5" customHeight="1">
      <c r="A10" s="236" t="s">
        <v>943</v>
      </c>
      <c r="B10" s="77">
        <v>2002</v>
      </c>
      <c r="C10" s="78" t="s">
        <v>944</v>
      </c>
      <c r="D10" s="79" t="s">
        <v>945</v>
      </c>
      <c r="E10" s="80" t="s">
        <v>931</v>
      </c>
      <c r="F10" s="81" t="s">
        <v>932</v>
      </c>
      <c r="G10" s="77"/>
      <c r="H10" s="82"/>
    </row>
    <row r="11" spans="1:8" ht="73.5" customHeight="1">
      <c r="A11" s="240" t="s">
        <v>946</v>
      </c>
      <c r="B11" s="71">
        <v>2002</v>
      </c>
      <c r="C11" s="84" t="s">
        <v>947</v>
      </c>
      <c r="D11" s="84" t="s">
        <v>948</v>
      </c>
      <c r="E11" s="72" t="s">
        <v>122</v>
      </c>
      <c r="F11" s="76" t="s">
        <v>949</v>
      </c>
      <c r="G11" s="71"/>
      <c r="H11" s="62"/>
    </row>
    <row r="12" spans="1:8" ht="49.5" customHeight="1">
      <c r="A12" s="236" t="s">
        <v>950</v>
      </c>
      <c r="B12" s="85">
        <v>2004</v>
      </c>
      <c r="C12" s="86" t="s">
        <v>951</v>
      </c>
      <c r="D12" s="86" t="s">
        <v>952</v>
      </c>
      <c r="E12" s="86" t="s">
        <v>931</v>
      </c>
      <c r="F12" s="87" t="s">
        <v>932</v>
      </c>
      <c r="G12" s="85"/>
      <c r="H12" s="88"/>
    </row>
    <row r="13" spans="1:8" ht="120">
      <c r="A13" s="236" t="s">
        <v>936</v>
      </c>
      <c r="B13" s="71">
        <v>2005</v>
      </c>
      <c r="C13" s="72" t="s">
        <v>953</v>
      </c>
      <c r="D13" s="72" t="s">
        <v>954</v>
      </c>
      <c r="E13" s="72" t="s">
        <v>931</v>
      </c>
      <c r="F13" s="89" t="s">
        <v>932</v>
      </c>
      <c r="G13" s="71"/>
      <c r="H13" s="62"/>
    </row>
    <row r="14" spans="1:8" ht="45">
      <c r="A14" s="236" t="s">
        <v>955</v>
      </c>
      <c r="B14" s="71">
        <v>2007</v>
      </c>
      <c r="C14" s="72" t="s">
        <v>956</v>
      </c>
      <c r="D14" s="72" t="s">
        <v>957</v>
      </c>
      <c r="E14" s="71"/>
      <c r="F14" s="89" t="s">
        <v>932</v>
      </c>
      <c r="G14" s="71"/>
      <c r="H14" s="95" t="s">
        <v>958</v>
      </c>
    </row>
    <row r="15" spans="1:8" ht="65.25" customHeight="1">
      <c r="A15" s="241" t="s">
        <v>959</v>
      </c>
      <c r="B15" s="77">
        <v>2007</v>
      </c>
      <c r="C15" s="80" t="s">
        <v>960</v>
      </c>
      <c r="D15" s="80" t="s">
        <v>961</v>
      </c>
      <c r="E15" s="80" t="s">
        <v>122</v>
      </c>
      <c r="F15" s="90" t="s">
        <v>962</v>
      </c>
      <c r="G15" s="77"/>
      <c r="H15" s="82"/>
    </row>
    <row r="16" spans="1:8" ht="47.25">
      <c r="A16" s="236" t="s">
        <v>943</v>
      </c>
      <c r="B16" s="71">
        <v>2008</v>
      </c>
      <c r="C16" s="91" t="s">
        <v>963</v>
      </c>
      <c r="D16" s="92" t="s">
        <v>964</v>
      </c>
      <c r="E16" s="72" t="s">
        <v>931</v>
      </c>
      <c r="F16" s="89" t="s">
        <v>932</v>
      </c>
      <c r="G16" s="71"/>
      <c r="H16" s="62"/>
    </row>
    <row r="17" spans="1:8" ht="55.5" customHeight="1">
      <c r="A17" s="236" t="s">
        <v>965</v>
      </c>
      <c r="B17" s="71">
        <v>2008</v>
      </c>
      <c r="C17" s="72" t="s">
        <v>966</v>
      </c>
      <c r="D17" s="72" t="s">
        <v>967</v>
      </c>
      <c r="E17" s="71"/>
      <c r="F17" s="73" t="s">
        <v>927</v>
      </c>
      <c r="G17" s="71"/>
      <c r="H17" s="73"/>
    </row>
    <row r="18" spans="1:8" ht="65.25" customHeight="1">
      <c r="A18" s="241" t="s">
        <v>968</v>
      </c>
      <c r="B18" s="77">
        <v>2008</v>
      </c>
      <c r="C18" s="80" t="s">
        <v>969</v>
      </c>
      <c r="D18" s="80" t="s">
        <v>970</v>
      </c>
      <c r="E18" s="80" t="s">
        <v>122</v>
      </c>
      <c r="F18" s="90" t="s">
        <v>949</v>
      </c>
      <c r="G18" s="77"/>
      <c r="H18" s="82"/>
    </row>
    <row r="19" spans="1:8" ht="66.75" customHeight="1">
      <c r="A19" s="241" t="s">
        <v>971</v>
      </c>
      <c r="B19" s="77">
        <v>2008</v>
      </c>
      <c r="C19" s="80" t="s">
        <v>972</v>
      </c>
      <c r="D19" s="80" t="s">
        <v>973</v>
      </c>
      <c r="E19" s="93" t="s">
        <v>122</v>
      </c>
      <c r="F19" s="90" t="s">
        <v>949</v>
      </c>
      <c r="G19" s="77"/>
      <c r="H19" s="82"/>
    </row>
    <row r="20" spans="1:8" ht="63" customHeight="1">
      <c r="A20" s="241" t="s">
        <v>974</v>
      </c>
      <c r="B20" s="77">
        <v>2008</v>
      </c>
      <c r="C20" s="80" t="s">
        <v>975</v>
      </c>
      <c r="D20" s="80" t="s">
        <v>976</v>
      </c>
      <c r="E20" s="93" t="s">
        <v>122</v>
      </c>
      <c r="F20" s="90" t="s">
        <v>949</v>
      </c>
      <c r="G20" s="77"/>
      <c r="H20" s="82"/>
    </row>
    <row r="21" spans="1:8" ht="64.5" customHeight="1">
      <c r="A21" s="236" t="s">
        <v>977</v>
      </c>
      <c r="B21" s="72" t="s">
        <v>978</v>
      </c>
      <c r="C21" s="72" t="s">
        <v>979</v>
      </c>
      <c r="D21" s="71" t="s">
        <v>980</v>
      </c>
      <c r="E21" s="94" t="s">
        <v>981</v>
      </c>
      <c r="F21" s="58" t="s">
        <v>982</v>
      </c>
      <c r="G21" s="71" t="s">
        <v>183</v>
      </c>
      <c r="H21" s="76" t="s">
        <v>983</v>
      </c>
    </row>
    <row r="22" spans="1:8" ht="104.25" customHeight="1">
      <c r="A22" s="236" t="s">
        <v>984</v>
      </c>
      <c r="B22" s="71">
        <v>2009</v>
      </c>
      <c r="C22" s="72" t="s">
        <v>985</v>
      </c>
      <c r="D22" s="72" t="s">
        <v>986</v>
      </c>
      <c r="E22" s="71"/>
      <c r="F22" s="73" t="s">
        <v>927</v>
      </c>
      <c r="G22" s="71"/>
      <c r="H22" s="62"/>
    </row>
    <row r="23" spans="1:8" ht="59.25" customHeight="1">
      <c r="A23" s="236" t="s">
        <v>987</v>
      </c>
      <c r="B23" s="71">
        <v>2009</v>
      </c>
      <c r="C23" s="72" t="s">
        <v>988</v>
      </c>
      <c r="D23" s="72" t="s">
        <v>989</v>
      </c>
      <c r="E23" s="72" t="s">
        <v>990</v>
      </c>
      <c r="F23" s="95" t="s">
        <v>991</v>
      </c>
      <c r="G23" s="71"/>
      <c r="H23" s="62"/>
    </row>
    <row r="24" spans="1:8" ht="69" customHeight="1">
      <c r="A24" s="236" t="s">
        <v>992</v>
      </c>
      <c r="B24" s="71">
        <v>2011</v>
      </c>
      <c r="C24" s="72" t="s">
        <v>993</v>
      </c>
      <c r="D24" s="72" t="s">
        <v>994</v>
      </c>
      <c r="E24" s="71" t="s">
        <v>995</v>
      </c>
      <c r="F24" s="76" t="s">
        <v>996</v>
      </c>
      <c r="G24" s="71"/>
      <c r="H24" s="62"/>
    </row>
    <row r="25" spans="1:8" ht="45" customHeight="1">
      <c r="A25" s="236" t="s">
        <v>997</v>
      </c>
      <c r="B25" s="71">
        <v>2011</v>
      </c>
      <c r="C25" s="71" t="s">
        <v>998</v>
      </c>
      <c r="D25" s="71" t="s">
        <v>999</v>
      </c>
      <c r="E25" s="71" t="s">
        <v>1000</v>
      </c>
      <c r="F25" s="58" t="s">
        <v>1001</v>
      </c>
      <c r="G25" s="71"/>
      <c r="H25" s="62"/>
    </row>
    <row r="26" spans="1:8" ht="45">
      <c r="A26" s="236" t="s">
        <v>1002</v>
      </c>
      <c r="B26" s="71">
        <v>2011</v>
      </c>
      <c r="C26" s="72" t="s">
        <v>1003</v>
      </c>
      <c r="D26" s="72" t="s">
        <v>1004</v>
      </c>
      <c r="E26" s="71"/>
      <c r="F26" s="58" t="s">
        <v>1005</v>
      </c>
      <c r="G26" s="71"/>
      <c r="H26" s="62"/>
    </row>
    <row r="27" spans="1:8" ht="93" customHeight="1">
      <c r="A27" s="236" t="s">
        <v>1006</v>
      </c>
      <c r="B27" s="71">
        <v>2011</v>
      </c>
      <c r="C27" s="72" t="s">
        <v>1007</v>
      </c>
      <c r="D27" s="71" t="s">
        <v>1008</v>
      </c>
      <c r="E27" s="71" t="s">
        <v>995</v>
      </c>
      <c r="F27" s="76" t="s">
        <v>1009</v>
      </c>
      <c r="G27" s="71"/>
      <c r="H27" s="62"/>
    </row>
    <row r="28" spans="1:8" ht="165">
      <c r="A28" s="241" t="s">
        <v>1010</v>
      </c>
      <c r="B28" s="77">
        <v>2012</v>
      </c>
      <c r="C28" s="80" t="s">
        <v>1011</v>
      </c>
      <c r="D28" s="80" t="s">
        <v>1012</v>
      </c>
      <c r="E28" s="77"/>
      <c r="F28" s="96" t="s">
        <v>927</v>
      </c>
      <c r="G28" s="77"/>
      <c r="H28" s="82"/>
    </row>
    <row r="29" spans="1:8" ht="124.5" customHeight="1">
      <c r="A29" s="241" t="s">
        <v>1013</v>
      </c>
      <c r="B29" s="77">
        <v>2013</v>
      </c>
      <c r="C29" s="80" t="s">
        <v>1014</v>
      </c>
      <c r="D29" s="80" t="s">
        <v>1008</v>
      </c>
      <c r="E29" s="77" t="s">
        <v>995</v>
      </c>
      <c r="F29" s="90" t="s">
        <v>1015</v>
      </c>
      <c r="G29" s="77"/>
      <c r="H29" s="82"/>
    </row>
    <row r="30" spans="1:8" ht="39.75" customHeight="1">
      <c r="A30" s="236" t="s">
        <v>943</v>
      </c>
      <c r="B30" s="71">
        <v>2014</v>
      </c>
      <c r="C30" s="72" t="s">
        <v>1016</v>
      </c>
      <c r="D30" s="72" t="s">
        <v>1017</v>
      </c>
      <c r="E30" s="72" t="s">
        <v>1018</v>
      </c>
      <c r="F30" s="76" t="s">
        <v>1019</v>
      </c>
      <c r="G30" s="72"/>
      <c r="H30" s="62"/>
    </row>
    <row r="31" spans="1:8" ht="92.25" customHeight="1">
      <c r="A31" s="236" t="s">
        <v>1020</v>
      </c>
      <c r="B31" s="71">
        <v>2014</v>
      </c>
      <c r="C31" s="72" t="s">
        <v>1021</v>
      </c>
      <c r="D31" s="72" t="s">
        <v>1022</v>
      </c>
      <c r="E31" s="72"/>
      <c r="F31" s="73" t="s">
        <v>927</v>
      </c>
      <c r="G31" s="71"/>
      <c r="H31" s="62"/>
    </row>
    <row r="32" spans="1:8" ht="112.5" customHeight="1">
      <c r="A32" s="241" t="s">
        <v>1023</v>
      </c>
      <c r="B32" s="77">
        <v>2016</v>
      </c>
      <c r="C32" s="80" t="s">
        <v>1024</v>
      </c>
      <c r="D32" s="80" t="s">
        <v>1025</v>
      </c>
      <c r="E32" s="80"/>
      <c r="F32" s="96" t="s">
        <v>927</v>
      </c>
      <c r="G32" s="77"/>
      <c r="H32" s="82"/>
    </row>
    <row r="33" spans="1:67" s="82" customFormat="1" ht="70.5" customHeight="1">
      <c r="A33" s="241" t="s">
        <v>1026</v>
      </c>
      <c r="B33" s="77"/>
      <c r="C33" s="80" t="s">
        <v>1027</v>
      </c>
      <c r="D33" s="80" t="s">
        <v>1028</v>
      </c>
      <c r="E33" s="80"/>
      <c r="F33" s="115" t="s">
        <v>1029</v>
      </c>
      <c r="G33" s="77"/>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117"/>
    </row>
    <row r="34" spans="1:67" s="62" customFormat="1" ht="30">
      <c r="A34" s="236" t="s">
        <v>1030</v>
      </c>
      <c r="B34" s="71"/>
      <c r="C34" s="72"/>
      <c r="D34" s="72"/>
      <c r="E34" s="72" t="s">
        <v>1031</v>
      </c>
      <c r="F34" s="116" t="s">
        <v>1032</v>
      </c>
      <c r="G34" s="71"/>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118"/>
    </row>
    <row r="35" spans="1:67">
      <c r="C35" s="104"/>
      <c r="D35" s="104"/>
      <c r="E35" s="104"/>
      <c r="F35" s="391"/>
    </row>
    <row r="36" spans="1:67">
      <c r="C36" s="104"/>
      <c r="D36" s="104"/>
      <c r="E36" s="104"/>
      <c r="F36" s="391"/>
    </row>
    <row r="37" spans="1:67">
      <c r="A37" s="392" t="s">
        <v>1033</v>
      </c>
      <c r="B37" s="393"/>
      <c r="C37" s="393"/>
      <c r="D37" s="393"/>
      <c r="E37" s="393"/>
      <c r="F37" s="394"/>
      <c r="G37" s="393"/>
      <c r="H37" s="395"/>
    </row>
    <row r="38" spans="1:67" ht="63" customHeight="1">
      <c r="A38" s="242" t="s">
        <v>1034</v>
      </c>
      <c r="B38" s="85">
        <v>1998</v>
      </c>
      <c r="C38" s="86" t="s">
        <v>1035</v>
      </c>
      <c r="D38" s="85" t="s">
        <v>1036</v>
      </c>
      <c r="E38" s="85" t="s">
        <v>122</v>
      </c>
      <c r="F38" s="98" t="s">
        <v>1037</v>
      </c>
      <c r="G38" s="85"/>
      <c r="H38" s="88"/>
    </row>
    <row r="39" spans="1:67" ht="30">
      <c r="A39" s="242" t="s">
        <v>1038</v>
      </c>
      <c r="B39" s="85">
        <v>1999</v>
      </c>
      <c r="C39" s="86" t="s">
        <v>1039</v>
      </c>
      <c r="D39" s="85" t="s">
        <v>1040</v>
      </c>
      <c r="E39" s="97" t="s">
        <v>1041</v>
      </c>
      <c r="F39" s="98" t="s">
        <v>1042</v>
      </c>
      <c r="G39" s="85"/>
      <c r="H39" s="88"/>
    </row>
    <row r="40" spans="1:67" ht="105.95" customHeight="1">
      <c r="A40" s="242" t="s">
        <v>977</v>
      </c>
      <c r="B40" s="86" t="s">
        <v>978</v>
      </c>
      <c r="C40" s="86" t="s">
        <v>979</v>
      </c>
      <c r="D40" s="85" t="s">
        <v>980</v>
      </c>
      <c r="E40" s="99" t="s">
        <v>981</v>
      </c>
      <c r="F40" s="100" t="s">
        <v>982</v>
      </c>
      <c r="G40" s="85" t="s">
        <v>183</v>
      </c>
      <c r="H40" s="101" t="s">
        <v>983</v>
      </c>
    </row>
    <row r="41" spans="1:67" ht="150">
      <c r="A41" s="236" t="s">
        <v>1043</v>
      </c>
      <c r="B41" s="72" t="s">
        <v>1044</v>
      </c>
      <c r="C41" s="72" t="s">
        <v>1045</v>
      </c>
      <c r="D41" s="72" t="s">
        <v>1046</v>
      </c>
      <c r="E41" s="83"/>
      <c r="F41" s="62"/>
      <c r="G41" s="71"/>
      <c r="H41" s="62"/>
    </row>
    <row r="42" spans="1:67" ht="78" customHeight="1">
      <c r="A42" s="236" t="s">
        <v>1047</v>
      </c>
      <c r="B42" s="71">
        <v>2014</v>
      </c>
      <c r="C42" s="72" t="s">
        <v>1048</v>
      </c>
      <c r="D42" s="72" t="s">
        <v>980</v>
      </c>
      <c r="E42" s="94"/>
      <c r="F42" s="76" t="s">
        <v>1049</v>
      </c>
      <c r="G42" s="72"/>
      <c r="H42" s="76" t="s">
        <v>1050</v>
      </c>
    </row>
    <row r="43" spans="1:67" ht="72" customHeight="1">
      <c r="A43" s="236" t="s">
        <v>1051</v>
      </c>
      <c r="B43" s="71">
        <v>2015</v>
      </c>
      <c r="C43" s="72" t="s">
        <v>1052</v>
      </c>
      <c r="D43" s="72" t="s">
        <v>1025</v>
      </c>
      <c r="E43" s="94" t="s">
        <v>1053</v>
      </c>
      <c r="F43" s="73"/>
      <c r="G43" s="71"/>
      <c r="H43" s="62"/>
    </row>
    <row r="44" spans="1:67" ht="72" customHeight="1">
      <c r="A44" s="242" t="s">
        <v>1054</v>
      </c>
      <c r="B44" s="85">
        <v>2015</v>
      </c>
      <c r="C44" s="86" t="s">
        <v>1055</v>
      </c>
      <c r="D44" s="86" t="s">
        <v>1056</v>
      </c>
      <c r="E44" s="97" t="s">
        <v>1057</v>
      </c>
      <c r="F44" s="76" t="s">
        <v>1058</v>
      </c>
      <c r="G44" s="72" t="s">
        <v>1059</v>
      </c>
      <c r="H44" s="76" t="s">
        <v>1060</v>
      </c>
    </row>
    <row r="45" spans="1:67">
      <c r="B45" s="103"/>
      <c r="C45" s="104"/>
      <c r="D45" s="104"/>
      <c r="F45" s="105"/>
      <c r="H45" s="105"/>
    </row>
    <row r="46" spans="1:67">
      <c r="B46" s="106"/>
      <c r="C46" s="106"/>
      <c r="D46" s="106"/>
      <c r="E46" s="106"/>
      <c r="F46" s="107"/>
      <c r="G46" s="106"/>
      <c r="H46" s="107"/>
    </row>
    <row r="47" spans="1:67" ht="10.5" customHeight="1">
      <c r="C47" s="104"/>
      <c r="D47" s="104"/>
    </row>
    <row r="48" spans="1:67">
      <c r="C48" s="104"/>
      <c r="E48" s="104"/>
    </row>
    <row r="49" spans="1:8" ht="30">
      <c r="A49" s="392" t="s">
        <v>1061</v>
      </c>
      <c r="B49" s="393"/>
      <c r="C49" s="393"/>
      <c r="D49" s="393"/>
      <c r="E49" s="393"/>
      <c r="F49" s="394"/>
      <c r="G49" s="393"/>
      <c r="H49" s="395"/>
    </row>
    <row r="50" spans="1:8" ht="75">
      <c r="A50" s="404" t="s">
        <v>1062</v>
      </c>
      <c r="B50" s="71"/>
      <c r="C50" s="325" t="s">
        <v>1063</v>
      </c>
      <c r="D50" s="71"/>
    </row>
    <row r="51" spans="1:8" ht="90">
      <c r="A51" s="404" t="s">
        <v>1064</v>
      </c>
      <c r="B51" s="71"/>
      <c r="C51" s="325" t="s">
        <v>1065</v>
      </c>
      <c r="D51" s="72"/>
    </row>
    <row r="52" spans="1:8" ht="60">
      <c r="A52" s="404" t="s">
        <v>1066</v>
      </c>
      <c r="B52" s="71"/>
      <c r="C52" s="325" t="s">
        <v>1067</v>
      </c>
      <c r="D52" s="72" t="s">
        <v>1068</v>
      </c>
    </row>
    <row r="53" spans="1:8" ht="75">
      <c r="A53" s="404" t="s">
        <v>1069</v>
      </c>
      <c r="B53" s="71"/>
      <c r="C53" s="325" t="s">
        <v>1070</v>
      </c>
      <c r="D53" s="72"/>
    </row>
    <row r="54" spans="1:8" ht="48" customHeight="1">
      <c r="A54" s="404" t="s">
        <v>1071</v>
      </c>
      <c r="B54" s="70"/>
      <c r="C54" s="325" t="s">
        <v>1072</v>
      </c>
      <c r="D54" s="72" t="s">
        <v>1068</v>
      </c>
      <c r="E54" s="106"/>
      <c r="F54" s="107"/>
      <c r="G54" s="106"/>
      <c r="H54" s="107"/>
    </row>
    <row r="55" spans="1:8" ht="60">
      <c r="A55" s="404" t="s">
        <v>1073</v>
      </c>
      <c r="B55" s="71"/>
      <c r="C55" s="325" t="s">
        <v>1074</v>
      </c>
      <c r="D55" s="72"/>
      <c r="E55" s="104"/>
      <c r="F55" s="108"/>
    </row>
    <row r="56" spans="1:8" ht="105">
      <c r="A56" s="404" t="s">
        <v>1075</v>
      </c>
      <c r="B56" s="71"/>
      <c r="C56" s="325" t="s">
        <v>1076</v>
      </c>
      <c r="D56" s="72"/>
      <c r="F56" s="108"/>
    </row>
    <row r="57" spans="1:8" ht="105">
      <c r="A57" s="72" t="s">
        <v>1077</v>
      </c>
      <c r="B57" s="71"/>
      <c r="C57" s="325" t="s">
        <v>1078</v>
      </c>
      <c r="D57" s="72"/>
      <c r="F57" s="108"/>
    </row>
    <row r="58" spans="1:8" ht="105">
      <c r="A58" s="72" t="s">
        <v>1079</v>
      </c>
      <c r="B58" s="71"/>
      <c r="C58" s="325" t="s">
        <v>1080</v>
      </c>
      <c r="D58" s="72"/>
      <c r="F58" s="108"/>
    </row>
    <row r="59" spans="1:8" ht="105">
      <c r="A59" s="72" t="s">
        <v>1081</v>
      </c>
      <c r="B59" s="71"/>
      <c r="C59" s="325" t="s">
        <v>1082</v>
      </c>
      <c r="D59" s="72"/>
    </row>
    <row r="60" spans="1:8" ht="120">
      <c r="A60" s="72" t="s">
        <v>941</v>
      </c>
      <c r="B60" s="71"/>
      <c r="C60" s="325" t="s">
        <v>1083</v>
      </c>
      <c r="D60" s="72"/>
    </row>
    <row r="61" spans="1:8" ht="60">
      <c r="A61" s="72" t="s">
        <v>1084</v>
      </c>
      <c r="B61" s="71"/>
      <c r="C61" s="325" t="s">
        <v>1085</v>
      </c>
      <c r="D61" s="72" t="s">
        <v>1068</v>
      </c>
    </row>
    <row r="62" spans="1:8" ht="105">
      <c r="A62" s="72" t="s">
        <v>1086</v>
      </c>
      <c r="B62" s="71"/>
      <c r="C62" s="325" t="s">
        <v>1087</v>
      </c>
      <c r="D62" s="72"/>
    </row>
    <row r="63" spans="1:8" ht="90">
      <c r="A63" s="72" t="s">
        <v>1088</v>
      </c>
      <c r="B63" s="71"/>
      <c r="C63" s="325" t="s">
        <v>1089</v>
      </c>
      <c r="D63" s="72"/>
    </row>
    <row r="64" spans="1:8" ht="120">
      <c r="A64" s="72" t="s">
        <v>1090</v>
      </c>
      <c r="B64" s="71"/>
      <c r="C64" s="325" t="s">
        <v>1091</v>
      </c>
      <c r="D64" s="72" t="s">
        <v>1068</v>
      </c>
    </row>
    <row r="65" spans="1:8" ht="90">
      <c r="A65" s="72" t="s">
        <v>1092</v>
      </c>
      <c r="B65" s="70"/>
      <c r="C65" s="325" t="s">
        <v>1093</v>
      </c>
      <c r="D65" s="236"/>
      <c r="E65" s="106"/>
      <c r="F65" s="107"/>
      <c r="G65" s="106"/>
      <c r="H65" s="107"/>
    </row>
    <row r="66" spans="1:8" ht="30">
      <c r="A66" s="72" t="s">
        <v>1094</v>
      </c>
      <c r="B66" s="71"/>
      <c r="C66" s="325" t="s">
        <v>1095</v>
      </c>
      <c r="D66" s="72"/>
      <c r="E66" s="104"/>
      <c r="F66" s="109"/>
    </row>
    <row r="67" spans="1:8" ht="75">
      <c r="A67" s="72" t="s">
        <v>1096</v>
      </c>
      <c r="B67" s="71"/>
      <c r="C67" s="325" t="s">
        <v>1097</v>
      </c>
      <c r="D67" s="72"/>
      <c r="E67" s="104"/>
      <c r="F67" s="109"/>
    </row>
    <row r="68" spans="1:8" ht="30">
      <c r="A68" s="72" t="s">
        <v>1098</v>
      </c>
      <c r="B68" s="71"/>
      <c r="C68" s="325" t="s">
        <v>1099</v>
      </c>
      <c r="D68" s="72"/>
      <c r="E68" s="104"/>
      <c r="F68" s="109"/>
    </row>
    <row r="69" spans="1:8" ht="60">
      <c r="A69" s="72" t="s">
        <v>1100</v>
      </c>
      <c r="B69" s="71"/>
      <c r="C69" s="325" t="s">
        <v>1101</v>
      </c>
      <c r="D69" s="72"/>
      <c r="E69" s="104"/>
      <c r="F69" s="109"/>
    </row>
    <row r="70" spans="1:8" ht="75">
      <c r="A70" s="72" t="s">
        <v>1102</v>
      </c>
      <c r="B70" s="71"/>
      <c r="C70" s="325" t="s">
        <v>1103</v>
      </c>
      <c r="D70" s="72"/>
      <c r="E70" s="104"/>
      <c r="F70" s="109"/>
    </row>
    <row r="71" spans="1:8" ht="135">
      <c r="A71" s="72" t="s">
        <v>1104</v>
      </c>
      <c r="B71" s="71"/>
      <c r="C71" s="325" t="s">
        <v>1105</v>
      </c>
      <c r="D71" s="72"/>
      <c r="F71" s="109"/>
    </row>
    <row r="72" spans="1:8" ht="60">
      <c r="A72" s="72" t="s">
        <v>1106</v>
      </c>
      <c r="B72" s="71"/>
      <c r="C72" s="325" t="s">
        <v>1107</v>
      </c>
      <c r="D72" s="72"/>
    </row>
    <row r="73" spans="1:8" ht="135">
      <c r="A73" s="72" t="s">
        <v>1108</v>
      </c>
      <c r="B73" s="71"/>
      <c r="C73" s="325" t="s">
        <v>1109</v>
      </c>
      <c r="D73" s="72"/>
    </row>
    <row r="74" spans="1:8" ht="90">
      <c r="A74" s="72" t="s">
        <v>1110</v>
      </c>
      <c r="B74" s="71"/>
      <c r="C74" s="325" t="s">
        <v>1111</v>
      </c>
      <c r="D74" s="72"/>
    </row>
    <row r="75" spans="1:8" ht="45">
      <c r="A75" s="72" t="s">
        <v>1112</v>
      </c>
      <c r="B75" s="71"/>
      <c r="C75" s="325" t="s">
        <v>1113</v>
      </c>
      <c r="D75" s="72"/>
    </row>
    <row r="76" spans="1:8" ht="45">
      <c r="A76" s="72" t="s">
        <v>1114</v>
      </c>
      <c r="B76" s="71"/>
      <c r="C76" s="325" t="s">
        <v>1115</v>
      </c>
      <c r="D76" s="72"/>
    </row>
    <row r="77" spans="1:8" ht="150">
      <c r="A77" s="72" t="s">
        <v>1116</v>
      </c>
      <c r="B77" s="71"/>
      <c r="C77" s="325" t="s">
        <v>1117</v>
      </c>
      <c r="D77" s="72"/>
    </row>
    <row r="78" spans="1:8" ht="120">
      <c r="A78" s="72" t="s">
        <v>1118</v>
      </c>
      <c r="B78" s="71"/>
      <c r="C78" s="325" t="s">
        <v>1119</v>
      </c>
      <c r="D78" s="72"/>
    </row>
    <row r="79" spans="1:8" ht="90">
      <c r="A79" s="72" t="s">
        <v>1120</v>
      </c>
      <c r="B79" s="71"/>
      <c r="C79" s="325" t="s">
        <v>1121</v>
      </c>
      <c r="D79" s="72"/>
    </row>
    <row r="80" spans="1:8" ht="105">
      <c r="A80" s="72" t="s">
        <v>1122</v>
      </c>
      <c r="B80" s="72"/>
      <c r="C80" s="325" t="s">
        <v>1123</v>
      </c>
      <c r="D80" s="72"/>
    </row>
    <row r="81" spans="1:6" ht="150">
      <c r="A81" s="72" t="s">
        <v>1124</v>
      </c>
      <c r="B81" s="71"/>
      <c r="C81" s="325" t="s">
        <v>1125</v>
      </c>
      <c r="D81" s="71"/>
    </row>
    <row r="82" spans="1:6" ht="75">
      <c r="A82" s="72" t="s">
        <v>1126</v>
      </c>
      <c r="B82" s="71"/>
      <c r="C82" s="325" t="s">
        <v>1127</v>
      </c>
      <c r="D82" s="71"/>
    </row>
    <row r="83" spans="1:6" ht="105">
      <c r="A83" s="72" t="s">
        <v>1128</v>
      </c>
      <c r="B83" s="71"/>
      <c r="C83" s="325" t="s">
        <v>1129</v>
      </c>
      <c r="D83" s="71"/>
    </row>
    <row r="84" spans="1:6" ht="90">
      <c r="A84" s="72" t="s">
        <v>1130</v>
      </c>
      <c r="B84" s="72"/>
      <c r="C84" s="325" t="s">
        <v>1131</v>
      </c>
      <c r="D84" s="71"/>
      <c r="F84" s="108"/>
    </row>
    <row r="85" spans="1:6" ht="105">
      <c r="A85" s="72" t="s">
        <v>1132</v>
      </c>
      <c r="B85" s="71"/>
      <c r="C85" s="325" t="s">
        <v>1133</v>
      </c>
      <c r="D85" s="71"/>
    </row>
    <row r="86" spans="1:6" ht="150">
      <c r="A86" s="72" t="s">
        <v>1134</v>
      </c>
      <c r="B86" s="71"/>
      <c r="C86" s="325" t="s">
        <v>1135</v>
      </c>
      <c r="D86" s="71"/>
    </row>
    <row r="87" spans="1:6" ht="150">
      <c r="A87" s="72" t="s">
        <v>1136</v>
      </c>
      <c r="B87" s="71"/>
      <c r="C87" s="325" t="s">
        <v>1137</v>
      </c>
      <c r="D87" s="72"/>
      <c r="F87" s="108"/>
    </row>
    <row r="88" spans="1:6" ht="120">
      <c r="A88" s="72" t="s">
        <v>1138</v>
      </c>
      <c r="B88" s="72"/>
      <c r="C88" s="325" t="s">
        <v>1139</v>
      </c>
      <c r="D88" s="72"/>
    </row>
    <row r="89" spans="1:6" ht="120">
      <c r="A89" s="72" t="s">
        <v>1140</v>
      </c>
      <c r="B89" s="72"/>
      <c r="C89" s="325" t="s">
        <v>1141</v>
      </c>
      <c r="D89" s="71"/>
    </row>
    <row r="90" spans="1:6" ht="90">
      <c r="A90" s="72" t="s">
        <v>1142</v>
      </c>
      <c r="B90" s="71"/>
      <c r="C90" s="325" t="s">
        <v>1143</v>
      </c>
      <c r="D90" s="71"/>
    </row>
    <row r="91" spans="1:6" ht="150">
      <c r="A91" s="72" t="s">
        <v>1144</v>
      </c>
      <c r="B91" s="71"/>
      <c r="C91" s="325" t="s">
        <v>1145</v>
      </c>
      <c r="D91" s="71"/>
    </row>
    <row r="92" spans="1:6" ht="90">
      <c r="A92" s="72" t="s">
        <v>1146</v>
      </c>
      <c r="B92" s="71"/>
      <c r="C92" s="325" t="s">
        <v>1147</v>
      </c>
      <c r="D92" s="71"/>
    </row>
    <row r="93" spans="1:6" ht="150">
      <c r="A93" s="72" t="s">
        <v>1148</v>
      </c>
      <c r="B93" s="71"/>
      <c r="C93" s="325" t="s">
        <v>1149</v>
      </c>
      <c r="D93" s="71"/>
    </row>
    <row r="94" spans="1:6" ht="135">
      <c r="A94" s="72" t="s">
        <v>1150</v>
      </c>
      <c r="B94" s="71"/>
      <c r="C94" s="325" t="s">
        <v>1151</v>
      </c>
      <c r="D94" s="71"/>
    </row>
    <row r="95" spans="1:6" ht="105">
      <c r="A95" s="72" t="s">
        <v>1152</v>
      </c>
      <c r="B95" s="71"/>
      <c r="C95" s="325" t="s">
        <v>1153</v>
      </c>
      <c r="D95" s="71"/>
    </row>
    <row r="96" spans="1:6" ht="105">
      <c r="A96" s="72" t="s">
        <v>1154</v>
      </c>
      <c r="B96" s="71"/>
      <c r="C96" s="325" t="s">
        <v>1155</v>
      </c>
      <c r="D96" s="71"/>
    </row>
    <row r="97" spans="1:4" ht="150">
      <c r="A97" s="72" t="s">
        <v>1156</v>
      </c>
      <c r="B97" s="71"/>
      <c r="C97" s="325" t="s">
        <v>1157</v>
      </c>
      <c r="D97" s="71"/>
    </row>
    <row r="98" spans="1:4" ht="120">
      <c r="A98" s="72" t="s">
        <v>1158</v>
      </c>
      <c r="B98" s="71"/>
      <c r="C98" s="325" t="s">
        <v>1159</v>
      </c>
      <c r="D98" s="71"/>
    </row>
    <row r="99" spans="1:4" ht="120">
      <c r="A99" s="72" t="s">
        <v>1160</v>
      </c>
      <c r="B99" s="71"/>
      <c r="C99" s="325" t="s">
        <v>1161</v>
      </c>
      <c r="D99" s="71"/>
    </row>
    <row r="100" spans="1:4" ht="165">
      <c r="A100" s="72" t="s">
        <v>1162</v>
      </c>
      <c r="B100" s="71"/>
      <c r="C100" s="325" t="s">
        <v>1163</v>
      </c>
      <c r="D100" s="71"/>
    </row>
    <row r="101" spans="1:4" ht="105">
      <c r="A101" s="72" t="s">
        <v>1164</v>
      </c>
      <c r="B101" s="71"/>
      <c r="C101" s="325" t="s">
        <v>1165</v>
      </c>
      <c r="D101" s="71"/>
    </row>
    <row r="102" spans="1:4" ht="90">
      <c r="A102" s="72" t="s">
        <v>1166</v>
      </c>
      <c r="B102" s="71"/>
      <c r="C102" s="325" t="s">
        <v>1167</v>
      </c>
      <c r="D102" s="71"/>
    </row>
  </sheetData>
  <mergeCells count="6">
    <mergeCell ref="H1:H2"/>
    <mergeCell ref="B1:B2"/>
    <mergeCell ref="C1:C2"/>
    <mergeCell ref="E1:E2"/>
    <mergeCell ref="F1:F2"/>
    <mergeCell ref="G1:G2"/>
  </mergeCells>
  <hyperlinks>
    <hyperlink ref="F6" r:id="rId1" xr:uid="{00000000-0004-0000-1600-000000000000}"/>
    <hyperlink ref="F5" r:id="rId2" xr:uid="{00000000-0004-0000-1600-000001000000}"/>
    <hyperlink ref="F7" r:id="rId3" xr:uid="{00000000-0004-0000-1600-000002000000}"/>
    <hyperlink ref="F8" r:id="rId4" xr:uid="{00000000-0004-0000-1600-000003000000}"/>
    <hyperlink ref="F44" r:id="rId5" xr:uid="{00000000-0004-0000-1600-000004000000}"/>
    <hyperlink ref="H44" r:id="rId6" xr:uid="{00000000-0004-0000-1600-000005000000}"/>
    <hyperlink ref="F9" r:id="rId7" xr:uid="{00000000-0004-0000-1600-000006000000}"/>
    <hyperlink ref="H14" r:id="rId8" display="http://www.afdc.energy.gov/laws/key_legislation" xr:uid="{00000000-0004-0000-1600-000007000000}"/>
    <hyperlink ref="F17" r:id="rId9" xr:uid="{00000000-0004-0000-1600-000008000000}"/>
    <hyperlink ref="F32" r:id="rId10" xr:uid="{00000000-0004-0000-1600-000009000000}"/>
    <hyperlink ref="F31" r:id="rId11" xr:uid="{00000000-0004-0000-1600-00000A000000}"/>
    <hyperlink ref="F42" r:id="rId12" xr:uid="{00000000-0004-0000-1600-00000B000000}"/>
    <hyperlink ref="H42" r:id="rId13" xr:uid="{00000000-0004-0000-1600-00000C000000}"/>
    <hyperlink ref="F22" r:id="rId14" xr:uid="{00000000-0004-0000-1600-00000D000000}"/>
    <hyperlink ref="F26" r:id="rId15" xr:uid="{00000000-0004-0000-1600-00000E000000}"/>
    <hyperlink ref="F28" r:id="rId16" xr:uid="{00000000-0004-0000-1600-00000F000000}"/>
    <hyperlink ref="F40" r:id="rId17" xr:uid="{00000000-0004-0000-1600-000010000000}"/>
    <hyperlink ref="H40" r:id="rId18" xr:uid="{00000000-0004-0000-1600-000011000000}"/>
    <hyperlink ref="F21" r:id="rId19" xr:uid="{00000000-0004-0000-1600-000012000000}"/>
    <hyperlink ref="H21" r:id="rId20" xr:uid="{00000000-0004-0000-1600-000013000000}"/>
    <hyperlink ref="F38" r:id="rId21" xr:uid="{00000000-0004-0000-1600-000014000000}"/>
    <hyperlink ref="F39" r:id="rId22" xr:uid="{00000000-0004-0000-1600-000015000000}"/>
    <hyperlink ref="F23" r:id="rId23" xr:uid="{00000000-0004-0000-1600-000016000000}"/>
    <hyperlink ref="F18" r:id="rId24" xr:uid="{00000000-0004-0000-1600-000017000000}"/>
    <hyperlink ref="F19" r:id="rId25" xr:uid="{00000000-0004-0000-1600-000018000000}"/>
    <hyperlink ref="F20" r:id="rId26" xr:uid="{00000000-0004-0000-1600-000019000000}"/>
    <hyperlink ref="F11" r:id="rId27" xr:uid="{00000000-0004-0000-1600-00001A000000}"/>
    <hyperlink ref="F24" r:id="rId28" xr:uid="{00000000-0004-0000-1600-00001B000000}"/>
    <hyperlink ref="F25" r:id="rId29" xr:uid="{00000000-0004-0000-1600-00001C000000}"/>
    <hyperlink ref="F27" r:id="rId30" xr:uid="{00000000-0004-0000-1600-00001D000000}"/>
    <hyperlink ref="F29" r:id="rId31" xr:uid="{00000000-0004-0000-1600-00001E000000}"/>
    <hyperlink ref="F15" r:id="rId32" xr:uid="{00000000-0004-0000-1600-00001F000000}"/>
    <hyperlink ref="F30" r:id="rId33" xr:uid="{00000000-0004-0000-1600-000020000000}"/>
    <hyperlink ref="F33" r:id="rId34" xr:uid="{00000000-0004-0000-1600-000021000000}"/>
    <hyperlink ref="F34" r:id="rId35" xr:uid="{00000000-0004-0000-1600-000022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A1:BZ20"/>
  <sheetViews>
    <sheetView workbookViewId="0">
      <selection activeCell="F25" sqref="F25"/>
    </sheetView>
  </sheetViews>
  <sheetFormatPr defaultColWidth="11.42578125" defaultRowHeight="15"/>
  <cols>
    <col min="1" max="1" width="29.7109375" style="247" customWidth="1"/>
    <col min="3" max="3" width="44.42578125" customWidth="1"/>
    <col min="4" max="4" width="22.42578125" customWidth="1"/>
    <col min="5" max="5" width="23" customWidth="1"/>
    <col min="6" max="6" width="56.140625" bestFit="1" customWidth="1"/>
    <col min="7" max="7" width="24.85546875" style="21" customWidth="1"/>
    <col min="8" max="8" width="35.7109375" customWidth="1"/>
  </cols>
  <sheetData>
    <row r="1" spans="1:78" ht="18.95" customHeight="1">
      <c r="A1" s="238" t="s">
        <v>46</v>
      </c>
      <c r="B1" s="475"/>
      <c r="C1" s="475"/>
      <c r="D1" s="446"/>
      <c r="E1" s="475"/>
      <c r="F1" s="475"/>
      <c r="G1" s="475"/>
      <c r="H1" s="475"/>
    </row>
    <row r="2" spans="1:78" ht="18.95" customHeight="1">
      <c r="A2" s="385"/>
      <c r="B2" s="475"/>
      <c r="C2" s="475"/>
      <c r="D2" s="446"/>
      <c r="E2" s="475"/>
      <c r="F2" s="475"/>
      <c r="G2" s="475"/>
      <c r="H2" s="475"/>
    </row>
    <row r="3" spans="1:78" ht="18.95" customHeight="1">
      <c r="A3" s="388" t="s">
        <v>17</v>
      </c>
      <c r="B3" s="389"/>
      <c r="C3" s="389"/>
      <c r="D3" s="389"/>
      <c r="E3" s="389"/>
      <c r="F3" s="389"/>
      <c r="G3" s="389"/>
      <c r="H3" s="390"/>
    </row>
    <row r="4" spans="1:78">
      <c r="A4" s="246" t="s">
        <v>920</v>
      </c>
      <c r="B4" s="386" t="s">
        <v>921</v>
      </c>
      <c r="C4" s="386" t="s">
        <v>922</v>
      </c>
      <c r="D4" s="386" t="s">
        <v>923</v>
      </c>
      <c r="E4" s="386" t="s">
        <v>102</v>
      </c>
      <c r="F4" s="387" t="s">
        <v>103</v>
      </c>
      <c r="G4" s="386" t="s">
        <v>104</v>
      </c>
      <c r="H4" s="387" t="s">
        <v>105</v>
      </c>
    </row>
    <row r="5" spans="1:78" s="4" customFormat="1" ht="75" customHeight="1">
      <c r="A5" s="243" t="s">
        <v>1168</v>
      </c>
      <c r="B5" s="42">
        <v>2008</v>
      </c>
      <c r="C5" s="66" t="s">
        <v>1169</v>
      </c>
      <c r="D5" s="66" t="s">
        <v>1170</v>
      </c>
      <c r="E5" s="42"/>
      <c r="F5" s="67" t="s">
        <v>1171</v>
      </c>
      <c r="G5" s="42" t="s">
        <v>122</v>
      </c>
      <c r="H5" s="67" t="s">
        <v>1172</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s="17"/>
    </row>
    <row r="6" spans="1:78" ht="90">
      <c r="A6" s="243" t="s">
        <v>1173</v>
      </c>
      <c r="B6" s="42">
        <v>2009</v>
      </c>
      <c r="C6" s="66" t="s">
        <v>1174</v>
      </c>
      <c r="D6" s="66" t="s">
        <v>1175</v>
      </c>
      <c r="E6" s="66"/>
      <c r="F6" s="28" t="s">
        <v>1176</v>
      </c>
      <c r="G6" s="42"/>
      <c r="H6" s="28" t="s">
        <v>1177</v>
      </c>
    </row>
    <row r="7" spans="1:78" ht="81" customHeight="1">
      <c r="A7" s="243" t="s">
        <v>1178</v>
      </c>
      <c r="B7" s="42">
        <v>2010</v>
      </c>
      <c r="C7" s="66" t="s">
        <v>1179</v>
      </c>
      <c r="D7" s="66" t="s">
        <v>1180</v>
      </c>
      <c r="E7" s="42"/>
      <c r="F7" s="13" t="s">
        <v>1181</v>
      </c>
      <c r="G7" s="42"/>
      <c r="H7" s="4"/>
    </row>
    <row r="8" spans="1:78" ht="90" customHeight="1">
      <c r="A8" s="246" t="s">
        <v>1182</v>
      </c>
      <c r="B8" s="27">
        <v>2013</v>
      </c>
      <c r="C8" s="61" t="s">
        <v>1183</v>
      </c>
      <c r="D8" s="61" t="s">
        <v>1184</v>
      </c>
      <c r="E8" s="27"/>
      <c r="F8" s="110" t="s">
        <v>1185</v>
      </c>
      <c r="G8" s="111"/>
      <c r="H8" s="60"/>
    </row>
    <row r="9" spans="1:78" ht="124.5" customHeight="1">
      <c r="A9" s="243" t="s">
        <v>1186</v>
      </c>
      <c r="B9" s="42">
        <v>2013</v>
      </c>
      <c r="C9" s="66" t="s">
        <v>1187</v>
      </c>
      <c r="D9" s="66" t="s">
        <v>1188</v>
      </c>
      <c r="E9" s="42"/>
      <c r="F9" s="28" t="s">
        <v>1171</v>
      </c>
      <c r="G9" s="42"/>
      <c r="H9" s="4"/>
    </row>
    <row r="10" spans="1:78" ht="60">
      <c r="A10" s="243" t="s">
        <v>1189</v>
      </c>
      <c r="B10" s="42">
        <v>2016</v>
      </c>
      <c r="C10" s="66" t="s">
        <v>1190</v>
      </c>
      <c r="D10" s="66" t="s">
        <v>1191</v>
      </c>
      <c r="E10" s="66"/>
      <c r="F10" s="36" t="s">
        <v>1192</v>
      </c>
      <c r="G10" s="27"/>
      <c r="H10" s="113" t="s">
        <v>1193</v>
      </c>
    </row>
    <row r="13" spans="1:78">
      <c r="A13" s="257"/>
    </row>
    <row r="14" spans="1:78">
      <c r="A14" s="257"/>
    </row>
    <row r="15" spans="1:78">
      <c r="A15" s="257"/>
    </row>
    <row r="16" spans="1:78">
      <c r="A16" s="257"/>
    </row>
    <row r="17" spans="1:1">
      <c r="A17" s="257"/>
    </row>
    <row r="18" spans="1:1">
      <c r="A18" s="257"/>
    </row>
    <row r="19" spans="1:1">
      <c r="A19" s="257"/>
    </row>
    <row r="20" spans="1:1">
      <c r="A20" s="257"/>
    </row>
  </sheetData>
  <mergeCells count="6">
    <mergeCell ref="H1:H2"/>
    <mergeCell ref="B1:B2"/>
    <mergeCell ref="C1:C2"/>
    <mergeCell ref="E1:E2"/>
    <mergeCell ref="F1:F2"/>
    <mergeCell ref="G1:G2"/>
  </mergeCells>
  <hyperlinks>
    <hyperlink ref="F8" r:id="rId1" xr:uid="{00000000-0004-0000-1700-000000000000}"/>
    <hyperlink ref="F5" r:id="rId2" xr:uid="{00000000-0004-0000-1700-000001000000}"/>
    <hyperlink ref="H5" r:id="rId3" xr:uid="{00000000-0004-0000-1700-000002000000}"/>
    <hyperlink ref="F9" r:id="rId4" xr:uid="{00000000-0004-0000-1700-000003000000}"/>
    <hyperlink ref="F10" r:id="rId5" xr:uid="{00000000-0004-0000-1700-000004000000}"/>
    <hyperlink ref="H10" r:id="rId6" xr:uid="{00000000-0004-0000-1700-000005000000}"/>
    <hyperlink ref="F6" r:id="rId7" xr:uid="{00000000-0004-0000-1700-000006000000}"/>
    <hyperlink ref="H6" r:id="rId8" xr:uid="{00000000-0004-0000-1700-000007000000}"/>
    <hyperlink ref="F7" r:id="rId9"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H439"/>
  <sheetViews>
    <sheetView topLeftCell="A400" zoomScale="99" workbookViewId="0">
      <selection activeCell="A434" sqref="A434"/>
    </sheetView>
  </sheetViews>
  <sheetFormatPr defaultColWidth="8.85546875" defaultRowHeight="15"/>
  <cols>
    <col min="1" max="1" width="27.28515625" style="21" customWidth="1"/>
    <col min="2" max="2" width="26.42578125" style="21" customWidth="1"/>
    <col min="3" max="3" width="43" style="21" customWidth="1"/>
    <col min="4" max="4" width="27.85546875" customWidth="1"/>
    <col min="5" max="5" width="31.140625" customWidth="1"/>
    <col min="6" max="6" width="34.28515625" customWidth="1"/>
    <col min="7" max="7" width="22.140625" customWidth="1"/>
    <col min="8" max="8" width="21.28515625" customWidth="1"/>
  </cols>
  <sheetData>
    <row r="1" spans="1:8" ht="18.95" customHeight="1">
      <c r="A1" s="238" t="s">
        <v>46</v>
      </c>
      <c r="B1" s="475"/>
      <c r="C1" s="446"/>
      <c r="D1" s="446"/>
      <c r="E1" s="475"/>
      <c r="F1" s="477"/>
      <c r="H1" s="479"/>
    </row>
    <row r="2" spans="1:8" ht="18.95" customHeight="1">
      <c r="A2" s="244"/>
      <c r="B2" s="476"/>
      <c r="C2" s="447"/>
      <c r="D2" s="447"/>
      <c r="E2" s="476"/>
      <c r="F2" s="478"/>
      <c r="H2" s="479"/>
    </row>
    <row r="3" spans="1:8">
      <c r="A3" s="245"/>
      <c r="B3" s="22"/>
      <c r="C3" s="22"/>
      <c r="D3" s="22"/>
      <c r="E3" s="22"/>
      <c r="F3" s="278"/>
      <c r="G3" s="21"/>
      <c r="H3" s="479"/>
    </row>
    <row r="4" spans="1:8">
      <c r="A4" s="272" t="s">
        <v>46</v>
      </c>
      <c r="B4" s="26" t="s">
        <v>1194</v>
      </c>
      <c r="C4" s="26" t="s">
        <v>1195</v>
      </c>
      <c r="D4" s="26" t="s">
        <v>1196</v>
      </c>
      <c r="E4" s="26" t="s">
        <v>1195</v>
      </c>
      <c r="F4" s="14" t="s">
        <v>1197</v>
      </c>
      <c r="G4" s="50"/>
      <c r="H4" s="479"/>
    </row>
    <row r="5" spans="1:8" ht="120">
      <c r="A5" s="42" t="s">
        <v>1198</v>
      </c>
      <c r="B5" s="66" t="s">
        <v>1199</v>
      </c>
      <c r="C5" s="66" t="s">
        <v>1200</v>
      </c>
      <c r="D5" s="4"/>
      <c r="E5" s="4"/>
      <c r="F5" s="4"/>
    </row>
    <row r="6" spans="1:8" ht="189" customHeight="1">
      <c r="A6" s="42" t="s">
        <v>1198</v>
      </c>
      <c r="B6" s="66" t="s">
        <v>1201</v>
      </c>
      <c r="C6" s="66" t="s">
        <v>1202</v>
      </c>
      <c r="D6" s="4"/>
      <c r="E6" s="4"/>
      <c r="F6" s="4"/>
    </row>
    <row r="7" spans="1:8" ht="100.5" customHeight="1">
      <c r="A7" s="42" t="s">
        <v>1198</v>
      </c>
      <c r="B7" s="66" t="s">
        <v>1203</v>
      </c>
      <c r="C7" s="66" t="s">
        <v>1204</v>
      </c>
      <c r="D7" s="4"/>
      <c r="E7" s="4"/>
      <c r="F7" s="4"/>
    </row>
    <row r="8" spans="1:8" ht="132" customHeight="1">
      <c r="A8" s="42" t="s">
        <v>1198</v>
      </c>
      <c r="B8" s="66" t="s">
        <v>1205</v>
      </c>
      <c r="C8" s="66" t="s">
        <v>1206</v>
      </c>
      <c r="D8" s="4"/>
      <c r="E8" s="4"/>
      <c r="F8" s="4"/>
    </row>
    <row r="9" spans="1:8" ht="135" customHeight="1">
      <c r="A9" s="42" t="s">
        <v>1198</v>
      </c>
      <c r="B9" s="66" t="s">
        <v>1207</v>
      </c>
      <c r="C9" s="66" t="s">
        <v>1208</v>
      </c>
      <c r="D9" s="4"/>
      <c r="E9" s="4"/>
      <c r="F9" s="4"/>
    </row>
    <row r="10" spans="1:8" ht="114" customHeight="1">
      <c r="A10" s="42" t="s">
        <v>1198</v>
      </c>
      <c r="B10" s="66" t="s">
        <v>1209</v>
      </c>
      <c r="C10" s="66" t="s">
        <v>1210</v>
      </c>
      <c r="D10" s="4"/>
      <c r="E10" s="4"/>
      <c r="F10" s="4"/>
    </row>
    <row r="11" spans="1:8" ht="204" customHeight="1">
      <c r="A11" s="42" t="s">
        <v>1198</v>
      </c>
      <c r="B11" s="66" t="s">
        <v>1211</v>
      </c>
      <c r="C11" s="66" t="s">
        <v>1212</v>
      </c>
      <c r="D11" s="4"/>
      <c r="E11" s="4"/>
      <c r="F11" s="4"/>
    </row>
    <row r="12" spans="1:8" ht="187.5" customHeight="1">
      <c r="A12" s="42" t="s">
        <v>1198</v>
      </c>
      <c r="B12" s="66" t="s">
        <v>1213</v>
      </c>
      <c r="C12" s="66" t="s">
        <v>1214</v>
      </c>
      <c r="D12" s="4"/>
      <c r="E12" s="4"/>
      <c r="F12" s="4"/>
    </row>
    <row r="13" spans="1:8" ht="210" customHeight="1">
      <c r="A13" s="42" t="s">
        <v>1198</v>
      </c>
      <c r="B13" s="66" t="s">
        <v>1215</v>
      </c>
      <c r="C13" s="382" t="s">
        <v>1216</v>
      </c>
      <c r="D13" s="4"/>
      <c r="E13" s="4"/>
      <c r="F13" s="4"/>
    </row>
    <row r="14" spans="1:8" ht="207" customHeight="1">
      <c r="A14" s="42" t="s">
        <v>1198</v>
      </c>
      <c r="B14" s="66" t="s">
        <v>1217</v>
      </c>
      <c r="C14" s="382" t="s">
        <v>1218</v>
      </c>
      <c r="D14" s="4"/>
      <c r="E14" s="4"/>
      <c r="F14" s="4"/>
    </row>
    <row r="15" spans="1:8" ht="248.25" customHeight="1">
      <c r="A15" s="42" t="s">
        <v>1198</v>
      </c>
      <c r="B15" s="66" t="s">
        <v>1219</v>
      </c>
      <c r="C15" s="382" t="s">
        <v>1220</v>
      </c>
      <c r="D15" s="4"/>
      <c r="E15" s="4"/>
      <c r="F15" s="4"/>
    </row>
    <row r="16" spans="1:8" ht="174" customHeight="1">
      <c r="A16" s="42" t="s">
        <v>1198</v>
      </c>
      <c r="B16" s="66" t="s">
        <v>1221</v>
      </c>
      <c r="C16" s="382" t="s">
        <v>1222</v>
      </c>
      <c r="D16" s="4"/>
      <c r="E16" s="4"/>
      <c r="F16" s="4"/>
    </row>
    <row r="17" spans="1:6" ht="409.5" customHeight="1">
      <c r="A17" s="42" t="s">
        <v>1198</v>
      </c>
      <c r="B17" s="66" t="s">
        <v>1223</v>
      </c>
      <c r="C17" s="382" t="s">
        <v>1224</v>
      </c>
      <c r="D17" s="4"/>
      <c r="E17" s="4"/>
      <c r="F17" s="4"/>
    </row>
    <row r="18" spans="1:6" ht="135">
      <c r="A18" s="42" t="s">
        <v>1198</v>
      </c>
      <c r="B18" s="66" t="s">
        <v>1225</v>
      </c>
      <c r="C18" s="382" t="s">
        <v>1226</v>
      </c>
      <c r="D18" s="4"/>
      <c r="E18" s="4"/>
      <c r="F18" s="4"/>
    </row>
    <row r="19" spans="1:6" ht="174" customHeight="1">
      <c r="A19" s="42" t="s">
        <v>1198</v>
      </c>
      <c r="B19" s="66" t="s">
        <v>1227</v>
      </c>
      <c r="C19" s="382" t="s">
        <v>1228</v>
      </c>
      <c r="D19" s="4"/>
      <c r="E19" s="4"/>
      <c r="F19" s="4"/>
    </row>
    <row r="20" spans="1:6" ht="196.5" customHeight="1">
      <c r="A20" s="42" t="s">
        <v>1198</v>
      </c>
      <c r="B20" s="66" t="s">
        <v>1229</v>
      </c>
      <c r="C20" s="382" t="s">
        <v>1230</v>
      </c>
      <c r="D20" s="4"/>
      <c r="E20" s="4"/>
      <c r="F20" s="4"/>
    </row>
    <row r="21" spans="1:6" ht="139.5" customHeight="1">
      <c r="A21" s="42" t="s">
        <v>1198</v>
      </c>
      <c r="B21" s="66" t="s">
        <v>1231</v>
      </c>
      <c r="C21" s="382" t="s">
        <v>1232</v>
      </c>
      <c r="D21" s="4"/>
      <c r="E21" s="4"/>
      <c r="F21" s="4"/>
    </row>
    <row r="22" spans="1:6" ht="118.5" customHeight="1">
      <c r="A22" s="42" t="s">
        <v>1198</v>
      </c>
      <c r="B22" s="66" t="s">
        <v>1233</v>
      </c>
      <c r="C22" s="382" t="s">
        <v>1234</v>
      </c>
      <c r="D22" s="4"/>
      <c r="E22" s="4"/>
      <c r="F22" s="4"/>
    </row>
    <row r="23" spans="1:6" ht="157.5" customHeight="1">
      <c r="A23" s="42" t="s">
        <v>1198</v>
      </c>
      <c r="B23" s="66" t="s">
        <v>1235</v>
      </c>
      <c r="C23" s="382" t="s">
        <v>1236</v>
      </c>
      <c r="D23" s="4"/>
      <c r="E23" s="4"/>
      <c r="F23" s="4"/>
    </row>
    <row r="24" spans="1:6" ht="201" customHeight="1">
      <c r="A24" s="42" t="s">
        <v>1198</v>
      </c>
      <c r="B24" s="66" t="s">
        <v>1237</v>
      </c>
      <c r="C24" s="382" t="s">
        <v>1238</v>
      </c>
      <c r="D24" s="4"/>
      <c r="E24" s="4"/>
      <c r="F24" s="4"/>
    </row>
    <row r="25" spans="1:6" ht="166.5" customHeight="1">
      <c r="A25" s="42" t="s">
        <v>1198</v>
      </c>
      <c r="B25" s="66" t="s">
        <v>1239</v>
      </c>
      <c r="C25" s="382" t="s">
        <v>1240</v>
      </c>
      <c r="D25" s="4"/>
      <c r="E25" s="4"/>
      <c r="F25" s="4"/>
    </row>
    <row r="26" spans="1:6" ht="159" customHeight="1">
      <c r="A26" s="42" t="s">
        <v>1198</v>
      </c>
      <c r="B26" s="66" t="s">
        <v>1241</v>
      </c>
      <c r="C26" s="382" t="s">
        <v>1242</v>
      </c>
      <c r="D26" s="4"/>
      <c r="E26" s="4"/>
      <c r="F26" s="4"/>
    </row>
    <row r="27" spans="1:6" ht="123" customHeight="1">
      <c r="A27" s="42" t="s">
        <v>1198</v>
      </c>
      <c r="B27" s="66" t="s">
        <v>1243</v>
      </c>
      <c r="C27" s="382" t="s">
        <v>1244</v>
      </c>
      <c r="D27" s="4"/>
      <c r="E27" s="4"/>
      <c r="F27" s="4"/>
    </row>
    <row r="28" spans="1:6" ht="130.5" customHeight="1">
      <c r="A28" s="42" t="s">
        <v>1245</v>
      </c>
      <c r="B28" s="66" t="s">
        <v>1246</v>
      </c>
      <c r="C28" s="66" t="s">
        <v>1247</v>
      </c>
      <c r="D28" s="4"/>
      <c r="E28" s="4"/>
      <c r="F28" s="4"/>
    </row>
    <row r="29" spans="1:6" ht="218.25" customHeight="1">
      <c r="A29" s="42" t="s">
        <v>1245</v>
      </c>
      <c r="B29" s="66" t="s">
        <v>1248</v>
      </c>
      <c r="C29" s="66" t="s">
        <v>1249</v>
      </c>
      <c r="D29" s="4"/>
      <c r="E29" s="4"/>
      <c r="F29" s="4"/>
    </row>
    <row r="30" spans="1:6" ht="75">
      <c r="A30" s="42" t="s">
        <v>1245</v>
      </c>
      <c r="B30" s="66" t="s">
        <v>1250</v>
      </c>
      <c r="C30" s="66" t="s">
        <v>1251</v>
      </c>
      <c r="D30" s="4"/>
      <c r="E30" s="4"/>
      <c r="F30" s="4"/>
    </row>
    <row r="31" spans="1:6" ht="75">
      <c r="A31" s="42" t="s">
        <v>1245</v>
      </c>
      <c r="B31" s="42" t="s">
        <v>1252</v>
      </c>
      <c r="C31" s="66" t="s">
        <v>1253</v>
      </c>
      <c r="D31" s="4"/>
      <c r="E31" s="4"/>
      <c r="F31" s="4"/>
    </row>
    <row r="32" spans="1:6" ht="60">
      <c r="A32" s="42" t="s">
        <v>1245</v>
      </c>
      <c r="B32" s="42" t="s">
        <v>1254</v>
      </c>
      <c r="C32" s="66" t="s">
        <v>1255</v>
      </c>
      <c r="D32" s="4"/>
      <c r="E32" s="4"/>
      <c r="F32" s="4"/>
    </row>
    <row r="33" spans="1:6" ht="273" customHeight="1">
      <c r="A33" s="42" t="s">
        <v>1245</v>
      </c>
      <c r="B33" s="66" t="s">
        <v>1256</v>
      </c>
      <c r="C33" s="66" t="s">
        <v>1257</v>
      </c>
      <c r="D33" s="4"/>
      <c r="E33" s="4"/>
      <c r="F33" s="4"/>
    </row>
    <row r="34" spans="1:6" ht="120">
      <c r="A34" s="42" t="s">
        <v>1245</v>
      </c>
      <c r="B34" s="66" t="s">
        <v>1258</v>
      </c>
      <c r="C34" s="66" t="s">
        <v>1259</v>
      </c>
      <c r="D34" s="4"/>
      <c r="E34" s="4"/>
      <c r="F34" s="4"/>
    </row>
    <row r="35" spans="1:6" ht="60">
      <c r="A35" s="42" t="s">
        <v>1245</v>
      </c>
      <c r="B35" s="66" t="s">
        <v>1260</v>
      </c>
      <c r="C35" s="66" t="s">
        <v>1261</v>
      </c>
      <c r="D35" s="4"/>
      <c r="E35" s="4"/>
      <c r="F35" s="4"/>
    </row>
    <row r="36" spans="1:6" ht="162.75" customHeight="1">
      <c r="A36" s="42" t="s">
        <v>1245</v>
      </c>
      <c r="B36" s="66" t="s">
        <v>1262</v>
      </c>
      <c r="C36" s="66" t="s">
        <v>1263</v>
      </c>
      <c r="D36" s="4"/>
      <c r="E36" s="4"/>
      <c r="F36" s="4"/>
    </row>
    <row r="37" spans="1:6" ht="105">
      <c r="A37" s="42" t="s">
        <v>1245</v>
      </c>
      <c r="B37" s="66" t="s">
        <v>1264</v>
      </c>
      <c r="C37" s="66" t="s">
        <v>1265</v>
      </c>
      <c r="D37" s="4"/>
      <c r="E37" s="4"/>
      <c r="F37" s="4"/>
    </row>
    <row r="38" spans="1:6" ht="75">
      <c r="A38" s="24" t="s">
        <v>1245</v>
      </c>
      <c r="B38" s="276" t="s">
        <v>1266</v>
      </c>
      <c r="C38" s="276" t="s">
        <v>1267</v>
      </c>
      <c r="D38" s="15"/>
      <c r="E38" s="15"/>
      <c r="F38" s="15"/>
    </row>
    <row r="39" spans="1:6" ht="202.5" customHeight="1">
      <c r="A39" s="42" t="s">
        <v>1245</v>
      </c>
      <c r="B39" s="66" t="s">
        <v>1268</v>
      </c>
      <c r="C39" s="66" t="s">
        <v>1269</v>
      </c>
      <c r="D39" s="4"/>
      <c r="E39" s="4"/>
      <c r="F39" s="4"/>
    </row>
    <row r="40" spans="1:6" ht="60">
      <c r="A40" s="66" t="s">
        <v>1270</v>
      </c>
      <c r="B40" s="66" t="s">
        <v>1271</v>
      </c>
      <c r="C40" s="66" t="s">
        <v>1272</v>
      </c>
      <c r="D40" s="4"/>
      <c r="E40" s="4"/>
      <c r="F40" s="4"/>
    </row>
    <row r="41" spans="1:6" ht="75">
      <c r="A41" s="66" t="s">
        <v>1270</v>
      </c>
      <c r="B41" s="66" t="s">
        <v>1273</v>
      </c>
      <c r="C41" s="66" t="s">
        <v>1274</v>
      </c>
      <c r="D41" s="4"/>
      <c r="E41" s="4"/>
      <c r="F41" s="4"/>
    </row>
    <row r="42" spans="1:6" ht="135">
      <c r="A42" s="66" t="s">
        <v>1270</v>
      </c>
      <c r="B42" s="66" t="s">
        <v>1215</v>
      </c>
      <c r="C42" s="66" t="s">
        <v>1275</v>
      </c>
      <c r="D42" s="4"/>
      <c r="E42" s="4"/>
      <c r="F42" s="4"/>
    </row>
    <row r="43" spans="1:6" ht="105">
      <c r="A43" s="66" t="s">
        <v>1270</v>
      </c>
      <c r="B43" s="66" t="s">
        <v>1276</v>
      </c>
      <c r="C43" s="66" t="s">
        <v>1277</v>
      </c>
      <c r="D43" s="4"/>
      <c r="E43" s="4"/>
      <c r="F43" s="4"/>
    </row>
    <row r="44" spans="1:6" ht="90">
      <c r="A44" s="66" t="s">
        <v>1270</v>
      </c>
      <c r="B44" s="66" t="s">
        <v>1278</v>
      </c>
      <c r="C44" s="66" t="s">
        <v>1279</v>
      </c>
      <c r="D44" s="4"/>
      <c r="E44" s="4"/>
      <c r="F44" s="4"/>
    </row>
    <row r="45" spans="1:6" ht="60">
      <c r="A45" s="66" t="s">
        <v>1270</v>
      </c>
      <c r="B45" s="66" t="s">
        <v>1280</v>
      </c>
      <c r="C45" s="66" t="s">
        <v>1281</v>
      </c>
      <c r="D45" s="4"/>
      <c r="E45" s="4"/>
      <c r="F45" s="4"/>
    </row>
    <row r="46" spans="1:6" ht="45">
      <c r="A46" s="66" t="s">
        <v>1270</v>
      </c>
      <c r="B46" s="276" t="s">
        <v>1282</v>
      </c>
      <c r="C46" s="276" t="s">
        <v>1283</v>
      </c>
      <c r="D46" s="15"/>
      <c r="E46" s="15"/>
      <c r="F46" s="15"/>
    </row>
    <row r="47" spans="1:6" ht="45">
      <c r="A47" s="377" t="s">
        <v>1270</v>
      </c>
      <c r="B47" s="66" t="s">
        <v>1284</v>
      </c>
      <c r="C47" s="66" t="s">
        <v>1285</v>
      </c>
      <c r="D47" s="4"/>
      <c r="E47" s="4"/>
      <c r="F47" s="4"/>
    </row>
    <row r="48" spans="1:6" ht="90">
      <c r="A48" s="377" t="s">
        <v>1270</v>
      </c>
      <c r="B48" s="66" t="s">
        <v>1286</v>
      </c>
      <c r="C48" s="66" t="s">
        <v>1287</v>
      </c>
      <c r="D48" s="4"/>
      <c r="E48" s="4"/>
      <c r="F48" s="4"/>
    </row>
    <row r="49" spans="1:6" ht="90">
      <c r="A49" s="377" t="s">
        <v>1270</v>
      </c>
      <c r="B49" s="42" t="s">
        <v>1288</v>
      </c>
      <c r="C49" s="66" t="s">
        <v>1289</v>
      </c>
      <c r="D49" s="4"/>
      <c r="E49" s="4"/>
      <c r="F49" s="4"/>
    </row>
    <row r="50" spans="1:6" ht="75">
      <c r="A50" s="377" t="s">
        <v>1270</v>
      </c>
      <c r="B50" s="42" t="s">
        <v>1290</v>
      </c>
      <c r="C50" s="66" t="s">
        <v>1291</v>
      </c>
      <c r="D50" s="4"/>
      <c r="E50" s="4"/>
      <c r="F50" s="4"/>
    </row>
    <row r="51" spans="1:6" ht="75">
      <c r="A51" s="377" t="s">
        <v>1270</v>
      </c>
      <c r="B51" s="66" t="s">
        <v>1292</v>
      </c>
      <c r="C51" s="66" t="s">
        <v>1293</v>
      </c>
      <c r="D51" s="4"/>
      <c r="E51" s="4"/>
      <c r="F51" s="4"/>
    </row>
    <row r="52" spans="1:6" ht="189.75" customHeight="1">
      <c r="A52" s="377" t="s">
        <v>1270</v>
      </c>
      <c r="B52" s="66" t="s">
        <v>1294</v>
      </c>
      <c r="C52" s="66" t="s">
        <v>1295</v>
      </c>
      <c r="D52" s="4"/>
      <c r="E52" s="4"/>
      <c r="F52" s="4"/>
    </row>
    <row r="53" spans="1:6" ht="60">
      <c r="A53" s="377" t="s">
        <v>1270</v>
      </c>
      <c r="B53" s="66" t="s">
        <v>1296</v>
      </c>
      <c r="C53" s="66" t="s">
        <v>1297</v>
      </c>
      <c r="D53" s="4"/>
      <c r="E53" s="4"/>
      <c r="F53" s="4"/>
    </row>
    <row r="54" spans="1:6" ht="45">
      <c r="A54" s="378" t="s">
        <v>1270</v>
      </c>
      <c r="B54" s="276" t="s">
        <v>1298</v>
      </c>
      <c r="C54" s="276" t="s">
        <v>1299</v>
      </c>
      <c r="D54" s="15"/>
      <c r="E54" s="15"/>
      <c r="F54" s="15"/>
    </row>
    <row r="55" spans="1:6" ht="75">
      <c r="A55" s="66" t="s">
        <v>1300</v>
      </c>
      <c r="B55" s="276" t="s">
        <v>1301</v>
      </c>
      <c r="C55" s="276" t="s">
        <v>1302</v>
      </c>
      <c r="D55" s="15"/>
      <c r="E55" s="15"/>
      <c r="F55" s="15"/>
    </row>
    <row r="56" spans="1:6" ht="191.25" customHeight="1">
      <c r="A56" s="377" t="s">
        <v>1300</v>
      </c>
      <c r="B56" s="66" t="s">
        <v>1303</v>
      </c>
      <c r="C56" s="66" t="s">
        <v>1304</v>
      </c>
      <c r="D56" s="4"/>
      <c r="E56" s="4"/>
      <c r="F56" s="4"/>
    </row>
    <row r="57" spans="1:6" ht="75">
      <c r="A57" s="379" t="s">
        <v>1300</v>
      </c>
      <c r="B57" s="27" t="s">
        <v>1286</v>
      </c>
      <c r="C57" s="61" t="s">
        <v>1305</v>
      </c>
      <c r="D57" s="19"/>
      <c r="E57" s="19"/>
      <c r="F57" s="19"/>
    </row>
    <row r="58" spans="1:6" ht="45">
      <c r="A58" s="378" t="s">
        <v>1300</v>
      </c>
      <c r="B58" s="276" t="s">
        <v>1306</v>
      </c>
      <c r="C58" s="276" t="s">
        <v>1307</v>
      </c>
      <c r="D58" s="15"/>
      <c r="E58" s="15"/>
      <c r="F58" s="15"/>
    </row>
    <row r="59" spans="1:6" ht="60">
      <c r="A59" s="42" t="s">
        <v>1308</v>
      </c>
      <c r="B59" s="66" t="s">
        <v>1309</v>
      </c>
      <c r="C59" s="66" t="s">
        <v>1310</v>
      </c>
      <c r="D59" s="4"/>
      <c r="E59" s="4"/>
      <c r="F59" s="4"/>
    </row>
    <row r="60" spans="1:6" ht="105">
      <c r="A60" s="42" t="s">
        <v>1308</v>
      </c>
      <c r="B60" s="66" t="s">
        <v>1311</v>
      </c>
      <c r="C60" s="66" t="s">
        <v>1312</v>
      </c>
      <c r="D60" s="4"/>
      <c r="E60" s="4"/>
      <c r="F60" s="4"/>
    </row>
    <row r="61" spans="1:6" ht="105">
      <c r="A61" s="42" t="s">
        <v>1308</v>
      </c>
      <c r="B61" s="66" t="s">
        <v>1313</v>
      </c>
      <c r="C61" s="66" t="s">
        <v>1314</v>
      </c>
      <c r="D61" s="4"/>
      <c r="E61" s="4"/>
      <c r="F61" s="4"/>
    </row>
    <row r="62" spans="1:6" ht="105">
      <c r="A62" s="24" t="s">
        <v>1308</v>
      </c>
      <c r="B62" s="276" t="s">
        <v>1315</v>
      </c>
      <c r="C62" s="276" t="s">
        <v>1316</v>
      </c>
      <c r="D62" s="15"/>
      <c r="E62" s="15"/>
      <c r="F62" s="15"/>
    </row>
    <row r="63" spans="1:6" ht="75">
      <c r="A63" s="42" t="s">
        <v>1317</v>
      </c>
      <c r="B63" s="66" t="s">
        <v>1318</v>
      </c>
      <c r="C63" s="66" t="s">
        <v>1319</v>
      </c>
      <c r="D63" s="4"/>
      <c r="E63" s="4"/>
      <c r="F63" s="4"/>
    </row>
    <row r="64" spans="1:6" ht="120">
      <c r="A64" s="42" t="s">
        <v>1317</v>
      </c>
      <c r="B64" s="66" t="s">
        <v>1320</v>
      </c>
      <c r="C64" s="66" t="s">
        <v>1321</v>
      </c>
      <c r="D64" s="4"/>
      <c r="E64" s="4"/>
      <c r="F64" s="4"/>
    </row>
    <row r="65" spans="1:6" ht="120">
      <c r="A65" s="42" t="s">
        <v>1317</v>
      </c>
      <c r="B65" s="66" t="s">
        <v>1322</v>
      </c>
      <c r="C65" s="66" t="s">
        <v>1323</v>
      </c>
      <c r="D65" s="4"/>
      <c r="E65" s="4"/>
      <c r="F65" s="4"/>
    </row>
    <row r="66" spans="1:6" ht="180">
      <c r="A66" s="42" t="s">
        <v>1317</v>
      </c>
      <c r="B66" s="66" t="s">
        <v>1324</v>
      </c>
      <c r="C66" s="66" t="s">
        <v>1325</v>
      </c>
      <c r="D66" s="4"/>
      <c r="E66" s="4"/>
      <c r="F66" s="4"/>
    </row>
    <row r="67" spans="1:6" ht="90">
      <c r="A67" s="42" t="s">
        <v>1317</v>
      </c>
      <c r="B67" s="66" t="s">
        <v>1326</v>
      </c>
      <c r="C67" s="66" t="s">
        <v>1327</v>
      </c>
      <c r="D67" s="4"/>
      <c r="E67" s="4"/>
      <c r="F67" s="4"/>
    </row>
    <row r="68" spans="1:6" ht="135">
      <c r="A68" s="24" t="s">
        <v>1317</v>
      </c>
      <c r="B68" s="276" t="s">
        <v>1328</v>
      </c>
      <c r="C68" s="276" t="s">
        <v>1329</v>
      </c>
      <c r="D68" s="15"/>
      <c r="E68" s="15"/>
      <c r="F68" s="15"/>
    </row>
    <row r="69" spans="1:6" ht="75">
      <c r="A69" s="42" t="s">
        <v>1330</v>
      </c>
      <c r="B69" s="66" t="s">
        <v>1331</v>
      </c>
      <c r="C69" s="66" t="s">
        <v>1332</v>
      </c>
      <c r="D69" s="4"/>
      <c r="E69" s="4"/>
      <c r="F69" s="4"/>
    </row>
    <row r="70" spans="1:6" ht="112.5" customHeight="1">
      <c r="A70" s="42" t="s">
        <v>1330</v>
      </c>
      <c r="B70" s="66" t="s">
        <v>1333</v>
      </c>
      <c r="C70" s="66" t="s">
        <v>1334</v>
      </c>
      <c r="D70" s="4"/>
      <c r="E70" s="4"/>
      <c r="F70" s="4"/>
    </row>
    <row r="71" spans="1:6" ht="90">
      <c r="A71" s="42" t="s">
        <v>1330</v>
      </c>
      <c r="B71" s="66" t="s">
        <v>1335</v>
      </c>
      <c r="C71" s="66" t="s">
        <v>1336</v>
      </c>
      <c r="D71" s="4"/>
      <c r="E71" s="4"/>
      <c r="F71" s="4"/>
    </row>
    <row r="72" spans="1:6" ht="173.25" customHeight="1">
      <c r="A72" s="24" t="s">
        <v>1330</v>
      </c>
      <c r="B72" s="276" t="s">
        <v>1337</v>
      </c>
      <c r="C72" s="276" t="s">
        <v>1338</v>
      </c>
      <c r="D72" s="15"/>
      <c r="E72" s="15"/>
      <c r="F72" s="15"/>
    </row>
    <row r="73" spans="1:6" ht="165" customHeight="1">
      <c r="A73" s="42" t="s">
        <v>1339</v>
      </c>
      <c r="B73" s="66" t="s">
        <v>1340</v>
      </c>
      <c r="C73" s="66" t="s">
        <v>1341</v>
      </c>
      <c r="D73" s="4"/>
      <c r="E73" s="4"/>
      <c r="F73" s="4"/>
    </row>
    <row r="74" spans="1:6" ht="60">
      <c r="A74" s="42" t="s">
        <v>1339</v>
      </c>
      <c r="B74" s="42" t="s">
        <v>1342</v>
      </c>
      <c r="C74" s="66" t="s">
        <v>1343</v>
      </c>
      <c r="D74" s="4"/>
      <c r="E74" s="4"/>
      <c r="F74" s="4"/>
    </row>
    <row r="75" spans="1:6" ht="98.25" customHeight="1">
      <c r="A75" s="42" t="s">
        <v>1339</v>
      </c>
      <c r="B75" s="66" t="s">
        <v>1344</v>
      </c>
      <c r="C75" s="66" t="s">
        <v>1345</v>
      </c>
      <c r="D75" s="4"/>
      <c r="E75" s="4"/>
      <c r="F75" s="4"/>
    </row>
    <row r="76" spans="1:6" ht="111.75" customHeight="1">
      <c r="A76" s="42" t="s">
        <v>1339</v>
      </c>
      <c r="B76" s="66" t="s">
        <v>1346</v>
      </c>
      <c r="C76" s="66" t="s">
        <v>1347</v>
      </c>
      <c r="D76" s="4"/>
      <c r="E76" s="4"/>
      <c r="F76" s="4"/>
    </row>
    <row r="77" spans="1:6" ht="157.5" customHeight="1">
      <c r="A77" s="42" t="s">
        <v>1339</v>
      </c>
      <c r="B77" s="66" t="s">
        <v>1348</v>
      </c>
      <c r="C77" s="66" t="s">
        <v>1349</v>
      </c>
      <c r="D77" s="4"/>
      <c r="E77" s="4"/>
      <c r="F77" s="4"/>
    </row>
    <row r="78" spans="1:6" ht="330" customHeight="1">
      <c r="A78" s="42" t="s">
        <v>1339</v>
      </c>
      <c r="B78" s="66" t="s">
        <v>1350</v>
      </c>
      <c r="C78" s="66" t="s">
        <v>1351</v>
      </c>
      <c r="D78" s="4"/>
      <c r="E78" s="4"/>
      <c r="F78" s="4"/>
    </row>
    <row r="79" spans="1:6" ht="60">
      <c r="A79" s="42" t="s">
        <v>1339</v>
      </c>
      <c r="B79" s="66" t="s">
        <v>1352</v>
      </c>
      <c r="C79" s="66" t="s">
        <v>1353</v>
      </c>
      <c r="D79" s="4"/>
      <c r="E79" s="4"/>
      <c r="F79" s="4"/>
    </row>
    <row r="80" spans="1:6" ht="153" customHeight="1">
      <c r="A80" s="24" t="s">
        <v>1339</v>
      </c>
      <c r="B80" s="276" t="s">
        <v>1354</v>
      </c>
      <c r="C80" s="276" t="s">
        <v>1355</v>
      </c>
      <c r="D80" s="15"/>
      <c r="E80" s="15"/>
      <c r="F80" s="15"/>
    </row>
    <row r="81" spans="1:6" ht="90">
      <c r="A81" s="42" t="s">
        <v>1356</v>
      </c>
      <c r="B81" s="66" t="s">
        <v>1357</v>
      </c>
      <c r="C81" s="66" t="s">
        <v>1358</v>
      </c>
      <c r="D81" s="4"/>
      <c r="E81" s="4"/>
      <c r="F81" s="4"/>
    </row>
    <row r="82" spans="1:6" ht="60">
      <c r="A82" s="42" t="s">
        <v>1356</v>
      </c>
      <c r="B82" s="42" t="s">
        <v>1359</v>
      </c>
      <c r="C82" s="66" t="s">
        <v>1360</v>
      </c>
      <c r="D82" s="4"/>
      <c r="E82" s="4"/>
      <c r="F82" s="4"/>
    </row>
    <row r="83" spans="1:6" ht="60">
      <c r="A83" s="42" t="s">
        <v>1356</v>
      </c>
      <c r="B83" s="66" t="s">
        <v>1361</v>
      </c>
      <c r="C83" s="66" t="s">
        <v>1362</v>
      </c>
      <c r="D83" s="4"/>
      <c r="E83" s="4"/>
      <c r="F83" s="4"/>
    </row>
    <row r="84" spans="1:6" ht="53.25" customHeight="1">
      <c r="A84" s="42" t="s">
        <v>1356</v>
      </c>
      <c r="B84" s="66" t="s">
        <v>1363</v>
      </c>
      <c r="C84" s="66" t="s">
        <v>1364</v>
      </c>
      <c r="D84" s="4"/>
      <c r="E84" s="4"/>
      <c r="F84" s="4"/>
    </row>
    <row r="85" spans="1:6" ht="135">
      <c r="A85" s="42" t="s">
        <v>1356</v>
      </c>
      <c r="B85" s="66" t="s">
        <v>1365</v>
      </c>
      <c r="C85" s="66" t="s">
        <v>1366</v>
      </c>
      <c r="D85" s="4"/>
      <c r="E85" s="4"/>
      <c r="F85" s="4"/>
    </row>
    <row r="86" spans="1:6" ht="105">
      <c r="A86" s="42" t="s">
        <v>1356</v>
      </c>
      <c r="B86" s="66" t="s">
        <v>1367</v>
      </c>
      <c r="C86" s="66" t="s">
        <v>1368</v>
      </c>
      <c r="D86" s="4"/>
      <c r="E86" s="4"/>
      <c r="F86" s="4"/>
    </row>
    <row r="87" spans="1:6" ht="60">
      <c r="A87" s="42" t="s">
        <v>1356</v>
      </c>
      <c r="B87" s="42" t="s">
        <v>1369</v>
      </c>
      <c r="C87" s="66" t="s">
        <v>1370</v>
      </c>
      <c r="D87" s="4"/>
      <c r="E87" s="4"/>
      <c r="F87" s="4"/>
    </row>
    <row r="88" spans="1:6" ht="195" customHeight="1">
      <c r="A88" s="42" t="s">
        <v>1356</v>
      </c>
      <c r="B88" s="66" t="s">
        <v>1104</v>
      </c>
      <c r="C88" s="66" t="s">
        <v>1371</v>
      </c>
      <c r="D88" s="4"/>
      <c r="E88" s="4"/>
      <c r="F88" s="4"/>
    </row>
    <row r="89" spans="1:6" ht="207" customHeight="1">
      <c r="A89" s="42" t="s">
        <v>1356</v>
      </c>
      <c r="B89" s="66" t="s">
        <v>1372</v>
      </c>
      <c r="C89" s="66" t="s">
        <v>1373</v>
      </c>
      <c r="D89" s="4"/>
      <c r="E89" s="4"/>
      <c r="F89" s="4"/>
    </row>
    <row r="90" spans="1:6" ht="144" customHeight="1">
      <c r="A90" s="24" t="s">
        <v>1356</v>
      </c>
      <c r="B90" s="276" t="s">
        <v>1374</v>
      </c>
      <c r="C90" s="276" t="s">
        <v>1375</v>
      </c>
      <c r="D90" s="15"/>
      <c r="E90" s="15"/>
      <c r="F90" s="15"/>
    </row>
    <row r="91" spans="1:6" ht="141" customHeight="1">
      <c r="A91" s="42" t="s">
        <v>1376</v>
      </c>
      <c r="B91" s="66" t="s">
        <v>1377</v>
      </c>
      <c r="C91" s="66" t="s">
        <v>1378</v>
      </c>
      <c r="D91" s="4"/>
      <c r="E91" s="4"/>
      <c r="F91" s="4"/>
    </row>
    <row r="92" spans="1:6" ht="105">
      <c r="A92" s="42" t="s">
        <v>1376</v>
      </c>
      <c r="B92" s="66" t="s">
        <v>1379</v>
      </c>
      <c r="C92" s="66" t="s">
        <v>1380</v>
      </c>
      <c r="D92" s="4"/>
      <c r="E92" s="4"/>
      <c r="F92" s="4"/>
    </row>
    <row r="93" spans="1:6" ht="126.75" customHeight="1">
      <c r="A93" s="42" t="s">
        <v>1376</v>
      </c>
      <c r="B93" s="66" t="s">
        <v>1381</v>
      </c>
      <c r="C93" s="66" t="s">
        <v>1382</v>
      </c>
      <c r="D93" s="4"/>
      <c r="E93" s="4"/>
      <c r="F93" s="4"/>
    </row>
    <row r="94" spans="1:6" ht="60">
      <c r="A94" s="42" t="s">
        <v>1376</v>
      </c>
      <c r="B94" s="66" t="s">
        <v>1383</v>
      </c>
      <c r="C94" s="66" t="s">
        <v>1384</v>
      </c>
      <c r="D94" s="4"/>
      <c r="E94" s="4"/>
      <c r="F94" s="4"/>
    </row>
    <row r="95" spans="1:6" ht="167.25" customHeight="1">
      <c r="A95" s="42" t="s">
        <v>1376</v>
      </c>
      <c r="B95" s="66" t="s">
        <v>1385</v>
      </c>
      <c r="C95" s="66" t="s">
        <v>1386</v>
      </c>
      <c r="D95" s="4"/>
      <c r="E95" s="4"/>
      <c r="F95" s="4"/>
    </row>
    <row r="96" spans="1:6" ht="105">
      <c r="A96" s="42" t="s">
        <v>1376</v>
      </c>
      <c r="B96" s="66" t="s">
        <v>1387</v>
      </c>
      <c r="C96" s="66" t="s">
        <v>1388</v>
      </c>
      <c r="D96" s="4"/>
      <c r="E96" s="4"/>
      <c r="F96" s="4"/>
    </row>
    <row r="97" spans="1:6" ht="105">
      <c r="A97" s="42" t="s">
        <v>1376</v>
      </c>
      <c r="B97" s="66" t="s">
        <v>1389</v>
      </c>
      <c r="C97" s="66" t="s">
        <v>1390</v>
      </c>
      <c r="D97" s="4"/>
      <c r="E97" s="4"/>
      <c r="F97" s="4"/>
    </row>
    <row r="98" spans="1:6" ht="120" customHeight="1">
      <c r="A98" s="42" t="s">
        <v>1376</v>
      </c>
      <c r="B98" s="66" t="s">
        <v>1391</v>
      </c>
      <c r="C98" s="66" t="s">
        <v>1392</v>
      </c>
      <c r="D98" s="4"/>
      <c r="E98" s="4"/>
      <c r="F98" s="4"/>
    </row>
    <row r="99" spans="1:6" ht="170.25" customHeight="1">
      <c r="A99" s="42" t="s">
        <v>1376</v>
      </c>
      <c r="B99" s="66" t="s">
        <v>1393</v>
      </c>
      <c r="C99" s="66" t="s">
        <v>1394</v>
      </c>
      <c r="D99" s="4"/>
      <c r="E99" s="4"/>
      <c r="F99" s="4"/>
    </row>
    <row r="100" spans="1:6" ht="187.5" customHeight="1">
      <c r="A100" s="42" t="s">
        <v>1376</v>
      </c>
      <c r="B100" s="66" t="s">
        <v>1395</v>
      </c>
      <c r="C100" s="66" t="s">
        <v>1396</v>
      </c>
      <c r="D100" s="4"/>
      <c r="E100" s="4"/>
      <c r="F100" s="4"/>
    </row>
    <row r="101" spans="1:6" ht="100.5" customHeight="1">
      <c r="A101" s="42" t="s">
        <v>1376</v>
      </c>
      <c r="B101" s="66" t="s">
        <v>1397</v>
      </c>
      <c r="C101" s="66" t="s">
        <v>1398</v>
      </c>
      <c r="D101" s="4"/>
      <c r="E101" s="4"/>
      <c r="F101" s="4"/>
    </row>
    <row r="102" spans="1:6" ht="180" customHeight="1">
      <c r="A102" s="42" t="s">
        <v>1376</v>
      </c>
      <c r="B102" s="66" t="s">
        <v>1104</v>
      </c>
      <c r="C102" s="66" t="s">
        <v>1399</v>
      </c>
      <c r="D102" s="4"/>
      <c r="E102" s="4"/>
      <c r="F102" s="4"/>
    </row>
    <row r="103" spans="1:6" ht="129.75" customHeight="1">
      <c r="A103" s="24" t="s">
        <v>1376</v>
      </c>
      <c r="B103" s="276" t="s">
        <v>1400</v>
      </c>
      <c r="C103" s="276" t="s">
        <v>1401</v>
      </c>
      <c r="D103" s="15"/>
      <c r="E103" s="15"/>
      <c r="F103" s="15"/>
    </row>
    <row r="104" spans="1:6" ht="75">
      <c r="A104" s="42" t="s">
        <v>1402</v>
      </c>
      <c r="B104" s="66" t="s">
        <v>1403</v>
      </c>
      <c r="C104" s="66" t="s">
        <v>1404</v>
      </c>
      <c r="D104" s="4"/>
      <c r="E104" s="4"/>
      <c r="F104" s="4"/>
    </row>
    <row r="105" spans="1:6" ht="60">
      <c r="A105" s="42" t="s">
        <v>1402</v>
      </c>
      <c r="B105" s="66" t="s">
        <v>1405</v>
      </c>
      <c r="C105" s="66" t="s">
        <v>1406</v>
      </c>
      <c r="D105" s="4"/>
      <c r="E105" s="4"/>
      <c r="F105" s="4"/>
    </row>
    <row r="106" spans="1:6" ht="105">
      <c r="A106" s="42" t="s">
        <v>1402</v>
      </c>
      <c r="B106" s="66" t="s">
        <v>1407</v>
      </c>
      <c r="C106" s="66" t="s">
        <v>1408</v>
      </c>
      <c r="D106" s="4"/>
      <c r="E106" s="4"/>
      <c r="F106" s="4"/>
    </row>
    <row r="107" spans="1:6" ht="195.75" customHeight="1">
      <c r="A107" s="42" t="s">
        <v>1402</v>
      </c>
      <c r="B107" s="66" t="s">
        <v>1104</v>
      </c>
      <c r="C107" s="66" t="s">
        <v>1409</v>
      </c>
      <c r="D107" s="4"/>
      <c r="E107" s="4"/>
      <c r="F107" s="4"/>
    </row>
    <row r="108" spans="1:6" ht="78" customHeight="1">
      <c r="A108" s="24" t="s">
        <v>1402</v>
      </c>
      <c r="B108" s="276" t="s">
        <v>1342</v>
      </c>
      <c r="C108" s="276" t="s">
        <v>1410</v>
      </c>
      <c r="D108" s="15"/>
      <c r="E108" s="15"/>
      <c r="F108" s="15"/>
    </row>
    <row r="109" spans="1:6" ht="60">
      <c r="A109" s="42" t="s">
        <v>1411</v>
      </c>
      <c r="B109" s="66" t="s">
        <v>1412</v>
      </c>
      <c r="C109" s="66" t="s">
        <v>1413</v>
      </c>
      <c r="D109" s="4"/>
      <c r="E109" s="4"/>
      <c r="F109" s="4"/>
    </row>
    <row r="110" spans="1:6" ht="205.5" customHeight="1">
      <c r="A110" s="42" t="s">
        <v>1411</v>
      </c>
      <c r="B110" s="66" t="s">
        <v>1414</v>
      </c>
      <c r="C110" s="66" t="s">
        <v>1415</v>
      </c>
      <c r="D110" s="4"/>
      <c r="E110" s="4"/>
      <c r="F110" s="4"/>
    </row>
    <row r="111" spans="1:6" ht="175.5" customHeight="1">
      <c r="A111" s="42" t="s">
        <v>1411</v>
      </c>
      <c r="B111" s="66" t="s">
        <v>1416</v>
      </c>
      <c r="C111" s="66" t="s">
        <v>1417</v>
      </c>
      <c r="D111" s="4"/>
      <c r="E111" s="4"/>
      <c r="F111" s="4"/>
    </row>
    <row r="112" spans="1:6" ht="105">
      <c r="A112" s="42" t="s">
        <v>1411</v>
      </c>
      <c r="B112" s="66" t="s">
        <v>1418</v>
      </c>
      <c r="C112" s="66" t="s">
        <v>1419</v>
      </c>
      <c r="D112" s="4"/>
      <c r="E112" s="4"/>
      <c r="F112" s="4"/>
    </row>
    <row r="113" spans="1:6" ht="75">
      <c r="A113" s="42" t="s">
        <v>1411</v>
      </c>
      <c r="B113" s="66" t="s">
        <v>1420</v>
      </c>
      <c r="C113" s="66" t="s">
        <v>1421</v>
      </c>
      <c r="D113" s="4"/>
      <c r="E113" s="4"/>
      <c r="F113" s="4"/>
    </row>
    <row r="114" spans="1:6" ht="45">
      <c r="A114" s="42" t="s">
        <v>1411</v>
      </c>
      <c r="B114" s="66" t="s">
        <v>1254</v>
      </c>
      <c r="C114" s="66" t="s">
        <v>1422</v>
      </c>
      <c r="D114" s="4"/>
      <c r="E114" s="4"/>
      <c r="F114" s="4"/>
    </row>
    <row r="115" spans="1:6" ht="75">
      <c r="A115" s="42" t="s">
        <v>1411</v>
      </c>
      <c r="B115" s="66" t="s">
        <v>1423</v>
      </c>
      <c r="C115" s="66" t="s">
        <v>1424</v>
      </c>
      <c r="D115" s="4"/>
      <c r="E115" s="4"/>
      <c r="F115" s="4"/>
    </row>
    <row r="116" spans="1:6" ht="90">
      <c r="A116" s="42" t="s">
        <v>1411</v>
      </c>
      <c r="B116" s="66" t="s">
        <v>1425</v>
      </c>
      <c r="C116" s="66" t="s">
        <v>1426</v>
      </c>
      <c r="D116" s="4"/>
      <c r="E116" s="4"/>
      <c r="F116" s="4"/>
    </row>
    <row r="117" spans="1:6" ht="182.25" customHeight="1">
      <c r="A117" s="42" t="s">
        <v>1411</v>
      </c>
      <c r="B117" s="66" t="s">
        <v>1427</v>
      </c>
      <c r="C117" s="66" t="s">
        <v>1428</v>
      </c>
      <c r="D117" s="4"/>
      <c r="E117" s="4"/>
      <c r="F117" s="4"/>
    </row>
    <row r="118" spans="1:6" ht="135" customHeight="1">
      <c r="A118" s="24" t="s">
        <v>1411</v>
      </c>
      <c r="B118" s="276" t="s">
        <v>1429</v>
      </c>
      <c r="C118" s="276" t="s">
        <v>1430</v>
      </c>
      <c r="D118" s="15"/>
      <c r="E118" s="15"/>
      <c r="F118" s="15"/>
    </row>
    <row r="119" spans="1:6" ht="104.25" customHeight="1">
      <c r="A119" s="42" t="s">
        <v>1431</v>
      </c>
      <c r="B119" s="66" t="s">
        <v>1432</v>
      </c>
      <c r="C119" s="66" t="s">
        <v>1433</v>
      </c>
      <c r="D119" s="4"/>
      <c r="E119" s="4"/>
      <c r="F119" s="4"/>
    </row>
    <row r="120" spans="1:6" ht="294" customHeight="1">
      <c r="A120" s="42" t="s">
        <v>1431</v>
      </c>
      <c r="B120" s="66" t="s">
        <v>1434</v>
      </c>
      <c r="C120" s="66" t="s">
        <v>1435</v>
      </c>
      <c r="D120" s="4"/>
      <c r="E120" s="4"/>
      <c r="F120" s="4"/>
    </row>
    <row r="121" spans="1:6" ht="192" customHeight="1">
      <c r="A121" s="42" t="s">
        <v>1431</v>
      </c>
      <c r="B121" s="66" t="s">
        <v>1436</v>
      </c>
      <c r="C121" s="66" t="s">
        <v>1437</v>
      </c>
      <c r="D121" s="4"/>
      <c r="E121" s="4"/>
      <c r="F121" s="4"/>
    </row>
    <row r="122" spans="1:6" ht="78" customHeight="1">
      <c r="A122" s="42" t="s">
        <v>1431</v>
      </c>
      <c r="B122" s="66" t="s">
        <v>1438</v>
      </c>
      <c r="C122" s="66" t="s">
        <v>1439</v>
      </c>
      <c r="D122" s="4"/>
      <c r="E122" s="4"/>
      <c r="F122" s="4"/>
    </row>
    <row r="123" spans="1:6" ht="120">
      <c r="A123" s="42" t="s">
        <v>1431</v>
      </c>
      <c r="B123" s="66" t="s">
        <v>1440</v>
      </c>
      <c r="C123" s="66" t="s">
        <v>1441</v>
      </c>
      <c r="D123" s="4"/>
      <c r="E123" s="4"/>
      <c r="F123" s="4"/>
    </row>
    <row r="124" spans="1:6" ht="90">
      <c r="A124" s="42" t="s">
        <v>1431</v>
      </c>
      <c r="B124" s="66" t="s">
        <v>1442</v>
      </c>
      <c r="C124" s="66" t="s">
        <v>1443</v>
      </c>
      <c r="D124" s="4"/>
      <c r="E124" s="4"/>
      <c r="F124" s="4"/>
    </row>
    <row r="125" spans="1:6" ht="144" customHeight="1">
      <c r="A125" s="42" t="s">
        <v>1431</v>
      </c>
      <c r="B125" s="66" t="s">
        <v>1444</v>
      </c>
      <c r="C125" s="66" t="s">
        <v>1445</v>
      </c>
      <c r="D125" s="4"/>
      <c r="E125" s="4"/>
      <c r="F125" s="4"/>
    </row>
    <row r="126" spans="1:6" ht="131.25" customHeight="1">
      <c r="A126" s="42" t="s">
        <v>1431</v>
      </c>
      <c r="B126" s="66" t="s">
        <v>1446</v>
      </c>
      <c r="C126" s="66" t="s">
        <v>1447</v>
      </c>
      <c r="D126" s="4"/>
      <c r="E126" s="4"/>
      <c r="F126" s="4"/>
    </row>
    <row r="127" spans="1:6" ht="222" customHeight="1">
      <c r="A127" s="42" t="s">
        <v>1431</v>
      </c>
      <c r="B127" s="66" t="s">
        <v>1425</v>
      </c>
      <c r="C127" s="66" t="s">
        <v>1448</v>
      </c>
      <c r="D127" s="4"/>
      <c r="E127" s="4"/>
      <c r="F127" s="4"/>
    </row>
    <row r="128" spans="1:6" ht="95.25" customHeight="1">
      <c r="A128" s="42" t="s">
        <v>1431</v>
      </c>
      <c r="B128" s="66" t="s">
        <v>1449</v>
      </c>
      <c r="C128" s="66" t="s">
        <v>1450</v>
      </c>
      <c r="D128" s="4"/>
      <c r="E128" s="4"/>
      <c r="F128" s="4"/>
    </row>
    <row r="129" spans="1:6" ht="67.5" customHeight="1">
      <c r="A129" s="42" t="s">
        <v>1431</v>
      </c>
      <c r="B129" s="66" t="s">
        <v>1451</v>
      </c>
      <c r="C129" s="66" t="s">
        <v>1452</v>
      </c>
      <c r="D129" s="4"/>
      <c r="E129" s="4"/>
      <c r="F129" s="4"/>
    </row>
    <row r="130" spans="1:6" ht="180.75" customHeight="1">
      <c r="A130" s="42" t="s">
        <v>1431</v>
      </c>
      <c r="B130" s="66" t="s">
        <v>1453</v>
      </c>
      <c r="C130" s="66" t="s">
        <v>1454</v>
      </c>
      <c r="D130" s="4"/>
      <c r="E130" s="4"/>
      <c r="F130" s="4"/>
    </row>
    <row r="131" spans="1:6" ht="152.25" customHeight="1">
      <c r="A131" s="24" t="s">
        <v>1431</v>
      </c>
      <c r="B131" s="276" t="s">
        <v>1455</v>
      </c>
      <c r="C131" s="276" t="s">
        <v>1456</v>
      </c>
      <c r="D131" s="15"/>
      <c r="E131" s="15"/>
      <c r="F131" s="15"/>
    </row>
    <row r="132" spans="1:6" ht="120">
      <c r="A132" s="42" t="s">
        <v>1457</v>
      </c>
      <c r="B132" s="66" t="s">
        <v>1458</v>
      </c>
      <c r="C132" s="66" t="s">
        <v>1459</v>
      </c>
      <c r="D132" s="4"/>
      <c r="E132" s="4"/>
      <c r="F132" s="4"/>
    </row>
    <row r="133" spans="1:6" ht="90">
      <c r="A133" s="42" t="s">
        <v>1457</v>
      </c>
      <c r="B133" s="66" t="s">
        <v>1460</v>
      </c>
      <c r="C133" s="66" t="s">
        <v>1461</v>
      </c>
      <c r="D133" s="4"/>
      <c r="E133" s="4"/>
      <c r="F133" s="4"/>
    </row>
    <row r="134" spans="1:6" ht="45">
      <c r="A134" s="42" t="s">
        <v>1457</v>
      </c>
      <c r="B134" s="66" t="s">
        <v>1462</v>
      </c>
      <c r="C134" s="66" t="s">
        <v>1463</v>
      </c>
      <c r="D134" s="4"/>
      <c r="E134" s="4"/>
      <c r="F134" s="4"/>
    </row>
    <row r="135" spans="1:6" ht="180">
      <c r="A135" s="42" t="s">
        <v>1457</v>
      </c>
      <c r="B135" s="66" t="s">
        <v>1387</v>
      </c>
      <c r="C135" s="66" t="s">
        <v>1464</v>
      </c>
      <c r="D135" s="4"/>
      <c r="E135" s="4"/>
      <c r="F135" s="4"/>
    </row>
    <row r="136" spans="1:6" ht="225">
      <c r="A136" s="42" t="s">
        <v>1457</v>
      </c>
      <c r="B136" s="66" t="s">
        <v>1465</v>
      </c>
      <c r="C136" s="66" t="s">
        <v>1466</v>
      </c>
      <c r="D136" s="4"/>
      <c r="E136" s="4"/>
      <c r="F136" s="4"/>
    </row>
    <row r="137" spans="1:6" ht="150">
      <c r="A137" s="42" t="s">
        <v>1457</v>
      </c>
      <c r="B137" s="66" t="s">
        <v>1467</v>
      </c>
      <c r="C137" s="66" t="s">
        <v>1468</v>
      </c>
      <c r="D137" s="4"/>
      <c r="E137" s="4"/>
      <c r="F137" s="4"/>
    </row>
    <row r="138" spans="1:6" ht="135">
      <c r="A138" s="42" t="s">
        <v>1457</v>
      </c>
      <c r="B138" s="66" t="s">
        <v>1469</v>
      </c>
      <c r="C138" s="66" t="s">
        <v>1470</v>
      </c>
      <c r="D138" s="4"/>
      <c r="E138" s="4"/>
      <c r="F138" s="4"/>
    </row>
    <row r="139" spans="1:6" ht="75">
      <c r="A139" s="42" t="s">
        <v>1457</v>
      </c>
      <c r="B139" s="66" t="s">
        <v>1471</v>
      </c>
      <c r="C139" s="66" t="s">
        <v>1472</v>
      </c>
      <c r="D139" s="4"/>
      <c r="E139" s="4"/>
      <c r="F139" s="4"/>
    </row>
    <row r="140" spans="1:6" ht="45">
      <c r="A140" s="42" t="s">
        <v>1457</v>
      </c>
      <c r="B140" s="66" t="s">
        <v>1473</v>
      </c>
      <c r="C140" s="66" t="s">
        <v>1474</v>
      </c>
      <c r="D140" s="4"/>
      <c r="E140" s="4"/>
      <c r="F140" s="4"/>
    </row>
    <row r="141" spans="1:6" ht="285">
      <c r="A141" s="42" t="s">
        <v>1457</v>
      </c>
      <c r="B141" s="66" t="s">
        <v>1475</v>
      </c>
      <c r="C141" s="66" t="s">
        <v>1476</v>
      </c>
      <c r="D141" s="4"/>
      <c r="E141" s="4"/>
      <c r="F141" s="4"/>
    </row>
    <row r="142" spans="1:6" ht="180">
      <c r="A142" s="42" t="s">
        <v>1477</v>
      </c>
      <c r="B142" s="380" t="s">
        <v>1478</v>
      </c>
      <c r="C142" s="380" t="s">
        <v>1479</v>
      </c>
      <c r="D142" s="4"/>
      <c r="E142" s="4"/>
      <c r="F142" s="4"/>
    </row>
    <row r="143" spans="1:6" ht="85.5">
      <c r="A143" s="42" t="s">
        <v>1477</v>
      </c>
      <c r="B143" s="380" t="s">
        <v>1480</v>
      </c>
      <c r="C143" s="383" t="s">
        <v>1481</v>
      </c>
      <c r="D143" s="4"/>
      <c r="E143" s="4"/>
      <c r="F143" s="4"/>
    </row>
    <row r="144" spans="1:6" ht="71.25">
      <c r="A144" s="42" t="s">
        <v>1477</v>
      </c>
      <c r="B144" s="380" t="s">
        <v>1482</v>
      </c>
      <c r="C144" s="383" t="s">
        <v>1483</v>
      </c>
      <c r="D144" s="4"/>
      <c r="E144" s="4"/>
      <c r="F144" s="4"/>
    </row>
    <row r="145" spans="1:6" ht="99.75">
      <c r="A145" s="42" t="s">
        <v>1477</v>
      </c>
      <c r="B145" s="380" t="s">
        <v>1484</v>
      </c>
      <c r="C145" s="383" t="s">
        <v>1485</v>
      </c>
      <c r="D145" s="4"/>
      <c r="E145" s="4"/>
      <c r="F145" s="4"/>
    </row>
    <row r="146" spans="1:6" ht="165">
      <c r="A146" s="42" t="s">
        <v>1486</v>
      </c>
      <c r="B146" s="380" t="s">
        <v>1487</v>
      </c>
      <c r="C146" s="382" t="s">
        <v>1488</v>
      </c>
      <c r="D146" s="4"/>
      <c r="E146" s="4"/>
      <c r="F146" s="4"/>
    </row>
    <row r="147" spans="1:6" ht="120">
      <c r="A147" s="42" t="s">
        <v>1486</v>
      </c>
      <c r="B147" s="380" t="s">
        <v>1489</v>
      </c>
      <c r="C147" s="380" t="s">
        <v>1490</v>
      </c>
      <c r="D147" s="4"/>
      <c r="E147" s="4"/>
      <c r="F147" s="4"/>
    </row>
    <row r="148" spans="1:6" ht="60">
      <c r="A148" s="42" t="s">
        <v>1486</v>
      </c>
      <c r="B148" s="380" t="s">
        <v>1491</v>
      </c>
      <c r="C148" s="380" t="s">
        <v>1492</v>
      </c>
      <c r="D148" s="4"/>
      <c r="E148" s="4"/>
      <c r="F148" s="4"/>
    </row>
    <row r="149" spans="1:6" ht="90">
      <c r="A149" s="42" t="s">
        <v>1486</v>
      </c>
      <c r="B149" s="380" t="s">
        <v>1493</v>
      </c>
      <c r="C149" s="380" t="s">
        <v>1494</v>
      </c>
      <c r="D149" s="4"/>
      <c r="E149" s="4"/>
      <c r="F149" s="4"/>
    </row>
    <row r="150" spans="1:6" ht="60">
      <c r="A150" s="42" t="s">
        <v>1486</v>
      </c>
      <c r="B150" s="380" t="s">
        <v>1495</v>
      </c>
      <c r="C150" s="380" t="s">
        <v>1496</v>
      </c>
      <c r="D150" s="4"/>
      <c r="E150" s="4"/>
      <c r="F150" s="4"/>
    </row>
    <row r="151" spans="1:6" ht="240">
      <c r="A151" s="42" t="s">
        <v>1486</v>
      </c>
      <c r="B151" s="380" t="s">
        <v>1425</v>
      </c>
      <c r="C151" s="380" t="s">
        <v>1497</v>
      </c>
      <c r="D151" s="4"/>
      <c r="E151" s="4"/>
      <c r="F151" s="4"/>
    </row>
    <row r="152" spans="1:6" ht="75">
      <c r="A152" s="42" t="s">
        <v>1486</v>
      </c>
      <c r="B152" s="380" t="s">
        <v>1498</v>
      </c>
      <c r="C152" s="380" t="s">
        <v>1499</v>
      </c>
      <c r="D152" s="4"/>
      <c r="E152" s="4"/>
      <c r="F152" s="4"/>
    </row>
    <row r="153" spans="1:6" ht="75">
      <c r="A153" s="42" t="s">
        <v>1486</v>
      </c>
      <c r="B153" s="380" t="s">
        <v>1500</v>
      </c>
      <c r="C153" s="380" t="s">
        <v>1501</v>
      </c>
      <c r="D153" s="4"/>
      <c r="E153" s="4"/>
      <c r="F153" s="4"/>
    </row>
    <row r="154" spans="1:6" ht="135">
      <c r="A154" s="42" t="s">
        <v>1486</v>
      </c>
      <c r="B154" s="380" t="s">
        <v>1502</v>
      </c>
      <c r="C154" s="380" t="s">
        <v>1503</v>
      </c>
      <c r="D154" s="4"/>
      <c r="E154" s="4"/>
      <c r="F154" s="4"/>
    </row>
    <row r="155" spans="1:6" ht="90">
      <c r="A155" s="42" t="s">
        <v>1486</v>
      </c>
      <c r="B155" s="380" t="s">
        <v>1504</v>
      </c>
      <c r="C155" s="380" t="s">
        <v>1505</v>
      </c>
      <c r="D155" s="4"/>
      <c r="E155" s="4"/>
      <c r="F155" s="4"/>
    </row>
    <row r="156" spans="1:6" ht="135">
      <c r="A156" s="42" t="s">
        <v>1486</v>
      </c>
      <c r="B156" s="380" t="s">
        <v>1506</v>
      </c>
      <c r="C156" s="380" t="s">
        <v>1507</v>
      </c>
      <c r="D156" s="4"/>
      <c r="E156" s="4"/>
      <c r="F156" s="4"/>
    </row>
    <row r="157" spans="1:6" ht="180">
      <c r="A157" s="42" t="s">
        <v>1486</v>
      </c>
      <c r="B157" s="380" t="s">
        <v>1508</v>
      </c>
      <c r="C157" s="380" t="s">
        <v>1509</v>
      </c>
      <c r="D157" s="4"/>
      <c r="E157" s="4"/>
      <c r="F157" s="4"/>
    </row>
    <row r="158" spans="1:6" ht="105">
      <c r="A158" s="42" t="s">
        <v>1486</v>
      </c>
      <c r="B158" s="380" t="s">
        <v>1510</v>
      </c>
      <c r="C158" s="380" t="s">
        <v>1511</v>
      </c>
      <c r="D158" s="4"/>
      <c r="E158" s="4"/>
      <c r="F158" s="4"/>
    </row>
    <row r="159" spans="1:6" ht="180">
      <c r="A159" s="42" t="s">
        <v>1486</v>
      </c>
      <c r="B159" s="380" t="s">
        <v>1512</v>
      </c>
      <c r="C159" s="380" t="s">
        <v>1513</v>
      </c>
      <c r="D159" s="4"/>
      <c r="E159" s="4"/>
      <c r="F159" s="4"/>
    </row>
    <row r="160" spans="1:6" ht="135">
      <c r="A160" s="42" t="s">
        <v>1486</v>
      </c>
      <c r="B160" s="380" t="s">
        <v>1514</v>
      </c>
      <c r="C160" s="380" t="s">
        <v>1515</v>
      </c>
      <c r="D160" s="4"/>
      <c r="E160" s="4"/>
      <c r="F160" s="4"/>
    </row>
    <row r="161" spans="1:6" ht="75">
      <c r="A161" s="42" t="s">
        <v>1516</v>
      </c>
      <c r="B161" s="381" t="s">
        <v>1517</v>
      </c>
      <c r="C161" s="380" t="s">
        <v>1518</v>
      </c>
      <c r="D161" s="4"/>
      <c r="E161" s="4"/>
      <c r="F161" s="4"/>
    </row>
    <row r="162" spans="1:6" ht="75">
      <c r="A162" s="42" t="s">
        <v>1516</v>
      </c>
      <c r="B162" s="381" t="s">
        <v>1519</v>
      </c>
      <c r="C162" s="380" t="s">
        <v>1520</v>
      </c>
      <c r="D162" s="4"/>
      <c r="E162" s="4"/>
      <c r="F162" s="4"/>
    </row>
    <row r="163" spans="1:6" ht="45">
      <c r="A163" s="42" t="s">
        <v>1516</v>
      </c>
      <c r="B163" s="381" t="s">
        <v>1521</v>
      </c>
      <c r="C163" s="380" t="s">
        <v>1522</v>
      </c>
      <c r="D163" s="4"/>
      <c r="E163" s="4"/>
      <c r="F163" s="4"/>
    </row>
    <row r="164" spans="1:6" ht="120">
      <c r="A164" s="42" t="s">
        <v>1516</v>
      </c>
      <c r="B164" s="381" t="s">
        <v>1523</v>
      </c>
      <c r="C164" s="380" t="s">
        <v>1524</v>
      </c>
      <c r="D164" s="4"/>
      <c r="E164" s="4"/>
      <c r="F164" s="4"/>
    </row>
    <row r="165" spans="1:6" ht="75">
      <c r="A165" s="42" t="s">
        <v>1516</v>
      </c>
      <c r="B165" s="381" t="s">
        <v>1525</v>
      </c>
      <c r="C165" s="380" t="s">
        <v>1526</v>
      </c>
      <c r="D165" s="4"/>
      <c r="E165" s="4"/>
      <c r="F165" s="4"/>
    </row>
    <row r="166" spans="1:6" ht="180">
      <c r="A166" s="42" t="s">
        <v>1516</v>
      </c>
      <c r="B166" s="381" t="s">
        <v>1487</v>
      </c>
      <c r="C166" s="380" t="s">
        <v>1527</v>
      </c>
      <c r="D166" s="4"/>
      <c r="E166" s="4"/>
      <c r="F166" s="4"/>
    </row>
    <row r="167" spans="1:6" ht="165">
      <c r="A167" s="42" t="s">
        <v>1516</v>
      </c>
      <c r="B167" s="381" t="s">
        <v>1502</v>
      </c>
      <c r="C167" s="380" t="s">
        <v>1528</v>
      </c>
      <c r="D167" s="4"/>
      <c r="E167" s="4"/>
      <c r="F167" s="4"/>
    </row>
    <row r="168" spans="1:6" ht="105">
      <c r="A168" s="42" t="s">
        <v>1516</v>
      </c>
      <c r="B168" s="381" t="s">
        <v>1529</v>
      </c>
      <c r="C168" s="380" t="s">
        <v>1530</v>
      </c>
      <c r="D168" s="4"/>
      <c r="E168" s="4"/>
      <c r="F168" s="4"/>
    </row>
    <row r="169" spans="1:6" ht="195">
      <c r="A169" s="42" t="s">
        <v>1516</v>
      </c>
      <c r="B169" s="381" t="s">
        <v>1531</v>
      </c>
      <c r="C169" s="380" t="s">
        <v>1532</v>
      </c>
      <c r="D169" s="4"/>
      <c r="E169" s="4"/>
      <c r="F169" s="4"/>
    </row>
    <row r="170" spans="1:6" ht="90">
      <c r="A170" s="42" t="s">
        <v>1516</v>
      </c>
      <c r="B170" s="381" t="s">
        <v>1533</v>
      </c>
      <c r="C170" s="380" t="s">
        <v>1534</v>
      </c>
      <c r="D170" s="4"/>
      <c r="E170" s="4"/>
      <c r="F170" s="4"/>
    </row>
    <row r="171" spans="1:6" ht="105">
      <c r="A171" s="42" t="s">
        <v>1516</v>
      </c>
      <c r="B171" s="381" t="s">
        <v>1535</v>
      </c>
      <c r="C171" s="380" t="s">
        <v>1536</v>
      </c>
      <c r="D171" s="4"/>
      <c r="E171" s="4"/>
      <c r="F171" s="4"/>
    </row>
    <row r="172" spans="1:6" ht="75">
      <c r="A172" s="42" t="s">
        <v>1516</v>
      </c>
      <c r="B172" s="381" t="s">
        <v>1514</v>
      </c>
      <c r="C172" s="380" t="s">
        <v>1537</v>
      </c>
      <c r="D172" s="4"/>
      <c r="E172" s="4"/>
      <c r="F172" s="4"/>
    </row>
    <row r="173" spans="1:6" ht="75">
      <c r="A173" s="42" t="s">
        <v>1516</v>
      </c>
      <c r="B173" s="381" t="s">
        <v>1538</v>
      </c>
      <c r="C173" s="380" t="s">
        <v>1539</v>
      </c>
      <c r="D173" s="4"/>
      <c r="E173" s="4"/>
      <c r="F173" s="4"/>
    </row>
    <row r="174" spans="1:6" ht="90">
      <c r="A174" s="42" t="s">
        <v>1516</v>
      </c>
      <c r="B174" s="381" t="s">
        <v>1540</v>
      </c>
      <c r="C174" s="380" t="s">
        <v>1541</v>
      </c>
      <c r="D174" s="4"/>
      <c r="E174" s="4"/>
      <c r="F174" s="4"/>
    </row>
    <row r="175" spans="1:6" ht="135">
      <c r="A175" s="42" t="s">
        <v>1516</v>
      </c>
      <c r="B175" s="381" t="s">
        <v>1542</v>
      </c>
      <c r="C175" s="380" t="s">
        <v>1543</v>
      </c>
      <c r="D175" s="4"/>
      <c r="E175" s="4"/>
      <c r="F175" s="4"/>
    </row>
    <row r="176" spans="1:6" ht="105">
      <c r="A176" s="42" t="s">
        <v>1544</v>
      </c>
      <c r="B176" s="380" t="s">
        <v>1545</v>
      </c>
      <c r="C176" s="380" t="s">
        <v>1546</v>
      </c>
      <c r="D176" s="4"/>
      <c r="E176" s="4"/>
      <c r="F176" s="4"/>
    </row>
    <row r="177" spans="1:6" ht="105">
      <c r="A177" s="42" t="s">
        <v>1544</v>
      </c>
      <c r="B177" s="380" t="s">
        <v>1547</v>
      </c>
      <c r="C177" s="380" t="s">
        <v>1548</v>
      </c>
      <c r="D177" s="4"/>
      <c r="E177" s="4"/>
      <c r="F177" s="4"/>
    </row>
    <row r="178" spans="1:6" ht="210">
      <c r="A178" s="42" t="s">
        <v>1544</v>
      </c>
      <c r="B178" s="380" t="s">
        <v>1549</v>
      </c>
      <c r="C178" s="380" t="s">
        <v>1550</v>
      </c>
      <c r="D178" s="4"/>
      <c r="E178" s="4"/>
      <c r="F178" s="4"/>
    </row>
    <row r="179" spans="1:6" ht="135">
      <c r="A179" s="42" t="s">
        <v>1544</v>
      </c>
      <c r="B179" s="380" t="s">
        <v>1551</v>
      </c>
      <c r="C179" s="380" t="s">
        <v>1552</v>
      </c>
      <c r="D179" s="4"/>
      <c r="E179" s="4"/>
      <c r="F179" s="4"/>
    </row>
    <row r="180" spans="1:6" ht="45">
      <c r="A180" s="42" t="s">
        <v>1544</v>
      </c>
      <c r="B180" s="380" t="s">
        <v>1553</v>
      </c>
      <c r="C180" s="380" t="s">
        <v>1554</v>
      </c>
      <c r="D180" s="4"/>
      <c r="E180" s="4"/>
      <c r="F180" s="4"/>
    </row>
    <row r="181" spans="1:6" ht="135">
      <c r="A181" s="42" t="s">
        <v>1544</v>
      </c>
      <c r="B181" s="380" t="s">
        <v>1555</v>
      </c>
      <c r="C181" s="380" t="s">
        <v>1556</v>
      </c>
      <c r="D181" s="4"/>
      <c r="E181" s="4"/>
      <c r="F181" s="4"/>
    </row>
    <row r="182" spans="1:6" ht="60">
      <c r="A182" s="42" t="s">
        <v>1544</v>
      </c>
      <c r="B182" s="380" t="s">
        <v>1557</v>
      </c>
      <c r="C182" s="380" t="s">
        <v>1558</v>
      </c>
      <c r="D182" s="4"/>
      <c r="E182" s="4"/>
      <c r="F182" s="4"/>
    </row>
    <row r="183" spans="1:6" ht="150">
      <c r="A183" s="42" t="s">
        <v>1544</v>
      </c>
      <c r="B183" s="380" t="s">
        <v>1559</v>
      </c>
      <c r="C183" s="380" t="s">
        <v>1560</v>
      </c>
      <c r="D183" s="4"/>
      <c r="E183" s="4"/>
      <c r="F183" s="4"/>
    </row>
    <row r="184" spans="1:6" ht="360">
      <c r="A184" s="42" t="s">
        <v>1544</v>
      </c>
      <c r="B184" s="380" t="s">
        <v>1561</v>
      </c>
      <c r="C184" s="380" t="s">
        <v>1562</v>
      </c>
      <c r="D184" s="4"/>
      <c r="E184" s="4"/>
      <c r="F184" s="4"/>
    </row>
    <row r="185" spans="1:6" ht="225">
      <c r="A185" s="42" t="s">
        <v>1563</v>
      </c>
      <c r="B185" s="380" t="s">
        <v>1564</v>
      </c>
      <c r="C185" s="380" t="s">
        <v>1565</v>
      </c>
      <c r="D185" s="4"/>
      <c r="E185" s="4"/>
      <c r="F185" s="4"/>
    </row>
    <row r="186" spans="1:6" ht="120">
      <c r="A186" s="42" t="s">
        <v>1563</v>
      </c>
      <c r="B186" s="380" t="s">
        <v>1566</v>
      </c>
      <c r="C186" s="380" t="s">
        <v>1567</v>
      </c>
      <c r="D186" s="4"/>
      <c r="E186" s="4"/>
      <c r="F186" s="4"/>
    </row>
    <row r="187" spans="1:6" ht="105">
      <c r="A187" s="42" t="s">
        <v>1563</v>
      </c>
      <c r="B187" s="380" t="s">
        <v>1296</v>
      </c>
      <c r="C187" s="380" t="s">
        <v>1568</v>
      </c>
      <c r="D187" s="4"/>
      <c r="E187" s="4"/>
      <c r="F187" s="4"/>
    </row>
    <row r="188" spans="1:6" ht="240">
      <c r="A188" s="42" t="s">
        <v>1563</v>
      </c>
      <c r="B188" s="380" t="s">
        <v>1352</v>
      </c>
      <c r="C188" s="380" t="s">
        <v>1569</v>
      </c>
      <c r="D188" s="4"/>
      <c r="E188" s="4"/>
      <c r="F188" s="4"/>
    </row>
    <row r="189" spans="1:6" ht="135">
      <c r="A189" s="42" t="s">
        <v>1563</v>
      </c>
      <c r="B189" s="380" t="s">
        <v>1570</v>
      </c>
      <c r="C189" s="380" t="s">
        <v>1571</v>
      </c>
      <c r="D189" s="4"/>
      <c r="E189" s="4"/>
      <c r="F189" s="4"/>
    </row>
    <row r="190" spans="1:6" ht="120">
      <c r="A190" s="42" t="s">
        <v>1563</v>
      </c>
      <c r="B190" s="380" t="s">
        <v>1572</v>
      </c>
      <c r="C190" s="380" t="s">
        <v>1573</v>
      </c>
      <c r="D190" s="4"/>
      <c r="E190" s="4"/>
      <c r="F190" s="4"/>
    </row>
    <row r="191" spans="1:6" ht="135">
      <c r="A191" s="42" t="s">
        <v>1574</v>
      </c>
      <c r="B191" s="380" t="s">
        <v>1575</v>
      </c>
      <c r="C191" s="380" t="s">
        <v>1576</v>
      </c>
      <c r="D191" s="4"/>
      <c r="E191" s="34"/>
      <c r="F191" s="4"/>
    </row>
    <row r="192" spans="1:6" ht="180">
      <c r="A192" s="42" t="s">
        <v>1574</v>
      </c>
      <c r="B192" s="381" t="s">
        <v>1577</v>
      </c>
      <c r="C192" s="380" t="s">
        <v>1578</v>
      </c>
      <c r="D192" s="4"/>
      <c r="E192" s="4"/>
      <c r="F192" s="4"/>
    </row>
    <row r="193" spans="1:6" ht="165">
      <c r="A193" s="42" t="s">
        <v>1574</v>
      </c>
      <c r="B193" s="381" t="s">
        <v>1579</v>
      </c>
      <c r="C193" s="380" t="s">
        <v>1580</v>
      </c>
      <c r="D193" s="4"/>
      <c r="E193" s="4"/>
      <c r="F193" s="4"/>
    </row>
    <row r="194" spans="1:6" ht="75">
      <c r="A194" s="42" t="s">
        <v>1574</v>
      </c>
      <c r="B194" s="381" t="s">
        <v>1581</v>
      </c>
      <c r="C194" s="380" t="s">
        <v>1582</v>
      </c>
      <c r="D194" s="4"/>
      <c r="E194" s="4"/>
      <c r="F194" s="4"/>
    </row>
    <row r="195" spans="1:6" ht="60">
      <c r="A195" s="42" t="s">
        <v>1574</v>
      </c>
      <c r="B195" s="381" t="s">
        <v>1298</v>
      </c>
      <c r="C195" s="380" t="s">
        <v>1583</v>
      </c>
      <c r="D195" s="4"/>
      <c r="E195" s="4"/>
      <c r="F195" s="4"/>
    </row>
    <row r="196" spans="1:6" ht="120">
      <c r="A196" s="42" t="s">
        <v>1584</v>
      </c>
      <c r="B196" s="380" t="s">
        <v>1489</v>
      </c>
      <c r="C196" s="380" t="s">
        <v>1585</v>
      </c>
      <c r="D196" s="4"/>
      <c r="E196" s="4"/>
      <c r="F196" s="4"/>
    </row>
    <row r="197" spans="1:6" ht="60">
      <c r="A197" s="42" t="s">
        <v>1584</v>
      </c>
      <c r="B197" s="380" t="s">
        <v>1586</v>
      </c>
      <c r="C197" s="380" t="s">
        <v>1587</v>
      </c>
      <c r="D197" s="4"/>
      <c r="E197" s="4"/>
      <c r="F197" s="4"/>
    </row>
    <row r="198" spans="1:6" ht="135">
      <c r="A198" s="42" t="s">
        <v>1584</v>
      </c>
      <c r="B198" s="380" t="s">
        <v>1588</v>
      </c>
      <c r="C198" s="380" t="s">
        <v>1589</v>
      </c>
      <c r="D198" s="4"/>
      <c r="E198" s="4"/>
      <c r="F198" s="4"/>
    </row>
    <row r="199" spans="1:6" ht="165">
      <c r="A199" s="42" t="s">
        <v>1584</v>
      </c>
      <c r="B199" s="380" t="s">
        <v>1590</v>
      </c>
      <c r="C199" s="380" t="s">
        <v>1591</v>
      </c>
      <c r="D199" s="4"/>
      <c r="E199" s="4"/>
      <c r="F199" s="4"/>
    </row>
    <row r="200" spans="1:6" ht="150">
      <c r="A200" s="42" t="s">
        <v>1584</v>
      </c>
      <c r="B200" s="380" t="s">
        <v>1592</v>
      </c>
      <c r="C200" s="380" t="s">
        <v>1593</v>
      </c>
      <c r="D200" s="4"/>
      <c r="E200" s="4"/>
      <c r="F200" s="4"/>
    </row>
    <row r="201" spans="1:6" ht="90">
      <c r="A201" s="42" t="s">
        <v>1584</v>
      </c>
      <c r="B201" s="380" t="s">
        <v>1594</v>
      </c>
      <c r="C201" s="380" t="s">
        <v>1595</v>
      </c>
      <c r="D201" s="4"/>
      <c r="E201" s="4"/>
      <c r="F201" s="4"/>
    </row>
    <row r="202" spans="1:6" ht="75">
      <c r="A202" s="42" t="s">
        <v>1584</v>
      </c>
      <c r="B202" s="380" t="s">
        <v>1298</v>
      </c>
      <c r="C202" s="380" t="s">
        <v>1596</v>
      </c>
      <c r="D202" s="4"/>
      <c r="E202" s="4"/>
      <c r="F202" s="4"/>
    </row>
    <row r="203" spans="1:6" ht="45">
      <c r="A203" s="42" t="s">
        <v>1584</v>
      </c>
      <c r="B203" s="380" t="s">
        <v>1427</v>
      </c>
      <c r="C203" s="380" t="s">
        <v>1597</v>
      </c>
      <c r="D203" s="4"/>
      <c r="E203" s="4"/>
      <c r="F203" s="4"/>
    </row>
    <row r="204" spans="1:6" ht="60">
      <c r="A204" s="42" t="s">
        <v>1584</v>
      </c>
      <c r="B204" s="380" t="s">
        <v>1598</v>
      </c>
      <c r="C204" s="380" t="s">
        <v>1599</v>
      </c>
      <c r="D204" s="4"/>
      <c r="E204" s="4"/>
      <c r="F204" s="4"/>
    </row>
    <row r="205" spans="1:6" ht="105">
      <c r="A205" s="42" t="s">
        <v>1600</v>
      </c>
      <c r="B205" s="380" t="s">
        <v>1601</v>
      </c>
      <c r="C205" s="380" t="s">
        <v>1602</v>
      </c>
      <c r="D205" s="4"/>
      <c r="E205" s="4"/>
      <c r="F205" s="4"/>
    </row>
    <row r="206" spans="1:6" ht="150">
      <c r="A206" s="42" t="s">
        <v>1600</v>
      </c>
      <c r="B206" s="380" t="s">
        <v>1603</v>
      </c>
      <c r="C206" s="380" t="s">
        <v>1604</v>
      </c>
      <c r="D206" s="4"/>
      <c r="E206" s="4"/>
      <c r="F206" s="4"/>
    </row>
    <row r="207" spans="1:6" ht="180">
      <c r="A207" s="42" t="s">
        <v>1600</v>
      </c>
      <c r="B207" s="380" t="s">
        <v>1605</v>
      </c>
      <c r="C207" s="380" t="s">
        <v>1606</v>
      </c>
      <c r="D207" s="4"/>
      <c r="E207" s="4"/>
      <c r="F207" s="4"/>
    </row>
    <row r="208" spans="1:6" ht="135">
      <c r="A208" s="42" t="s">
        <v>1600</v>
      </c>
      <c r="B208" s="380" t="s">
        <v>1607</v>
      </c>
      <c r="C208" s="380" t="s">
        <v>1608</v>
      </c>
      <c r="D208" s="4"/>
      <c r="E208" s="4"/>
      <c r="F208" s="4"/>
    </row>
    <row r="209" spans="1:6" ht="150">
      <c r="A209" s="42" t="s">
        <v>1600</v>
      </c>
      <c r="B209" s="380" t="s">
        <v>1609</v>
      </c>
      <c r="C209" s="380" t="s">
        <v>1610</v>
      </c>
      <c r="D209" s="4"/>
      <c r="E209" s="4"/>
      <c r="F209" s="4"/>
    </row>
    <row r="210" spans="1:6" ht="60">
      <c r="A210" s="42" t="s">
        <v>1600</v>
      </c>
      <c r="B210" s="380" t="s">
        <v>1611</v>
      </c>
      <c r="C210" s="380" t="s">
        <v>1612</v>
      </c>
      <c r="D210" s="4"/>
      <c r="E210" s="4"/>
      <c r="F210" s="4"/>
    </row>
    <row r="211" spans="1:6" ht="135">
      <c r="A211" s="42" t="s">
        <v>1600</v>
      </c>
      <c r="B211" s="380" t="s">
        <v>1613</v>
      </c>
      <c r="C211" s="380" t="s">
        <v>1614</v>
      </c>
      <c r="D211" s="4"/>
      <c r="E211" s="4"/>
      <c r="F211" s="4"/>
    </row>
    <row r="212" spans="1:6" ht="105">
      <c r="A212" s="42" t="s">
        <v>1600</v>
      </c>
      <c r="B212" s="380" t="s">
        <v>1510</v>
      </c>
      <c r="C212" s="380" t="s">
        <v>1615</v>
      </c>
      <c r="D212" s="4"/>
      <c r="E212" s="4"/>
      <c r="F212" s="4"/>
    </row>
    <row r="213" spans="1:6" ht="120">
      <c r="A213" s="42" t="s">
        <v>1600</v>
      </c>
      <c r="B213" s="380" t="s">
        <v>1616</v>
      </c>
      <c r="C213" s="380" t="s">
        <v>1617</v>
      </c>
      <c r="D213" s="4"/>
      <c r="E213" s="4"/>
      <c r="F213" s="4"/>
    </row>
    <row r="214" spans="1:6" ht="150">
      <c r="A214" s="42" t="s">
        <v>1600</v>
      </c>
      <c r="B214" s="380" t="s">
        <v>1618</v>
      </c>
      <c r="C214" s="380" t="s">
        <v>1619</v>
      </c>
      <c r="D214" s="4"/>
      <c r="E214" s="4"/>
      <c r="F214" s="4"/>
    </row>
    <row r="215" spans="1:6" ht="180">
      <c r="A215" s="42" t="s">
        <v>1600</v>
      </c>
      <c r="B215" s="380" t="s">
        <v>1231</v>
      </c>
      <c r="C215" s="380" t="s">
        <v>1620</v>
      </c>
      <c r="D215" s="4"/>
      <c r="E215" s="4"/>
      <c r="F215" s="4"/>
    </row>
    <row r="216" spans="1:6" ht="105">
      <c r="A216" s="42" t="s">
        <v>1600</v>
      </c>
      <c r="B216" s="380" t="s">
        <v>1621</v>
      </c>
      <c r="C216" s="380" t="s">
        <v>1622</v>
      </c>
      <c r="D216" s="4"/>
      <c r="E216" s="4"/>
      <c r="F216" s="4"/>
    </row>
    <row r="217" spans="1:6" ht="60">
      <c r="A217" s="42" t="s">
        <v>1600</v>
      </c>
      <c r="B217" s="380" t="s">
        <v>1623</v>
      </c>
      <c r="C217" s="380" t="s">
        <v>1624</v>
      </c>
      <c r="D217" s="4"/>
      <c r="E217" s="4"/>
      <c r="F217" s="4"/>
    </row>
    <row r="218" spans="1:6" ht="120">
      <c r="A218" s="42" t="s">
        <v>1600</v>
      </c>
      <c r="B218" s="380" t="s">
        <v>1625</v>
      </c>
      <c r="C218" s="380" t="s">
        <v>1626</v>
      </c>
      <c r="D218" s="4"/>
      <c r="E218" s="4"/>
      <c r="F218" s="4"/>
    </row>
    <row r="219" spans="1:6" ht="165">
      <c r="A219" s="42" t="s">
        <v>1600</v>
      </c>
      <c r="B219" s="380" t="s">
        <v>1627</v>
      </c>
      <c r="C219" s="380" t="s">
        <v>1628</v>
      </c>
      <c r="D219" s="4"/>
      <c r="E219" s="4"/>
      <c r="F219" s="4"/>
    </row>
    <row r="220" spans="1:6" ht="90">
      <c r="A220" s="42" t="s">
        <v>1629</v>
      </c>
      <c r="B220" s="380" t="s">
        <v>1630</v>
      </c>
      <c r="C220" s="380" t="s">
        <v>1631</v>
      </c>
      <c r="D220" s="4"/>
      <c r="E220" s="4"/>
      <c r="F220" s="4"/>
    </row>
    <row r="221" spans="1:6" ht="135">
      <c r="A221" s="42" t="s">
        <v>1629</v>
      </c>
      <c r="B221" s="380" t="s">
        <v>1480</v>
      </c>
      <c r="C221" s="380" t="s">
        <v>1632</v>
      </c>
      <c r="D221" s="4"/>
      <c r="E221" s="4"/>
      <c r="F221" s="4"/>
    </row>
    <row r="222" spans="1:6" ht="90">
      <c r="A222" s="42" t="s">
        <v>1629</v>
      </c>
      <c r="B222" s="380" t="s">
        <v>1633</v>
      </c>
      <c r="C222" s="380" t="s">
        <v>1634</v>
      </c>
      <c r="D222" s="4"/>
      <c r="E222" s="4"/>
      <c r="F222" s="4"/>
    </row>
    <row r="223" spans="1:6" ht="135">
      <c r="A223" s="42" t="s">
        <v>1629</v>
      </c>
      <c r="B223" s="380" t="s">
        <v>1635</v>
      </c>
      <c r="C223" s="380" t="s">
        <v>1636</v>
      </c>
      <c r="D223" s="4"/>
      <c r="E223" s="4"/>
      <c r="F223" s="4"/>
    </row>
    <row r="224" spans="1:6" ht="105">
      <c r="A224" s="42" t="s">
        <v>1629</v>
      </c>
      <c r="B224" s="380" t="s">
        <v>1637</v>
      </c>
      <c r="C224" s="380" t="s">
        <v>1638</v>
      </c>
      <c r="D224" s="4"/>
      <c r="E224" s="4"/>
      <c r="F224" s="4"/>
    </row>
    <row r="225" spans="1:6" ht="120">
      <c r="A225" s="42" t="s">
        <v>1629</v>
      </c>
      <c r="B225" s="380" t="s">
        <v>1286</v>
      </c>
      <c r="C225" s="380" t="s">
        <v>1639</v>
      </c>
      <c r="D225" s="4"/>
      <c r="E225" s="4"/>
      <c r="F225" s="4"/>
    </row>
    <row r="226" spans="1:6" ht="180">
      <c r="A226" s="42" t="s">
        <v>1629</v>
      </c>
      <c r="B226" s="380" t="s">
        <v>1640</v>
      </c>
      <c r="C226" s="380" t="s">
        <v>1641</v>
      </c>
      <c r="D226" s="4"/>
      <c r="E226" s="4"/>
      <c r="F226" s="4"/>
    </row>
    <row r="227" spans="1:6" ht="90">
      <c r="A227" s="42" t="s">
        <v>1629</v>
      </c>
      <c r="B227" s="380" t="s">
        <v>1369</v>
      </c>
      <c r="C227" s="380" t="s">
        <v>1642</v>
      </c>
      <c r="D227" s="4"/>
      <c r="E227" s="4"/>
      <c r="F227" s="4"/>
    </row>
    <row r="228" spans="1:6" ht="120">
      <c r="A228" s="42" t="s">
        <v>1629</v>
      </c>
      <c r="B228" s="380" t="s">
        <v>1643</v>
      </c>
      <c r="C228" s="380" t="s">
        <v>1644</v>
      </c>
      <c r="D228" s="4"/>
      <c r="E228" s="4"/>
      <c r="F228" s="4"/>
    </row>
    <row r="229" spans="1:6" ht="105">
      <c r="A229" s="42" t="s">
        <v>1629</v>
      </c>
      <c r="B229" s="380" t="s">
        <v>1645</v>
      </c>
      <c r="C229" s="380" t="s">
        <v>1646</v>
      </c>
      <c r="D229" s="4"/>
      <c r="E229" s="4"/>
      <c r="F229" s="4"/>
    </row>
    <row r="230" spans="1:6" ht="90">
      <c r="A230" s="42" t="s">
        <v>1629</v>
      </c>
      <c r="B230" s="380" t="s">
        <v>1647</v>
      </c>
      <c r="C230" s="380" t="s">
        <v>1648</v>
      </c>
      <c r="D230" s="4"/>
      <c r="E230" s="4"/>
      <c r="F230" s="4"/>
    </row>
    <row r="231" spans="1:6" ht="75">
      <c r="A231" s="42" t="s">
        <v>1629</v>
      </c>
      <c r="B231" s="380" t="s">
        <v>1649</v>
      </c>
      <c r="C231" s="380" t="s">
        <v>1650</v>
      </c>
      <c r="D231" s="4"/>
      <c r="E231" s="4"/>
      <c r="F231" s="4"/>
    </row>
    <row r="232" spans="1:6" ht="165">
      <c r="A232" s="42" t="s">
        <v>1629</v>
      </c>
      <c r="B232" s="380" t="s">
        <v>1651</v>
      </c>
      <c r="C232" s="380" t="s">
        <v>1652</v>
      </c>
      <c r="D232" s="4"/>
      <c r="E232" s="4"/>
      <c r="F232" s="4"/>
    </row>
    <row r="233" spans="1:6" ht="195">
      <c r="A233" s="42" t="s">
        <v>1629</v>
      </c>
      <c r="B233" s="380" t="s">
        <v>1231</v>
      </c>
      <c r="C233" s="380" t="s">
        <v>1653</v>
      </c>
      <c r="D233" s="4"/>
      <c r="E233" s="4"/>
      <c r="F233" s="4"/>
    </row>
    <row r="234" spans="1:6" ht="60">
      <c r="A234" s="42" t="s">
        <v>1629</v>
      </c>
      <c r="B234" s="380" t="s">
        <v>1288</v>
      </c>
      <c r="C234" s="380" t="s">
        <v>1654</v>
      </c>
      <c r="D234" s="4"/>
      <c r="E234" s="4"/>
      <c r="F234" s="4"/>
    </row>
    <row r="235" spans="1:6" ht="105">
      <c r="A235" s="42" t="s">
        <v>1655</v>
      </c>
      <c r="B235" s="380" t="s">
        <v>1361</v>
      </c>
      <c r="C235" s="380" t="s">
        <v>1656</v>
      </c>
      <c r="D235" s="4"/>
      <c r="E235" s="4"/>
      <c r="F235" s="4"/>
    </row>
    <row r="236" spans="1:6" ht="120">
      <c r="A236" s="42" t="s">
        <v>1655</v>
      </c>
      <c r="B236" s="380" t="s">
        <v>1657</v>
      </c>
      <c r="C236" s="380" t="s">
        <v>1658</v>
      </c>
      <c r="D236" s="4"/>
      <c r="E236" s="4"/>
      <c r="F236" s="4"/>
    </row>
    <row r="237" spans="1:6" ht="180">
      <c r="A237" s="42" t="s">
        <v>1655</v>
      </c>
      <c r="B237" s="380" t="s">
        <v>1659</v>
      </c>
      <c r="C237" s="380" t="s">
        <v>1660</v>
      </c>
      <c r="D237" s="4"/>
      <c r="E237" s="4"/>
      <c r="F237" s="4"/>
    </row>
    <row r="238" spans="1:6" ht="135">
      <c r="A238" s="42" t="s">
        <v>1655</v>
      </c>
      <c r="B238" s="380" t="s">
        <v>1286</v>
      </c>
      <c r="C238" s="380" t="s">
        <v>1661</v>
      </c>
      <c r="D238" s="4"/>
      <c r="E238" s="4"/>
      <c r="F238" s="4"/>
    </row>
    <row r="239" spans="1:6" ht="60">
      <c r="A239" s="42" t="s">
        <v>1655</v>
      </c>
      <c r="B239" s="380" t="s">
        <v>1662</v>
      </c>
      <c r="C239" s="380" t="s">
        <v>1663</v>
      </c>
      <c r="D239" s="4"/>
      <c r="E239" s="4"/>
      <c r="F239" s="4"/>
    </row>
    <row r="240" spans="1:6" ht="120">
      <c r="A240" s="42" t="s">
        <v>1655</v>
      </c>
      <c r="B240" s="380" t="s">
        <v>1664</v>
      </c>
      <c r="C240" s="380" t="s">
        <v>1665</v>
      </c>
      <c r="D240" s="4"/>
      <c r="E240" s="4"/>
      <c r="F240" s="4"/>
    </row>
    <row r="241" spans="1:6" ht="165">
      <c r="A241" s="42" t="s">
        <v>1655</v>
      </c>
      <c r="B241" s="380" t="s">
        <v>1666</v>
      </c>
      <c r="C241" s="380" t="s">
        <v>1667</v>
      </c>
      <c r="D241" s="4"/>
      <c r="E241" s="4"/>
      <c r="F241" s="4"/>
    </row>
    <row r="242" spans="1:6" ht="105">
      <c r="A242" s="42" t="s">
        <v>1655</v>
      </c>
      <c r="B242" s="380" t="s">
        <v>1668</v>
      </c>
      <c r="C242" s="380" t="s">
        <v>1669</v>
      </c>
      <c r="D242" s="4"/>
      <c r="E242" s="4"/>
      <c r="F242" s="4"/>
    </row>
    <row r="243" spans="1:6" ht="90">
      <c r="A243" s="42" t="s">
        <v>1655</v>
      </c>
      <c r="B243" s="380" t="s">
        <v>1670</v>
      </c>
      <c r="C243" s="380" t="s">
        <v>1671</v>
      </c>
      <c r="D243" s="4"/>
      <c r="E243" s="4"/>
      <c r="F243" s="4"/>
    </row>
    <row r="244" spans="1:6" ht="105">
      <c r="A244" s="42" t="s">
        <v>1655</v>
      </c>
      <c r="B244" s="380" t="s">
        <v>1672</v>
      </c>
      <c r="C244" s="380" t="s">
        <v>1673</v>
      </c>
      <c r="D244" s="4"/>
      <c r="E244" s="4"/>
      <c r="F244" s="4"/>
    </row>
    <row r="245" spans="1:6" ht="75">
      <c r="A245" s="42" t="s">
        <v>1655</v>
      </c>
      <c r="B245" s="380" t="s">
        <v>1674</v>
      </c>
      <c r="C245" s="380" t="s">
        <v>1675</v>
      </c>
      <c r="D245" s="4"/>
      <c r="E245" s="4"/>
      <c r="F245" s="4"/>
    </row>
    <row r="246" spans="1:6" ht="165">
      <c r="A246" s="42" t="s">
        <v>1676</v>
      </c>
      <c r="B246" s="380" t="s">
        <v>1677</v>
      </c>
      <c r="C246" s="66" t="s">
        <v>1678</v>
      </c>
      <c r="D246" s="4"/>
      <c r="E246" s="4"/>
      <c r="F246" s="4"/>
    </row>
    <row r="247" spans="1:6" ht="75">
      <c r="A247" s="42" t="s">
        <v>1676</v>
      </c>
      <c r="B247" s="380" t="s">
        <v>1679</v>
      </c>
      <c r="C247" s="380" t="s">
        <v>1680</v>
      </c>
      <c r="D247" s="4"/>
      <c r="E247" s="4"/>
      <c r="F247" s="4"/>
    </row>
    <row r="248" spans="1:6" ht="180">
      <c r="A248" s="42" t="s">
        <v>1676</v>
      </c>
      <c r="B248" s="380" t="s">
        <v>1681</v>
      </c>
      <c r="C248" s="384" t="s">
        <v>1682</v>
      </c>
      <c r="D248" s="4"/>
      <c r="E248" s="4"/>
      <c r="F248" s="4"/>
    </row>
    <row r="249" spans="1:6" ht="75">
      <c r="A249" s="42" t="s">
        <v>1676</v>
      </c>
      <c r="B249" s="380" t="s">
        <v>1683</v>
      </c>
      <c r="C249" s="384" t="s">
        <v>1684</v>
      </c>
      <c r="D249" s="4"/>
      <c r="E249" s="4"/>
      <c r="F249" s="4"/>
    </row>
    <row r="250" spans="1:6" ht="135">
      <c r="A250" s="42" t="s">
        <v>1676</v>
      </c>
      <c r="B250" s="380" t="s">
        <v>1519</v>
      </c>
      <c r="C250" s="384" t="s">
        <v>1685</v>
      </c>
      <c r="D250" s="4"/>
      <c r="E250" s="4"/>
      <c r="F250" s="4"/>
    </row>
    <row r="251" spans="1:6" ht="195">
      <c r="A251" s="42" t="s">
        <v>1676</v>
      </c>
      <c r="B251" s="380" t="s">
        <v>1686</v>
      </c>
      <c r="C251" s="384" t="s">
        <v>1687</v>
      </c>
      <c r="D251" s="4"/>
      <c r="E251" s="4"/>
      <c r="F251" s="4"/>
    </row>
    <row r="252" spans="1:6" ht="120">
      <c r="A252" s="42" t="s">
        <v>1676</v>
      </c>
      <c r="B252" s="380" t="s">
        <v>1688</v>
      </c>
      <c r="C252" s="384" t="s">
        <v>1689</v>
      </c>
      <c r="D252" s="4"/>
      <c r="E252" s="4"/>
      <c r="F252" s="4"/>
    </row>
    <row r="253" spans="1:6" ht="135">
      <c r="A253" s="42" t="s">
        <v>1676</v>
      </c>
      <c r="B253" s="380" t="s">
        <v>1690</v>
      </c>
      <c r="C253" s="380" t="s">
        <v>1691</v>
      </c>
      <c r="D253" s="4"/>
      <c r="E253" s="4"/>
      <c r="F253" s="4"/>
    </row>
    <row r="254" spans="1:6" ht="60">
      <c r="A254" s="42" t="s">
        <v>1676</v>
      </c>
      <c r="B254" s="380" t="s">
        <v>1692</v>
      </c>
      <c r="C254" s="380" t="s">
        <v>1693</v>
      </c>
      <c r="D254" s="4"/>
      <c r="E254" s="4"/>
      <c r="F254" s="4"/>
    </row>
    <row r="255" spans="1:6" ht="165">
      <c r="A255" s="42" t="s">
        <v>1676</v>
      </c>
      <c r="B255" s="380" t="s">
        <v>1694</v>
      </c>
      <c r="C255" s="380" t="s">
        <v>1695</v>
      </c>
      <c r="D255" s="4"/>
      <c r="E255" s="4"/>
      <c r="F255" s="4"/>
    </row>
    <row r="256" spans="1:6" ht="60">
      <c r="A256" s="42" t="s">
        <v>1676</v>
      </c>
      <c r="B256" s="380" t="s">
        <v>1696</v>
      </c>
      <c r="C256" s="380" t="s">
        <v>1697</v>
      </c>
      <c r="D256" s="4"/>
      <c r="E256" s="4"/>
      <c r="F256" s="4"/>
    </row>
    <row r="257" spans="1:6" ht="105">
      <c r="A257" s="42" t="s">
        <v>1676</v>
      </c>
      <c r="B257" s="380" t="s">
        <v>1698</v>
      </c>
      <c r="C257" s="380" t="s">
        <v>1699</v>
      </c>
      <c r="D257" s="4"/>
      <c r="E257" s="4"/>
      <c r="F257" s="4"/>
    </row>
    <row r="258" spans="1:6" ht="225">
      <c r="A258" s="42" t="s">
        <v>1676</v>
      </c>
      <c r="B258" s="380" t="s">
        <v>1700</v>
      </c>
      <c r="C258" s="380" t="s">
        <v>1701</v>
      </c>
      <c r="D258" s="4"/>
      <c r="E258" s="4"/>
      <c r="F258" s="4"/>
    </row>
    <row r="259" spans="1:6" ht="105">
      <c r="A259" s="42" t="s">
        <v>1676</v>
      </c>
      <c r="B259" s="380" t="s">
        <v>1702</v>
      </c>
      <c r="C259" s="380" t="s">
        <v>1703</v>
      </c>
      <c r="D259" s="4"/>
      <c r="E259" s="4"/>
      <c r="F259" s="4"/>
    </row>
    <row r="260" spans="1:6" ht="120">
      <c r="A260" s="42" t="s">
        <v>1676</v>
      </c>
      <c r="B260" s="380" t="s">
        <v>1704</v>
      </c>
      <c r="C260" s="380" t="s">
        <v>1705</v>
      </c>
      <c r="D260" s="4"/>
      <c r="E260" s="4"/>
      <c r="F260" s="4"/>
    </row>
    <row r="261" spans="1:6" ht="45">
      <c r="A261" s="42" t="s">
        <v>1676</v>
      </c>
      <c r="B261" s="380" t="s">
        <v>1706</v>
      </c>
      <c r="C261" s="380" t="s">
        <v>1707</v>
      </c>
      <c r="D261" s="4"/>
      <c r="E261" s="4"/>
      <c r="F261" s="4"/>
    </row>
    <row r="262" spans="1:6" ht="180">
      <c r="A262" s="42" t="s">
        <v>1708</v>
      </c>
      <c r="B262" s="380" t="s">
        <v>1709</v>
      </c>
      <c r="C262" s="380" t="s">
        <v>1710</v>
      </c>
      <c r="D262" s="4"/>
      <c r="E262" s="4"/>
      <c r="F262" s="4"/>
    </row>
    <row r="263" spans="1:6" ht="105">
      <c r="A263" s="42" t="s">
        <v>1708</v>
      </c>
      <c r="B263" s="381" t="s">
        <v>1711</v>
      </c>
      <c r="C263" s="380" t="s">
        <v>1712</v>
      </c>
      <c r="D263" s="4"/>
      <c r="E263" s="4"/>
      <c r="F263" s="4"/>
    </row>
    <row r="264" spans="1:6" ht="60">
      <c r="A264" s="42" t="s">
        <v>1708</v>
      </c>
      <c r="B264" s="381" t="s">
        <v>1713</v>
      </c>
      <c r="C264" s="380" t="s">
        <v>1714</v>
      </c>
      <c r="D264" s="4"/>
      <c r="E264" s="4"/>
      <c r="F264" s="4"/>
    </row>
    <row r="265" spans="1:6" ht="120">
      <c r="A265" s="42" t="s">
        <v>1708</v>
      </c>
      <c r="B265" s="381" t="s">
        <v>1715</v>
      </c>
      <c r="C265" s="380" t="s">
        <v>1716</v>
      </c>
      <c r="D265" s="4"/>
      <c r="E265" s="4"/>
      <c r="F265" s="4"/>
    </row>
    <row r="266" spans="1:6" ht="75">
      <c r="A266" s="42" t="s">
        <v>1708</v>
      </c>
      <c r="B266" s="381" t="s">
        <v>1717</v>
      </c>
      <c r="C266" s="380" t="s">
        <v>1718</v>
      </c>
      <c r="D266" s="4"/>
      <c r="E266" s="4"/>
      <c r="F266" s="4"/>
    </row>
    <row r="267" spans="1:6" ht="165">
      <c r="A267" s="42" t="s">
        <v>1708</v>
      </c>
      <c r="B267" s="381" t="s">
        <v>1719</v>
      </c>
      <c r="C267" s="380" t="s">
        <v>1720</v>
      </c>
      <c r="D267" s="4"/>
      <c r="E267" s="4"/>
      <c r="F267" s="4"/>
    </row>
    <row r="268" spans="1:6" ht="75">
      <c r="A268" s="42" t="s">
        <v>1708</v>
      </c>
      <c r="B268" s="381" t="s">
        <v>1721</v>
      </c>
      <c r="C268" s="380" t="s">
        <v>1722</v>
      </c>
      <c r="D268" s="4"/>
      <c r="E268" s="4"/>
      <c r="F268" s="4"/>
    </row>
    <row r="269" spans="1:6" ht="105">
      <c r="A269" s="42" t="s">
        <v>1708</v>
      </c>
      <c r="B269" s="381" t="s">
        <v>1723</v>
      </c>
      <c r="C269" s="380" t="s">
        <v>1724</v>
      </c>
      <c r="D269" s="4"/>
      <c r="E269" s="4"/>
      <c r="F269" s="4"/>
    </row>
    <row r="270" spans="1:6" ht="150">
      <c r="A270" s="42" t="s">
        <v>1708</v>
      </c>
      <c r="B270" s="381" t="s">
        <v>1725</v>
      </c>
      <c r="C270" s="380" t="s">
        <v>1726</v>
      </c>
      <c r="D270" s="4"/>
      <c r="E270" s="4"/>
      <c r="F270" s="4"/>
    </row>
    <row r="271" spans="1:6" ht="90">
      <c r="A271" s="42" t="s">
        <v>1708</v>
      </c>
      <c r="B271" s="381" t="s">
        <v>1727</v>
      </c>
      <c r="C271" s="380" t="s">
        <v>1728</v>
      </c>
      <c r="D271" s="4"/>
      <c r="E271" s="4"/>
      <c r="F271" s="4"/>
    </row>
    <row r="272" spans="1:6" ht="105">
      <c r="A272" s="42" t="s">
        <v>1708</v>
      </c>
      <c r="B272" s="381" t="s">
        <v>1286</v>
      </c>
      <c r="C272" s="380" t="s">
        <v>1729</v>
      </c>
      <c r="D272" s="4"/>
      <c r="E272" s="4"/>
      <c r="F272" s="4"/>
    </row>
    <row r="273" spans="1:6" ht="180">
      <c r="A273" s="42" t="s">
        <v>1708</v>
      </c>
      <c r="B273" s="381" t="s">
        <v>1730</v>
      </c>
      <c r="C273" s="380" t="s">
        <v>1731</v>
      </c>
      <c r="D273" s="4"/>
      <c r="E273" s="4"/>
      <c r="F273" s="4"/>
    </row>
    <row r="274" spans="1:6" ht="45">
      <c r="A274" s="42" t="s">
        <v>1708</v>
      </c>
      <c r="B274" s="381" t="s">
        <v>1288</v>
      </c>
      <c r="C274" s="380" t="s">
        <v>1732</v>
      </c>
      <c r="D274" s="4"/>
      <c r="E274" s="4"/>
      <c r="F274" s="4"/>
    </row>
    <row r="275" spans="1:6" ht="105">
      <c r="A275" s="42" t="s">
        <v>1708</v>
      </c>
      <c r="B275" s="381" t="s">
        <v>1733</v>
      </c>
      <c r="C275" s="380" t="s">
        <v>1734</v>
      </c>
      <c r="D275" s="4"/>
      <c r="E275" s="4"/>
      <c r="F275" s="4"/>
    </row>
    <row r="276" spans="1:6" ht="105">
      <c r="A276" s="42" t="s">
        <v>1708</v>
      </c>
      <c r="B276" s="381" t="s">
        <v>1735</v>
      </c>
      <c r="C276" s="380" t="s">
        <v>1736</v>
      </c>
      <c r="D276" s="4"/>
      <c r="E276" s="4"/>
      <c r="F276" s="4"/>
    </row>
    <row r="277" spans="1:6" ht="105">
      <c r="A277" s="42" t="s">
        <v>1708</v>
      </c>
      <c r="B277" s="381" t="s">
        <v>1737</v>
      </c>
      <c r="C277" s="380" t="s">
        <v>1738</v>
      </c>
      <c r="D277" s="4"/>
      <c r="E277" s="4"/>
      <c r="F277" s="4"/>
    </row>
    <row r="278" spans="1:6" ht="60">
      <c r="A278" s="42" t="s">
        <v>1708</v>
      </c>
      <c r="B278" s="381" t="s">
        <v>1739</v>
      </c>
      <c r="C278" s="380" t="s">
        <v>1740</v>
      </c>
      <c r="D278" s="4"/>
      <c r="E278" s="4"/>
      <c r="F278" s="4"/>
    </row>
    <row r="279" spans="1:6" ht="60">
      <c r="A279" s="42" t="s">
        <v>1741</v>
      </c>
      <c r="B279" s="380" t="s">
        <v>1742</v>
      </c>
      <c r="C279" s="380" t="s">
        <v>1743</v>
      </c>
      <c r="D279" s="4"/>
      <c r="E279" s="4"/>
      <c r="F279" s="4"/>
    </row>
    <row r="280" spans="1:6" ht="225">
      <c r="A280" s="42" t="s">
        <v>1741</v>
      </c>
      <c r="B280" s="380" t="s">
        <v>1744</v>
      </c>
      <c r="C280" s="380" t="s">
        <v>1745</v>
      </c>
      <c r="D280" s="4"/>
      <c r="E280" s="4"/>
      <c r="F280" s="4"/>
    </row>
    <row r="281" spans="1:6" ht="105">
      <c r="A281" s="42" t="s">
        <v>1746</v>
      </c>
      <c r="B281" s="380" t="s">
        <v>1747</v>
      </c>
      <c r="C281" s="380" t="s">
        <v>1748</v>
      </c>
      <c r="D281" s="4"/>
      <c r="E281" s="4"/>
      <c r="F281" s="4"/>
    </row>
    <row r="282" spans="1:6" ht="135">
      <c r="A282" s="42" t="s">
        <v>1746</v>
      </c>
      <c r="B282" s="380" t="s">
        <v>1749</v>
      </c>
      <c r="C282" s="380" t="s">
        <v>1750</v>
      </c>
      <c r="D282" s="4"/>
      <c r="E282" s="4"/>
      <c r="F282" s="4"/>
    </row>
    <row r="283" spans="1:6" ht="120">
      <c r="A283" s="42" t="s">
        <v>1746</v>
      </c>
      <c r="B283" s="380" t="s">
        <v>1751</v>
      </c>
      <c r="C283" s="380" t="s">
        <v>1752</v>
      </c>
      <c r="D283" s="4"/>
      <c r="E283" s="4"/>
      <c r="F283" s="4"/>
    </row>
    <row r="284" spans="1:6" ht="165">
      <c r="A284" s="42" t="s">
        <v>1746</v>
      </c>
      <c r="B284" s="380" t="s">
        <v>1753</v>
      </c>
      <c r="C284" s="380" t="s">
        <v>1754</v>
      </c>
      <c r="D284" s="4"/>
      <c r="E284" s="4"/>
      <c r="F284" s="4"/>
    </row>
    <row r="285" spans="1:6" ht="60">
      <c r="A285" s="42" t="s">
        <v>1746</v>
      </c>
      <c r="B285" s="380" t="s">
        <v>1755</v>
      </c>
      <c r="C285" s="380" t="s">
        <v>1756</v>
      </c>
      <c r="D285" s="4"/>
      <c r="E285" s="4"/>
      <c r="F285" s="4"/>
    </row>
    <row r="286" spans="1:6" ht="105">
      <c r="A286" s="42" t="s">
        <v>1746</v>
      </c>
      <c r="B286" s="380" t="s">
        <v>1757</v>
      </c>
      <c r="C286" s="380" t="s">
        <v>1758</v>
      </c>
      <c r="D286" s="4"/>
      <c r="E286" s="4"/>
      <c r="F286" s="4"/>
    </row>
    <row r="287" spans="1:6" ht="90">
      <c r="A287" s="42" t="s">
        <v>1746</v>
      </c>
      <c r="B287" s="380" t="s">
        <v>1581</v>
      </c>
      <c r="C287" s="380" t="s">
        <v>1759</v>
      </c>
      <c r="D287" s="4"/>
      <c r="E287" s="4"/>
      <c r="F287" s="4"/>
    </row>
    <row r="288" spans="1:6" ht="150">
      <c r="A288" s="42" t="s">
        <v>1760</v>
      </c>
      <c r="B288" s="380" t="s">
        <v>1761</v>
      </c>
      <c r="C288" s="380" t="s">
        <v>1762</v>
      </c>
      <c r="D288" s="4"/>
      <c r="E288" s="4"/>
      <c r="F288" s="4"/>
    </row>
    <row r="289" spans="1:6" ht="135">
      <c r="A289" s="42" t="s">
        <v>1760</v>
      </c>
      <c r="B289" s="380" t="s">
        <v>1763</v>
      </c>
      <c r="C289" s="380" t="s">
        <v>1764</v>
      </c>
      <c r="D289" s="4"/>
      <c r="E289" s="4"/>
      <c r="F289" s="4"/>
    </row>
    <row r="290" spans="1:6" ht="90">
      <c r="A290" s="42" t="s">
        <v>1760</v>
      </c>
      <c r="B290" s="380" t="s">
        <v>1765</v>
      </c>
      <c r="C290" s="380" t="s">
        <v>1766</v>
      </c>
      <c r="D290" s="4"/>
      <c r="E290" s="4"/>
      <c r="F290" s="4"/>
    </row>
    <row r="291" spans="1:6" ht="150">
      <c r="A291" s="42" t="s">
        <v>1760</v>
      </c>
      <c r="B291" s="380" t="s">
        <v>1767</v>
      </c>
      <c r="C291" s="380" t="s">
        <v>1768</v>
      </c>
      <c r="D291" s="4"/>
      <c r="E291" s="4"/>
      <c r="F291" s="4"/>
    </row>
    <row r="292" spans="1:6" ht="75">
      <c r="A292" s="42" t="s">
        <v>1760</v>
      </c>
      <c r="B292" s="380" t="s">
        <v>1769</v>
      </c>
      <c r="C292" s="380" t="s">
        <v>1770</v>
      </c>
      <c r="D292" s="4"/>
      <c r="E292" s="4"/>
      <c r="F292" s="4"/>
    </row>
    <row r="293" spans="1:6" ht="165">
      <c r="A293" s="42" t="s">
        <v>1760</v>
      </c>
      <c r="B293" s="380" t="s">
        <v>1771</v>
      </c>
      <c r="C293" s="380" t="s">
        <v>1772</v>
      </c>
      <c r="D293" s="4"/>
      <c r="E293" s="4"/>
      <c r="F293" s="4"/>
    </row>
    <row r="294" spans="1:6" ht="90">
      <c r="A294" s="42" t="s">
        <v>1760</v>
      </c>
      <c r="B294" s="380" t="s">
        <v>1773</v>
      </c>
      <c r="C294" s="380" t="s">
        <v>1774</v>
      </c>
      <c r="D294" s="4"/>
      <c r="E294" s="4"/>
      <c r="F294" s="4"/>
    </row>
    <row r="295" spans="1:6" ht="90">
      <c r="A295" s="42" t="s">
        <v>1760</v>
      </c>
      <c r="B295" s="380" t="s">
        <v>1775</v>
      </c>
      <c r="C295" s="380" t="s">
        <v>1776</v>
      </c>
      <c r="D295" s="4"/>
      <c r="E295" s="4"/>
      <c r="F295" s="4"/>
    </row>
    <row r="296" spans="1:6" ht="180">
      <c r="A296" s="42" t="s">
        <v>1760</v>
      </c>
      <c r="B296" s="380" t="s">
        <v>1231</v>
      </c>
      <c r="C296" s="380" t="s">
        <v>1777</v>
      </c>
      <c r="D296" s="4"/>
      <c r="E296" s="4"/>
      <c r="F296" s="4"/>
    </row>
    <row r="297" spans="1:6" ht="165">
      <c r="A297" s="42" t="s">
        <v>1760</v>
      </c>
      <c r="B297" s="380" t="s">
        <v>1778</v>
      </c>
      <c r="C297" s="380" t="s">
        <v>1779</v>
      </c>
      <c r="D297" s="4"/>
      <c r="E297" s="4"/>
      <c r="F297" s="4"/>
    </row>
    <row r="298" spans="1:6" ht="180">
      <c r="A298" s="42" t="s">
        <v>1780</v>
      </c>
      <c r="B298" s="380" t="s">
        <v>1781</v>
      </c>
      <c r="C298" s="380" t="s">
        <v>1782</v>
      </c>
      <c r="D298" s="4"/>
      <c r="E298" s="4"/>
      <c r="F298" s="4"/>
    </row>
    <row r="299" spans="1:6" ht="135">
      <c r="A299" s="42" t="s">
        <v>1780</v>
      </c>
      <c r="B299" s="380" t="s">
        <v>1783</v>
      </c>
      <c r="C299" s="380" t="s">
        <v>1784</v>
      </c>
      <c r="D299" s="4"/>
      <c r="E299" s="4"/>
      <c r="F299" s="4"/>
    </row>
    <row r="300" spans="1:6" ht="180">
      <c r="A300" s="42" t="s">
        <v>1780</v>
      </c>
      <c r="B300" s="380" t="s">
        <v>1785</v>
      </c>
      <c r="C300" s="380" t="s">
        <v>1786</v>
      </c>
      <c r="D300" s="4"/>
      <c r="E300" s="4"/>
      <c r="F300" s="4"/>
    </row>
    <row r="301" spans="1:6" ht="105">
      <c r="A301" s="42" t="s">
        <v>1780</v>
      </c>
      <c r="B301" s="380" t="s">
        <v>1787</v>
      </c>
      <c r="C301" s="380" t="s">
        <v>1788</v>
      </c>
      <c r="D301" s="4"/>
      <c r="E301" s="4"/>
      <c r="F301" s="4"/>
    </row>
    <row r="302" spans="1:6" ht="75">
      <c r="A302" s="42" t="s">
        <v>1780</v>
      </c>
      <c r="B302" s="380" t="s">
        <v>1789</v>
      </c>
      <c r="C302" s="380" t="s">
        <v>1790</v>
      </c>
      <c r="D302" s="4"/>
      <c r="E302" s="4"/>
      <c r="F302" s="4"/>
    </row>
    <row r="303" spans="1:6" ht="60">
      <c r="A303" s="42" t="s">
        <v>1780</v>
      </c>
      <c r="B303" s="380" t="s">
        <v>1791</v>
      </c>
      <c r="C303" s="380" t="s">
        <v>1792</v>
      </c>
      <c r="D303" s="4"/>
      <c r="E303" s="4"/>
      <c r="F303" s="4"/>
    </row>
    <row r="304" spans="1:6" ht="225">
      <c r="A304" s="42" t="s">
        <v>1793</v>
      </c>
      <c r="B304" s="380" t="s">
        <v>1794</v>
      </c>
      <c r="C304" s="380" t="s">
        <v>1795</v>
      </c>
      <c r="D304" s="4"/>
      <c r="E304" s="4"/>
      <c r="F304" s="4"/>
    </row>
    <row r="305" spans="1:6" ht="165">
      <c r="A305" s="42" t="s">
        <v>1793</v>
      </c>
      <c r="B305" s="380" t="s">
        <v>1796</v>
      </c>
      <c r="C305" s="380" t="s">
        <v>1797</v>
      </c>
      <c r="D305" s="4"/>
      <c r="E305" s="4"/>
      <c r="F305" s="4"/>
    </row>
    <row r="306" spans="1:6" ht="90">
      <c r="A306" s="42" t="s">
        <v>1793</v>
      </c>
      <c r="B306" s="380" t="s">
        <v>1798</v>
      </c>
      <c r="C306" s="380" t="s">
        <v>1799</v>
      </c>
      <c r="D306" s="4"/>
      <c r="E306" s="4"/>
      <c r="F306" s="4"/>
    </row>
    <row r="307" spans="1:6" ht="60">
      <c r="A307" s="42" t="s">
        <v>1793</v>
      </c>
      <c r="B307" s="380" t="s">
        <v>1535</v>
      </c>
      <c r="C307" s="380" t="s">
        <v>1800</v>
      </c>
      <c r="D307" s="4"/>
      <c r="E307" s="4"/>
      <c r="F307" s="4"/>
    </row>
    <row r="308" spans="1:6" ht="180">
      <c r="A308" s="42" t="s">
        <v>1793</v>
      </c>
      <c r="B308" s="380" t="s">
        <v>1801</v>
      </c>
      <c r="C308" s="380" t="s">
        <v>1802</v>
      </c>
      <c r="D308" s="4"/>
      <c r="E308" s="4"/>
      <c r="F308" s="4"/>
    </row>
    <row r="309" spans="1:6" ht="165">
      <c r="A309" s="42" t="s">
        <v>1803</v>
      </c>
      <c r="B309" s="380" t="s">
        <v>1804</v>
      </c>
      <c r="C309" s="380" t="s">
        <v>1805</v>
      </c>
      <c r="D309" s="4"/>
      <c r="E309" s="4"/>
      <c r="F309" s="4"/>
    </row>
    <row r="310" spans="1:6" ht="180">
      <c r="A310" s="42" t="s">
        <v>1803</v>
      </c>
      <c r="B310" s="380" t="s">
        <v>1806</v>
      </c>
      <c r="C310" s="380" t="s">
        <v>1807</v>
      </c>
      <c r="D310" s="4"/>
      <c r="E310" s="4"/>
      <c r="F310" s="4"/>
    </row>
    <row r="311" spans="1:6" ht="75">
      <c r="A311" s="42" t="s">
        <v>1803</v>
      </c>
      <c r="B311" s="380" t="s">
        <v>1808</v>
      </c>
      <c r="C311" s="380" t="s">
        <v>1809</v>
      </c>
      <c r="D311" s="4"/>
      <c r="E311" s="4"/>
      <c r="F311" s="4"/>
    </row>
    <row r="312" spans="1:6" ht="105">
      <c r="A312" s="42" t="s">
        <v>1803</v>
      </c>
      <c r="B312" s="380" t="s">
        <v>1810</v>
      </c>
      <c r="C312" s="380" t="s">
        <v>1811</v>
      </c>
      <c r="D312" s="4"/>
      <c r="E312" s="4"/>
      <c r="F312" s="4"/>
    </row>
    <row r="313" spans="1:6" ht="75">
      <c r="A313" s="42" t="s">
        <v>1803</v>
      </c>
      <c r="B313" s="380" t="s">
        <v>1812</v>
      </c>
      <c r="C313" s="380" t="s">
        <v>1813</v>
      </c>
      <c r="D313" s="4"/>
      <c r="E313" s="4"/>
      <c r="F313" s="4"/>
    </row>
    <row r="314" spans="1:6" ht="75">
      <c r="A314" s="42" t="s">
        <v>1814</v>
      </c>
      <c r="B314" s="380" t="s">
        <v>1815</v>
      </c>
      <c r="C314" s="380" t="s">
        <v>1816</v>
      </c>
      <c r="D314" s="4"/>
      <c r="E314" s="4"/>
      <c r="F314" s="4"/>
    </row>
    <row r="315" spans="1:6" ht="90">
      <c r="A315" s="42" t="s">
        <v>1814</v>
      </c>
      <c r="B315" s="380" t="s">
        <v>1817</v>
      </c>
      <c r="C315" s="380" t="s">
        <v>1818</v>
      </c>
      <c r="D315" s="4"/>
      <c r="E315" s="4"/>
      <c r="F315" s="4"/>
    </row>
    <row r="316" spans="1:6" ht="105">
      <c r="A316" s="42" t="s">
        <v>1814</v>
      </c>
      <c r="B316" s="380" t="s">
        <v>1819</v>
      </c>
      <c r="C316" s="380" t="s">
        <v>1820</v>
      </c>
      <c r="D316" s="4"/>
      <c r="E316" s="4"/>
      <c r="F316" s="4"/>
    </row>
    <row r="317" spans="1:6" ht="105">
      <c r="A317" s="42" t="s">
        <v>1814</v>
      </c>
      <c r="B317" s="380" t="s">
        <v>1821</v>
      </c>
      <c r="C317" s="380" t="s">
        <v>1822</v>
      </c>
      <c r="D317" s="4"/>
      <c r="E317" s="4"/>
      <c r="F317" s="4"/>
    </row>
    <row r="318" spans="1:6" ht="105">
      <c r="A318" s="42" t="s">
        <v>1814</v>
      </c>
      <c r="B318" s="380" t="s">
        <v>1823</v>
      </c>
      <c r="C318" s="380" t="s">
        <v>1824</v>
      </c>
      <c r="D318" s="4"/>
      <c r="E318" s="4"/>
      <c r="F318" s="4"/>
    </row>
    <row r="319" spans="1:6" ht="60">
      <c r="A319" s="42" t="s">
        <v>1814</v>
      </c>
      <c r="B319" s="380" t="s">
        <v>1825</v>
      </c>
      <c r="C319" s="380" t="s">
        <v>1826</v>
      </c>
      <c r="D319" s="4"/>
      <c r="E319" s="4"/>
      <c r="F319" s="4"/>
    </row>
    <row r="320" spans="1:6" ht="120">
      <c r="A320" s="42" t="s">
        <v>1827</v>
      </c>
      <c r="B320" s="380" t="s">
        <v>1828</v>
      </c>
      <c r="C320" s="380" t="s">
        <v>1829</v>
      </c>
      <c r="D320" s="4"/>
      <c r="E320" s="4"/>
      <c r="F320" s="4"/>
    </row>
    <row r="321" spans="1:6" ht="195">
      <c r="A321" s="42" t="s">
        <v>1827</v>
      </c>
      <c r="B321" s="380" t="s">
        <v>1830</v>
      </c>
      <c r="C321" s="380" t="s">
        <v>1831</v>
      </c>
      <c r="D321" s="4"/>
      <c r="E321" s="4"/>
      <c r="F321" s="4"/>
    </row>
    <row r="322" spans="1:6" ht="90">
      <c r="A322" s="42" t="s">
        <v>1827</v>
      </c>
      <c r="B322" s="380" t="s">
        <v>1832</v>
      </c>
      <c r="C322" s="380" t="s">
        <v>1833</v>
      </c>
      <c r="D322" s="4"/>
      <c r="E322" s="4"/>
      <c r="F322" s="4"/>
    </row>
    <row r="323" spans="1:6" ht="135">
      <c r="A323" s="42" t="s">
        <v>1827</v>
      </c>
      <c r="B323" s="380" t="s">
        <v>1834</v>
      </c>
      <c r="C323" s="380" t="s">
        <v>1835</v>
      </c>
      <c r="D323" s="4"/>
      <c r="E323" s="4"/>
      <c r="F323" s="4"/>
    </row>
    <row r="324" spans="1:6" ht="120">
      <c r="A324" s="42" t="s">
        <v>1827</v>
      </c>
      <c r="B324" s="380" t="s">
        <v>1836</v>
      </c>
      <c r="C324" s="380" t="s">
        <v>1837</v>
      </c>
      <c r="D324" s="4"/>
      <c r="E324" s="4"/>
      <c r="F324" s="4"/>
    </row>
    <row r="325" spans="1:6" ht="120">
      <c r="A325" s="42" t="s">
        <v>1827</v>
      </c>
      <c r="B325" s="380" t="s">
        <v>1838</v>
      </c>
      <c r="C325" s="380" t="s">
        <v>1839</v>
      </c>
      <c r="D325" s="4"/>
      <c r="E325" s="4"/>
      <c r="F325" s="4"/>
    </row>
    <row r="326" spans="1:6" ht="150">
      <c r="A326" s="42" t="s">
        <v>1827</v>
      </c>
      <c r="B326" s="380" t="s">
        <v>1840</v>
      </c>
      <c r="C326" s="380" t="s">
        <v>1841</v>
      </c>
      <c r="D326" s="4"/>
      <c r="E326" s="4"/>
      <c r="F326" s="4"/>
    </row>
    <row r="327" spans="1:6" ht="105">
      <c r="A327" s="42" t="s">
        <v>1827</v>
      </c>
      <c r="B327" s="380" t="s">
        <v>1842</v>
      </c>
      <c r="C327" s="380" t="s">
        <v>1843</v>
      </c>
      <c r="D327" s="4"/>
      <c r="E327" s="4"/>
      <c r="F327" s="4"/>
    </row>
    <row r="328" spans="1:6" ht="180">
      <c r="A328" s="42" t="s">
        <v>1827</v>
      </c>
      <c r="B328" s="380" t="s">
        <v>1844</v>
      </c>
      <c r="C328" s="380" t="s">
        <v>1845</v>
      </c>
      <c r="D328" s="4"/>
      <c r="E328" s="4"/>
      <c r="F328" s="4"/>
    </row>
    <row r="329" spans="1:6" ht="105">
      <c r="A329" s="42" t="s">
        <v>1827</v>
      </c>
      <c r="B329" s="380" t="s">
        <v>1846</v>
      </c>
      <c r="C329" s="380" t="s">
        <v>1847</v>
      </c>
      <c r="D329" s="4"/>
      <c r="E329" s="4"/>
      <c r="F329" s="4"/>
    </row>
    <row r="330" spans="1:6" ht="195">
      <c r="A330" s="42" t="s">
        <v>1848</v>
      </c>
      <c r="B330" s="380" t="s">
        <v>1849</v>
      </c>
      <c r="C330" s="380" t="s">
        <v>1850</v>
      </c>
      <c r="D330" s="4"/>
      <c r="E330" s="4"/>
      <c r="F330" s="4"/>
    </row>
    <row r="331" spans="1:6" ht="90">
      <c r="A331" s="42" t="s">
        <v>1848</v>
      </c>
      <c r="B331" s="380" t="s">
        <v>1851</v>
      </c>
      <c r="C331" s="380" t="s">
        <v>1852</v>
      </c>
      <c r="D331" s="4"/>
      <c r="E331" s="4"/>
      <c r="F331" s="4"/>
    </row>
    <row r="332" spans="1:6" ht="270">
      <c r="A332" s="42" t="s">
        <v>1848</v>
      </c>
      <c r="B332" s="380" t="s">
        <v>1853</v>
      </c>
      <c r="C332" s="380" t="s">
        <v>1854</v>
      </c>
      <c r="D332" s="4"/>
      <c r="E332" s="4"/>
      <c r="F332" s="4"/>
    </row>
    <row r="333" spans="1:6" ht="90">
      <c r="A333" s="42" t="s">
        <v>1848</v>
      </c>
      <c r="B333" s="380" t="s">
        <v>1855</v>
      </c>
      <c r="C333" s="380" t="s">
        <v>1856</v>
      </c>
      <c r="D333" s="4"/>
      <c r="E333" s="4"/>
      <c r="F333" s="4"/>
    </row>
    <row r="334" spans="1:6" ht="120">
      <c r="A334" s="42" t="s">
        <v>1848</v>
      </c>
      <c r="B334" s="380" t="s">
        <v>1857</v>
      </c>
      <c r="C334" s="380" t="s">
        <v>1858</v>
      </c>
      <c r="D334" s="4"/>
      <c r="E334" s="4"/>
      <c r="F334" s="4"/>
    </row>
    <row r="335" spans="1:6" ht="105">
      <c r="A335" s="42" t="s">
        <v>1848</v>
      </c>
      <c r="B335" s="380" t="s">
        <v>1859</v>
      </c>
      <c r="C335" s="380" t="s">
        <v>1860</v>
      </c>
      <c r="D335" s="4"/>
      <c r="E335" s="4"/>
      <c r="F335" s="4"/>
    </row>
    <row r="336" spans="1:6" ht="240">
      <c r="A336" s="42" t="s">
        <v>1848</v>
      </c>
      <c r="B336" s="380" t="s">
        <v>1861</v>
      </c>
      <c r="C336" s="380" t="s">
        <v>1862</v>
      </c>
      <c r="D336" s="4"/>
      <c r="E336" s="4"/>
      <c r="F336" s="4"/>
    </row>
    <row r="337" spans="1:6" ht="45">
      <c r="A337" s="42" t="s">
        <v>1848</v>
      </c>
      <c r="B337" s="380" t="s">
        <v>1863</v>
      </c>
      <c r="C337" s="380" t="s">
        <v>1864</v>
      </c>
      <c r="D337" s="4"/>
      <c r="E337" s="4"/>
      <c r="F337" s="4"/>
    </row>
    <row r="338" spans="1:6" ht="45">
      <c r="A338" s="42" t="s">
        <v>1848</v>
      </c>
      <c r="B338" s="380" t="s">
        <v>1865</v>
      </c>
      <c r="C338" s="380" t="s">
        <v>1866</v>
      </c>
      <c r="D338" s="4"/>
      <c r="E338" s="4"/>
      <c r="F338" s="4"/>
    </row>
    <row r="339" spans="1:6" ht="45">
      <c r="A339" s="42" t="s">
        <v>1867</v>
      </c>
      <c r="B339" s="380" t="s">
        <v>1361</v>
      </c>
      <c r="C339" s="380" t="s">
        <v>1868</v>
      </c>
      <c r="D339" s="4"/>
      <c r="E339" s="4"/>
      <c r="F339" s="4"/>
    </row>
    <row r="340" spans="1:6" ht="225">
      <c r="A340" s="42" t="s">
        <v>1867</v>
      </c>
      <c r="B340" s="380" t="s">
        <v>1869</v>
      </c>
      <c r="C340" s="380" t="s">
        <v>1870</v>
      </c>
      <c r="D340" s="4"/>
      <c r="E340" s="4"/>
      <c r="F340" s="4"/>
    </row>
    <row r="341" spans="1:6" ht="195">
      <c r="A341" s="42" t="s">
        <v>1867</v>
      </c>
      <c r="B341" s="380" t="s">
        <v>1871</v>
      </c>
      <c r="C341" s="380" t="s">
        <v>1872</v>
      </c>
      <c r="D341" s="4"/>
      <c r="E341" s="4"/>
      <c r="F341" s="4"/>
    </row>
    <row r="342" spans="1:6" ht="60">
      <c r="A342" s="42" t="s">
        <v>1867</v>
      </c>
      <c r="B342" s="380" t="s">
        <v>1254</v>
      </c>
      <c r="C342" s="380" t="s">
        <v>1873</v>
      </c>
      <c r="D342" s="4"/>
      <c r="E342" s="4"/>
      <c r="F342" s="4"/>
    </row>
    <row r="343" spans="1:6" ht="75">
      <c r="A343" s="42" t="s">
        <v>1867</v>
      </c>
      <c r="B343" s="380" t="s">
        <v>1874</v>
      </c>
      <c r="C343" s="380" t="s">
        <v>1875</v>
      </c>
      <c r="D343" s="4"/>
      <c r="E343" s="4"/>
      <c r="F343" s="4"/>
    </row>
    <row r="344" spans="1:6" ht="105">
      <c r="A344" s="42" t="s">
        <v>1867</v>
      </c>
      <c r="B344" s="380" t="s">
        <v>1876</v>
      </c>
      <c r="C344" s="380" t="s">
        <v>1877</v>
      </c>
      <c r="D344" s="4"/>
      <c r="E344" s="4"/>
      <c r="F344" s="4"/>
    </row>
    <row r="345" spans="1:6" ht="60">
      <c r="A345" s="42" t="s">
        <v>1867</v>
      </c>
      <c r="B345" s="380" t="s">
        <v>1878</v>
      </c>
      <c r="C345" s="380" t="s">
        <v>1879</v>
      </c>
      <c r="D345" s="4"/>
      <c r="E345" s="4"/>
      <c r="F345" s="4"/>
    </row>
    <row r="346" spans="1:6" ht="135">
      <c r="A346" s="42" t="s">
        <v>1867</v>
      </c>
      <c r="B346" s="380" t="s">
        <v>1880</v>
      </c>
      <c r="C346" s="380" t="s">
        <v>1881</v>
      </c>
      <c r="D346" s="4"/>
      <c r="E346" s="4"/>
      <c r="F346" s="4"/>
    </row>
    <row r="347" spans="1:6" ht="60">
      <c r="A347" s="42" t="s">
        <v>1867</v>
      </c>
      <c r="B347" s="380" t="s">
        <v>1882</v>
      </c>
      <c r="C347" s="380" t="s">
        <v>1883</v>
      </c>
      <c r="D347" s="4"/>
      <c r="E347" s="4"/>
      <c r="F347" s="4"/>
    </row>
    <row r="348" spans="1:6" ht="90">
      <c r="A348" s="42" t="s">
        <v>1867</v>
      </c>
      <c r="B348" s="380" t="s">
        <v>1884</v>
      </c>
      <c r="C348" s="380" t="s">
        <v>1885</v>
      </c>
      <c r="D348" s="4"/>
      <c r="E348" s="4"/>
      <c r="F348" s="4"/>
    </row>
    <row r="349" spans="1:6" ht="150">
      <c r="A349" s="42" t="s">
        <v>1867</v>
      </c>
      <c r="B349" s="380" t="s">
        <v>1886</v>
      </c>
      <c r="C349" s="380" t="s">
        <v>1887</v>
      </c>
      <c r="D349" s="4"/>
      <c r="E349" s="4"/>
      <c r="F349" s="4"/>
    </row>
    <row r="350" spans="1:6" ht="75">
      <c r="A350" s="42" t="s">
        <v>1867</v>
      </c>
      <c r="B350" s="380" t="s">
        <v>1888</v>
      </c>
      <c r="C350" s="380" t="s">
        <v>1889</v>
      </c>
      <c r="D350" s="4"/>
      <c r="E350" s="4"/>
      <c r="F350" s="4"/>
    </row>
    <row r="351" spans="1:6" ht="90">
      <c r="A351" s="42" t="s">
        <v>1890</v>
      </c>
      <c r="B351" s="380" t="s">
        <v>1891</v>
      </c>
      <c r="C351" s="380" t="s">
        <v>1892</v>
      </c>
      <c r="D351" s="4"/>
      <c r="E351" s="4"/>
      <c r="F351" s="4"/>
    </row>
    <row r="352" spans="1:6" ht="120">
      <c r="A352" s="42" t="s">
        <v>1890</v>
      </c>
      <c r="B352" s="381" t="s">
        <v>1361</v>
      </c>
      <c r="C352" s="380" t="s">
        <v>1893</v>
      </c>
      <c r="D352" s="4"/>
      <c r="E352" s="4"/>
      <c r="F352" s="4"/>
    </row>
    <row r="353" spans="1:6" ht="75">
      <c r="A353" s="42" t="s">
        <v>1890</v>
      </c>
      <c r="B353" s="381" t="s">
        <v>1894</v>
      </c>
      <c r="C353" s="380" t="s">
        <v>1895</v>
      </c>
      <c r="D353" s="4"/>
      <c r="E353" s="4"/>
      <c r="F353" s="4"/>
    </row>
    <row r="354" spans="1:6" ht="105">
      <c r="A354" s="42" t="s">
        <v>1890</v>
      </c>
      <c r="B354" s="381" t="s">
        <v>1896</v>
      </c>
      <c r="C354" s="380" t="s">
        <v>1897</v>
      </c>
      <c r="D354" s="4"/>
      <c r="E354" s="4"/>
      <c r="F354" s="4"/>
    </row>
    <row r="355" spans="1:6" ht="75">
      <c r="A355" s="42" t="s">
        <v>1890</v>
      </c>
      <c r="B355" s="381" t="s">
        <v>1898</v>
      </c>
      <c r="C355" s="380" t="s">
        <v>1899</v>
      </c>
      <c r="D355" s="4"/>
      <c r="E355" s="4"/>
      <c r="F355" s="4"/>
    </row>
    <row r="356" spans="1:6" ht="150">
      <c r="A356" s="42" t="s">
        <v>1890</v>
      </c>
      <c r="B356" s="381" t="s">
        <v>1900</v>
      </c>
      <c r="C356" s="380" t="s">
        <v>1901</v>
      </c>
      <c r="D356" s="4"/>
      <c r="E356" s="4"/>
      <c r="F356" s="4"/>
    </row>
    <row r="357" spans="1:6" ht="90">
      <c r="A357" s="42" t="s">
        <v>1890</v>
      </c>
      <c r="B357" s="381" t="s">
        <v>1902</v>
      </c>
      <c r="C357" s="380" t="s">
        <v>1903</v>
      </c>
      <c r="D357" s="4"/>
      <c r="E357" s="4"/>
      <c r="F357" s="4"/>
    </row>
    <row r="358" spans="1:6" ht="180">
      <c r="A358" s="42" t="s">
        <v>1890</v>
      </c>
      <c r="B358" s="381" t="s">
        <v>1904</v>
      </c>
      <c r="C358" s="380" t="s">
        <v>1905</v>
      </c>
      <c r="D358" s="4"/>
      <c r="E358" s="4"/>
      <c r="F358" s="4"/>
    </row>
    <row r="359" spans="1:6" ht="180">
      <c r="A359" s="42" t="s">
        <v>1890</v>
      </c>
      <c r="B359" s="381" t="s">
        <v>1906</v>
      </c>
      <c r="C359" s="380" t="s">
        <v>1907</v>
      </c>
      <c r="D359" s="4"/>
      <c r="E359" s="4"/>
      <c r="F359" s="4"/>
    </row>
    <row r="360" spans="1:6" ht="135">
      <c r="A360" s="42" t="s">
        <v>1890</v>
      </c>
      <c r="B360" s="381" t="s">
        <v>1908</v>
      </c>
      <c r="C360" s="380" t="s">
        <v>1909</v>
      </c>
      <c r="D360" s="4"/>
      <c r="E360" s="4"/>
      <c r="F360" s="4"/>
    </row>
    <row r="361" spans="1:6" ht="60">
      <c r="A361" s="42" t="s">
        <v>1890</v>
      </c>
      <c r="B361" s="381" t="s">
        <v>1910</v>
      </c>
      <c r="C361" s="380" t="s">
        <v>1911</v>
      </c>
      <c r="D361" s="4"/>
      <c r="E361" s="4"/>
      <c r="F361" s="4"/>
    </row>
    <row r="362" spans="1:6" ht="105">
      <c r="A362" s="42" t="s">
        <v>1890</v>
      </c>
      <c r="B362" s="381" t="s">
        <v>1912</v>
      </c>
      <c r="C362" s="380" t="s">
        <v>1913</v>
      </c>
      <c r="D362" s="4"/>
      <c r="E362" s="4"/>
      <c r="F362" s="4"/>
    </row>
    <row r="363" spans="1:6" ht="120">
      <c r="A363" s="42" t="s">
        <v>1890</v>
      </c>
      <c r="B363" s="381" t="s">
        <v>1914</v>
      </c>
      <c r="C363" s="380" t="s">
        <v>1915</v>
      </c>
      <c r="D363" s="4"/>
      <c r="E363" s="4"/>
      <c r="F363" s="4"/>
    </row>
    <row r="364" spans="1:6" ht="150">
      <c r="A364" s="42" t="s">
        <v>1890</v>
      </c>
      <c r="B364" s="381" t="s">
        <v>1916</v>
      </c>
      <c r="C364" s="380" t="s">
        <v>1917</v>
      </c>
      <c r="D364" s="4"/>
      <c r="E364" s="4"/>
      <c r="F364" s="4"/>
    </row>
    <row r="365" spans="1:6" ht="105">
      <c r="A365" s="42" t="s">
        <v>1890</v>
      </c>
      <c r="B365" s="381" t="s">
        <v>1918</v>
      </c>
      <c r="C365" s="380" t="s">
        <v>1919</v>
      </c>
      <c r="D365" s="4"/>
      <c r="E365" s="4"/>
      <c r="F365" s="4"/>
    </row>
    <row r="366" spans="1:6" ht="105">
      <c r="A366" s="42" t="s">
        <v>1890</v>
      </c>
      <c r="B366" s="381" t="s">
        <v>1662</v>
      </c>
      <c r="C366" s="380" t="s">
        <v>1920</v>
      </c>
      <c r="D366" s="4"/>
      <c r="E366" s="4"/>
      <c r="F366" s="4"/>
    </row>
    <row r="367" spans="1:6" ht="270">
      <c r="A367" s="42" t="s">
        <v>1890</v>
      </c>
      <c r="B367" s="381" t="s">
        <v>1592</v>
      </c>
      <c r="C367" s="380" t="s">
        <v>1921</v>
      </c>
      <c r="D367" s="4"/>
      <c r="E367" s="4"/>
      <c r="F367" s="4"/>
    </row>
    <row r="368" spans="1:6" ht="75">
      <c r="A368" s="42" t="s">
        <v>1890</v>
      </c>
      <c r="B368" s="381" t="s">
        <v>1922</v>
      </c>
      <c r="C368" s="380" t="s">
        <v>1923</v>
      </c>
      <c r="D368" s="4"/>
      <c r="E368" s="4"/>
      <c r="F368" s="4"/>
    </row>
    <row r="369" spans="1:6" ht="256.5">
      <c r="A369" s="42" t="s">
        <v>1890</v>
      </c>
      <c r="B369" s="381" t="s">
        <v>1924</v>
      </c>
      <c r="C369" s="381" t="s">
        <v>1925</v>
      </c>
      <c r="D369" s="4"/>
      <c r="E369" s="4"/>
      <c r="F369" s="4"/>
    </row>
    <row r="370" spans="1:6" ht="180">
      <c r="A370" s="42" t="s">
        <v>1926</v>
      </c>
      <c r="B370" s="380" t="s">
        <v>1487</v>
      </c>
      <c r="C370" s="380" t="s">
        <v>1927</v>
      </c>
      <c r="D370" s="4"/>
      <c r="E370" s="4"/>
      <c r="F370" s="4"/>
    </row>
    <row r="371" spans="1:6" ht="195">
      <c r="A371" s="42" t="s">
        <v>1926</v>
      </c>
      <c r="B371" s="380" t="s">
        <v>1928</v>
      </c>
      <c r="C371" s="380" t="s">
        <v>1929</v>
      </c>
      <c r="D371" s="4"/>
      <c r="E371" s="4"/>
      <c r="F371" s="4"/>
    </row>
    <row r="372" spans="1:6" ht="150">
      <c r="A372" s="42" t="s">
        <v>1926</v>
      </c>
      <c r="B372" s="380" t="s">
        <v>1489</v>
      </c>
      <c r="C372" s="380" t="s">
        <v>1930</v>
      </c>
      <c r="D372" s="4"/>
      <c r="E372" s="4"/>
      <c r="F372" s="4"/>
    </row>
    <row r="373" spans="1:6" ht="45">
      <c r="A373" s="42" t="s">
        <v>1926</v>
      </c>
      <c r="B373" s="380" t="s">
        <v>1284</v>
      </c>
      <c r="C373" s="380" t="s">
        <v>1931</v>
      </c>
      <c r="D373" s="4"/>
      <c r="E373" s="4"/>
      <c r="F373" s="4"/>
    </row>
    <row r="374" spans="1:6" ht="60">
      <c r="A374" s="42" t="s">
        <v>1926</v>
      </c>
      <c r="B374" s="380" t="s">
        <v>1932</v>
      </c>
      <c r="C374" s="380" t="s">
        <v>1933</v>
      </c>
      <c r="D374" s="4"/>
      <c r="E374" s="4"/>
      <c r="F374" s="4"/>
    </row>
    <row r="375" spans="1:6" ht="105">
      <c r="A375" s="71" t="s">
        <v>1926</v>
      </c>
      <c r="B375" s="380" t="s">
        <v>1934</v>
      </c>
      <c r="C375" s="380" t="s">
        <v>1935</v>
      </c>
      <c r="D375" s="4"/>
      <c r="E375" s="4"/>
      <c r="F375" s="4"/>
    </row>
    <row r="376" spans="1:6" ht="75">
      <c r="A376" s="42" t="s">
        <v>1926</v>
      </c>
      <c r="B376" s="380" t="s">
        <v>1936</v>
      </c>
      <c r="C376" s="380" t="s">
        <v>1937</v>
      </c>
      <c r="D376" s="4"/>
      <c r="E376" s="4"/>
      <c r="F376" s="4"/>
    </row>
    <row r="377" spans="1:6" ht="210">
      <c r="A377" s="42" t="s">
        <v>57</v>
      </c>
      <c r="B377" s="380" t="s">
        <v>1938</v>
      </c>
      <c r="C377" s="380" t="s">
        <v>1939</v>
      </c>
      <c r="D377" s="4"/>
      <c r="E377" s="4"/>
      <c r="F377" s="4"/>
    </row>
    <row r="378" spans="1:6" ht="105">
      <c r="A378" s="42" t="s">
        <v>57</v>
      </c>
      <c r="B378" s="380" t="s">
        <v>1940</v>
      </c>
      <c r="C378" s="380" t="s">
        <v>1941</v>
      </c>
      <c r="D378" s="4"/>
      <c r="E378" s="4"/>
      <c r="F378" s="4"/>
    </row>
    <row r="379" spans="1:6" ht="120">
      <c r="A379" s="42" t="s">
        <v>57</v>
      </c>
      <c r="B379" s="380" t="s">
        <v>1625</v>
      </c>
      <c r="C379" s="380" t="s">
        <v>1942</v>
      </c>
      <c r="D379" s="4"/>
      <c r="E379" s="4"/>
      <c r="F379" s="4"/>
    </row>
    <row r="380" spans="1:6" ht="75">
      <c r="A380" s="42" t="s">
        <v>1943</v>
      </c>
      <c r="B380" s="380" t="s">
        <v>1944</v>
      </c>
      <c r="C380" s="380" t="s">
        <v>1945</v>
      </c>
      <c r="D380" s="4"/>
      <c r="E380" s="4"/>
      <c r="F380" s="4"/>
    </row>
    <row r="381" spans="1:6" ht="150">
      <c r="A381" s="42" t="s">
        <v>1943</v>
      </c>
      <c r="B381" s="380" t="s">
        <v>1946</v>
      </c>
      <c r="C381" s="380" t="s">
        <v>1947</v>
      </c>
      <c r="D381" s="4"/>
      <c r="E381" s="4"/>
      <c r="F381" s="4"/>
    </row>
    <row r="382" spans="1:6" ht="270">
      <c r="A382" s="42" t="s">
        <v>1943</v>
      </c>
      <c r="B382" s="380" t="s">
        <v>1948</v>
      </c>
      <c r="C382" s="380" t="s">
        <v>1949</v>
      </c>
      <c r="D382" s="4"/>
      <c r="E382" s="4"/>
      <c r="F382" s="4"/>
    </row>
    <row r="383" spans="1:6" ht="135">
      <c r="A383" s="42" t="s">
        <v>1943</v>
      </c>
      <c r="B383" s="380" t="s">
        <v>1284</v>
      </c>
      <c r="C383" s="380" t="s">
        <v>1950</v>
      </c>
      <c r="D383" s="4"/>
      <c r="E383" s="4"/>
      <c r="F383" s="4"/>
    </row>
    <row r="384" spans="1:6" ht="75">
      <c r="A384" s="42" t="s">
        <v>1943</v>
      </c>
      <c r="B384" s="380" t="s">
        <v>1951</v>
      </c>
      <c r="C384" s="380" t="s">
        <v>1952</v>
      </c>
      <c r="D384" s="4"/>
      <c r="E384" s="4"/>
      <c r="F384" s="4"/>
    </row>
    <row r="385" spans="1:6" ht="120">
      <c r="A385" s="42" t="s">
        <v>1953</v>
      </c>
      <c r="B385" s="380" t="s">
        <v>1954</v>
      </c>
      <c r="C385" s="380" t="s">
        <v>1955</v>
      </c>
      <c r="D385" s="4"/>
      <c r="E385" s="4"/>
      <c r="F385" s="4"/>
    </row>
    <row r="386" spans="1:6" ht="90">
      <c r="A386" s="42" t="s">
        <v>1953</v>
      </c>
      <c r="B386" s="380" t="s">
        <v>1264</v>
      </c>
      <c r="C386" s="380" t="s">
        <v>1956</v>
      </c>
      <c r="D386" s="4"/>
      <c r="E386" s="4"/>
      <c r="F386" s="4"/>
    </row>
    <row r="387" spans="1:6" ht="60">
      <c r="A387" s="42" t="s">
        <v>1953</v>
      </c>
      <c r="B387" s="380" t="s">
        <v>1936</v>
      </c>
      <c r="C387" s="380" t="s">
        <v>1957</v>
      </c>
      <c r="D387" s="4"/>
      <c r="E387" s="4"/>
      <c r="F387" s="4"/>
    </row>
    <row r="388" spans="1:6" ht="75">
      <c r="A388" s="42" t="s">
        <v>1953</v>
      </c>
      <c r="B388" s="380" t="s">
        <v>1951</v>
      </c>
      <c r="C388" s="380" t="s">
        <v>1958</v>
      </c>
      <c r="D388" s="4"/>
      <c r="E388" s="4"/>
      <c r="F388" s="4"/>
    </row>
    <row r="389" spans="1:6" ht="180">
      <c r="A389" s="42" t="s">
        <v>1959</v>
      </c>
      <c r="B389" s="380" t="s">
        <v>1361</v>
      </c>
      <c r="C389" s="380" t="s">
        <v>1960</v>
      </c>
      <c r="D389" s="4"/>
      <c r="E389" s="4"/>
      <c r="F389" s="4"/>
    </row>
    <row r="390" spans="1:6" ht="75">
      <c r="A390" s="42" t="s">
        <v>1959</v>
      </c>
      <c r="B390" s="380" t="s">
        <v>1961</v>
      </c>
      <c r="C390" s="380" t="s">
        <v>1962</v>
      </c>
      <c r="D390" s="4"/>
      <c r="E390" s="4"/>
      <c r="F390" s="4"/>
    </row>
    <row r="391" spans="1:6" ht="150">
      <c r="A391" s="42" t="s">
        <v>1959</v>
      </c>
      <c r="B391" s="380" t="s">
        <v>1352</v>
      </c>
      <c r="C391" s="380" t="s">
        <v>1963</v>
      </c>
      <c r="D391" s="4"/>
      <c r="E391" s="4"/>
      <c r="F391" s="4"/>
    </row>
    <row r="392" spans="1:6" ht="210">
      <c r="A392" s="42" t="s">
        <v>1964</v>
      </c>
      <c r="B392" s="380" t="s">
        <v>1965</v>
      </c>
      <c r="C392" s="380" t="s">
        <v>1966</v>
      </c>
      <c r="D392" s="4"/>
      <c r="E392" s="4"/>
      <c r="F392" s="4"/>
    </row>
    <row r="393" spans="1:6" ht="75">
      <c r="A393" s="42" t="s">
        <v>1964</v>
      </c>
      <c r="B393" s="380" t="s">
        <v>1967</v>
      </c>
      <c r="C393" s="380" t="s">
        <v>1968</v>
      </c>
      <c r="D393" s="4"/>
      <c r="E393" s="4"/>
      <c r="F393" s="4"/>
    </row>
    <row r="394" spans="1:6" ht="240">
      <c r="A394" s="42" t="s">
        <v>1964</v>
      </c>
      <c r="B394" s="380" t="s">
        <v>1969</v>
      </c>
      <c r="C394" s="380" t="s">
        <v>1970</v>
      </c>
      <c r="D394" s="4"/>
      <c r="E394" s="4"/>
      <c r="F394" s="4"/>
    </row>
    <row r="395" spans="1:6" ht="105">
      <c r="A395" s="42" t="s">
        <v>1964</v>
      </c>
      <c r="B395" s="380" t="s">
        <v>1840</v>
      </c>
      <c r="C395" s="380" t="s">
        <v>1971</v>
      </c>
      <c r="D395" s="4"/>
      <c r="E395" s="4"/>
      <c r="F395" s="4"/>
    </row>
    <row r="396" spans="1:6" ht="120">
      <c r="A396" s="42" t="s">
        <v>1964</v>
      </c>
      <c r="B396" s="380" t="s">
        <v>1951</v>
      </c>
      <c r="C396" s="380" t="s">
        <v>1972</v>
      </c>
      <c r="D396" s="4"/>
      <c r="E396" s="4"/>
      <c r="F396" s="4"/>
    </row>
    <row r="397" spans="1:6" ht="120">
      <c r="A397" s="42" t="s">
        <v>1973</v>
      </c>
      <c r="B397" s="380" t="s">
        <v>1974</v>
      </c>
      <c r="C397" s="380" t="s">
        <v>1975</v>
      </c>
      <c r="D397" s="4"/>
      <c r="E397" s="4"/>
      <c r="F397" s="4"/>
    </row>
    <row r="398" spans="1:6" ht="90">
      <c r="A398" s="42" t="s">
        <v>1973</v>
      </c>
      <c r="B398" s="380" t="s">
        <v>1976</v>
      </c>
      <c r="C398" s="380" t="s">
        <v>1977</v>
      </c>
      <c r="D398" s="4"/>
      <c r="E398" s="4"/>
      <c r="F398" s="4"/>
    </row>
    <row r="399" spans="1:6" ht="210">
      <c r="A399" s="42" t="s">
        <v>1973</v>
      </c>
      <c r="B399" s="380" t="s">
        <v>1978</v>
      </c>
      <c r="C399" s="380" t="s">
        <v>1979</v>
      </c>
      <c r="D399" s="4"/>
      <c r="E399" s="4"/>
      <c r="F399" s="4"/>
    </row>
    <row r="400" spans="1:6" ht="120">
      <c r="A400" s="42" t="s">
        <v>1973</v>
      </c>
      <c r="B400" s="380" t="s">
        <v>1951</v>
      </c>
      <c r="C400" s="380" t="s">
        <v>1980</v>
      </c>
      <c r="D400" s="4"/>
      <c r="E400" s="4"/>
      <c r="F400" s="4"/>
    </row>
    <row r="401" spans="1:6" ht="120">
      <c r="A401" s="42" t="s">
        <v>1981</v>
      </c>
      <c r="B401" s="380" t="s">
        <v>1982</v>
      </c>
      <c r="C401" s="380" t="s">
        <v>1983</v>
      </c>
      <c r="D401" s="4"/>
      <c r="E401" s="4"/>
      <c r="F401" s="4"/>
    </row>
    <row r="402" spans="1:6" ht="195">
      <c r="A402" s="42" t="s">
        <v>1981</v>
      </c>
      <c r="B402" s="380" t="s">
        <v>1984</v>
      </c>
      <c r="C402" s="380" t="s">
        <v>1985</v>
      </c>
      <c r="D402" s="4"/>
      <c r="E402" s="4"/>
      <c r="F402" s="4"/>
    </row>
    <row r="403" spans="1:6" ht="90">
      <c r="A403" s="42" t="s">
        <v>1981</v>
      </c>
      <c r="B403" s="380" t="s">
        <v>1535</v>
      </c>
      <c r="C403" s="380" t="s">
        <v>1986</v>
      </c>
      <c r="D403" s="4"/>
      <c r="E403" s="4"/>
      <c r="F403" s="4"/>
    </row>
    <row r="404" spans="1:6" ht="135">
      <c r="A404" s="42" t="s">
        <v>1981</v>
      </c>
      <c r="B404" s="380" t="s">
        <v>1987</v>
      </c>
      <c r="C404" s="380" t="s">
        <v>1988</v>
      </c>
      <c r="D404" s="4"/>
      <c r="E404" s="4"/>
      <c r="F404" s="4"/>
    </row>
    <row r="405" spans="1:6" ht="195">
      <c r="A405" s="42" t="s">
        <v>1981</v>
      </c>
      <c r="B405" s="380" t="s">
        <v>1989</v>
      </c>
      <c r="C405" s="380" t="s">
        <v>1990</v>
      </c>
      <c r="D405" s="4"/>
      <c r="E405" s="4"/>
      <c r="F405" s="4"/>
    </row>
    <row r="406" spans="1:6" ht="90">
      <c r="A406" s="42" t="s">
        <v>1981</v>
      </c>
      <c r="B406" s="380" t="s">
        <v>1991</v>
      </c>
      <c r="C406" s="380" t="s">
        <v>1992</v>
      </c>
      <c r="D406" s="4"/>
      <c r="E406" s="4"/>
      <c r="F406" s="4"/>
    </row>
    <row r="407" spans="1:6" ht="75">
      <c r="A407" s="42" t="s">
        <v>1981</v>
      </c>
      <c r="B407" s="380" t="s">
        <v>1951</v>
      </c>
      <c r="C407" s="380" t="s">
        <v>1958</v>
      </c>
      <c r="D407" s="4"/>
      <c r="E407" s="4"/>
      <c r="F407" s="4"/>
    </row>
    <row r="408" spans="1:6" ht="75">
      <c r="A408" s="42" t="s">
        <v>1993</v>
      </c>
      <c r="B408" s="380" t="s">
        <v>1254</v>
      </c>
      <c r="C408" s="380" t="s">
        <v>1994</v>
      </c>
      <c r="D408" s="4"/>
      <c r="E408" s="4"/>
      <c r="F408" s="4"/>
    </row>
    <row r="409" spans="1:6" ht="270">
      <c r="A409" s="42" t="s">
        <v>1993</v>
      </c>
      <c r="B409" s="380" t="s">
        <v>1995</v>
      </c>
      <c r="C409" s="380" t="s">
        <v>1996</v>
      </c>
      <c r="D409" s="4"/>
      <c r="E409" s="4"/>
      <c r="F409" s="4"/>
    </row>
    <row r="410" spans="1:6" ht="330">
      <c r="A410" s="42" t="s">
        <v>1993</v>
      </c>
      <c r="B410" s="380" t="s">
        <v>1997</v>
      </c>
      <c r="C410" s="380" t="s">
        <v>1998</v>
      </c>
      <c r="D410" s="4"/>
      <c r="E410" s="4"/>
      <c r="F410" s="4"/>
    </row>
    <row r="411" spans="1:6" ht="105">
      <c r="A411" s="42" t="s">
        <v>1993</v>
      </c>
      <c r="B411" s="380" t="s">
        <v>1999</v>
      </c>
      <c r="C411" s="380" t="s">
        <v>2000</v>
      </c>
      <c r="D411" s="4"/>
      <c r="E411" s="4"/>
      <c r="F411" s="4"/>
    </row>
    <row r="412" spans="1:6" ht="135">
      <c r="A412" s="42" t="s">
        <v>2001</v>
      </c>
      <c r="B412" s="380" t="s">
        <v>2002</v>
      </c>
      <c r="C412" s="380" t="s">
        <v>2003</v>
      </c>
      <c r="D412" s="4"/>
      <c r="E412" s="4"/>
      <c r="F412" s="4"/>
    </row>
    <row r="413" spans="1:6" ht="75">
      <c r="A413" s="42" t="s">
        <v>2001</v>
      </c>
      <c r="B413" s="380" t="s">
        <v>2004</v>
      </c>
      <c r="C413" s="380" t="s">
        <v>2005</v>
      </c>
      <c r="D413" s="4"/>
      <c r="E413" s="4"/>
      <c r="F413" s="4"/>
    </row>
    <row r="414" spans="1:6" ht="120">
      <c r="A414" s="42" t="s">
        <v>2001</v>
      </c>
      <c r="B414" s="380" t="s">
        <v>2006</v>
      </c>
      <c r="C414" s="380" t="s">
        <v>2007</v>
      </c>
      <c r="D414" s="4"/>
      <c r="E414" s="4"/>
      <c r="F414" s="4"/>
    </row>
    <row r="415" spans="1:6" ht="225">
      <c r="A415" s="42" t="s">
        <v>2001</v>
      </c>
      <c r="B415" s="380" t="s">
        <v>2008</v>
      </c>
      <c r="C415" s="380" t="s">
        <v>2009</v>
      </c>
      <c r="D415" s="4"/>
      <c r="E415" s="4"/>
      <c r="F415" s="4"/>
    </row>
    <row r="416" spans="1:6" ht="90">
      <c r="A416" s="42" t="s">
        <v>2001</v>
      </c>
      <c r="B416" s="380" t="s">
        <v>2010</v>
      </c>
      <c r="C416" s="380" t="s">
        <v>2011</v>
      </c>
      <c r="D416" s="4"/>
      <c r="E416" s="4"/>
      <c r="F416" s="4"/>
    </row>
    <row r="417" spans="1:7" ht="120">
      <c r="A417" s="42" t="s">
        <v>2001</v>
      </c>
      <c r="B417" s="380" t="s">
        <v>1369</v>
      </c>
      <c r="C417" s="380" t="s">
        <v>2012</v>
      </c>
      <c r="D417" s="4"/>
      <c r="E417" s="4"/>
      <c r="F417" s="4"/>
    </row>
    <row r="418" spans="1:7" ht="180">
      <c r="A418" s="42" t="s">
        <v>2001</v>
      </c>
      <c r="B418" s="380" t="s">
        <v>2013</v>
      </c>
      <c r="C418" s="380" t="s">
        <v>2014</v>
      </c>
      <c r="D418" s="4"/>
      <c r="E418" s="4"/>
      <c r="F418" s="4"/>
    </row>
    <row r="419" spans="1:7" ht="180">
      <c r="A419" s="42" t="s">
        <v>2015</v>
      </c>
      <c r="B419" s="380" t="s">
        <v>2016</v>
      </c>
      <c r="C419" s="380" t="s">
        <v>2017</v>
      </c>
      <c r="D419" s="4"/>
      <c r="E419" s="4"/>
      <c r="F419" s="4"/>
    </row>
    <row r="420" spans="1:7" ht="315">
      <c r="A420" s="42" t="s">
        <v>2015</v>
      </c>
      <c r="B420" s="380" t="s">
        <v>2018</v>
      </c>
      <c r="C420" s="380" t="s">
        <v>2019</v>
      </c>
      <c r="D420" s="4"/>
      <c r="E420" s="4"/>
      <c r="F420" s="4"/>
    </row>
    <row r="421" spans="1:7" ht="135">
      <c r="A421" s="42" t="s">
        <v>2015</v>
      </c>
      <c r="B421" s="380" t="s">
        <v>2020</v>
      </c>
      <c r="C421" s="380" t="s">
        <v>2021</v>
      </c>
      <c r="D421" s="4"/>
      <c r="E421" s="4"/>
      <c r="F421" s="4"/>
    </row>
    <row r="422" spans="1:7" ht="105">
      <c r="A422" s="42" t="s">
        <v>2015</v>
      </c>
      <c r="B422" s="380" t="s">
        <v>1514</v>
      </c>
      <c r="C422" s="380" t="s">
        <v>2022</v>
      </c>
      <c r="D422" s="4"/>
      <c r="E422" s="4"/>
      <c r="F422" s="4"/>
    </row>
    <row r="423" spans="1:7" ht="180">
      <c r="A423" s="42" t="s">
        <v>2023</v>
      </c>
      <c r="B423" s="380" t="s">
        <v>2024</v>
      </c>
      <c r="C423" s="380" t="s">
        <v>2025</v>
      </c>
      <c r="D423" s="4"/>
      <c r="E423" s="4"/>
      <c r="F423" s="4"/>
    </row>
    <row r="424" spans="1:7" ht="150">
      <c r="A424" s="42" t="s">
        <v>2023</v>
      </c>
      <c r="B424" s="380" t="s">
        <v>2026</v>
      </c>
      <c r="C424" s="380" t="s">
        <v>2027</v>
      </c>
      <c r="D424" s="4"/>
      <c r="E424" s="4"/>
      <c r="F424" s="4"/>
    </row>
    <row r="425" spans="1:7" ht="165">
      <c r="A425" s="42" t="s">
        <v>2023</v>
      </c>
      <c r="B425" s="380" t="s">
        <v>2028</v>
      </c>
      <c r="C425" s="380" t="s">
        <v>2029</v>
      </c>
      <c r="D425" s="4"/>
      <c r="E425" s="4"/>
      <c r="F425" s="4"/>
    </row>
    <row r="426" spans="1:7" ht="105">
      <c r="A426" s="42" t="s">
        <v>2023</v>
      </c>
      <c r="B426" s="380" t="s">
        <v>2030</v>
      </c>
      <c r="C426" s="380" t="s">
        <v>2031</v>
      </c>
      <c r="D426" s="4"/>
      <c r="E426" s="4"/>
      <c r="F426" s="4"/>
    </row>
    <row r="427" spans="1:7" ht="75">
      <c r="A427" s="42" t="s">
        <v>2023</v>
      </c>
      <c r="B427" s="380" t="s">
        <v>1286</v>
      </c>
      <c r="C427" s="380" t="s">
        <v>2032</v>
      </c>
      <c r="D427" s="4"/>
      <c r="E427" s="4"/>
      <c r="F427" s="4"/>
    </row>
    <row r="428" spans="1:7" ht="60">
      <c r="A428" s="42" t="s">
        <v>2033</v>
      </c>
      <c r="B428" s="380" t="s">
        <v>2034</v>
      </c>
      <c r="C428" s="380" t="s">
        <v>2035</v>
      </c>
      <c r="D428" s="4"/>
      <c r="E428" s="4"/>
      <c r="F428" s="4"/>
    </row>
    <row r="429" spans="1:7" ht="150">
      <c r="A429" s="42" t="s">
        <v>2033</v>
      </c>
      <c r="B429" s="380" t="s">
        <v>2036</v>
      </c>
      <c r="C429" s="380" t="s">
        <v>2037</v>
      </c>
      <c r="D429" s="4"/>
      <c r="E429" s="4"/>
      <c r="F429" s="4"/>
    </row>
    <row r="430" spans="1:7" ht="120">
      <c r="A430" s="42" t="s">
        <v>2033</v>
      </c>
      <c r="B430" s="380" t="s">
        <v>2038</v>
      </c>
      <c r="C430" s="380" t="s">
        <v>2039</v>
      </c>
      <c r="D430" s="4"/>
      <c r="E430" s="4"/>
      <c r="F430" s="4"/>
    </row>
    <row r="431" spans="1:7" ht="60">
      <c r="A431" s="42" t="s">
        <v>2033</v>
      </c>
      <c r="B431" s="380" t="s">
        <v>1449</v>
      </c>
      <c r="C431" s="380" t="s">
        <v>2040</v>
      </c>
      <c r="D431" s="4"/>
      <c r="E431" s="4"/>
      <c r="F431" s="329"/>
      <c r="G431" s="328"/>
    </row>
    <row r="432" spans="1:7" ht="225">
      <c r="A432" s="42" t="s">
        <v>2033</v>
      </c>
      <c r="B432" s="380" t="s">
        <v>2041</v>
      </c>
      <c r="C432" s="380" t="s">
        <v>2042</v>
      </c>
      <c r="D432" s="4"/>
      <c r="E432" s="4"/>
      <c r="F432" s="330"/>
      <c r="G432" s="327"/>
    </row>
    <row r="433" spans="1:7" ht="45">
      <c r="A433" s="42" t="s">
        <v>2033</v>
      </c>
      <c r="B433" s="380" t="s">
        <v>2043</v>
      </c>
      <c r="C433" s="380" t="s">
        <v>2044</v>
      </c>
      <c r="D433" s="4"/>
      <c r="E433" s="4"/>
      <c r="F433" s="330"/>
      <c r="G433" s="327"/>
    </row>
    <row r="434" spans="1:7" ht="156.75">
      <c r="A434" s="380" t="s">
        <v>2045</v>
      </c>
      <c r="B434" s="380" t="s">
        <v>2046</v>
      </c>
      <c r="C434" s="381" t="s">
        <v>2047</v>
      </c>
      <c r="D434" s="325"/>
      <c r="E434" s="325"/>
      <c r="F434" s="326"/>
      <c r="G434" s="327"/>
    </row>
    <row r="435" spans="1:7" ht="128.25">
      <c r="A435" s="380" t="s">
        <v>2045</v>
      </c>
      <c r="B435" s="380" t="s">
        <v>2048</v>
      </c>
      <c r="C435" s="381" t="s">
        <v>2049</v>
      </c>
      <c r="D435" s="325"/>
      <c r="E435" s="325"/>
      <c r="F435" s="326"/>
      <c r="G435" s="327"/>
    </row>
    <row r="436" spans="1:7" ht="18.95" customHeight="1">
      <c r="F436" s="327"/>
      <c r="G436" s="327"/>
    </row>
    <row r="437" spans="1:7" ht="18.95" customHeight="1">
      <c r="F437" s="327"/>
      <c r="G437" s="327"/>
    </row>
    <row r="438" spans="1:7" ht="18.95" customHeight="1">
      <c r="F438" s="327"/>
      <c r="G438" s="327"/>
    </row>
    <row r="439" spans="1:7" ht="18.95" customHeight="1">
      <c r="F439" s="327"/>
      <c r="G439" s="327"/>
    </row>
  </sheetData>
  <mergeCells count="5">
    <mergeCell ref="B1:B2"/>
    <mergeCell ref="E1:E2"/>
    <mergeCell ref="F1:F2"/>
    <mergeCell ref="H3:H4"/>
    <mergeCell ref="H1:H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sheetPr>
  <dimension ref="A1:G14"/>
  <sheetViews>
    <sheetView workbookViewId="0">
      <selection activeCell="E17" sqref="E17"/>
    </sheetView>
  </sheetViews>
  <sheetFormatPr defaultColWidth="11.42578125" defaultRowHeight="15"/>
  <cols>
    <col min="1" max="1" width="36.42578125" style="1" customWidth="1"/>
    <col min="2" max="2" width="47.85546875" customWidth="1"/>
    <col min="3" max="3" width="27.7109375" customWidth="1"/>
    <col min="4" max="4" width="24.85546875" customWidth="1"/>
    <col min="5" max="5" width="113.42578125" bestFit="1" customWidth="1"/>
    <col min="6" max="6" width="24.42578125" customWidth="1"/>
    <col min="7" max="7" width="22.7109375" customWidth="1"/>
  </cols>
  <sheetData>
    <row r="1" spans="1:7" s="250" customFormat="1" ht="18.75">
      <c r="A1" s="251" t="s">
        <v>2050</v>
      </c>
      <c r="B1" s="249"/>
      <c r="C1" s="249"/>
      <c r="D1" s="249"/>
    </row>
    <row r="2" spans="1:7" s="250" customFormat="1">
      <c r="A2" s="248"/>
      <c r="B2" s="249"/>
      <c r="C2" s="249"/>
      <c r="D2" s="249"/>
    </row>
    <row r="3" spans="1:7">
      <c r="A3" s="20" t="s">
        <v>920</v>
      </c>
      <c r="B3" s="20" t="s">
        <v>922</v>
      </c>
      <c r="C3" s="20" t="s">
        <v>923</v>
      </c>
      <c r="D3" s="20" t="s">
        <v>102</v>
      </c>
      <c r="E3" s="3" t="s">
        <v>103</v>
      </c>
      <c r="F3" s="3" t="s">
        <v>104</v>
      </c>
      <c r="G3" s="3" t="s">
        <v>105</v>
      </c>
    </row>
    <row r="4" spans="1:7" ht="75" customHeight="1">
      <c r="A4" s="20" t="s">
        <v>2051</v>
      </c>
      <c r="B4" s="66" t="s">
        <v>2052</v>
      </c>
      <c r="C4" s="66" t="s">
        <v>2053</v>
      </c>
      <c r="D4" s="66" t="s">
        <v>2054</v>
      </c>
      <c r="E4" s="13" t="s">
        <v>2055</v>
      </c>
      <c r="F4" s="4"/>
      <c r="G4" s="4"/>
    </row>
    <row r="5" spans="1:7" ht="99" customHeight="1">
      <c r="A5" s="20" t="s">
        <v>2056</v>
      </c>
      <c r="B5" s="66" t="s">
        <v>2057</v>
      </c>
      <c r="C5" s="66" t="s">
        <v>2058</v>
      </c>
      <c r="D5" s="42"/>
      <c r="E5" s="13" t="s">
        <v>2059</v>
      </c>
      <c r="F5" s="4"/>
      <c r="G5" s="4"/>
    </row>
    <row r="6" spans="1:7" ht="114" customHeight="1">
      <c r="A6" s="20" t="s">
        <v>2060</v>
      </c>
      <c r="B6" s="66" t="s">
        <v>2061</v>
      </c>
      <c r="C6" s="66" t="s">
        <v>2058</v>
      </c>
      <c r="D6" s="42"/>
      <c r="E6" s="13" t="s">
        <v>2062</v>
      </c>
      <c r="F6" s="4"/>
      <c r="G6" s="4"/>
    </row>
    <row r="7" spans="1:7" ht="96" customHeight="1">
      <c r="A7" s="20" t="s">
        <v>2063</v>
      </c>
      <c r="B7" s="66" t="s">
        <v>2064</v>
      </c>
      <c r="C7" s="66" t="s">
        <v>2065</v>
      </c>
      <c r="D7" s="42"/>
      <c r="E7" s="28" t="s">
        <v>2066</v>
      </c>
      <c r="F7" s="4"/>
      <c r="G7" s="4"/>
    </row>
    <row r="8" spans="1:7" ht="75" customHeight="1">
      <c r="A8" s="20" t="s">
        <v>2067</v>
      </c>
      <c r="B8" s="66" t="s">
        <v>2068</v>
      </c>
      <c r="C8" s="42" t="s">
        <v>2069</v>
      </c>
      <c r="D8" s="42"/>
      <c r="E8" s="13" t="s">
        <v>2070</v>
      </c>
      <c r="F8" s="4"/>
      <c r="G8" s="4"/>
    </row>
    <row r="9" spans="1:7" ht="63" customHeight="1">
      <c r="A9" s="20" t="s">
        <v>2054</v>
      </c>
      <c r="B9" s="66" t="s">
        <v>2071</v>
      </c>
      <c r="C9" s="42" t="s">
        <v>2072</v>
      </c>
      <c r="D9" s="42"/>
      <c r="E9" s="13" t="s">
        <v>2073</v>
      </c>
      <c r="F9" s="4"/>
      <c r="G9" s="4"/>
    </row>
    <row r="10" spans="1:7" ht="64.5" customHeight="1">
      <c r="A10" s="20" t="s">
        <v>2074</v>
      </c>
      <c r="B10" s="66" t="s">
        <v>2075</v>
      </c>
      <c r="C10" s="66" t="s">
        <v>2076</v>
      </c>
      <c r="D10" s="42"/>
      <c r="E10" s="13" t="s">
        <v>2077</v>
      </c>
      <c r="F10" s="15"/>
      <c r="G10" s="15"/>
    </row>
    <row r="11" spans="1:7" ht="151.5" customHeight="1">
      <c r="A11" s="20" t="s">
        <v>2078</v>
      </c>
      <c r="B11" s="66" t="s">
        <v>2079</v>
      </c>
      <c r="C11" s="66" t="s">
        <v>2069</v>
      </c>
      <c r="D11" s="42"/>
      <c r="E11" s="46" t="s">
        <v>2080</v>
      </c>
      <c r="F11" s="15"/>
      <c r="G11" s="15"/>
    </row>
    <row r="12" spans="1:7" ht="58.5" customHeight="1">
      <c r="A12" s="272" t="s">
        <v>2081</v>
      </c>
      <c r="B12" s="24"/>
      <c r="C12" s="24"/>
      <c r="D12" s="273"/>
      <c r="E12" s="15"/>
      <c r="F12" s="15"/>
      <c r="G12" s="15"/>
    </row>
    <row r="13" spans="1:7">
      <c r="A13" s="3" t="s">
        <v>2082</v>
      </c>
      <c r="B13" s="4"/>
      <c r="C13" s="4"/>
      <c r="D13" s="4"/>
      <c r="E13" s="13" t="s">
        <v>2083</v>
      </c>
      <c r="F13" s="4"/>
      <c r="G13" s="4"/>
    </row>
    <row r="14" spans="1:7">
      <c r="A14" s="221"/>
      <c r="B14" s="4"/>
      <c r="C14" s="4"/>
      <c r="D14" s="4"/>
      <c r="E14" s="4"/>
      <c r="F14" s="4"/>
      <c r="G14" s="4"/>
    </row>
  </sheetData>
  <hyperlinks>
    <hyperlink ref="E4" r:id="rId1" xr:uid="{00000000-0004-0000-1900-000000000000}"/>
    <hyperlink ref="E5" r:id="rId2" xr:uid="{00000000-0004-0000-1900-000001000000}"/>
    <hyperlink ref="E6" r:id="rId3" xr:uid="{00000000-0004-0000-1900-000002000000}"/>
    <hyperlink ref="E7" r:id="rId4" xr:uid="{00000000-0004-0000-1900-000003000000}"/>
    <hyperlink ref="E11" r:id="rId5" xr:uid="{00000000-0004-0000-1900-000004000000}"/>
    <hyperlink ref="E8" r:id="rId6" xr:uid="{00000000-0004-0000-1900-000005000000}"/>
    <hyperlink ref="E9" r:id="rId7" xr:uid="{00000000-0004-0000-1900-000006000000}"/>
    <hyperlink ref="E10" r:id="rId8" xr:uid="{00000000-0004-0000-1900-000007000000}"/>
    <hyperlink ref="E13" r:id="rId9" xr:uid="{00000000-0004-0000-1900-000008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H13"/>
  <sheetViews>
    <sheetView topLeftCell="A6" workbookViewId="0">
      <selection activeCell="A5" sqref="A5"/>
    </sheetView>
  </sheetViews>
  <sheetFormatPr defaultColWidth="11.42578125" defaultRowHeight="15"/>
  <cols>
    <col min="1" max="1" width="24.42578125" style="1" customWidth="1"/>
    <col min="2" max="2" width="14.42578125" customWidth="1"/>
    <col min="3" max="3" width="24.42578125" customWidth="1"/>
    <col min="4" max="4" width="18.7109375" customWidth="1"/>
    <col min="5" max="5" width="31.42578125" customWidth="1"/>
    <col min="6" max="6" width="45.7109375" style="255" bestFit="1" customWidth="1"/>
    <col min="7" max="7" width="13.42578125" bestFit="1" customWidth="1"/>
    <col min="8" max="8" width="12" bestFit="1" customWidth="1"/>
  </cols>
  <sheetData>
    <row r="1" spans="1:8" s="250" customFormat="1" ht="18.75">
      <c r="A1" s="251" t="s">
        <v>2084</v>
      </c>
      <c r="B1" s="249"/>
      <c r="C1" s="249"/>
      <c r="D1" s="249"/>
      <c r="E1" s="249"/>
      <c r="F1" s="252"/>
    </row>
    <row r="2" spans="1:8" s="250" customFormat="1">
      <c r="A2" s="248"/>
      <c r="B2" s="249"/>
      <c r="C2" s="249"/>
      <c r="D2" s="249"/>
      <c r="E2" s="249"/>
      <c r="F2" s="252"/>
    </row>
    <row r="3" spans="1:8">
      <c r="A3" s="20" t="s">
        <v>920</v>
      </c>
      <c r="B3" s="20" t="s">
        <v>921</v>
      </c>
      <c r="C3" s="20" t="s">
        <v>922</v>
      </c>
      <c r="D3" s="20" t="s">
        <v>923</v>
      </c>
      <c r="E3" s="20" t="s">
        <v>102</v>
      </c>
      <c r="F3" s="253" t="s">
        <v>103</v>
      </c>
      <c r="G3" s="3" t="s">
        <v>104</v>
      </c>
      <c r="H3" s="3" t="s">
        <v>105</v>
      </c>
    </row>
    <row r="4" spans="1:8" ht="57" customHeight="1">
      <c r="A4" s="243" t="s">
        <v>2085</v>
      </c>
      <c r="B4" s="42">
        <v>1994</v>
      </c>
      <c r="C4" s="42"/>
      <c r="D4" s="42"/>
      <c r="E4" s="66" t="s">
        <v>2086</v>
      </c>
      <c r="F4" s="254" t="s">
        <v>2087</v>
      </c>
      <c r="G4" s="4"/>
      <c r="H4" s="4"/>
    </row>
    <row r="5" spans="1:8" ht="84" customHeight="1">
      <c r="A5" s="243" t="s">
        <v>2088</v>
      </c>
      <c r="B5" s="42"/>
      <c r="C5" s="42"/>
      <c r="D5" s="42"/>
      <c r="E5" s="66" t="s">
        <v>2086</v>
      </c>
      <c r="F5" s="254" t="s">
        <v>2087</v>
      </c>
      <c r="G5" s="4"/>
      <c r="H5" s="4"/>
    </row>
    <row r="6" spans="1:8" ht="93" customHeight="1">
      <c r="A6" s="20" t="s">
        <v>2089</v>
      </c>
      <c r="B6" s="42"/>
      <c r="C6" s="66" t="s">
        <v>2090</v>
      </c>
      <c r="D6" s="66"/>
      <c r="E6" s="66" t="s">
        <v>2086</v>
      </c>
      <c r="F6" s="254" t="s">
        <v>2087</v>
      </c>
      <c r="G6" s="4"/>
      <c r="H6" s="4"/>
    </row>
    <row r="7" spans="1:8" ht="88.5" customHeight="1">
      <c r="A7" s="20" t="s">
        <v>2091</v>
      </c>
      <c r="B7" s="42"/>
      <c r="C7" s="66" t="s">
        <v>2092</v>
      </c>
      <c r="D7" s="66"/>
      <c r="E7" s="66" t="s">
        <v>2086</v>
      </c>
      <c r="F7" s="254" t="s">
        <v>2087</v>
      </c>
      <c r="G7" s="4"/>
      <c r="H7" s="4"/>
    </row>
    <row r="8" spans="1:8" ht="88.5" customHeight="1">
      <c r="A8" s="20" t="s">
        <v>2093</v>
      </c>
      <c r="B8" s="42"/>
      <c r="C8" s="66" t="s">
        <v>2094</v>
      </c>
      <c r="D8" s="66"/>
      <c r="E8" s="66" t="s">
        <v>2086</v>
      </c>
      <c r="F8" s="254" t="s">
        <v>2087</v>
      </c>
      <c r="G8" s="4"/>
      <c r="H8" s="4"/>
    </row>
    <row r="9" spans="1:8" ht="66" customHeight="1">
      <c r="A9" s="26" t="s">
        <v>2095</v>
      </c>
      <c r="B9" s="276" t="s">
        <v>2096</v>
      </c>
      <c r="C9" s="276" t="s">
        <v>2097</v>
      </c>
      <c r="D9" s="24"/>
      <c r="E9" s="24"/>
      <c r="F9" s="277"/>
      <c r="G9" s="15"/>
      <c r="H9" s="15"/>
    </row>
    <row r="10" spans="1:8" ht="45">
      <c r="A10" s="3" t="s">
        <v>2098</v>
      </c>
      <c r="B10" s="4"/>
      <c r="C10" s="34" t="s">
        <v>2099</v>
      </c>
      <c r="D10" s="4"/>
      <c r="E10" s="4"/>
      <c r="F10" s="274" t="s">
        <v>2100</v>
      </c>
      <c r="G10" s="4"/>
      <c r="H10" s="4"/>
    </row>
    <row r="11" spans="1:8">
      <c r="A11" s="221"/>
      <c r="B11" s="4"/>
      <c r="C11" s="4"/>
      <c r="D11" s="4"/>
      <c r="E11" s="4"/>
      <c r="F11" s="275"/>
      <c r="G11" s="4"/>
      <c r="H11" s="4"/>
    </row>
    <row r="12" spans="1:8">
      <c r="A12" s="221"/>
      <c r="B12" s="4"/>
      <c r="C12" s="4"/>
      <c r="D12" s="4"/>
      <c r="E12" s="4"/>
      <c r="F12" s="275"/>
      <c r="G12" s="4"/>
      <c r="H12" s="4"/>
    </row>
    <row r="13" spans="1:8">
      <c r="A13" s="221"/>
      <c r="B13" s="4"/>
      <c r="C13" s="4"/>
      <c r="D13" s="4"/>
      <c r="E13" s="4"/>
      <c r="F13" s="275"/>
      <c r="G13" s="4"/>
      <c r="H13" s="4"/>
    </row>
  </sheetData>
  <hyperlinks>
    <hyperlink ref="F10" r:id="rId1" xr:uid="{00000000-0004-0000-1A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 Golden, Ph.D.</dc:creator>
  <cp:keywords/>
  <dc:description/>
  <cp:lastModifiedBy>Dominick Miceli</cp:lastModifiedBy>
  <cp:revision/>
  <dcterms:created xsi:type="dcterms:W3CDTF">2017-01-11T16:16:58Z</dcterms:created>
  <dcterms:modified xsi:type="dcterms:W3CDTF">2026-05-14T15:42:32Z</dcterms:modified>
  <cp:category/>
  <cp:contentStatus/>
</cp:coreProperties>
</file>