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sumailsyr-my.sharepoint.com/personal/jpascu02_syr_edu/Documents/Desktop/SyracuseU/Research/Bioindicators/2024Report/"/>
    </mc:Choice>
  </mc:AlternateContent>
  <xr:revisionPtr revIDLastSave="3316" documentId="11_125B3DD155FE7FC4BF56B86755F4106D9698A3E8" xr6:coauthVersionLast="47" xr6:coauthVersionMax="47" xr10:uidLastSave="{A592A572-A99C-432F-A32E-C38402C27AFA}"/>
  <bookViews>
    <workbookView xWindow="-120" yWindow="-120" windowWidth="29040" windowHeight="15720" tabRatio="712" activeTab="1" xr2:uid="{00000000-000D-0000-FFFF-FFFF00000000}"/>
  </bookViews>
  <sheets>
    <sheet name="CONTENTS" sheetId="1" r:id="rId1"/>
    <sheet name="ETHANOL" sheetId="2" r:id="rId2"/>
    <sheet name="BIOBUTANOL" sheetId="3" r:id="rId3"/>
    <sheet name="BIODIESEL" sheetId="4" r:id="rId4"/>
    <sheet name="FATS" sheetId="5" r:id="rId5"/>
    <sheet name="RENEWABLE DIESEL" sheetId="6" r:id="rId6"/>
    <sheet name="RENEWABLE JET FUEL" sheetId="7" r:id="rId7"/>
    <sheet name="WOOD PELLETS" sheetId="8" r:id="rId8"/>
    <sheet name="WASTE TO ENERGY" sheetId="9" r:id="rId9"/>
    <sheet name="BIOGAS" sheetId="10" r:id="rId10"/>
    <sheet name="TRADE" sheetId="17" r:id="rId11"/>
    <sheet name="BIOPRODUCTS" sheetId="11" r:id="rId12"/>
    <sheet name="BIOPLASTICS" sheetId="12" r:id="rId13"/>
    <sheet name="ENZYMES" sheetId="13" r:id="rId14"/>
    <sheet name="APPAREL AND TEXTILES" sheetId="14" r:id="rId15"/>
    <sheet name="FOREST PRODUCTS" sheetId="15" r:id="rId16"/>
    <sheet name="FUNDING" sheetId="16" r:id="rId17"/>
    <sheet name="CSC" sheetId="18" r:id="rId18"/>
  </sheets>
  <definedNames>
    <definedName name="_xlnm._FilterDatabase" localSheetId="17" hidden="1">CSC!$A$1:$J$1</definedName>
    <definedName name="_xlchart.v5.0" hidden="1">CSC!$A$1</definedName>
    <definedName name="_xlchart.v5.1" hidden="1">CSC!$A$2:$A$49</definedName>
    <definedName name="_xlchart.v5.2" hidden="1">CSC!$E$1</definedName>
    <definedName name="_xlchart.v5.3" hidden="1">CSC!$E$2:$E$49</definedName>
    <definedName name="_xlchart.v5.4" hidden="1">CSC!$A$1</definedName>
    <definedName name="_xlchart.v5.5" hidden="1">CSC!$A$2:$A$51</definedName>
    <definedName name="_xlchart.v5.6" hidden="1">CSC!$B$1</definedName>
    <definedName name="_xlchart.v5.7" hidden="1">CSC!$B$2:$B$51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15" l="1"/>
  <c r="Q28" i="15"/>
  <c r="Q29" i="15"/>
  <c r="Q30" i="15"/>
  <c r="Q31" i="15"/>
  <c r="P25" i="12"/>
  <c r="O29" i="8"/>
  <c r="O15" i="8"/>
  <c r="B59" i="18" l="1"/>
  <c r="C59" i="18"/>
  <c r="D59" i="18"/>
  <c r="E59" i="18"/>
  <c r="F59" i="18"/>
  <c r="G59" i="18"/>
  <c r="H59" i="18"/>
  <c r="I59" i="18"/>
  <c r="J59" i="18"/>
  <c r="K59" i="18"/>
  <c r="L59" i="18"/>
  <c r="M59" i="18"/>
  <c r="B54" i="18"/>
  <c r="F15" i="18"/>
  <c r="F7" i="18"/>
  <c r="F24" i="18"/>
  <c r="F26" i="18"/>
  <c r="F38" i="18"/>
  <c r="F45" i="18"/>
  <c r="F25" i="18"/>
  <c r="F42" i="18"/>
  <c r="F18" i="18"/>
  <c r="F8" i="18"/>
  <c r="F10" i="18"/>
  <c r="F3" i="18"/>
  <c r="F30" i="18"/>
  <c r="F21" i="18"/>
  <c r="F49" i="18"/>
  <c r="F46" i="18"/>
  <c r="F39" i="18"/>
  <c r="F35" i="18"/>
  <c r="F4" i="18"/>
  <c r="F12" i="18"/>
  <c r="F31" i="18"/>
  <c r="F22" i="18"/>
  <c r="F11" i="18"/>
  <c r="F32" i="18"/>
  <c r="F9" i="18"/>
  <c r="F47" i="18"/>
  <c r="F16" i="18"/>
  <c r="F27" i="18"/>
  <c r="F23" i="18"/>
  <c r="F5" i="18"/>
  <c r="F48" i="18"/>
  <c r="F41" i="18"/>
  <c r="F6" i="18"/>
  <c r="F29" i="18"/>
  <c r="F40" i="18"/>
  <c r="F13" i="18"/>
  <c r="F36" i="18"/>
  <c r="F34" i="18"/>
  <c r="F19" i="18"/>
  <c r="F2" i="18"/>
  <c r="F20" i="18"/>
  <c r="F43" i="18"/>
  <c r="F44" i="18"/>
  <c r="F33" i="18"/>
  <c r="F14" i="18"/>
  <c r="F50" i="18"/>
  <c r="F37" i="18"/>
  <c r="F28" i="18"/>
  <c r="F17" i="18"/>
  <c r="B51" i="18"/>
  <c r="B34" i="18"/>
  <c r="B19" i="18"/>
  <c r="B2" i="18"/>
  <c r="B20" i="18"/>
  <c r="B43" i="18"/>
  <c r="B44" i="18"/>
  <c r="B33" i="18"/>
  <c r="B14" i="18"/>
  <c r="B50" i="18"/>
  <c r="B37" i="18"/>
  <c r="B28" i="18"/>
  <c r="B15" i="18"/>
  <c r="B7" i="18"/>
  <c r="B24" i="18"/>
  <c r="B26" i="18"/>
  <c r="B38" i="18"/>
  <c r="B45" i="18"/>
  <c r="B25" i="18"/>
  <c r="B42" i="18"/>
  <c r="B18" i="18"/>
  <c r="B8" i="18"/>
  <c r="B10" i="18"/>
  <c r="B3" i="18"/>
  <c r="B30" i="18"/>
  <c r="B21" i="18"/>
  <c r="B49" i="18"/>
  <c r="B46" i="18"/>
  <c r="B39" i="18"/>
  <c r="B35" i="18"/>
  <c r="B4" i="18"/>
  <c r="B12" i="18"/>
  <c r="B31" i="18"/>
  <c r="B22" i="18"/>
  <c r="B11" i="18"/>
  <c r="B32" i="18"/>
  <c r="B9" i="18"/>
  <c r="B47" i="18"/>
  <c r="B16" i="18"/>
  <c r="B27" i="18"/>
  <c r="B23" i="18"/>
  <c r="B5" i="18"/>
  <c r="B48" i="18"/>
  <c r="B41" i="18"/>
  <c r="B6" i="18"/>
  <c r="B29" i="18"/>
  <c r="B40" i="18"/>
  <c r="B13" i="18"/>
  <c r="B36" i="18"/>
  <c r="B17" i="18"/>
  <c r="F51" i="18"/>
  <c r="C48" i="16" l="1"/>
  <c r="D48" i="16"/>
  <c r="E48" i="16"/>
  <c r="F48" i="16"/>
  <c r="G48" i="16"/>
  <c r="H48" i="16"/>
  <c r="I48" i="16"/>
  <c r="J48" i="16"/>
  <c r="K48" i="16"/>
  <c r="L48" i="16"/>
  <c r="M48" i="16"/>
  <c r="N48" i="16"/>
  <c r="O48" i="16"/>
  <c r="C49" i="16"/>
  <c r="D49" i="16"/>
  <c r="E49" i="16"/>
  <c r="F49" i="16"/>
  <c r="G49" i="16"/>
  <c r="H49" i="16"/>
  <c r="I49" i="16"/>
  <c r="J49" i="16"/>
  <c r="K49" i="16"/>
  <c r="L49" i="16"/>
  <c r="M49" i="16"/>
  <c r="N49" i="16"/>
  <c r="O49" i="16"/>
  <c r="C50" i="16"/>
  <c r="D50" i="16"/>
  <c r="E50" i="16"/>
  <c r="F50" i="16"/>
  <c r="G50" i="16"/>
  <c r="H50" i="16"/>
  <c r="I50" i="16"/>
  <c r="J50" i="16"/>
  <c r="K50" i="16"/>
  <c r="L50" i="16"/>
  <c r="M50" i="16"/>
  <c r="N50" i="16"/>
  <c r="O50" i="16"/>
  <c r="B50" i="16"/>
  <c r="B49" i="16"/>
  <c r="B48" i="16"/>
  <c r="C35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C36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C37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C38" i="16"/>
  <c r="D38" i="16"/>
  <c r="E38" i="16"/>
  <c r="F38" i="16"/>
  <c r="G38" i="16"/>
  <c r="H38" i="16"/>
  <c r="I38" i="16"/>
  <c r="J38" i="16"/>
  <c r="K38" i="16"/>
  <c r="L38" i="16"/>
  <c r="M38" i="16"/>
  <c r="N38" i="16"/>
  <c r="O38" i="16"/>
  <c r="C39" i="16"/>
  <c r="D39" i="16"/>
  <c r="E39" i="16"/>
  <c r="F39" i="16"/>
  <c r="G39" i="16"/>
  <c r="H39" i="16"/>
  <c r="I39" i="16"/>
  <c r="J39" i="16"/>
  <c r="K39" i="16"/>
  <c r="L39" i="16"/>
  <c r="M39" i="16"/>
  <c r="N39" i="16"/>
  <c r="O39" i="16"/>
  <c r="C40" i="16"/>
  <c r="D40" i="16"/>
  <c r="E40" i="16"/>
  <c r="F40" i="16"/>
  <c r="G40" i="16"/>
  <c r="H40" i="16"/>
  <c r="I40" i="16"/>
  <c r="J40" i="16"/>
  <c r="K40" i="16"/>
  <c r="L40" i="16"/>
  <c r="M40" i="16"/>
  <c r="N40" i="16"/>
  <c r="O40" i="16"/>
  <c r="C41" i="16"/>
  <c r="D41" i="16"/>
  <c r="E41" i="16"/>
  <c r="F41" i="16"/>
  <c r="G41" i="16"/>
  <c r="H41" i="16"/>
  <c r="I41" i="16"/>
  <c r="J41" i="16"/>
  <c r="K41" i="16"/>
  <c r="L41" i="16"/>
  <c r="M41" i="16"/>
  <c r="N41" i="16"/>
  <c r="O41" i="16"/>
  <c r="C42" i="16"/>
  <c r="D42" i="16"/>
  <c r="E42" i="16"/>
  <c r="F42" i="16"/>
  <c r="G42" i="16"/>
  <c r="H42" i="16"/>
  <c r="I42" i="16"/>
  <c r="J42" i="16"/>
  <c r="K42" i="16"/>
  <c r="L42" i="16"/>
  <c r="M42" i="16"/>
  <c r="N42" i="16"/>
  <c r="O42" i="16"/>
  <c r="C43" i="16"/>
  <c r="D43" i="16"/>
  <c r="E43" i="16"/>
  <c r="F43" i="16"/>
  <c r="G43" i="16"/>
  <c r="H43" i="16"/>
  <c r="I43" i="16"/>
  <c r="J43" i="16"/>
  <c r="K43" i="16"/>
  <c r="L43" i="16"/>
  <c r="M43" i="16"/>
  <c r="N43" i="16"/>
  <c r="O43" i="16"/>
  <c r="C44" i="16"/>
  <c r="D44" i="16"/>
  <c r="E44" i="16"/>
  <c r="F44" i="16"/>
  <c r="G44" i="16"/>
  <c r="H44" i="16"/>
  <c r="I44" i="16"/>
  <c r="J44" i="16"/>
  <c r="K44" i="16"/>
  <c r="L44" i="16"/>
  <c r="M44" i="16"/>
  <c r="N44" i="16"/>
  <c r="O44" i="16"/>
  <c r="C45" i="16"/>
  <c r="D45" i="16"/>
  <c r="E45" i="16"/>
  <c r="F45" i="16"/>
  <c r="G45" i="16"/>
  <c r="H45" i="16"/>
  <c r="I45" i="16"/>
  <c r="J45" i="16"/>
  <c r="K45" i="16"/>
  <c r="L45" i="16"/>
  <c r="M45" i="16"/>
  <c r="N45" i="16"/>
  <c r="O45" i="16"/>
  <c r="C46" i="16"/>
  <c r="D46" i="16"/>
  <c r="E46" i="16"/>
  <c r="F46" i="16"/>
  <c r="G46" i="16"/>
  <c r="H46" i="16"/>
  <c r="I46" i="16"/>
  <c r="J46" i="16"/>
  <c r="K46" i="16"/>
  <c r="L46" i="16"/>
  <c r="M46" i="16"/>
  <c r="N46" i="16"/>
  <c r="O46" i="16"/>
  <c r="C47" i="16"/>
  <c r="D47" i="16"/>
  <c r="E47" i="16"/>
  <c r="F47" i="16"/>
  <c r="G47" i="16"/>
  <c r="H47" i="16"/>
  <c r="I47" i="16"/>
  <c r="J47" i="16"/>
  <c r="K47" i="16"/>
  <c r="L47" i="16"/>
  <c r="M47" i="16"/>
  <c r="N47" i="16"/>
  <c r="O47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35" i="16"/>
  <c r="G52" i="17" l="1"/>
  <c r="G53" i="17"/>
  <c r="G54" i="17"/>
  <c r="G55" i="17"/>
  <c r="G51" i="17"/>
  <c r="G70" i="17"/>
  <c r="G71" i="17"/>
  <c r="G72" i="17"/>
  <c r="G73" i="17"/>
  <c r="G74" i="17"/>
  <c r="G69" i="17"/>
  <c r="G76" i="17"/>
  <c r="G77" i="17"/>
  <c r="G78" i="17"/>
  <c r="G79" i="17"/>
  <c r="G75" i="17"/>
  <c r="G57" i="17"/>
  <c r="G58" i="17"/>
  <c r="G59" i="17"/>
  <c r="G60" i="17"/>
  <c r="G56" i="17"/>
  <c r="K18" i="17"/>
  <c r="K16" i="17"/>
  <c r="K17" i="17"/>
  <c r="G47" i="17"/>
  <c r="G48" i="17"/>
  <c r="G49" i="17"/>
  <c r="G50" i="17"/>
  <c r="G46" i="17"/>
  <c r="H8" i="17"/>
  <c r="G39" i="17"/>
  <c r="G40" i="17"/>
  <c r="G38" i="17"/>
  <c r="E6" i="17"/>
  <c r="G42" i="17"/>
  <c r="G43" i="17"/>
  <c r="G44" i="17"/>
  <c r="G45" i="17"/>
  <c r="G41" i="17"/>
  <c r="G37" i="17"/>
  <c r="G33" i="17"/>
  <c r="G34" i="17"/>
  <c r="G35" i="17"/>
  <c r="G36" i="17"/>
  <c r="G32" i="17"/>
  <c r="Q42" i="12"/>
  <c r="E15" i="8"/>
  <c r="F15" i="8"/>
  <c r="G15" i="8"/>
  <c r="H15" i="8"/>
  <c r="I15" i="8"/>
  <c r="J15" i="8"/>
  <c r="K15" i="8"/>
  <c r="L15" i="8"/>
  <c r="M15" i="8"/>
  <c r="N15" i="8"/>
  <c r="D15" i="8"/>
  <c r="O34" i="5"/>
  <c r="P28" i="5"/>
  <c r="F34" i="5"/>
  <c r="G34" i="5"/>
  <c r="H34" i="5"/>
  <c r="I34" i="5"/>
  <c r="J34" i="5"/>
  <c r="K34" i="5"/>
  <c r="L34" i="5"/>
  <c r="M34" i="5"/>
  <c r="N34" i="5"/>
  <c r="P34" i="5"/>
  <c r="E34" i="5"/>
  <c r="D28" i="5"/>
  <c r="E28" i="5"/>
  <c r="F28" i="5"/>
  <c r="G28" i="5"/>
  <c r="H28" i="5"/>
  <c r="I28" i="5"/>
  <c r="J28" i="5"/>
  <c r="K28" i="5"/>
  <c r="L28" i="5"/>
  <c r="M28" i="5"/>
  <c r="N28" i="5"/>
  <c r="O28" i="5"/>
  <c r="N15" i="5" l="1"/>
  <c r="P22" i="5"/>
  <c r="Q16" i="12"/>
  <c r="O19" i="8"/>
  <c r="P36" i="5"/>
  <c r="P37" i="5"/>
  <c r="P38" i="5"/>
  <c r="P25" i="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P16" i="12"/>
  <c r="O16" i="12"/>
  <c r="O25" i="12" s="1"/>
  <c r="N16" i="12"/>
  <c r="N25" i="12" s="1"/>
  <c r="M16" i="12"/>
  <c r="M25" i="12" s="1"/>
  <c r="L16" i="12"/>
  <c r="L25" i="12" s="1"/>
  <c r="K16" i="12"/>
  <c r="K25" i="12" s="1"/>
  <c r="J16" i="12"/>
  <c r="J25" i="12" s="1"/>
  <c r="I16" i="12"/>
  <c r="I25" i="12" s="1"/>
  <c r="H16" i="12"/>
  <c r="H25" i="12" s="1"/>
  <c r="G16" i="12"/>
  <c r="G25" i="12" s="1"/>
  <c r="F16" i="12"/>
  <c r="F25" i="12" s="1"/>
  <c r="E16" i="12"/>
  <c r="E25" i="12" s="1"/>
  <c r="D16" i="12"/>
  <c r="D25" i="12" s="1"/>
  <c r="C16" i="12"/>
  <c r="C25" i="12" s="1"/>
  <c r="B16" i="12"/>
  <c r="B25" i="12" s="1"/>
  <c r="Q18" i="11"/>
  <c r="Q17" i="11"/>
  <c r="Q16" i="11"/>
  <c r="Q15" i="11"/>
  <c r="Q14" i="11"/>
  <c r="Q13" i="11"/>
  <c r="Q12" i="11"/>
  <c r="Q11" i="11"/>
  <c r="Q10" i="11"/>
  <c r="Q9" i="11"/>
  <c r="Q8" i="11"/>
  <c r="Q6" i="11"/>
  <c r="Q5" i="11"/>
  <c r="N4" i="11"/>
  <c r="O4" i="11" s="1"/>
  <c r="E34" i="9"/>
  <c r="I13" i="9"/>
  <c r="G13" i="9"/>
  <c r="B13" i="9"/>
  <c r="H12" i="9"/>
  <c r="G12" i="9"/>
  <c r="F12" i="9"/>
  <c r="E12" i="9"/>
  <c r="D12" i="9"/>
  <c r="C12" i="9"/>
  <c r="B12" i="9"/>
  <c r="N19" i="8"/>
  <c r="M19" i="8"/>
  <c r="L19" i="8"/>
  <c r="J19" i="8"/>
  <c r="I19" i="8"/>
  <c r="H19" i="8"/>
  <c r="G19" i="8"/>
  <c r="F19" i="8"/>
  <c r="E19" i="8"/>
  <c r="D19" i="8"/>
  <c r="C19" i="8"/>
  <c r="B19" i="8"/>
  <c r="K18" i="8"/>
  <c r="N17" i="8"/>
  <c r="M17" i="8"/>
  <c r="L17" i="8"/>
  <c r="K17" i="8"/>
  <c r="K16" i="8"/>
  <c r="K19" i="8" s="1"/>
  <c r="O39" i="5"/>
  <c r="N39" i="5"/>
  <c r="M39" i="5"/>
  <c r="L39" i="5"/>
  <c r="K39" i="5"/>
  <c r="J39" i="5"/>
  <c r="I39" i="5"/>
  <c r="H39" i="5"/>
  <c r="G39" i="5"/>
  <c r="F39" i="5"/>
  <c r="E39" i="5"/>
  <c r="D39" i="5"/>
  <c r="O38" i="5"/>
  <c r="N38" i="5"/>
  <c r="M38" i="5"/>
  <c r="L38" i="5"/>
  <c r="K38" i="5"/>
  <c r="J38" i="5"/>
  <c r="I38" i="5"/>
  <c r="H38" i="5"/>
  <c r="G38" i="5"/>
  <c r="F38" i="5"/>
  <c r="E38" i="5"/>
  <c r="D38" i="5"/>
  <c r="O37" i="5"/>
  <c r="N37" i="5"/>
  <c r="M37" i="5"/>
  <c r="L37" i="5"/>
  <c r="K37" i="5"/>
  <c r="J37" i="5"/>
  <c r="I37" i="5"/>
  <c r="H37" i="5"/>
  <c r="G37" i="5"/>
  <c r="F37" i="5"/>
  <c r="E37" i="5"/>
  <c r="D37" i="5"/>
  <c r="O36" i="5"/>
  <c r="N36" i="5"/>
  <c r="M36" i="5"/>
  <c r="L36" i="5"/>
  <c r="K36" i="5"/>
  <c r="J36" i="5"/>
  <c r="I36" i="5"/>
  <c r="H36" i="5"/>
  <c r="G36" i="5"/>
  <c r="F36" i="5"/>
  <c r="E36" i="5"/>
  <c r="D36" i="5"/>
  <c r="E26" i="5"/>
  <c r="D26" i="5"/>
  <c r="L25" i="5"/>
  <c r="E25" i="5"/>
  <c r="D25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O15" i="5"/>
  <c r="M15" i="5"/>
  <c r="L15" i="5"/>
  <c r="K15" i="5"/>
  <c r="J15" i="5"/>
  <c r="I15" i="5"/>
  <c r="H15" i="5"/>
  <c r="G15" i="5"/>
  <c r="F15" i="5"/>
  <c r="E15" i="5"/>
  <c r="D15" i="5"/>
  <c r="N22" i="4"/>
  <c r="M22" i="4"/>
  <c r="L22" i="4"/>
  <c r="O21" i="4"/>
  <c r="N21" i="4"/>
  <c r="M21" i="4"/>
  <c r="L21" i="4"/>
  <c r="K21" i="4"/>
  <c r="O20" i="4"/>
  <c r="N20" i="4"/>
  <c r="M20" i="4"/>
  <c r="L20" i="4"/>
  <c r="O19" i="4"/>
  <c r="N19" i="4"/>
  <c r="M19" i="4"/>
  <c r="L19" i="4"/>
  <c r="O18" i="4"/>
  <c r="N18" i="4"/>
  <c r="M18" i="4"/>
  <c r="L18" i="4"/>
  <c r="K18" i="4"/>
  <c r="O30" i="2"/>
  <c r="N30" i="2"/>
  <c r="M30" i="2"/>
  <c r="O29" i="2"/>
  <c r="N29" i="2"/>
  <c r="M29" i="2"/>
  <c r="N30" i="12" l="1"/>
  <c r="O30" i="12"/>
  <c r="P30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CCBB91CF-23B8-4859-8899-7B3FB00DD7B7}">
      <text>
        <r>
          <rPr>
            <sz val="11"/>
            <color theme="1"/>
            <rFont val="Calibri"/>
            <family val="2"/>
            <scheme val="minor"/>
          </rPr>
          <t>======
ID#AAABCKao9ow
Pascual, Janire    (2023-12-11 18:13:14)
Source: https://www.eia.gov/dnav/pet/pet_move_expc_a_EPOOXE_EEX_mbbl_a.htm</t>
        </r>
      </text>
    </comment>
    <comment ref="D2" authorId="0" shapeId="0" xr:uid="{4B670116-0999-45CC-8241-E204199C6D08}">
      <text>
        <r>
          <rPr>
            <sz val="11"/>
            <color theme="1"/>
            <rFont val="Calibri"/>
            <family val="2"/>
            <scheme val="minor"/>
          </rPr>
          <t>======
ID#AAABCKao9o4
Pascual, Janire    (2023-12-11 18:13:14)
Source: https://www.eia.gov/dnav/pet/pet_move_expc_a_EPOORDB_EEX_mbbl_a.htm</t>
        </r>
      </text>
    </comment>
    <comment ref="G2" authorId="0" shapeId="0" xr:uid="{2A3FD799-00FC-467A-B475-765B7F72FBCF}">
      <text>
        <r>
          <rPr>
            <sz val="11"/>
            <color theme="1"/>
            <rFont val="Calibri"/>
            <family val="2"/>
            <scheme val="minor"/>
          </rPr>
          <t>======
ID#AAABCKao9pg
Pascual, Janire    (2023-12-11 18:13:14)
Source: https://comtrade.un.org/data/</t>
        </r>
      </text>
    </comment>
    <comment ref="J2" authorId="0" shapeId="0" xr:uid="{3E75CDC1-F9D3-4E01-A7EB-736B76B06347}">
      <text>
        <r>
          <rPr>
            <sz val="11"/>
            <color theme="1"/>
            <rFont val="Calibri"/>
            <family val="2"/>
            <scheme val="minor"/>
          </rPr>
          <t>======
ID#AAABCKao9pA
tc={CE891A85-F1AE-41EE-9BF2-6EBCD4AC02D4}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M2" authorId="0" shapeId="0" xr:uid="{716873B4-A1F6-4781-8BD2-15FD57163DDE}">
      <text>
        <r>
          <rPr>
            <sz val="11"/>
            <color theme="1"/>
            <rFont val="Calibri"/>
            <family val="2"/>
            <scheme val="minor"/>
          </rPr>
          <t>======
ID#AAABCKao9og
Pascual, Janire    (2023-12-11 18:13:14)
Source: https://www.eia.gov/dnav/pet/pet_move_expc_a_EPOOXE_EEX_mbbl_a.htm</t>
        </r>
      </text>
    </comment>
    <comment ref="P2" authorId="0" shapeId="0" xr:uid="{F60397A0-8DB3-4B54-B52F-B966154B57DD}">
      <text>
        <r>
          <rPr>
            <sz val="11"/>
            <color theme="1"/>
            <rFont val="Calibri"/>
            <family val="2"/>
            <scheme val="minor"/>
          </rPr>
          <t>======
ID#AAABCKao9oc
Pascual, Janire    (2023-12-11 18:13:14)
Source: https://www.eia.gov/dnav/pet/pet_move_expc_a_EPOORDB_EEX_mbbl_a.htm</t>
        </r>
      </text>
    </comment>
    <comment ref="S2" authorId="0" shapeId="0" xr:uid="{528F8D38-C62E-425D-B636-9F7D814B8AF9}">
      <text>
        <r>
          <rPr>
            <sz val="11"/>
            <color theme="1"/>
            <rFont val="Calibri"/>
            <family val="2"/>
            <scheme val="minor"/>
          </rPr>
          <t>======
ID#AAABCKao9pM
Pascual, Janire    (2023-12-11 18:13:14)
Source: https://comtrade.un.org/data/</t>
        </r>
      </text>
    </comment>
    <comment ref="V2" authorId="0" shapeId="0" xr:uid="{030CBAAC-0574-40FB-8BBE-0F9A77BDF0C8}">
      <text>
        <r>
          <rPr>
            <sz val="11"/>
            <color theme="1"/>
            <rFont val="Calibri"/>
            <family val="2"/>
            <scheme val="minor"/>
          </rPr>
          <t>======
ID#AAABCKao9os
Source    (2023-12-11 18:13:14)
https://pubs.rendermagazine.com/2022-04/page_16.html</t>
        </r>
      </text>
    </comment>
    <comment ref="Y2" authorId="0" shapeId="0" xr:uid="{5124A45F-434E-494C-925B-2650ECF85316}">
      <text>
        <r>
          <rPr>
            <sz val="11"/>
            <color theme="1"/>
            <rFont val="Calibri"/>
            <family val="2"/>
            <scheme val="minor"/>
          </rPr>
          <t>======
ID#AAABCKao9o8
Pascual, Janire    (2023-12-11 18:13:14)
Source: https://www.eia.gov/dnav/pet/pet_move_expc_a_EPOOXE_EEX_mbbl_a.htm</t>
        </r>
      </text>
    </comment>
    <comment ref="AB2" authorId="0" shapeId="0" xr:uid="{008D7FAB-FB7C-4CCA-B1EC-610FB1459FB5}">
      <text>
        <r>
          <rPr>
            <sz val="11"/>
            <color theme="1"/>
            <rFont val="Calibri"/>
            <family val="2"/>
            <scheme val="minor"/>
          </rPr>
          <t>======
ID#AAABCKao9o0
Pascual, Janire    (2023-12-11 18:13:14)
Source: https://www.eia.gov/dnav/pet/pet_move_expc_a_EPOORDB_EEX_mbbl_a.htm</t>
        </r>
      </text>
    </comment>
    <comment ref="AE2" authorId="0" shapeId="0" xr:uid="{7FF38ABC-4F6F-44C8-BD78-18750AE429DE}">
      <text>
        <r>
          <rPr>
            <sz val="11"/>
            <color theme="1"/>
            <rFont val="Calibri"/>
            <family val="2"/>
            <scheme val="minor"/>
          </rPr>
          <t>======
ID#AAABCKao9n4
Pascual, Janire    (2023-12-11 18:13:14)
Source: https://comtrade.un.org/data/</t>
        </r>
      </text>
    </comment>
    <comment ref="AH2" authorId="0" shapeId="0" xr:uid="{5F219BD4-4939-4680-9C9A-B0299C11B221}">
      <text>
        <r>
          <rPr>
            <sz val="11"/>
            <color theme="1"/>
            <rFont val="Calibri"/>
            <family val="2"/>
            <scheme val="minor"/>
          </rPr>
          <t>======
ID#AAABCKao9pE
Source    (2023-12-11 18:13:14)
https://pubs.rendermagazine.com/2022-04/page_16.html</t>
        </r>
      </text>
    </comment>
    <comment ref="A12" authorId="0" shapeId="0" xr:uid="{DDDFCDD0-19AB-4419-B440-15736E27CF83}">
      <text>
        <r>
          <rPr>
            <sz val="11"/>
            <color theme="1"/>
            <rFont val="Calibri"/>
            <family val="2"/>
            <scheme val="minor"/>
          </rPr>
          <t>======
ID#AAABCKao9oQ
tc={B94A4057-F063-4D2D-9CB5-0D7A6F2EED8E}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D12" authorId="0" shapeId="0" xr:uid="{C2A54291-3440-4BD6-9B7D-75E87703E9AF}">
      <text>
        <r>
          <rPr>
            <sz val="11"/>
            <color theme="1"/>
            <rFont val="Calibri"/>
            <family val="2"/>
            <scheme val="minor"/>
          </rPr>
          <t>======
ID#AAABCKao9n0
tc={7868D2DF-CD0A-484F-8199-465A1A24F93C}    (2023-12-11 18:13:14)
[Threaded comment]
Comment:
    Source:  https://rendermagazine.com/wp-content/uploads/2019/07/Render_Apr19.pdf</t>
        </r>
      </text>
    </comment>
    <comment ref="G12" authorId="0" shapeId="0" xr:uid="{FA364BDE-681A-497F-9788-EC0677551CE9}">
      <text>
        <r>
          <rPr>
            <sz val="11"/>
            <color theme="1"/>
            <rFont val="Calibri"/>
            <family val="2"/>
            <scheme val="minor"/>
          </rPr>
          <t>======
ID#AAABCKao9nw
tc={DE318791-6C83-48A0-8077-859295D79241}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J12" authorId="0" shapeId="0" xr:uid="{721B1F68-1246-489C-B15D-B9DABCCD2EC4}">
      <text>
        <r>
          <rPr>
            <sz val="11"/>
            <color theme="1"/>
            <rFont val="Calibri"/>
            <family val="2"/>
            <scheme val="minor"/>
          </rPr>
          <t>======
ID#AAABCKao9oI
tc={3F138D6C-1C1B-4068-AECF-5975FA13B5FC}    (2023-12-11 18:13:14)
[Threaded comment]
Your version of Excel allows you to read this threaded comment; however, any edits to it will get removed if the file is opened in a newer version of Excel. Learn more: https://go.microsoft.com/fwlink/?linkid=870924
Comment:
    Source:  https://rendermagazine.com/wp-content/uploads/2019/07/Render_Apr19.pdf</t>
        </r>
      </text>
    </comment>
    <comment ref="M12" authorId="0" shapeId="0" xr:uid="{C76DFA81-F2AF-4262-B99B-139BF64CD1C3}">
      <text>
        <r>
          <rPr>
            <sz val="11"/>
            <color theme="1"/>
            <rFont val="Calibri"/>
            <family val="2"/>
            <scheme val="minor"/>
          </rPr>
          <t>======
ID#AAABCKao9n8
Source    (2023-12-11 18:13:14)
https://pubs.rendermagazine.com/2022-04/page_16.html</t>
        </r>
      </text>
    </comment>
    <comment ref="P12" authorId="0" shapeId="0" xr:uid="{62C1295E-86D2-45E7-9664-E45C52CF1C85}">
      <text>
        <r>
          <rPr>
            <sz val="11"/>
            <color theme="1"/>
            <rFont val="Calibri"/>
            <family val="2"/>
            <scheme val="minor"/>
          </rPr>
          <t>======
ID#AAABCKao9ok
Source    (2023-12-11 18:13:14)
https://pubs.rendermagazine.com/2022-04/page_16.html</t>
        </r>
      </text>
    </comment>
    <comment ref="S12" authorId="0" shapeId="0" xr:uid="{EA91B5E7-5F97-458E-9EE9-870C9F40587D}">
      <text>
        <r>
          <rPr>
            <sz val="11"/>
            <color theme="1"/>
            <rFont val="Calibri"/>
            <family val="2"/>
            <scheme val="minor"/>
          </rPr>
          <t>======
ID#AAABCKao9po
Source    (2023-12-11 18:13:14)
https://pubs.rendermagazine.com/2022-04/page_16.html</t>
        </r>
      </text>
    </comment>
    <comment ref="V12" authorId="0" shapeId="0" xr:uid="{DFFE3E51-E0A1-4E31-BA4B-5D301189F7A3}">
      <text>
        <r>
          <rPr>
            <sz val="11"/>
            <color theme="1"/>
            <rFont val="Calibri"/>
            <family val="2"/>
            <scheme val="minor"/>
          </rPr>
          <t>======
ID#AAABCKao9oo
Source    (2023-12-11 18:13:14)
https://pubs.rendermagazine.com/2022-04/page_16.html</t>
        </r>
      </text>
    </comment>
    <comment ref="Y12" authorId="0" shapeId="0" xr:uid="{1C00A3CE-C261-470F-979D-80E9AD80D30D}">
      <text>
        <r>
          <rPr>
            <sz val="11"/>
            <color theme="1"/>
            <rFont val="Calibri"/>
            <family val="2"/>
            <scheme val="minor"/>
          </rPr>
          <t>======
ID#AAABCKao9oE
Source    (2023-12-11 18:13:14)
https://pubs.rendermagazine.com/2022-04/page_16.html</t>
        </r>
      </text>
    </comment>
    <comment ref="AB12" authorId="0" shapeId="0" xr:uid="{7923507B-869C-47B5-9973-C338B6BFDA6B}">
      <text>
        <r>
          <rPr>
            <sz val="11"/>
            <color theme="1"/>
            <rFont val="Calibri"/>
            <family val="2"/>
            <scheme val="minor"/>
          </rPr>
          <t>======
ID#AAABCKao9oU
Source    (2023-12-11 18:13:14)
https://pubs.rendermagazine.com/2022-04/page_16.html</t>
        </r>
      </text>
    </comment>
    <comment ref="AE12" authorId="0" shapeId="0" xr:uid="{FC199198-B5CB-4C48-8B1E-05648FA208E7}">
      <text>
        <r>
          <rPr>
            <sz val="11"/>
            <color theme="1"/>
            <rFont val="Calibri"/>
            <family val="2"/>
            <scheme val="minor"/>
          </rPr>
          <t>======
ID#AAABCKao9oM
Source    (2023-12-11 18:13:14)
https://pubs.rendermagazine.com/2022-04/page_16.html</t>
        </r>
      </text>
    </comment>
    <comment ref="AH12" authorId="0" shapeId="0" xr:uid="{868F59D2-B53B-42B0-AA79-A9289E660B1C}">
      <text>
        <r>
          <rPr>
            <sz val="11"/>
            <color theme="1"/>
            <rFont val="Calibri"/>
            <family val="2"/>
            <scheme val="minor"/>
          </rPr>
          <t>======
ID#AAABCKao9pk
Source    (2023-12-11 18:13:14)
https://pubs.rendermagazine.com/2022-04/page_16.html</t>
        </r>
      </text>
    </comment>
    <comment ref="A22" authorId="0" shapeId="0" xr:uid="{800D49A5-9377-44C6-80E7-0B757006C775}">
      <text>
        <r>
          <rPr>
            <sz val="11"/>
            <color theme="1"/>
            <rFont val="Calibri"/>
            <family val="2"/>
            <scheme val="minor"/>
          </rPr>
          <t>======
ID#AAABCKao9pI
Pascual, Janire    (2023-12-11 18:13:14)
Source: https://www.eia.gov/dnav/pet/pet_move_impcus_a2_nus_epooxe_im0_mbbl_a.htm</t>
        </r>
      </text>
    </comment>
    <comment ref="D22" authorId="0" shapeId="0" xr:uid="{E7F9EF9B-5569-4B7F-8B83-A42F671086D3}">
      <text>
        <r>
          <rPr>
            <sz val="11"/>
            <color theme="1"/>
            <rFont val="Calibri"/>
            <family val="2"/>
            <scheme val="minor"/>
          </rPr>
          <t>======
ID#AAABCKao9pY
Pascual, Janire    (2023-12-11 18:13:14)
Source: https://www.eia.gov/dnav/pet/pet_move_impcus_a2_nus_EPOORDB_im0_mbbl_a.htm</t>
        </r>
      </text>
    </comment>
    <comment ref="G22" authorId="0" shapeId="0" xr:uid="{ADED3C03-0B6D-42AF-902D-BF303D6E8DAD}">
      <text>
        <r>
          <rPr>
            <sz val="11"/>
            <color theme="1"/>
            <rFont val="Calibri"/>
            <family val="2"/>
            <scheme val="minor"/>
          </rPr>
          <t>======
ID#AAABCKao9oA
Pascual, Janire    (2023-12-11 18:13:14)
Source: https://comtrade.un.org/data/</t>
        </r>
      </text>
    </comment>
    <comment ref="M22" authorId="0" shapeId="0" xr:uid="{E211B4DF-572B-4111-9DD9-FFBA38ABD98A}">
      <text>
        <r>
          <rPr>
            <sz val="11"/>
            <color theme="1"/>
            <rFont val="Calibri"/>
            <family val="2"/>
            <scheme val="minor"/>
          </rPr>
          <t>======
ID#AAABCKao9pQ
Pascual, Janire    (2023-12-11 18:13:14)
Source: https://www.eia.gov/dnav/pet/pet_move_impcus_a2_nus_epooxe_im0_mbbl_a.htm</t>
        </r>
      </text>
    </comment>
    <comment ref="P22" authorId="0" shapeId="0" xr:uid="{DD45CEF2-1205-4B82-86B3-82FA1F15033B}">
      <text>
        <r>
          <rPr>
            <sz val="11"/>
            <color theme="1"/>
            <rFont val="Calibri"/>
            <family val="2"/>
            <scheme val="minor"/>
          </rPr>
          <t>======
ID#AAABCKao9oY
Pascual, Janire    (2023-12-11 18:13:14)
Source: https://www.eia.gov/dnav/pet/pet_move_impcus_a2_nus_EPOORDB_im0_mbbl_a.htm</t>
        </r>
      </text>
    </comment>
    <comment ref="S22" authorId="0" shapeId="0" xr:uid="{8DCE3181-F214-4742-A617-6F9BBECF9A76}">
      <text>
        <r>
          <rPr>
            <sz val="11"/>
            <color theme="1"/>
            <rFont val="Calibri"/>
            <family val="2"/>
            <scheme val="minor"/>
          </rPr>
          <t>======
ID#AAABCKao9ps
Pascual, Janire    (2023-12-11 18:13:14)
Source: https://comtrade.un.org/data/</t>
        </r>
      </text>
    </comment>
    <comment ref="Y22" authorId="0" shapeId="0" xr:uid="{D169E54B-9868-4550-A7DB-AF5946463D5B}">
      <text>
        <r>
          <rPr>
            <sz val="11"/>
            <color theme="1"/>
            <rFont val="Calibri"/>
            <family val="2"/>
            <scheme val="minor"/>
          </rPr>
          <t>======
ID#AAABCKao9pc
Pascual, Janire    (2023-12-11 18:13:14)
Source: https://www.eia.gov/dnav/pet/pet_move_impcus_a2_nus_epooxe_im0_mbbl_a.htm</t>
        </r>
      </text>
    </comment>
    <comment ref="AB22" authorId="0" shapeId="0" xr:uid="{C1BD7145-1498-4FF3-8FA4-1510A2370FE9}">
      <text>
        <r>
          <rPr>
            <sz val="11"/>
            <color theme="1"/>
            <rFont val="Calibri"/>
            <family val="2"/>
            <scheme val="minor"/>
          </rPr>
          <t>======
ID#AAABCKao9pU
Pascual, Janire    (2023-12-11 18:13:14)
Source: https://www.eia.gov/dnav/pet/pet_move_impcus_a2_nus_EPOORDB_im0_mbbl_a.htm</t>
        </r>
      </text>
    </comment>
    <comment ref="AE22" authorId="0" shapeId="0" xr:uid="{5F9BCCA4-5058-41E0-A069-04483506D44C}">
      <text>
        <r>
          <rPr>
            <sz val="11"/>
            <color theme="1"/>
            <rFont val="Calibri"/>
            <family val="2"/>
            <scheme val="minor"/>
          </rPr>
          <t>======
ID#AAABCKao9pw
Pascual, Janire    (2023-12-11 18:13:14)
Source: https://comtrade.un.org/data/</t>
        </r>
      </text>
    </comment>
  </commentList>
</comments>
</file>

<file path=xl/sharedStrings.xml><?xml version="1.0" encoding="utf-8"?>
<sst xmlns="http://schemas.openxmlformats.org/spreadsheetml/2006/main" count="2069" uniqueCount="642">
  <si>
    <t>TABLE OF CONTENTS</t>
  </si>
  <si>
    <t>Bioenergy</t>
  </si>
  <si>
    <t>Ethanol</t>
  </si>
  <si>
    <t>Biobutanol</t>
  </si>
  <si>
    <t>Biodiesel</t>
  </si>
  <si>
    <t>Fats</t>
  </si>
  <si>
    <t>Renewable Diesel</t>
  </si>
  <si>
    <t>Renewable Jet Fuel</t>
  </si>
  <si>
    <t>Wood Pellets</t>
  </si>
  <si>
    <t xml:space="preserve">Waste to Energy </t>
  </si>
  <si>
    <t>Biogas</t>
  </si>
  <si>
    <t>Trade</t>
  </si>
  <si>
    <t>Biobased products</t>
  </si>
  <si>
    <t>BioProducts</t>
  </si>
  <si>
    <t>Bioplastics</t>
  </si>
  <si>
    <t>Enzymes</t>
  </si>
  <si>
    <t>Forest Products</t>
  </si>
  <si>
    <t>Investment and Finance</t>
  </si>
  <si>
    <t>Funding</t>
  </si>
  <si>
    <t>ETHANOL</t>
  </si>
  <si>
    <t>PHYSICAL</t>
  </si>
  <si>
    <t>Source Name</t>
  </si>
  <si>
    <t>Source URL</t>
  </si>
  <si>
    <t>Comments</t>
  </si>
  <si>
    <t>Number of Ethanol Plants installed in the United States</t>
  </si>
  <si>
    <t xml:space="preserve">RFA </t>
  </si>
  <si>
    <t>http://www.ethanolrfa.org/pocket-guide/</t>
  </si>
  <si>
    <t>Retrieved January 2024</t>
  </si>
  <si>
    <t xml:space="preserve">     Number Ethanol Plants in the United States-Starch</t>
  </si>
  <si>
    <t>Ethanol producer
RFA</t>
  </si>
  <si>
    <r>
      <rPr>
        <u/>
        <sz val="11"/>
        <color theme="10"/>
        <rFont val="Calibri"/>
        <family val="2"/>
      </rPr>
      <t xml:space="preserve">[2016-2019, 2022] </t>
    </r>
    <r>
      <rPr>
        <u/>
        <sz val="11"/>
        <color theme="10"/>
        <rFont val="Calibri"/>
        <family val="2"/>
      </rPr>
      <t xml:space="preserve">http://ethanolproducer.com/plants/listplants/US/Existing/Sugar-Starch/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>http://www.ethanolrfa.org/pocket-guide/</t>
    </r>
  </si>
  <si>
    <t xml:space="preserve">     Number Ethanol Plants in the United States-Cellulosic</t>
  </si>
  <si>
    <t>[2016-2019, 2022] http://ethanolproducer.com/plants/listplants/US/Existing/Cellulosic
[2020-2021] http://www.ethanolrfa.org/pocket-guide/</t>
  </si>
  <si>
    <t xml:space="preserve">     Number Ethanol Plants in the United States-Corn</t>
  </si>
  <si>
    <r>
      <rPr>
        <u/>
        <sz val="11"/>
        <color theme="10"/>
        <rFont val="Calibri"/>
        <family val="2"/>
      </rPr>
      <t xml:space="preserve">[2018-2019, 2022] </t>
    </r>
    <r>
      <rPr>
        <u/>
        <sz val="11"/>
        <color theme="10"/>
        <rFont val="Calibri"/>
        <family val="2"/>
      </rPr>
      <t xml:space="preserve">http://ethanolproducer.com/plants/listplants/US/Existing/Cellulosic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>http://www.ethanolrfa.org/pocket-guide/</t>
    </r>
  </si>
  <si>
    <t xml:space="preserve">     Number Ethanol Plants in the United States-Sorghum</t>
  </si>
  <si>
    <r>
      <rPr>
        <u/>
        <sz val="11"/>
        <color theme="10"/>
        <rFont val="Calibri"/>
        <family val="2"/>
      </rPr>
      <t xml:space="preserve">[2018-2019, 2022] </t>
    </r>
    <r>
      <rPr>
        <u/>
        <sz val="11"/>
        <color theme="10"/>
        <rFont val="Calibri"/>
        <family val="2"/>
      </rPr>
      <t xml:space="preserve">http://ethanolproducer.com/plants/listplants/US/Existing/Cellulosic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>http://www.ethanolrfa.org/pocket-guide/</t>
    </r>
  </si>
  <si>
    <t xml:space="preserve">     Number Ethanol Plants in the United States-Other (Tobacco, crop residue, waste stream)</t>
  </si>
  <si>
    <r>
      <rPr>
        <u/>
        <sz val="11"/>
        <color theme="10"/>
        <rFont val="Calibri"/>
        <family val="2"/>
      </rPr>
      <t xml:space="preserve">[2018-2019, 2022] </t>
    </r>
    <r>
      <rPr>
        <u/>
        <sz val="11"/>
        <color theme="10"/>
        <rFont val="Calibri"/>
        <family val="2"/>
      </rPr>
      <t xml:space="preserve">http://ethanolproducer.com/plants/listplants/US/Existing/Cellulosic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>http://www.ethanolrfa.org/pocket-guide/</t>
    </r>
  </si>
  <si>
    <t>Number of Ethanol Plants Operational in the United States</t>
  </si>
  <si>
    <t xml:space="preserve">EIA
RFA </t>
  </si>
  <si>
    <r>
      <rPr>
        <u/>
        <sz val="11"/>
        <color theme="1"/>
        <rFont val="Calibri"/>
        <family val="2"/>
      </rPr>
      <t xml:space="preserve">[2011-2012] </t>
    </r>
    <r>
      <rPr>
        <u/>
        <sz val="11"/>
        <color theme="10"/>
        <rFont val="Calibri"/>
        <family val="2"/>
      </rPr>
      <t xml:space="preserve">http://www.eia.gov/petroleum/ethanolcapacity/ 
</t>
    </r>
    <r>
      <rPr>
        <u/>
        <sz val="11"/>
        <color theme="1"/>
        <rFont val="Calibri"/>
        <family val="2"/>
      </rPr>
      <t xml:space="preserve">[2013-2021] </t>
    </r>
    <r>
      <rPr>
        <u/>
        <sz val="11"/>
        <color theme="10"/>
        <rFont val="Calibri"/>
        <family val="2"/>
      </rPr>
      <t>http://www.ethanolrfa.org/pocket-guide/</t>
    </r>
  </si>
  <si>
    <t xml:space="preserve">Number of Existing Plants Under Construction </t>
  </si>
  <si>
    <t>Number Proposed Ethanol Plants in the United States</t>
  </si>
  <si>
    <t>Ethanol producer</t>
  </si>
  <si>
    <t>http://ethanolproducer.com/plants/listplants/US/Existing/Sugar-Starch/</t>
  </si>
  <si>
    <t>Number of States which have an Ethanol Production Facility </t>
  </si>
  <si>
    <t>Ethanol plant capacities (billion gallons)</t>
  </si>
  <si>
    <t>EIA
EIA</t>
  </si>
  <si>
    <r>
      <rPr>
        <u/>
        <sz val="11"/>
        <color theme="10"/>
        <rFont val="Calibri"/>
        <family val="2"/>
      </rPr>
      <t xml:space="preserve">[2010-2021] </t>
    </r>
    <r>
      <rPr>
        <u/>
        <sz val="11"/>
        <color theme="10"/>
        <rFont val="Calibri"/>
        <family val="2"/>
      </rPr>
      <t xml:space="preserve">https://www.eia.gov/petroleum/ethanolcapacity/index.php
</t>
    </r>
    <r>
      <rPr>
        <u/>
        <sz val="11"/>
        <color theme="10"/>
        <rFont val="Calibri"/>
        <family val="2"/>
      </rPr>
      <t>[2022] https://www.eia.gov/biofuels/update/</t>
    </r>
  </si>
  <si>
    <t>PRODUCTION</t>
  </si>
  <si>
    <t>Total Volume of Ethanol  Produced in US (billion gallons)</t>
  </si>
  <si>
    <t>EIA</t>
  </si>
  <si>
    <t>https://www.eia.gov/totalenergy/data/monthly/pdf/mer.pdf</t>
  </si>
  <si>
    <t>Total Volume of Ethanol Consumed (billion gallons)</t>
  </si>
  <si>
    <t>https://www.eia.gov/totalenergy/data/monthly/pdf/sec10_7.pdf</t>
  </si>
  <si>
    <t>Total Volume of Ethanol Consumed: Transportation  (billion gallons)</t>
  </si>
  <si>
    <t>Retrieved January 2024, Table 10.2c
1 gallon of ethanol = 77566 BTUs</t>
  </si>
  <si>
    <t>Total Volume of Ethanol Consumed: Industrial sector  (billion gallons)</t>
  </si>
  <si>
    <t>https://www.eia.gov/totalenergy/data/monthly/pdf/sec10_5.pdf</t>
  </si>
  <si>
    <t>Retrieved January 2024, Table 10.2b
1 gallon of ethanol = 77566 BTUs</t>
  </si>
  <si>
    <t>Total Volume of Ethanol Imported into the US (billion gallons)</t>
  </si>
  <si>
    <t>https://www.eia.gov/dnav/pet/hist/LeafHandler.ashx?n=PET&amp;s=MFEIMUS1&amp;f=A</t>
  </si>
  <si>
    <t>Retrieved January 2024
1 barrel of ethanol = 42 gallons</t>
  </si>
  <si>
    <t>Total Volume of Ethanol Exported From the US (billion gallons)</t>
  </si>
  <si>
    <t>https://www.eia.gov/dnav/pet/hist/LeafHandler.ashx?n=pet&amp;s=m_epooxe_eex_nus-z00_mbbl&amp;f=a</t>
  </si>
  <si>
    <t xml:space="preserve">CORN FOR ETHANOL </t>
  </si>
  <si>
    <t xml:space="preserve">Total corn used for Fuel ethanol use (million metric tons) </t>
  </si>
  <si>
    <t>USDA</t>
  </si>
  <si>
    <t>https://www.ers.usda.gov/data-products/us-bioenergy-statistics/#:~:text=Ethanol%2C%20made%20mostly%20from%20corn,all%20biofuel%20production%20in%202012.&amp;text=ERS%20analysts%20track%20U.S.%20ethanol,production%2C%20consumption%2C%20and%20trade.</t>
  </si>
  <si>
    <t>Retrieved January 2024 
1 bushel of corn=0.025 metric tons</t>
  </si>
  <si>
    <t>ECONOMICS</t>
  </si>
  <si>
    <t>Price for Ethanol Per gallon (dollar per gallon)</t>
  </si>
  <si>
    <t>https://www.ers.usda.gov/data-products/us-bioenergy-statistics/</t>
  </si>
  <si>
    <t>Price for Ethanol Per gallon (dollar per gge)</t>
  </si>
  <si>
    <t>Retrieved January 2024
1.5 gallons ethanol =  1 gallon gasoline</t>
  </si>
  <si>
    <t>Price for E85 Per gallon (dollar per gge)</t>
  </si>
  <si>
    <t>AFD</t>
  </si>
  <si>
    <t>https://www.afdc.energy.gov/fuels/prices.html</t>
  </si>
  <si>
    <t>Price for gasoline Per gallon (dollar per gge)</t>
  </si>
  <si>
    <t>Number of direct jobs working with ethanol production</t>
  </si>
  <si>
    <t>RFA</t>
  </si>
  <si>
    <t>Number of indirect and induced jobs working with ethanol production</t>
  </si>
  <si>
    <t>GDP contribution/influence (billion dollars)</t>
  </si>
  <si>
    <t xml:space="preserve">Household income from industry (billion dollars) </t>
  </si>
  <si>
    <t>Tax Revenue (billion dollars)</t>
  </si>
  <si>
    <t>"[2013-2014] http://www.ethanolrfa.org/pocket-guide/
[2019-2021] https://ethanolrfa.org/library/reports-studies-and-white-papers/ethanol-and-the-economy"</t>
  </si>
  <si>
    <t>Crude oil (dollar per barrel)</t>
  </si>
  <si>
    <t>Macrotrends</t>
  </si>
  <si>
    <t>https://www.macrotrends.net/1369/crude-oil-price-history-chart</t>
  </si>
  <si>
    <t>BIOBUTANOL</t>
  </si>
  <si>
    <t>Total Volume of Biobutanol entering the commercial market in the US (thousand gallons)</t>
  </si>
  <si>
    <t>EPA</t>
  </si>
  <si>
    <t>https://www.epa.gov/fuels-registration-reporting-and-compliance-help/rins-generated-transactions</t>
  </si>
  <si>
    <t>Retrieved December 2023</t>
  </si>
  <si>
    <t>BIODIESEL</t>
  </si>
  <si>
    <t>Number of Biodiesel Plants in the United States</t>
  </si>
  <si>
    <t>https://www.eia.gov/biofuels/biodiesel/capacity/</t>
  </si>
  <si>
    <t>Retrieved February 2024</t>
  </si>
  <si>
    <t>Number of Proposed Biodiesel Plants</t>
  </si>
  <si>
    <t>Biodiesel Magazine</t>
  </si>
  <si>
    <t>http://www.biodieselmagazine.com/plants/listplants/USA/proposed/</t>
  </si>
  <si>
    <t>http://www.biodieselmagazine.com/plants/listplants/USA/construction/</t>
  </si>
  <si>
    <t xml:space="preserve">Number of States which have a Biodiesel Production Facility </t>
  </si>
  <si>
    <r>
      <rPr>
        <u/>
        <sz val="11"/>
        <color rgb="FF0563C1"/>
        <rFont val="Calibri"/>
        <family val="2"/>
      </rPr>
      <t>https://www.eia.gov/biofuels/biodiesel/production/archive/</t>
    </r>
    <r>
      <rPr>
        <u/>
        <sz val="11"/>
        <color rgb="FF000000"/>
        <rFont val="Calibri"/>
        <family val="2"/>
      </rPr>
      <t xml:space="preserve">       </t>
    </r>
    <r>
      <rPr>
        <u/>
        <sz val="11"/>
        <color rgb="FF1155CC"/>
        <rFont val="Calibri"/>
        <family val="2"/>
      </rPr>
      <t>https://www.eia.gov/biofuels/biodiesel/capacity/</t>
    </r>
  </si>
  <si>
    <t>Total Production of Biodiesel in US (billion gallons)</t>
  </si>
  <si>
    <t xml:space="preserve">[2010-2019] https://www.eia.gov/biofuels/biodiesel/production/archive/
[2020-2021] https://www.eia.gov/totalenergy/data/monthly/pdf/mer.pdf </t>
  </si>
  <si>
    <t>Total Volume of Biodiesel Consumed in US (billion gallons)</t>
  </si>
  <si>
    <t>Retrieved January 2024
1 gallon of biodiesel = 127,595 BTUs</t>
  </si>
  <si>
    <t>https://www.eia.gov/totalenergy/data/monthly/pdf/sec10_8.pdf</t>
  </si>
  <si>
    <t>Retrieved January 2024   1 barrel of biodiesel = 42 gallons</t>
  </si>
  <si>
    <t>Retrieved January 2024
1 barrel of biodiesel = 42 gallons</t>
  </si>
  <si>
    <t xml:space="preserve">Number of Biodiesel stations </t>
  </si>
  <si>
    <t xml:space="preserve">Price Per Gallon of Biodiesel (dollar per gallon) </t>
  </si>
  <si>
    <t>Price Per Gallon of B99/100 (dollar per gge)</t>
  </si>
  <si>
    <t>AFDC</t>
  </si>
  <si>
    <t>Price Per Gallon of B20 (dollar per gge)</t>
  </si>
  <si>
    <t xml:space="preserve">Price Per Gallon of Diesel (dollar per gge) </t>
  </si>
  <si>
    <t>Average Soy Price (dollar per metric tons)</t>
  </si>
  <si>
    <t>https://www.ers.usda.gov/data-products/oil-crops-yearbook/oil-crops-yearbook/</t>
  </si>
  <si>
    <t>Retrieved February 2024
1 bushel of soy=0.027 metric tons</t>
  </si>
  <si>
    <t>Number of direct jobs working with biodiesel production</t>
  </si>
  <si>
    <t>IRENA</t>
  </si>
  <si>
    <t>https://www.irena.org/publicationsearch?keywords=jobs%20annual%20review</t>
  </si>
  <si>
    <t>ANIMAL FATS AND RECYCLED GREASES</t>
  </si>
  <si>
    <t>Production</t>
  </si>
  <si>
    <t>Poultry Fat (Thousand metric tons)</t>
  </si>
  <si>
    <t>Render Magazine</t>
  </si>
  <si>
    <t>Tallow (Thousand metric tons)</t>
  </si>
  <si>
    <t>White Grease (Thousand metric tons)</t>
  </si>
  <si>
    <t>Yellow Grease (Thousand metric tons)</t>
  </si>
  <si>
    <t>https://rendermagazine.com/wp-content/uploads/2019/07/Render_Apr19.pdf</t>
  </si>
  <si>
    <t>Other fats (Thousand metric tons)</t>
  </si>
  <si>
    <t>Consumption for Feed &amp; Food</t>
  </si>
  <si>
    <t>https://pubs.rendermagazine.com/2023-04/#p=18</t>
  </si>
  <si>
    <t>TOTAL (Thousand metric tons)</t>
  </si>
  <si>
    <t>Calculation</t>
  </si>
  <si>
    <t>Consumtpion for Biofuels</t>
  </si>
  <si>
    <t>Poultry Going to Biodiesel (Thousand metric tons)</t>
  </si>
  <si>
    <r>
      <rPr>
        <u/>
        <sz val="11"/>
        <color rgb="FF0563C1"/>
        <rFont val="Calibri"/>
        <family val="2"/>
      </rPr>
      <t>https://www.eia.gov/biofuels/biodiesel/production/archive/2020/2020_09/table3.pdf</t>
    </r>
    <r>
      <rPr>
        <u/>
        <sz val="11"/>
        <color rgb="FF000000"/>
        <rFont val="Calibri"/>
        <family val="2"/>
      </rPr>
      <t xml:space="preserve"> Monthly Issues can be found here: </t>
    </r>
    <r>
      <rPr>
        <u/>
        <sz val="11"/>
        <color rgb="FF1155CC"/>
        <rFont val="Calibri"/>
        <family val="2"/>
      </rPr>
      <t>https://www.eia.gov/biofuels/update/</t>
    </r>
  </si>
  <si>
    <t>Retrieved January 2024
1 metric ton = 2,204.622 pounds</t>
  </si>
  <si>
    <t>Tallow Going to Biodiesel (Thousand metric tons)</t>
  </si>
  <si>
    <t>https://www.eia.gov/biofuels/biodiesel/production/archive/2020/2020_09/table3.pdf</t>
  </si>
  <si>
    <t>White Grease Going to Biodiesel (Thousand metric tons)</t>
  </si>
  <si>
    <t>Yellow Grease to Biodiesel (Thousand metric tons)</t>
  </si>
  <si>
    <t>Other fats Going to Biodiesel (Thousand metric tons)</t>
  </si>
  <si>
    <t>W</t>
  </si>
  <si>
    <t>Exports</t>
  </si>
  <si>
    <t>Imports</t>
  </si>
  <si>
    <t>Percent into Biodiesel</t>
  </si>
  <si>
    <t>Poultry Fat (%)</t>
  </si>
  <si>
    <t>Tallow (%)</t>
  </si>
  <si>
    <t>White Grease (%)</t>
  </si>
  <si>
    <t>Yellow Grease (%)</t>
  </si>
  <si>
    <t>Price</t>
  </si>
  <si>
    <t>Poultry Fat (dollar per metric ton)</t>
  </si>
  <si>
    <t>Tallow (dollar per metric ton)</t>
  </si>
  <si>
    <t>White Grease (dollar per metric ton)</t>
  </si>
  <si>
    <t>Yellow Grease (dollar per metric ton)</t>
  </si>
  <si>
    <t>RENEWABLE DIESEL</t>
  </si>
  <si>
    <t xml:space="preserve">Number of Renewable Diesel Plants </t>
  </si>
  <si>
    <t>https://www.eia.gov/biofuels/renewable/capacity/</t>
  </si>
  <si>
    <t>Number of States which have Renewable Diesel Plants in the United States</t>
  </si>
  <si>
    <t>Renewable Diesel plant capacities (billion gallons)</t>
  </si>
  <si>
    <t>Total Production of Renewable diesel in the US (million gallons)</t>
  </si>
  <si>
    <t>Total Consumption of Renewable diesel in the US (million gallons)</t>
  </si>
  <si>
    <t>Total Volume of Renewable diesel Exported from the US (million gallons)</t>
  </si>
  <si>
    <t>https://www.eia.gov/dnav/pet/pet_move_neti_a_EP00_IMN_mbblpd_m.htm</t>
  </si>
  <si>
    <t>Total Volume of Renewable diesel Imported into the US (million gallons)</t>
  </si>
  <si>
    <t>https://www.eia.gov/dnav/pet/pet_move_impcus_a2_nus_EPOORDO_im0_mbbl_a.htm</t>
  </si>
  <si>
    <t xml:space="preserve"> </t>
  </si>
  <si>
    <t>RENEWABLE JET FUEL</t>
  </si>
  <si>
    <t>https://www.gao.gov/products/gao-23-105300</t>
  </si>
  <si>
    <t>Retrieved January 2024 1L = 0.26172 gallon</t>
  </si>
  <si>
    <t>Airline off-take agreement (thousand gallons)</t>
  </si>
  <si>
    <t>ICAO</t>
  </si>
  <si>
    <t>https://www.icao.int/environmental-protection/GFAAF/Pages/Offtake-Agreements.aspx#InplviewHashef347ce3-9fcc-4b72-be6a-207e60680777=ShowInGrid%3DTrue</t>
  </si>
  <si>
    <t>Retrieved December 2023 1 liter = 0.26172 gallons</t>
  </si>
  <si>
    <t>Number of Eligible Producers</t>
  </si>
  <si>
    <t>https://www.icao.int/environmental-protection/GFAAF/Pages/Production-Facilities.aspx</t>
  </si>
  <si>
    <t>Number of Facilities in Service</t>
  </si>
  <si>
    <t>4AIR</t>
  </si>
  <si>
    <t>Where to find Sustainable Aviation Fuel — 4AIR</t>
  </si>
  <si>
    <t>Number of States with SAF available at airports</t>
  </si>
  <si>
    <t>WOOD PELLETS</t>
  </si>
  <si>
    <t>Total Operational Capacity of Pellet Mill Facilities (million metric tons)</t>
  </si>
  <si>
    <t>Biomass Industry Directory</t>
  </si>
  <si>
    <t>Biomass Industry Directory, published by BBI International</t>
  </si>
  <si>
    <t>Number of WP Plants in the United States</t>
  </si>
  <si>
    <t>Number of Proposed WP Plants</t>
  </si>
  <si>
    <t>Number of Existing Plants that Were Put on Standby</t>
  </si>
  <si>
    <t>Number of States which have an WP Production Facility </t>
  </si>
  <si>
    <t>PRODUCTION + CONSUMPTION</t>
  </si>
  <si>
    <t>Wood pellets Production (million metric tons)</t>
  </si>
  <si>
    <t>FAOSTAT</t>
  </si>
  <si>
    <t>http://www.fao.org/faostat/en/#data/FO</t>
  </si>
  <si>
    <t>Wood pellets Exports (million metric tons)</t>
  </si>
  <si>
    <t>Wood pellets Consumption (million metric tons)</t>
  </si>
  <si>
    <t>Estimation</t>
  </si>
  <si>
    <t>Electricity Net Generation from Wood (trillion BTUs)</t>
  </si>
  <si>
    <t>Retrieved January 2024
1 kwh= 3412.14 BTUs</t>
  </si>
  <si>
    <t xml:space="preserve">     Industrial Sector</t>
  </si>
  <si>
    <t xml:space="preserve">     Electric Power Sector</t>
  </si>
  <si>
    <t>Heating from Wood in the US (trillion BTUs)</t>
  </si>
  <si>
    <t>Energy Consumption from Wood in US (trillion BTUs)</t>
  </si>
  <si>
    <t xml:space="preserve">     Residential Sector</t>
  </si>
  <si>
    <t xml:space="preserve">     Commercial Sector</t>
  </si>
  <si>
    <t>Wood pellet production worldwide (million metric tons)</t>
  </si>
  <si>
    <t>Hawkins Wright; REN21; FAO</t>
  </si>
  <si>
    <t>[2010-2011] http://task32.ieabioenergy.com/wp-content/uploads/2017/03/03-Fiona_Matthews.pdf
[2012-2018] http://www.fao.org/faostat/en/#data/FO</t>
  </si>
  <si>
    <t>Average Annual Densified Biomass Capacity (million metric tons)</t>
  </si>
  <si>
    <t>http://www.eia.gov/biofuels/biomass/</t>
  </si>
  <si>
    <t>Wood Pellets Exported from US (in million $)</t>
  </si>
  <si>
    <t>Wood Pellets Imported from US (in million $)</t>
  </si>
  <si>
    <t>Total Jobs Created in the Wood Pellet Industry</t>
  </si>
  <si>
    <t>NAICS</t>
  </si>
  <si>
    <t>https://data.bls.gov/cew/apps/data_views/data_views.htm#tab=Tables</t>
  </si>
  <si>
    <t>WASTE TO ENERGY</t>
  </si>
  <si>
    <t>Number of WTE Plants in the United States</t>
  </si>
  <si>
    <t>https://www.eia.gov/electricity/data/eia860m/</t>
  </si>
  <si>
    <t>Number of WTE Plants Proposed in US</t>
  </si>
  <si>
    <t>Number of WTE Existing Plants that Were Put on Standby</t>
  </si>
  <si>
    <t>Number of WTE Existing Plants that Were Closed-Shut Down</t>
  </si>
  <si>
    <t>Number of WTE Fuel Switching Plants in US</t>
  </si>
  <si>
    <t>Number of States which have an WTE Fuel Switching Production Facility </t>
  </si>
  <si>
    <t>Municipal solid waste generation in the United States (million metric tons)</t>
  </si>
  <si>
    <r>
      <rPr>
        <sz val="11"/>
        <color rgb="FF0563C1"/>
        <rFont val="Calibri"/>
        <family val="2"/>
      </rPr>
      <t>[2010-2018]</t>
    </r>
    <r>
      <rPr>
        <u/>
        <sz val="11"/>
        <color rgb="FF0563C1"/>
        <rFont val="Calibri"/>
        <family val="2"/>
      </rPr>
      <t>https://www.epa.gov/facts-and-figures-about-materials-waste-and-recycling/advancing-sustainable-materials-management</t>
    </r>
  </si>
  <si>
    <t>Retrieved February 2024
1  ton = 0.9072 metric tons</t>
  </si>
  <si>
    <t xml:space="preserve">     Recycled and composted</t>
  </si>
  <si>
    <t>[2010-2018]https://www.epa.gov/facts-and-figures-about-materials-waste-and-recycling/advancing-sustainable-materials-management</t>
  </si>
  <si>
    <t xml:space="preserve">     Combusted with Energy recovery</t>
  </si>
  <si>
    <t xml:space="preserve">     Landfilled</t>
  </si>
  <si>
    <t>Biogenic Municipal Solid Waste: Consumption for Electricity Generation (million metric tons)</t>
  </si>
  <si>
    <t>http://www.eia.gov/electricity/annual/html/epa_05_07_a.html</t>
  </si>
  <si>
    <t>Biogenic Municipal Solid Waste: Consumption for Heating Generation (million metric tons)</t>
  </si>
  <si>
    <t>http://www.eia.gov/electricity/annual/html/epa_05_07_b.html</t>
  </si>
  <si>
    <t>Biogenic Municipal Solid Waste: Consumption for Energy Generation (million metric tons)</t>
  </si>
  <si>
    <t>http://www.eia.gov/electricity/annual/html/epa_05_07_c.html</t>
  </si>
  <si>
    <t xml:space="preserve">     Electric utilities</t>
  </si>
  <si>
    <t xml:space="preserve">     Independent power producers</t>
  </si>
  <si>
    <t xml:space="preserve">     Commercial sector</t>
  </si>
  <si>
    <t>Biogenic Municipal Solid Waste: Consumption for Electricity Generation (Trillion BTUs)</t>
  </si>
  <si>
    <t>http://www.eia.gov/electricity/annual/html/epa_05_07_d.html</t>
  </si>
  <si>
    <t>Biogenic Municipal Solid Waste: Consumption for Heating Generation (Trillion BTUs)</t>
  </si>
  <si>
    <t>http://www.eia.gov/electricity/annual/html/epa_05_07_e.html</t>
  </si>
  <si>
    <t>Biogenic Municipal Solid Waste: Consumption for Energy Generation (Trillion BTUs)</t>
  </si>
  <si>
    <t>http://www.eia.gov/electricity/annual/html/epa_05_07_f.html</t>
  </si>
  <si>
    <t>Revenue from waste electricity generation in the U.S. (million dollars)</t>
  </si>
  <si>
    <t>AEE</t>
  </si>
  <si>
    <t>https://info.aee.net/hubfs/Market%20Report%202019/AEN%202019%20Market%20Report.pdf</t>
  </si>
  <si>
    <t>Jobs in WTE Facilities</t>
  </si>
  <si>
    <t>ERC</t>
  </si>
  <si>
    <r>
      <rPr>
        <sz val="11"/>
        <color theme="10"/>
        <rFont val="Calibri"/>
        <family val="2"/>
      </rPr>
      <t>[domain expired]</t>
    </r>
    <r>
      <rPr>
        <u/>
        <sz val="11"/>
        <color rgb="FF0563C1"/>
        <rFont val="Calibri"/>
        <family val="2"/>
      </rPr>
      <t>http://energyrecoverycouncil.org/wp-content/uploads/2019/10/ERC-2018-directory.pdf</t>
    </r>
  </si>
  <si>
    <t>Total jobs (direct, indirect, and induced) created by WTE</t>
  </si>
  <si>
    <r>
      <rPr>
        <sz val="11"/>
        <color theme="10"/>
        <rFont val="Calibri"/>
        <family val="2"/>
      </rPr>
      <t>[domain expired]</t>
    </r>
    <r>
      <rPr>
        <u/>
        <sz val="11"/>
        <color rgb="FF0563C1"/>
        <rFont val="Calibri"/>
        <family val="2"/>
      </rPr>
      <t>http://energyrecoverycouncil.org/wp-content/uploads/2019/10/ERC-2018-directory.pdf</t>
    </r>
  </si>
  <si>
    <t>Total Economic output by WTE (million dollars)</t>
  </si>
  <si>
    <r>
      <rPr>
        <sz val="11"/>
        <color theme="10"/>
        <rFont val="Calibri"/>
        <family val="2"/>
      </rPr>
      <t>[domain expired]</t>
    </r>
    <r>
      <rPr>
        <u/>
        <sz val="11"/>
        <color rgb="FF0563C1"/>
        <rFont val="Calibri"/>
        <family val="2"/>
      </rPr>
      <t>http://energyrecoverycouncil.org/wp-content/uploads/2019/10/ERC-2018-directory.pdf</t>
    </r>
  </si>
  <si>
    <t>BIOGAS</t>
  </si>
  <si>
    <t>Number of anaerobic digestion (AD) Plants</t>
  </si>
  <si>
    <t>https://www.epa.gov/agstar/livestock-anaerobic-digester-database</t>
  </si>
  <si>
    <t xml:space="preserve">     Used for Electricity</t>
  </si>
  <si>
    <t xml:space="preserve">     Used for Boiler/Furnace</t>
  </si>
  <si>
    <t xml:space="preserve">     Used for "Flare Full Time"</t>
  </si>
  <si>
    <t xml:space="preserve">     Used for Cogeneration</t>
  </si>
  <si>
    <t xml:space="preserve">Number of Existing AD Plants Under Construction </t>
  </si>
  <si>
    <t>Number of New AD Plants that Went online from livestock</t>
  </si>
  <si>
    <t>Number of AD Plants that Shut Down</t>
  </si>
  <si>
    <t>Number of States which have an AD Production Facility </t>
  </si>
  <si>
    <t>Number of landfill Plants</t>
  </si>
  <si>
    <t xml:space="preserve">[2010-2019] https://www.epa.gov/lmop/landfill-technical-data
[2020-2021] https://www.epa.gov/lmop/landfill-gas-energy-project-data </t>
  </si>
  <si>
    <t>Number of States which have a landfill Facility </t>
  </si>
  <si>
    <r>
      <rPr>
        <u/>
        <sz val="11"/>
        <color theme="10"/>
        <rFont val="Calibri"/>
        <family val="2"/>
      </rPr>
      <t xml:space="preserve">[2010-2019] </t>
    </r>
    <r>
      <rPr>
        <u/>
        <sz val="11"/>
        <color theme="10"/>
        <rFont val="Calibri"/>
        <family val="2"/>
      </rPr>
      <t xml:space="preserve">https://www.epa.gov/lmop/landfill-technical-data
</t>
    </r>
    <r>
      <rPr>
        <u/>
        <sz val="11"/>
        <color theme="10"/>
        <rFont val="Calibri"/>
        <family val="2"/>
      </rPr>
      <t xml:space="preserve">[2020-2021] </t>
    </r>
    <r>
      <rPr>
        <u/>
        <sz val="11"/>
        <color theme="10"/>
        <rFont val="Calibri"/>
        <family val="2"/>
      </rPr>
      <t xml:space="preserve">https://www.epa.gov/lmop/landfill-gas-energy-project-data </t>
    </r>
  </si>
  <si>
    <t xml:space="preserve">PRODUCTION </t>
  </si>
  <si>
    <t>Biogas potential from landfills (billion cubic feet)</t>
  </si>
  <si>
    <t>Biogas potential from wastewater (billion cubic feet)</t>
  </si>
  <si>
    <t>American biogas Council</t>
  </si>
  <si>
    <t>[2018] https://americanbiogascouncil.org/biogas-market-snapshot/
[2020] https://americanbiogascouncil.org/resources/state-profiles/</t>
  </si>
  <si>
    <t>Biogas potential from animal manure (billion cubic feet)</t>
  </si>
  <si>
    <r>
      <rPr>
        <u/>
        <sz val="11"/>
        <color theme="10"/>
        <rFont val="Calibri"/>
        <family val="2"/>
      </rPr>
      <t xml:space="preserve">[2018] </t>
    </r>
    <r>
      <rPr>
        <u/>
        <sz val="11"/>
        <color theme="10"/>
        <rFont val="Calibri"/>
        <family val="2"/>
      </rPr>
      <t xml:space="preserve">https://americanbiogascouncil.org/biogas-market-snapshot/
</t>
    </r>
    <r>
      <rPr>
        <u/>
        <sz val="11"/>
        <color theme="10"/>
        <rFont val="Calibri"/>
        <family val="2"/>
      </rPr>
      <t xml:space="preserve">[2020] </t>
    </r>
    <r>
      <rPr>
        <u/>
        <sz val="11"/>
        <color theme="10"/>
        <rFont val="Calibri"/>
        <family val="2"/>
      </rPr>
      <t>https://americanbiogascouncil.org/resources/state-profiles/</t>
    </r>
  </si>
  <si>
    <t>Anaerobic digestion: Biogas generated (trillion BTU)</t>
  </si>
  <si>
    <t>Retrieved February 2024
1 kwh = 3412 BTUs</t>
  </si>
  <si>
    <t>Anaerobic digestion: Biogas generated (billion cubic feet)</t>
  </si>
  <si>
    <t>Anaerobic digestion: Total Methane Emission Reductions (million metric tons of CO2)</t>
  </si>
  <si>
    <t>Agriculture: total methane emissions (million metric tons of CO2)</t>
  </si>
  <si>
    <t>https://www3.epa.gov/climatechange/ghgemissions/inventoryexplorer/index.html#iallsectors/methane/inventsect/all</t>
  </si>
  <si>
    <t>Landfill gas: energy consumption (trillion BTU)</t>
  </si>
  <si>
    <t>https://www.eia.gov/electricity/annual/html/epa_05_06_f.html</t>
  </si>
  <si>
    <t>Landfill gas: energy consumption (billion cubic feet)</t>
  </si>
  <si>
    <t>https://www.eia.gov/electricity/annual/html/epa_05_06_c.html</t>
  </si>
  <si>
    <t>Landfill gas: Total Methane Emission Reductions (million metric tons of CO2)</t>
  </si>
  <si>
    <t>https://www.epa.gov/lmop/landfill-technical-data</t>
  </si>
  <si>
    <t>Waste: total methane emissions (million metric tons of CO2)</t>
  </si>
  <si>
    <t>ECONOMICS IN THEORY</t>
  </si>
  <si>
    <t>In theory, if 11,000 biogas systems made it would generate:</t>
  </si>
  <si>
    <t>Short Term Construction Jobs</t>
  </si>
  <si>
    <t>[2014] https://19january2017snapshot.epa.gov/sites/production/files/2015-12/documents/biogas-roadmap.pdf 
[2020] https://americanbiogascouncil.org/resources/state-profiles/</t>
  </si>
  <si>
    <t>Permanent Jobs</t>
  </si>
  <si>
    <t>In theory, if  2,647 dairy operations were installed it would have a market potential of (billion dollars):</t>
  </si>
  <si>
    <t>https://19january2017snapshot.epa.gov/sites/production/files/2015-12/documents/biogas-roadmap.pdf</t>
  </si>
  <si>
    <t>BIOPRODUCTS SUMMARY</t>
  </si>
  <si>
    <t>USDA BIOPREFFERED PROGRAM</t>
  </si>
  <si>
    <t>Source  Name</t>
  </si>
  <si>
    <t>Source  URL</t>
  </si>
  <si>
    <t xml:space="preserve">USDA BioPreferred product certifications </t>
  </si>
  <si>
    <t>Retrieved April 2021</t>
  </si>
  <si>
    <t>Baby and Kids</t>
  </si>
  <si>
    <t>Construction</t>
  </si>
  <si>
    <t>Custodial Services</t>
  </si>
  <si>
    <t>Films and Packaging</t>
  </si>
  <si>
    <t>Food Services/Cafeteria</t>
  </si>
  <si>
    <t>Grounds Maintenance</t>
  </si>
  <si>
    <t>Household Supplies</t>
  </si>
  <si>
    <t>Intermediates</t>
  </si>
  <si>
    <t>Miscellaneous</t>
  </si>
  <si>
    <t>Office Supplies</t>
  </si>
  <si>
    <t>Operations and Maintenance</t>
  </si>
  <si>
    <t>Personal Care and Toiletries</t>
  </si>
  <si>
    <t>Safety Equipment</t>
  </si>
  <si>
    <t>Vehicles and Equipment Maintenance</t>
  </si>
  <si>
    <t xml:space="preserve">       </t>
  </si>
  <si>
    <t xml:space="preserve">   </t>
  </si>
  <si>
    <t>PLASTICS</t>
  </si>
  <si>
    <t>US/GLOBAL PLASTICS</t>
  </si>
  <si>
    <t>U.S. Plastic and Rubber Products Value Added (billion dollars)</t>
  </si>
  <si>
    <t>Bureau of Economic Analysis</t>
  </si>
  <si>
    <t>https://apps.bea.gov/iTable/?reqid=19&amp;step=2&amp;isuri=1&amp;categories=survey&amp;_gl=1*1r7rqrk*_ga*MTM3MDkyNjc3LjE3MDg2OTk4NjU.*_ga_J4698JNNFT*MTcwODk1ODU4NC4yLjEuMTcwODk2MDEzMy42MC4wLjA.</t>
  </si>
  <si>
    <t>Value Added of Manufacturing US Plastic and Rubber Products as Percentage of GDP (%)</t>
  </si>
  <si>
    <t>https://www.bea.gov/iTable/iTable.cfm?ReqID=51&amp;step=1#reqid=51&amp;step=51&amp;isuri=1&amp;5114=a&amp;5102=5</t>
  </si>
  <si>
    <t>Gross Output of US Plastic and Rubber Products (billion dollars)</t>
  </si>
  <si>
    <t>Compensation of Employees, Value Added of Plastics and Rubber Products (billion dollars)</t>
  </si>
  <si>
    <t>https://apps.bea.gov/iTable/iTable.cfm?reqid=19&amp;step=2&amp;isuri=1&amp;1921=survey#</t>
  </si>
  <si>
    <t>Taxes on Production and Imports, Less Subsides of US Plastics and Rubber Products (billion dollars)</t>
  </si>
  <si>
    <t>Gross Operating Surplus of Plastics and Rubber Product Products (billion dollars)</t>
  </si>
  <si>
    <t>Full and Part Time Employees (thousands)</t>
  </si>
  <si>
    <t>https://apps.bea.gov/iTable/iTable.cfm?reqid=19&amp;step=2&amp;isuri=1&amp;1921=survey</t>
  </si>
  <si>
    <t>Global Plastic Production (million metric tons)</t>
  </si>
  <si>
    <t>Plastics Europe</t>
  </si>
  <si>
    <t>https://plasticseurope.org/resources/market-data/</t>
  </si>
  <si>
    <t>GLOBAL BIOPLASTIC</t>
  </si>
  <si>
    <t>Global production capacity of biodegradable bioplastics (million metric tons)</t>
  </si>
  <si>
    <t xml:space="preserve">European Plastics
Institute for bioplastics and biocomposites
Nova Institute for Ecology and Innovation </t>
  </si>
  <si>
    <r>
      <rPr>
        <u/>
        <sz val="11"/>
        <color rgb="FF0563C1"/>
        <rFont val="Calibri"/>
        <family val="2"/>
      </rPr>
      <t xml:space="preserve">[2008-2009] http://www.sustainableplant.com/2011/05/bioplastic-production-to-exceed-one-million-tonnes-in-2011/
[2010-2011] http://biomassmagazine.com/articles/9845/bioplastic-market-expected-to-increase-significantly-through-2017
[2012-2018] </t>
    </r>
    <r>
      <rPr>
        <u/>
        <sz val="11"/>
        <color rgb="FF1155CC"/>
        <rFont val="Calibri"/>
        <family val="2"/>
      </rPr>
      <t>http://www.bio-based.eu/market_study/media/files/15-05-13_Bio-based_Polymers_and_Building_Blocks_in_the_World-nova_Booklet.pdf</t>
    </r>
  </si>
  <si>
    <t>Global production capacity of non-biodegradable bioplastics (million metric tons)</t>
  </si>
  <si>
    <r>
      <rPr>
        <u/>
        <sz val="11"/>
        <color theme="10"/>
        <rFont val="Calibri"/>
        <family val="2"/>
      </rPr>
      <t>[2008-2009]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Calibri"/>
        <family val="2"/>
      </rPr>
      <t xml:space="preserve">http://www.sustainableplant.com/2011/05/bioplastic-production-to-exceed-one-million-tonnes-in-2011/
</t>
    </r>
    <r>
      <rPr>
        <u/>
        <sz val="11"/>
        <color theme="10"/>
        <rFont val="Calibri"/>
        <family val="2"/>
      </rPr>
      <t>[2010-2011]</t>
    </r>
    <r>
      <rPr>
        <u/>
        <sz val="11"/>
        <color theme="10"/>
        <rFont val="Calibri"/>
        <family val="2"/>
      </rPr>
      <t xml:space="preserve"> http://biomassmagazine.com/articles/9845/bioplastic-market-expected-to-increase-significantly-through-2017
</t>
    </r>
    <r>
      <rPr>
        <u/>
        <sz val="11"/>
        <color theme="10"/>
        <rFont val="Calibri"/>
        <family val="2"/>
      </rPr>
      <t>[2012-2018]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</t>
    </r>
  </si>
  <si>
    <t>Global production capacities of biodegradable and non-biodegradable bioplastics (million metric tons)</t>
  </si>
  <si>
    <r>
      <rPr>
        <u/>
        <sz val="11"/>
        <color theme="10"/>
        <rFont val="Calibri"/>
        <family val="2"/>
      </rPr>
      <t>[2008-2009]</t>
    </r>
    <r>
      <rPr>
        <u/>
        <sz val="11"/>
        <color theme="10"/>
        <rFont val="Calibri"/>
        <family val="2"/>
      </rPr>
      <t xml:space="preserve"> </t>
    </r>
    <r>
      <rPr>
        <u/>
        <sz val="11"/>
        <color theme="10"/>
        <rFont val="Calibri"/>
        <family val="2"/>
      </rPr>
      <t xml:space="preserve">http://www.sustainableplant.com/2011/05/bioplastic-production-to-exceed-one-million-tonnes-in-2011/
</t>
    </r>
    <r>
      <rPr>
        <u/>
        <sz val="11"/>
        <color theme="10"/>
        <rFont val="Calibri"/>
        <family val="2"/>
      </rPr>
      <t>[2010-2011]</t>
    </r>
    <r>
      <rPr>
        <u/>
        <sz val="11"/>
        <color theme="10"/>
        <rFont val="Calibri"/>
        <family val="2"/>
      </rPr>
      <t xml:space="preserve"> http://biomassmagazine.com/articles/9845/bioplastic-market-expected-to-increase-significantly-through-2017
</t>
    </r>
    <r>
      <rPr>
        <u/>
        <sz val="11"/>
        <color theme="10"/>
        <rFont val="Calibri"/>
        <family val="2"/>
      </rPr>
      <t>[2012-2018]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</si>
  <si>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</si>
  <si>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</si>
  <si>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</si>
  <si>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</si>
  <si>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</si>
  <si>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</si>
  <si>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r>
      <rPr>
        <u/>
        <sz val="11"/>
        <color theme="10"/>
        <rFont val="Calibri"/>
        <family val="2"/>
      </rPr>
      <t>[2013/2018]</t>
    </r>
    <r>
      <rPr>
        <u/>
        <sz val="11"/>
        <color theme="10"/>
        <rFont val="Calibri"/>
        <family val="2"/>
      </rPr>
      <t xml:space="preserve"> http://www.bio-based.eu/market_study/media/files/15-05-13_Bio-based_Polymers_and_Building_Blocks_in_the_World-nova_Booklet.pdf
</t>
    </r>
    <r>
      <rPr>
        <u/>
        <sz val="11"/>
        <color theme="10"/>
        <rFont val="Calibri"/>
        <family val="2"/>
      </rPr>
      <t>[2014]</t>
    </r>
    <r>
      <rPr>
        <u/>
        <sz val="11"/>
        <color theme="10"/>
        <rFont val="Calibri"/>
        <family val="2"/>
      </rPr>
      <t xml:space="preserve"> https://www.kunststoffe.de/en/news/overview/artikel/global-bioplastics-production-capacities-continue-to-grow-1253170.html
</t>
    </r>
    <r>
      <rPr>
        <u/>
        <sz val="11"/>
        <color theme="10"/>
        <rFont val="Calibri"/>
        <family val="2"/>
      </rPr>
      <t>[2016]</t>
    </r>
    <r>
      <rPr>
        <u/>
        <sz val="11"/>
        <color theme="10"/>
        <rFont val="Calibri"/>
        <family val="2"/>
      </rPr>
      <t xml:space="preserve"> https://www.ifbb-hannover.de/de/facts-and-statistics.html
</t>
    </r>
    <r>
      <rPr>
        <u/>
        <sz val="11"/>
        <color theme="10"/>
        <rFont val="Calibri"/>
        <family val="2"/>
      </rPr>
      <t>[2017]</t>
    </r>
    <r>
      <rPr>
        <u/>
        <sz val="11"/>
        <color theme="10"/>
        <rFont val="Calibri"/>
        <family val="2"/>
      </rPr>
      <t xml:space="preserve"> http://docs.european-bioplastics.org/publications/EUBP_Facts_and_figures.pdf</t>
    </r>
  </si>
  <si>
    <t>Percentage of Bioplastic in Total Global Plastic Consumption</t>
  </si>
  <si>
    <t>Land Used for Bioplastics (million ha)</t>
  </si>
  <si>
    <t>Institute for bioplastics and biocomposites</t>
  </si>
  <si>
    <t>https://docs.european-bioplastics.org/publications/EUBP_Facts_and_figures.pdf</t>
  </si>
  <si>
    <t>Land Used for Bioplastics/Total Amount of Arable Land (%)</t>
  </si>
  <si>
    <t xml:space="preserve">GLOBAL BIO-BASED STRUCTURAL POLYMERS </t>
  </si>
  <si>
    <t>Total Production Capacity</t>
  </si>
  <si>
    <t xml:space="preserve">Nova Institute for Ecology and Innovation </t>
  </si>
  <si>
    <t>Starch Blends (%)</t>
  </si>
  <si>
    <t>Polylactic Acid (PLA) (%)</t>
  </si>
  <si>
    <t>Poly (butylene adipate-co-terephthalate) (PBAT) (%)</t>
  </si>
  <si>
    <t>Polyethylene (PE) (%)</t>
  </si>
  <si>
    <t>Polyamides (PA) (%)</t>
  </si>
  <si>
    <t>Polyethylene Terephthalate (PET) (%)</t>
  </si>
  <si>
    <t>Polytrimethylene Terephthalate (PTT) (%)</t>
  </si>
  <si>
    <t>Polybutylene Succinate (PBS) (%)</t>
  </si>
  <si>
    <t>Other (%)</t>
  </si>
  <si>
    <t>Polyhydroxyalkanoates (PHA) (%)</t>
  </si>
  <si>
    <t>Polyproprylene (PP) (%)</t>
  </si>
  <si>
    <t>ENZYMES</t>
  </si>
  <si>
    <t>GLOBAL</t>
  </si>
  <si>
    <t>Global Industrial Enzyme Market (billion dollars)
By market:</t>
  </si>
  <si>
    <t>BBC Research</t>
  </si>
  <si>
    <t>https://www.bccresearch.com/market-research/biotechnology/global-markets-for-enzymes-in-industrial-applications.html</t>
  </si>
  <si>
    <t>* Food (billion dollars)</t>
  </si>
  <si>
    <t>“Global Markets for Enzymes in Industrial Applications.” BCC Research (September 2018)</t>
  </si>
  <si>
    <t>Retrieved June 2020</t>
  </si>
  <si>
    <t>* Feed (billion dollars)</t>
  </si>
  <si>
    <t>* Technical (billion dollars)</t>
  </si>
  <si>
    <t>* Biofuel (billion dollars)</t>
  </si>
  <si>
    <t>* Other (billion dollars)</t>
  </si>
  <si>
    <t>* Detergent (billion dollars)</t>
  </si>
  <si>
    <t>APPAREL AND TEXTILES</t>
  </si>
  <si>
    <t>US TEXTILE MILLS AND TEXTILE PRODUCT MILLS (NAICS)</t>
  </si>
  <si>
    <t>U.S. Textile Mills and Textile Product Mills Value Added (billion dollars)</t>
  </si>
  <si>
    <t>https://apps.bea.gov/iTable/?reqid=150&amp;step=2&amp;isuri=1&amp;categories=gdpxind&amp;_gl=1*14rxqpt*_ga*MTM3MDkyNjc3LjE3MDg2OTk4NjU.*_ga_J4698JNNFT*MTcwODk1ODU4NC4yLjEuMTcwODk2MjUwMS42MC4wLjA.#eyJhcHBpZCI6MTUwLCJzdGVwcyI6WzEsMiwzXSwiZGF0YSI6W1siY2F0ZWdvcmllcyIsIkdkcHhJbmQiXSxbIlRhYmxlX0xpc3QiLCIxNSJdXX0=</t>
  </si>
  <si>
    <t>Accessed April 2024</t>
  </si>
  <si>
    <t>Value Added of Manufacturing US Textile Mills and Textile Product Mills as a Percentage of GDP (%)</t>
  </si>
  <si>
    <t>Gross Output of US Textile Mills and Textile Product Mills (billion dollars)</t>
  </si>
  <si>
    <t>Compensation of Employees, Value Added of Textile Mills &amp; Textile Product Mills (billion dollars)</t>
  </si>
  <si>
    <t>Taxes of Production and Imports, Less Subsides of US Textile Mills &amp; Textile Product Mills (billion dollars)</t>
  </si>
  <si>
    <t>Gross Operating Surplus of Textile Mills &amp; Textile Product Mills Products (billion dollars)</t>
  </si>
  <si>
    <t>US APPAREL AND LEATHER AND ALLIED PRODUCTS (NAICS)</t>
  </si>
  <si>
    <t>Apparel and Leather and Allied Products Value Added (billion dollars)</t>
  </si>
  <si>
    <t>Valued Added of Manufacturing US Apparel and Leather and Allied Products as a Percentage of GDP (%)</t>
  </si>
  <si>
    <t>Gross Output of US Apparel and Leather and Allied Products  (billion dollars)</t>
  </si>
  <si>
    <t>Compensation of Employees, Value Added of Apparel and Leather and Allied Products (billion dollars)</t>
  </si>
  <si>
    <t>Taxes of Production and Imports, Less Subsides of US Apparel and Leather and Allied Products (billion dollars)</t>
  </si>
  <si>
    <t>Gross Operating Surplus of Apparel and Leather and Allied Products Products (billion dollars)</t>
  </si>
  <si>
    <t>FOREST PRODUCTS</t>
  </si>
  <si>
    <t>US WOOD PRODUCTS (NAICS)</t>
  </si>
  <si>
    <t>U.S. Wood Products Real Value Added (billion dollars)</t>
  </si>
  <si>
    <t>Value Added of Manufacturing US Wood Products as Percentage of GDP (%)</t>
  </si>
  <si>
    <t>Gross Output of US Wood Products (billion dollars)</t>
  </si>
  <si>
    <t>Compensation of Employees, Value Added of Wood Products (billion dollars)</t>
  </si>
  <si>
    <r>
      <rPr>
        <sz val="11"/>
        <color rgb="FF0563C1"/>
        <rFont val="Calibri"/>
        <family val="2"/>
      </rPr>
      <t xml:space="preserve">[Table 6.2D]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</si>
  <si>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t>Taxes of Production and Imports, Less Subsides of US Wood Products (billion dollars)</t>
  </si>
  <si>
    <t>https://apps.bea.gov/iTable/?reqid=150&amp;step=2&amp;isuri=1&amp;categories=gdpxind&amp;_gl=1*14rxqpt*_ga*MTM3MDkyNjc3LjE3MDg2OTk4NjU.*_ga_J4698JNNFT*MTcwODk1ODU4NC4yLjEuMTcwODk2MjUwMS42MC4wLjA.#eyJhcHBpZCI6MTUwLCJzdGVwcyI6WzEsMl0sImRhdGEiOltbImNhdGVnb3JpZXMiLCJDb21wQnlJbmQiXV19</t>
  </si>
  <si>
    <t>Gross Operating Surplus of Wood Products (billion dollars)</t>
  </si>
  <si>
    <r>
      <rPr>
        <sz val="11"/>
        <color theme="10"/>
        <rFont val="Calibri"/>
        <family val="2"/>
      </rPr>
      <t xml:space="preserve">[6.4D]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</si>
  <si>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t>US PAPER PRODUCTS (NAICS)</t>
  </si>
  <si>
    <t>U.S. Paper Products Value Added (billion dollars)</t>
  </si>
  <si>
    <t>Value Added of Manufacturing US Paper Products as Percentage of GDP (%)</t>
  </si>
  <si>
    <t>Gross Output of US Paper Products (billion dollars)</t>
  </si>
  <si>
    <t>Compensation of Employees, Value Added of Paper Products (billion dollars)</t>
  </si>
  <si>
    <r>
      <rPr>
        <u/>
        <sz val="11"/>
        <color rgb="FF000000"/>
        <rFont val="Calibri"/>
        <family val="2"/>
      </rPr>
      <t xml:space="preserve">[6.2D]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</si>
  <si>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t>Taxes of Production and Imports, Less Subsides of US Paper Products (billion dollars)</t>
  </si>
  <si>
    <t>Gross Operating Surplus of Paper Products (billion dollars)</t>
  </si>
  <si>
    <r>
      <rPr>
        <u/>
        <sz val="11"/>
        <color rgb="FF000000"/>
        <rFont val="Calibri"/>
        <family val="2"/>
      </rPr>
      <t xml:space="preserve">[6.4D] </t>
    </r>
    <r>
      <rPr>
        <u/>
        <sz val="11"/>
        <color rgb="FF0563C1"/>
        <rFont val="Calibri"/>
        <family val="2"/>
      </rPr>
      <t>https://apps.bea.gov/iTable/?reqid=19&amp;step=2&amp;isuri=1&amp;categories=survey&amp;_gl=1*1r7rqrk*_ga*MTM3MDkyNjc3LjE3MDg2OTk4NjU.*_ga_J4698JNNFT*MTcwODk1ODU4NC4yLjEuMTcwODk2MDEzMy42MC4wLjA.</t>
    </r>
  </si>
  <si>
    <t>Wood fuel (million m3)</t>
  </si>
  <si>
    <t>Wood residues ( million m3)</t>
  </si>
  <si>
    <t>Roundwood  (million m3)</t>
  </si>
  <si>
    <t>Sawnwood (million m3)</t>
  </si>
  <si>
    <t>Wood-based panels (million m3)</t>
  </si>
  <si>
    <t>Wood fuel (million tonnes)</t>
  </si>
  <si>
    <t>Wood residues ( mililon tonnes)</t>
  </si>
  <si>
    <t>Roundwood  (million tonnes)</t>
  </si>
  <si>
    <t>Sawnwood (million tonnes)</t>
  </si>
  <si>
    <t>Wood-based panels (million tonnes)</t>
  </si>
  <si>
    <t>Wood pulp (million tonnes)</t>
  </si>
  <si>
    <t>Paper and paperboard (million tonnes)</t>
  </si>
  <si>
    <t>Wood pellets (million tonnes)</t>
  </si>
  <si>
    <t>Forest products Imports (billion dollars)</t>
  </si>
  <si>
    <t>Forest products Exports (billion dollars)</t>
  </si>
  <si>
    <t>FUNDING</t>
  </si>
  <si>
    <t>NIFA</t>
  </si>
  <si>
    <t>Keyword</t>
  </si>
  <si>
    <t>https://portal.nifa.usda.gov/enterprise-search/project_details</t>
  </si>
  <si>
    <t xml:space="preserve">Biodiesel </t>
  </si>
  <si>
    <t>Renewable diesel</t>
  </si>
  <si>
    <t>Sustainable aviation fuel</t>
  </si>
  <si>
    <t>Recycled greases</t>
  </si>
  <si>
    <t>Animal Fats</t>
  </si>
  <si>
    <t>Wood pellets</t>
  </si>
  <si>
    <t>Waste to energy</t>
  </si>
  <si>
    <t>Bioproducts</t>
  </si>
  <si>
    <t>Biochemicals</t>
  </si>
  <si>
    <t>Biofuels</t>
  </si>
  <si>
    <t>NSF</t>
  </si>
  <si>
    <t>https://www.nsf.gov/awardsearch/advancedSearch.jsp</t>
  </si>
  <si>
    <t>0-250K</t>
  </si>
  <si>
    <t>250K-500K</t>
  </si>
  <si>
    <t>500K-1M</t>
  </si>
  <si>
    <t>&gt;1M</t>
  </si>
  <si>
    <t>&lt;50K</t>
  </si>
  <si>
    <t>50K-100K</t>
  </si>
  <si>
    <t>100K-500K</t>
  </si>
  <si>
    <t>Amount awarded 2023 NIFA</t>
  </si>
  <si>
    <t>Amount awarded 2023 NSF</t>
  </si>
  <si>
    <t xml:space="preserve">2023 Top Exports </t>
  </si>
  <si>
    <t xml:space="preserve">2022 Top Exports </t>
  </si>
  <si>
    <t xml:space="preserve">2021 Top Exports </t>
  </si>
  <si>
    <t>million gallons</t>
  </si>
  <si>
    <t>million metric tons</t>
  </si>
  <si>
    <t>Poultry Fat</t>
  </si>
  <si>
    <t>metric tons</t>
  </si>
  <si>
    <t>Brazil</t>
  </si>
  <si>
    <t>Canada</t>
  </si>
  <si>
    <t>United Kingdom</t>
  </si>
  <si>
    <t>Netherlands</t>
  </si>
  <si>
    <t>Belgium</t>
  </si>
  <si>
    <t>Peru</t>
  </si>
  <si>
    <t>South Korea</t>
  </si>
  <si>
    <t>India</t>
  </si>
  <si>
    <t>Denmark</t>
  </si>
  <si>
    <t>Mexico</t>
  </si>
  <si>
    <t>Guatemala</t>
  </si>
  <si>
    <t>Norway</t>
  </si>
  <si>
    <t>China</t>
  </si>
  <si>
    <t>Singapore</t>
  </si>
  <si>
    <t>France</t>
  </si>
  <si>
    <t>Colombia</t>
  </si>
  <si>
    <t>Germany</t>
  </si>
  <si>
    <t>Dominican Republic</t>
  </si>
  <si>
    <t>Chile</t>
  </si>
  <si>
    <t>Inedible tallow</t>
  </si>
  <si>
    <t>Edible tallow</t>
  </si>
  <si>
    <t>Yellow grease</t>
  </si>
  <si>
    <t>White grease</t>
  </si>
  <si>
    <t>Ghana</t>
  </si>
  <si>
    <t>Honduras</t>
  </si>
  <si>
    <t>Japan</t>
  </si>
  <si>
    <t>*EU27</t>
  </si>
  <si>
    <t>Morocco</t>
  </si>
  <si>
    <t xml:space="preserve">Canada </t>
  </si>
  <si>
    <t>*EU27 =the 27 European Union countries after the UK left the EU, So EU28 = 76,665 + 77,345</t>
  </si>
  <si>
    <t xml:space="preserve">2023 Top Imports </t>
  </si>
  <si>
    <t xml:space="preserve">2022 Top Imports </t>
  </si>
  <si>
    <t xml:space="preserve">2021 Top Imports </t>
  </si>
  <si>
    <t>Thousand metric tons</t>
  </si>
  <si>
    <t>Viet Nam</t>
  </si>
  <si>
    <t>Spain</t>
  </si>
  <si>
    <t>Italy</t>
  </si>
  <si>
    <t>Ukraine</t>
  </si>
  <si>
    <t>Indonesia</t>
  </si>
  <si>
    <t>Trinidad and Tabago</t>
  </si>
  <si>
    <t>Ecuador</t>
  </si>
  <si>
    <t>https://pubs.rendermagazine.com/archives/2024/2024-04.pdf</t>
  </si>
  <si>
    <t>Retrieved April 2024</t>
  </si>
  <si>
    <t>Retrieved April 2024
1  ton = 0.9072 metric tons</t>
  </si>
  <si>
    <t>https://www.biopreferred.gov/BioPreferred/faces/catalog/Catalog.xhtml</t>
  </si>
  <si>
    <t>https://www.european-bioplastics.org/market/#</t>
  </si>
  <si>
    <t>https://www.trade.gov/data-visualization/tradestats-express-us-trade-product</t>
  </si>
  <si>
    <t>Total consumption of jet fuel major US Airlines (million gallons)</t>
  </si>
  <si>
    <t>Renewable Natural Gas</t>
  </si>
  <si>
    <t>Ag RNG projects</t>
  </si>
  <si>
    <t>https://www.epa.gov/lmop/renewable-natural-gas</t>
  </si>
  <si>
    <t>Retriaved May 8 2023</t>
  </si>
  <si>
    <t>Landfill RNG projects</t>
  </si>
  <si>
    <t>Retriaved May 8 2024</t>
  </si>
  <si>
    <t>Total Volume of Biodiesel Imported into the US (million gallons)</t>
  </si>
  <si>
    <t>Total Volume of Biodiesel Exported from the US (million gallons)</t>
  </si>
  <si>
    <t>Packaging</t>
  </si>
  <si>
    <t>Textiles</t>
  </si>
  <si>
    <t>Consumer Goods</t>
  </si>
  <si>
    <t>Agriculture &amp; Horticulture</t>
  </si>
  <si>
    <t>Automotive &amp; Transport</t>
  </si>
  <si>
    <t>Building &amp; Construction</t>
  </si>
  <si>
    <t>Electronics</t>
  </si>
  <si>
    <t>Others</t>
  </si>
  <si>
    <t>Accessed August 2024</t>
  </si>
  <si>
    <t>TRADE</t>
  </si>
  <si>
    <t>ITA</t>
  </si>
  <si>
    <t>Value of the U.S. apparel exports worldwide (billion dollars)</t>
  </si>
  <si>
    <t>Value of the U.S. apparel imports worldwide (billion dollars)</t>
  </si>
  <si>
    <t>Value of the U.S. textiles exports worldwide (billion dollars)</t>
  </si>
  <si>
    <t>Value of the U.S. textiles imports worldwide (billion dollars)</t>
  </si>
  <si>
    <t>Total production of renewable jet fuel (million gallons)</t>
  </si>
  <si>
    <t>Total consumption of renewable jet fuel (million gallons)</t>
  </si>
  <si>
    <t>GAO</t>
  </si>
  <si>
    <t>Wood pellets Imports (million metric tons)</t>
  </si>
  <si>
    <t>Malaysia</t>
  </si>
  <si>
    <t>Thailand</t>
  </si>
  <si>
    <t xml:space="preserve">https://www.epa.gov/lmop/landfill-gas-energy-project-data </t>
  </si>
  <si>
    <t>Biodegradable</t>
  </si>
  <si>
    <t>Biobased</t>
  </si>
  <si>
    <t>United States</t>
  </si>
  <si>
    <t>[2013/2018] http://www.bio-based.eu/market_study/media/files/15-05-13_Bio-based_Polymers_and_Building_Blocks_in_the_World-nova_Booklet.pdf
[2014] https://www.kunststoffe.de/en/news/overview/artikel/global-bioplastics-production-capacities-continue-to-grow-1253170.html
[2016] https://www.ifbb-hannover.de/de/facts-and-statistics.html
[2017] http://docs.european-bioplastics.org/publications/EUBP_Facts_and_figures.pdf</t>
  </si>
  <si>
    <t>Korea</t>
  </si>
  <si>
    <t>Origin</t>
  </si>
  <si>
    <t>Destination</t>
  </si>
  <si>
    <t>Commodity</t>
  </si>
  <si>
    <t>Value</t>
  </si>
  <si>
    <t>Units</t>
  </si>
  <si>
    <t>Variable</t>
  </si>
  <si>
    <t>Export</t>
  </si>
  <si>
    <t>Import</t>
  </si>
  <si>
    <t>%</t>
  </si>
  <si>
    <t>Tallow</t>
  </si>
  <si>
    <t>Plant capacity (billion gallons)</t>
  </si>
  <si>
    <t>Airline off-take agreement</t>
  </si>
  <si>
    <t>https://www.icao.int/environmental-protection/GFAAF/Pages/Airports.aspx</t>
  </si>
  <si>
    <t>Number of Airports with SAF (Ongoing Delivery)</t>
  </si>
  <si>
    <t>Number of Airports with SAF (Batch Delivery)</t>
  </si>
  <si>
    <t>Domestic CO2 emissions from aviation sector (Million metric tons)</t>
  </si>
  <si>
    <t>Internationa CO2 emissions form aviation sector (Million metric tons)</t>
  </si>
  <si>
    <t>https://www.iea.org/energy-system/transport/aviation#tracking</t>
  </si>
  <si>
    <t>Retrieved January 2025</t>
  </si>
  <si>
    <t>IEA</t>
  </si>
  <si>
    <t>Retrieved February 2025</t>
  </si>
  <si>
    <t>NIFA+NSF</t>
  </si>
  <si>
    <t>Traditional biofuel</t>
  </si>
  <si>
    <t>Emergent biofuel</t>
  </si>
  <si>
    <t>New York</t>
  </si>
  <si>
    <t>State</t>
  </si>
  <si>
    <t>Number of projects</t>
  </si>
  <si>
    <t>Major Commodities</t>
  </si>
  <si>
    <t>CSC Practices</t>
  </si>
  <si>
    <t>B</t>
  </si>
  <si>
    <t>Total unding for all projects that potentially impact this area, commodities, practices, and projects as filtered.</t>
  </si>
  <si>
    <t>https://publicdashboards.dl.usda.gov/t/FPAC_PUB/views/PartnershipsForClimate-SmartCommodities/Overview?%3Aembed=y&amp;%3AisGuestRedirectFromVizportal=y&amp;%3Atoolbar=top</t>
  </si>
  <si>
    <t>Missouri</t>
  </si>
  <si>
    <t>Minnesota</t>
  </si>
  <si>
    <t>Kansas</t>
  </si>
  <si>
    <t>Texas</t>
  </si>
  <si>
    <t>Iowa</t>
  </si>
  <si>
    <t>California</t>
  </si>
  <si>
    <t>Wisconsin</t>
  </si>
  <si>
    <t>Nebraska</t>
  </si>
  <si>
    <t>Indiana</t>
  </si>
  <si>
    <t>South Carolina</t>
  </si>
  <si>
    <t>North Carolina</t>
  </si>
  <si>
    <t>South Dakota</t>
  </si>
  <si>
    <t>North Dakota</t>
  </si>
  <si>
    <t>Oklahoma</t>
  </si>
  <si>
    <t>Illinois</t>
  </si>
  <si>
    <t>Ohio</t>
  </si>
  <si>
    <t>Michigan</t>
  </si>
  <si>
    <t>Mississippi</t>
  </si>
  <si>
    <t>Virginia</t>
  </si>
  <si>
    <t>Arkansas</t>
  </si>
  <si>
    <t>Georgia</t>
  </si>
  <si>
    <t>Pennsylvania</t>
  </si>
  <si>
    <t>Colorado</t>
  </si>
  <si>
    <t>Tennessee</t>
  </si>
  <si>
    <t>Alabama</t>
  </si>
  <si>
    <t>Maryland</t>
  </si>
  <si>
    <t>Kentucky</t>
  </si>
  <si>
    <t>Idaho</t>
  </si>
  <si>
    <t>Montana</t>
  </si>
  <si>
    <t>New Mexico</t>
  </si>
  <si>
    <t>Louisiana</t>
  </si>
  <si>
    <t>Wyoming</t>
  </si>
  <si>
    <t>Washington</t>
  </si>
  <si>
    <t>Florida</t>
  </si>
  <si>
    <t>Vermont</t>
  </si>
  <si>
    <t>Oregon</t>
  </si>
  <si>
    <t>Arizona</t>
  </si>
  <si>
    <t>Massachusetts</t>
  </si>
  <si>
    <t>Delaware</t>
  </si>
  <si>
    <t>New Jersey</t>
  </si>
  <si>
    <t>Connecticut</t>
  </si>
  <si>
    <t>West Virginia</t>
  </si>
  <si>
    <t>Maine</t>
  </si>
  <si>
    <t>New Hampshire</t>
  </si>
  <si>
    <t>Rhode Island</t>
  </si>
  <si>
    <t>Utah</t>
  </si>
  <si>
    <t>Nevada</t>
  </si>
  <si>
    <t>Hawaii</t>
  </si>
  <si>
    <t>Alaska</t>
  </si>
  <si>
    <t>Dairy and livestock</t>
  </si>
  <si>
    <t>Row and energy crops</t>
  </si>
  <si>
    <t>Fruits, vegetables and specialty crops</t>
  </si>
  <si>
    <t>Forests and agroforestry</t>
  </si>
  <si>
    <t>Federal Funding</t>
  </si>
  <si>
    <t>B$</t>
  </si>
  <si>
    <t>Global bioenergy jobs (million jobs)</t>
  </si>
  <si>
    <t>US bioenergy jobs (million jobs)</t>
  </si>
  <si>
    <t>Renewable Jet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</si>
</sst>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"/>
    <numFmt numFmtId="165" formatCode="0.000000000000000"/>
    <numFmt numFmtId="166" formatCode="#,##0.0"/>
    <numFmt numFmtId="167" formatCode="_(* #,##0_);_(* \(#,##0\);_(* &quot;-&quot;??_);_(@_)"/>
    <numFmt numFmtId="168" formatCode="#,##0\ \ \ \ \ \ \ \ \ "/>
    <numFmt numFmtId="169" formatCode="0.0000"/>
    <numFmt numFmtId="170" formatCode="0.000000000"/>
    <numFmt numFmtId="171" formatCode="0.000"/>
  </numFmts>
  <fonts count="97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u/>
      <sz val="12"/>
      <color theme="10"/>
      <name val="Arial"/>
      <family val="2"/>
    </font>
    <font>
      <sz val="12"/>
      <color rgb="FF0563C1"/>
      <name val="Arial"/>
      <family val="2"/>
    </font>
    <font>
      <b/>
      <sz val="14"/>
      <color theme="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Docs-Calibri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0"/>
      <color theme="1"/>
      <name val="Arial"/>
      <family val="2"/>
    </font>
    <font>
      <sz val="7"/>
      <color rgb="FF333333"/>
      <name val="Arial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9"/>
      <color theme="1"/>
      <name val="Times New Roman"/>
      <family val="1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8"/>
      <color rgb="FF333333"/>
      <name val="Arial"/>
      <family val="2"/>
    </font>
    <font>
      <sz val="9"/>
      <color rgb="FF333333"/>
      <name val="Arial"/>
      <family val="2"/>
    </font>
    <font>
      <sz val="7"/>
      <color rgb="FF000000"/>
      <name val="Trebuchet MS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4"/>
      <color rgb="FFFFFFFF"/>
      <name val="Calibri"/>
      <family val="2"/>
    </font>
    <font>
      <sz val="11"/>
      <color theme="1"/>
      <name val="Arial"/>
      <family val="2"/>
    </font>
    <font>
      <u/>
      <sz val="11"/>
      <color rgb="FF0000FF"/>
      <name val="Calibri"/>
      <family val="2"/>
    </font>
    <font>
      <u/>
      <sz val="11"/>
      <color theme="10"/>
      <name val="Calibri"/>
      <family val="2"/>
    </font>
    <font>
      <u/>
      <sz val="11"/>
      <color rgb="FF0563C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u/>
      <sz val="11"/>
      <color rgb="FF1155CC"/>
      <name val="Calibri"/>
      <family val="2"/>
    </font>
    <font>
      <sz val="11"/>
      <color rgb="FF0563C1"/>
      <name val="Calibri"/>
      <family val="2"/>
    </font>
    <font>
      <b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9"/>
      <color rgb="FF212529"/>
      <name val="Arial"/>
      <family val="2"/>
    </font>
    <font>
      <b/>
      <sz val="9"/>
      <color rgb="FF212529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08306C"/>
        <bgColor rgb="FF08306C"/>
      </patternFill>
    </fill>
    <fill>
      <patternFill patternType="solid">
        <fgColor rgb="FF993404"/>
        <bgColor rgb="FF993404"/>
      </patternFill>
    </fill>
    <fill>
      <patternFill patternType="solid">
        <fgColor rgb="FFC00000"/>
        <bgColor rgb="FFC0000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D966"/>
        <bgColor rgb="FFFFD966"/>
      </patternFill>
    </fill>
    <fill>
      <patternFill patternType="solid">
        <fgColor rgb="FF44546A"/>
        <bgColor rgb="FF44546A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</borders>
  <cellStyleXfs count="5">
    <xf numFmtId="0" fontId="0" fillId="0" borderId="0"/>
    <xf numFmtId="0" fontId="87" fillId="0" borderId="0" applyNumberFormat="0" applyFill="0" applyBorder="0" applyAlignment="0" applyProtection="0"/>
    <xf numFmtId="0" fontId="91" fillId="0" borderId="3"/>
    <xf numFmtId="9" fontId="43" fillId="0" borderId="0" applyFont="0" applyFill="0" applyBorder="0" applyAlignment="0" applyProtection="0"/>
    <xf numFmtId="43" fontId="96" fillId="0" borderId="0" applyFont="0" applyFill="0" applyBorder="0" applyAlignment="0" applyProtection="0"/>
  </cellStyleXfs>
  <cellXfs count="437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/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6" fillId="2" borderId="1" xfId="0" applyFont="1" applyFill="1" applyBorder="1"/>
    <xf numFmtId="0" fontId="5" fillId="0" borderId="0" xfId="0" applyFont="1" applyAlignment="1">
      <alignment horizontal="left"/>
    </xf>
    <xf numFmtId="164" fontId="5" fillId="0" borderId="0" xfId="0" applyNumberFormat="1" applyFont="1"/>
    <xf numFmtId="2" fontId="5" fillId="0" borderId="0" xfId="0" applyNumberFormat="1" applyFont="1"/>
    <xf numFmtId="0" fontId="7" fillId="3" borderId="1" xfId="0" applyFont="1" applyFill="1" applyBorder="1" applyAlignment="1">
      <alignment horizontal="left"/>
    </xf>
    <xf numFmtId="0" fontId="8" fillId="3" borderId="1" xfId="0" applyFont="1" applyFill="1" applyBorder="1"/>
    <xf numFmtId="164" fontId="8" fillId="3" borderId="1" xfId="0" applyNumberFormat="1" applyFont="1" applyFill="1" applyBorder="1"/>
    <xf numFmtId="2" fontId="8" fillId="3" borderId="1" xfId="0" applyNumberFormat="1" applyFont="1" applyFill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/>
    <xf numFmtId="0" fontId="7" fillId="4" borderId="1" xfId="0" applyFont="1" applyFill="1" applyBorder="1" applyAlignment="1">
      <alignment horizontal="left"/>
    </xf>
    <xf numFmtId="0" fontId="8" fillId="4" borderId="1" xfId="0" applyFont="1" applyFill="1" applyBorder="1"/>
    <xf numFmtId="164" fontId="8" fillId="4" borderId="1" xfId="0" applyNumberFormat="1" applyFont="1" applyFill="1" applyBorder="1"/>
    <xf numFmtId="2" fontId="8" fillId="4" borderId="1" xfId="0" applyNumberFormat="1" applyFont="1" applyFill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7" fillId="5" borderId="1" xfId="0" applyFont="1" applyFill="1" applyBorder="1" applyAlignment="1">
      <alignment horizontal="left"/>
    </xf>
    <xf numFmtId="0" fontId="8" fillId="5" borderId="1" xfId="0" applyFont="1" applyFill="1" applyBorder="1"/>
    <xf numFmtId="164" fontId="8" fillId="5" borderId="1" xfId="0" applyNumberFormat="1" applyFont="1" applyFill="1" applyBorder="1"/>
    <xf numFmtId="2" fontId="8" fillId="5" borderId="1" xfId="0" applyNumberFormat="1" applyFont="1" applyFill="1" applyBorder="1"/>
    <xf numFmtId="0" fontId="12" fillId="0" borderId="0" xfId="0" applyFont="1" applyAlignment="1">
      <alignment horizontal="left" vertical="center"/>
    </xf>
    <xf numFmtId="1" fontId="12" fillId="0" borderId="0" xfId="0" applyNumberFormat="1" applyFont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4" xfId="0" applyFont="1" applyBorder="1"/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/>
    </xf>
    <xf numFmtId="0" fontId="12" fillId="6" borderId="4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wrapText="1"/>
    </xf>
    <xf numFmtId="0" fontId="17" fillId="7" borderId="0" xfId="0" applyFont="1" applyFill="1" applyAlignment="1">
      <alignment horizontal="left"/>
    </xf>
    <xf numFmtId="0" fontId="12" fillId="0" borderId="4" xfId="0" applyFont="1" applyBorder="1" applyAlignment="1">
      <alignment vertical="center"/>
    </xf>
    <xf numFmtId="0" fontId="12" fillId="0" borderId="9" xfId="0" applyFont="1" applyBorder="1" applyAlignment="1">
      <alignment horizontal="left" vertical="center"/>
    </xf>
    <xf numFmtId="0" fontId="12" fillId="0" borderId="7" xfId="0" applyFont="1" applyBorder="1"/>
    <xf numFmtId="1" fontId="12" fillId="0" borderId="4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8" borderId="11" xfId="0" applyFont="1" applyFill="1" applyBorder="1" applyAlignment="1">
      <alignment horizontal="left" vertical="center"/>
    </xf>
    <xf numFmtId="0" fontId="12" fillId="8" borderId="12" xfId="0" applyFont="1" applyFill="1" applyBorder="1" applyAlignment="1">
      <alignment horizontal="center" vertical="center"/>
    </xf>
    <xf numFmtId="164" fontId="12" fillId="8" borderId="12" xfId="0" applyNumberFormat="1" applyFont="1" applyFill="1" applyBorder="1" applyAlignment="1">
      <alignment horizontal="center" vertical="center"/>
    </xf>
    <xf numFmtId="165" fontId="12" fillId="8" borderId="12" xfId="0" applyNumberFormat="1" applyFont="1" applyFill="1" applyBorder="1" applyAlignment="1">
      <alignment horizontal="left" vertical="center"/>
    </xf>
    <xf numFmtId="0" fontId="12" fillId="8" borderId="12" xfId="0" applyFont="1" applyFill="1" applyBorder="1" applyAlignment="1">
      <alignment horizontal="left" vertical="center" wrapText="1"/>
    </xf>
    <xf numFmtId="0" fontId="12" fillId="8" borderId="13" xfId="0" applyFont="1" applyFill="1" applyBorder="1" applyAlignment="1">
      <alignment horizontal="left" vertical="center" wrapText="1"/>
    </xf>
    <xf numFmtId="0" fontId="14" fillId="0" borderId="7" xfId="0" applyFont="1" applyBorder="1" applyAlignment="1">
      <alignment horizontal="center" vertical="center"/>
    </xf>
    <xf numFmtId="166" fontId="12" fillId="0" borderId="4" xfId="0" applyNumberFormat="1" applyFont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3" fontId="12" fillId="0" borderId="4" xfId="0" applyNumberFormat="1" applyFont="1" applyBorder="1" applyAlignment="1">
      <alignment horizontal="center"/>
    </xf>
    <xf numFmtId="0" fontId="23" fillId="0" borderId="4" xfId="0" applyFont="1" applyBorder="1" applyAlignment="1">
      <alignment horizontal="left" vertical="center" wrapText="1"/>
    </xf>
    <xf numFmtId="3" fontId="12" fillId="0" borderId="7" xfId="0" applyNumberFormat="1" applyFont="1" applyBorder="1" applyAlignment="1">
      <alignment horizontal="center"/>
    </xf>
    <xf numFmtId="0" fontId="24" fillId="0" borderId="4" xfId="0" applyFont="1" applyBorder="1" applyAlignment="1">
      <alignment horizontal="left" vertical="center" wrapText="1"/>
    </xf>
    <xf numFmtId="2" fontId="12" fillId="0" borderId="0" xfId="0" applyNumberFormat="1" applyFont="1" applyAlignment="1">
      <alignment horizontal="left" vertical="center"/>
    </xf>
    <xf numFmtId="164" fontId="12" fillId="0" borderId="4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left" vertical="center" wrapText="1"/>
    </xf>
    <xf numFmtId="0" fontId="12" fillId="8" borderId="12" xfId="0" applyFont="1" applyFill="1" applyBorder="1" applyAlignment="1">
      <alignment horizontal="left" vertical="center"/>
    </xf>
    <xf numFmtId="0" fontId="26" fillId="0" borderId="5" xfId="0" applyFont="1" applyBorder="1"/>
    <xf numFmtId="0" fontId="28" fillId="0" borderId="0" xfId="0" applyFont="1" applyAlignment="1">
      <alignment horizontal="left" vertical="center"/>
    </xf>
    <xf numFmtId="0" fontId="30" fillId="0" borderId="4" xfId="0" applyFont="1" applyBorder="1"/>
    <xf numFmtId="0" fontId="12" fillId="0" borderId="0" xfId="0" applyFont="1"/>
    <xf numFmtId="0" fontId="31" fillId="0" borderId="0" xfId="0" applyFont="1"/>
    <xf numFmtId="3" fontId="12" fillId="6" borderId="4" xfId="0" applyNumberFormat="1" applyFont="1" applyFill="1" applyBorder="1" applyAlignment="1">
      <alignment horizontal="center" vertical="center"/>
    </xf>
    <xf numFmtId="3" fontId="12" fillId="0" borderId="4" xfId="0" applyNumberFormat="1" applyFont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 vertical="center"/>
    </xf>
    <xf numFmtId="0" fontId="32" fillId="0" borderId="0" xfId="0" applyFont="1"/>
    <xf numFmtId="0" fontId="33" fillId="0" borderId="4" xfId="0" applyFont="1" applyBorder="1"/>
    <xf numFmtId="0" fontId="12" fillId="6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 wrapText="1"/>
    </xf>
    <xf numFmtId="0" fontId="34" fillId="0" borderId="9" xfId="0" applyFont="1" applyBorder="1" applyAlignment="1">
      <alignment horizontal="left" vertical="center" wrapText="1"/>
    </xf>
    <xf numFmtId="0" fontId="35" fillId="0" borderId="4" xfId="0" applyFont="1" applyBorder="1" applyAlignment="1">
      <alignment wrapText="1"/>
    </xf>
    <xf numFmtId="0" fontId="14" fillId="0" borderId="7" xfId="0" applyFont="1" applyBorder="1" applyAlignment="1">
      <alignment horizontal="center" vertical="center" wrapText="1"/>
    </xf>
    <xf numFmtId="164" fontId="12" fillId="0" borderId="4" xfId="0" applyNumberFormat="1" applyFont="1" applyBorder="1" applyAlignment="1">
      <alignment horizontal="center"/>
    </xf>
    <xf numFmtId="164" fontId="12" fillId="0" borderId="5" xfId="0" applyNumberFormat="1" applyFont="1" applyBorder="1" applyAlignment="1">
      <alignment horizontal="center"/>
    </xf>
    <xf numFmtId="164" fontId="31" fillId="0" borderId="4" xfId="0" applyNumberFormat="1" applyFont="1" applyBorder="1" applyAlignment="1">
      <alignment horizontal="center" vertical="center"/>
    </xf>
    <xf numFmtId="0" fontId="36" fillId="0" borderId="4" xfId="0" applyFont="1" applyBorder="1" applyAlignment="1">
      <alignment horizontal="left" vertical="center"/>
    </xf>
    <xf numFmtId="0" fontId="37" fillId="0" borderId="4" xfId="0" applyFont="1" applyBorder="1" applyAlignment="1">
      <alignment horizontal="left" vertical="center" wrapText="1"/>
    </xf>
    <xf numFmtId="0" fontId="38" fillId="0" borderId="0" xfId="0" applyFont="1" applyAlignment="1">
      <alignment horizontal="right" vertical="center" wrapText="1"/>
    </xf>
    <xf numFmtId="1" fontId="12" fillId="0" borderId="0" xfId="0" applyNumberFormat="1" applyFont="1"/>
    <xf numFmtId="0" fontId="12" fillId="0" borderId="5" xfId="0" applyFont="1" applyBorder="1" applyAlignment="1">
      <alignment horizontal="left" vertical="center" wrapText="1"/>
    </xf>
    <xf numFmtId="1" fontId="12" fillId="6" borderId="4" xfId="0" applyNumberFormat="1" applyFont="1" applyFill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 vertical="center"/>
    </xf>
    <xf numFmtId="1" fontId="12" fillId="0" borderId="7" xfId="0" applyNumberFormat="1" applyFont="1" applyBorder="1" applyAlignment="1">
      <alignment horizontal="center"/>
    </xf>
    <xf numFmtId="1" fontId="12" fillId="0" borderId="4" xfId="0" applyNumberFormat="1" applyFont="1" applyBorder="1"/>
    <xf numFmtId="1" fontId="12" fillId="8" borderId="12" xfId="0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164" fontId="12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horizontal="left" vertical="center" wrapText="1"/>
    </xf>
    <xf numFmtId="0" fontId="54" fillId="0" borderId="7" xfId="0" applyFont="1" applyBorder="1" applyAlignment="1">
      <alignment horizontal="left" vertical="center" wrapText="1"/>
    </xf>
    <xf numFmtId="0" fontId="57" fillId="0" borderId="4" xfId="0" applyFont="1" applyBorder="1" applyAlignment="1">
      <alignment wrapText="1"/>
    </xf>
    <xf numFmtId="0" fontId="58" fillId="0" borderId="4" xfId="0" applyFont="1" applyBorder="1"/>
    <xf numFmtId="0" fontId="12" fillId="6" borderId="12" xfId="0" applyFont="1" applyFill="1" applyBorder="1" applyAlignment="1">
      <alignment horizontal="center" vertical="center"/>
    </xf>
    <xf numFmtId="16" fontId="12" fillId="0" borderId="0" xfId="0" applyNumberFormat="1" applyFont="1" applyAlignment="1">
      <alignment horizontal="left" vertical="center"/>
    </xf>
    <xf numFmtId="0" fontId="12" fillId="7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59" fillId="0" borderId="0" xfId="0" applyFont="1"/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8" borderId="19" xfId="0" applyFont="1" applyFill="1" applyBorder="1" applyAlignment="1">
      <alignment horizontal="left" vertical="center"/>
    </xf>
    <xf numFmtId="1" fontId="12" fillId="8" borderId="1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8" borderId="20" xfId="0" applyFont="1" applyFill="1" applyBorder="1" applyAlignment="1">
      <alignment horizontal="left" vertical="center"/>
    </xf>
    <xf numFmtId="0" fontId="60" fillId="0" borderId="0" xfId="0" applyFont="1"/>
    <xf numFmtId="0" fontId="61" fillId="0" borderId="0" xfId="0" applyFont="1"/>
    <xf numFmtId="1" fontId="12" fillId="0" borderId="8" xfId="0" applyNumberFormat="1" applyFont="1" applyBorder="1" applyAlignment="1">
      <alignment horizontal="center"/>
    </xf>
    <xf numFmtId="164" fontId="12" fillId="0" borderId="8" xfId="0" applyNumberFormat="1" applyFont="1" applyBorder="1" applyAlignment="1">
      <alignment horizontal="center"/>
    </xf>
    <xf numFmtId="0" fontId="63" fillId="0" borderId="4" xfId="0" applyFont="1" applyBorder="1"/>
    <xf numFmtId="0" fontId="12" fillId="7" borderId="7" xfId="0" applyFont="1" applyFill="1" applyBorder="1" applyAlignment="1">
      <alignment horizontal="center"/>
    </xf>
    <xf numFmtId="0" fontId="12" fillId="0" borderId="8" xfId="0" applyFont="1" applyBorder="1"/>
    <xf numFmtId="0" fontId="12" fillId="10" borderId="8" xfId="0" applyFont="1" applyFill="1" applyBorder="1"/>
    <xf numFmtId="0" fontId="12" fillId="10" borderId="4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/>
    </xf>
    <xf numFmtId="0" fontId="65" fillId="0" borderId="4" xfId="0" applyFont="1" applyBorder="1" applyAlignment="1">
      <alignment wrapText="1"/>
    </xf>
    <xf numFmtId="0" fontId="66" fillId="0" borderId="7" xfId="0" applyFont="1" applyBorder="1" applyAlignment="1">
      <alignment wrapText="1"/>
    </xf>
    <xf numFmtId="0" fontId="12" fillId="8" borderId="20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167" fontId="14" fillId="6" borderId="4" xfId="0" applyNumberFormat="1" applyFont="1" applyFill="1" applyBorder="1" applyAlignment="1">
      <alignment horizontal="center" vertical="center"/>
    </xf>
    <xf numFmtId="167" fontId="12" fillId="6" borderId="4" xfId="0" applyNumberFormat="1" applyFont="1" applyFill="1" applyBorder="1" applyAlignment="1">
      <alignment horizontal="center" vertical="center"/>
    </xf>
    <xf numFmtId="1" fontId="12" fillId="10" borderId="4" xfId="0" applyNumberFormat="1" applyFont="1" applyFill="1" applyBorder="1" applyAlignment="1">
      <alignment horizontal="center" vertical="center"/>
    </xf>
    <xf numFmtId="0" fontId="67" fillId="0" borderId="4" xfId="0" applyFont="1" applyBorder="1"/>
    <xf numFmtId="1" fontId="12" fillId="10" borderId="8" xfId="0" applyNumberFormat="1" applyFont="1" applyFill="1" applyBorder="1"/>
    <xf numFmtId="0" fontId="68" fillId="0" borderId="4" xfId="0" applyFont="1" applyBorder="1" applyAlignment="1">
      <alignment wrapText="1"/>
    </xf>
    <xf numFmtId="0" fontId="69" fillId="0" borderId="7" xfId="0" applyFont="1" applyBorder="1" applyAlignment="1">
      <alignment wrapText="1"/>
    </xf>
    <xf numFmtId="164" fontId="12" fillId="0" borderId="7" xfId="0" applyNumberFormat="1" applyFont="1" applyBorder="1" applyAlignment="1">
      <alignment horizontal="center" vertical="center"/>
    </xf>
    <xf numFmtId="164" fontId="12" fillId="0" borderId="8" xfId="0" applyNumberFormat="1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 vertical="center"/>
    </xf>
    <xf numFmtId="2" fontId="12" fillId="8" borderId="1" xfId="0" applyNumberFormat="1" applyFont="1" applyFill="1" applyBorder="1" applyAlignment="1">
      <alignment horizontal="center" vertical="center"/>
    </xf>
    <xf numFmtId="0" fontId="70" fillId="0" borderId="7" xfId="0" applyFont="1" applyBorder="1" applyAlignment="1">
      <alignment wrapText="1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71" fillId="0" borderId="5" xfId="0" applyFont="1" applyBorder="1" applyAlignment="1">
      <alignment horizontal="left" vertical="center" wrapText="1"/>
    </xf>
    <xf numFmtId="3" fontId="12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0" fontId="72" fillId="0" borderId="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/>
    </xf>
    <xf numFmtId="4" fontId="12" fillId="0" borderId="22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left" vertical="center" wrapText="1"/>
    </xf>
    <xf numFmtId="0" fontId="73" fillId="0" borderId="4" xfId="0" applyFont="1" applyBorder="1" applyAlignment="1">
      <alignment horizontal="left" vertical="center" wrapText="1"/>
    </xf>
    <xf numFmtId="4" fontId="12" fillId="6" borderId="4" xfId="0" applyNumberFormat="1" applyFont="1" applyFill="1" applyBorder="1" applyAlignment="1">
      <alignment horizontal="center" vertical="center"/>
    </xf>
    <xf numFmtId="2" fontId="12" fillId="0" borderId="4" xfId="0" applyNumberFormat="1" applyFont="1" applyBorder="1" applyAlignment="1">
      <alignment horizontal="center" vertical="center"/>
    </xf>
    <xf numFmtId="4" fontId="12" fillId="9" borderId="4" xfId="0" applyNumberFormat="1" applyFont="1" applyFill="1" applyBorder="1" applyAlignment="1">
      <alignment horizontal="center" vertical="center"/>
    </xf>
    <xf numFmtId="2" fontId="12" fillId="8" borderId="12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166" fontId="12" fillId="0" borderId="4" xfId="0" applyNumberFormat="1" applyFont="1" applyBorder="1" applyAlignment="1">
      <alignment horizontal="center" vertical="center" wrapText="1"/>
    </xf>
    <xf numFmtId="0" fontId="74" fillId="0" borderId="4" xfId="0" applyFont="1" applyBorder="1" applyAlignment="1">
      <alignment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37" fillId="0" borderId="4" xfId="0" applyFont="1" applyBorder="1" applyAlignment="1">
      <alignment vertical="center" wrapText="1"/>
    </xf>
    <xf numFmtId="164" fontId="12" fillId="0" borderId="0" xfId="0" applyNumberFormat="1" applyFont="1" applyAlignment="1">
      <alignment horizontal="center" vertical="center"/>
    </xf>
    <xf numFmtId="0" fontId="76" fillId="0" borderId="0" xfId="0" applyFont="1"/>
    <xf numFmtId="0" fontId="76" fillId="0" borderId="10" xfId="0" applyFont="1" applyBorder="1"/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3" fontId="12" fillId="0" borderId="8" xfId="0" applyNumberFormat="1" applyFont="1" applyBorder="1" applyAlignment="1">
      <alignment horizontal="center"/>
    </xf>
    <xf numFmtId="0" fontId="12" fillId="0" borderId="8" xfId="0" applyFont="1" applyBorder="1" applyAlignment="1">
      <alignment wrapText="1"/>
    </xf>
    <xf numFmtId="166" fontId="12" fillId="0" borderId="7" xfId="0" applyNumberFormat="1" applyFont="1" applyBorder="1" applyAlignment="1">
      <alignment horizontal="center"/>
    </xf>
    <xf numFmtId="166" fontId="12" fillId="0" borderId="8" xfId="0" applyNumberFormat="1" applyFont="1" applyBorder="1" applyAlignment="1">
      <alignment horizontal="center"/>
    </xf>
    <xf numFmtId="0" fontId="14" fillId="0" borderId="9" xfId="0" applyFont="1" applyBorder="1" applyAlignment="1">
      <alignment horizontal="center" vertical="center"/>
    </xf>
    <xf numFmtId="0" fontId="78" fillId="0" borderId="5" xfId="0" applyFont="1" applyBorder="1" applyAlignment="1">
      <alignment horizontal="left" vertical="center" wrapText="1"/>
    </xf>
    <xf numFmtId="0" fontId="79" fillId="0" borderId="5" xfId="0" applyFont="1" applyBorder="1" applyAlignment="1">
      <alignment horizontal="left" vertical="center" wrapText="1"/>
    </xf>
    <xf numFmtId="0" fontId="80" fillId="0" borderId="5" xfId="0" applyFont="1" applyBorder="1" applyAlignment="1">
      <alignment horizontal="left" vertical="center" wrapText="1"/>
    </xf>
    <xf numFmtId="3" fontId="12" fillId="0" borderId="7" xfId="0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81" fillId="0" borderId="0" xfId="0" applyFont="1" applyAlignment="1">
      <alignment horizontal="left" vertical="center" wrapText="1"/>
    </xf>
    <xf numFmtId="0" fontId="14" fillId="11" borderId="0" xfId="0" applyFont="1" applyFill="1"/>
    <xf numFmtId="0" fontId="14" fillId="11" borderId="4" xfId="0" applyFont="1" applyFill="1" applyBorder="1" applyAlignment="1">
      <alignment wrapText="1"/>
    </xf>
    <xf numFmtId="0" fontId="14" fillId="11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wrapText="1"/>
    </xf>
    <xf numFmtId="0" fontId="12" fillId="0" borderId="8" xfId="0" applyFont="1" applyBorder="1" applyAlignment="1">
      <alignment horizontal="right"/>
    </xf>
    <xf numFmtId="0" fontId="12" fillId="8" borderId="8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wrapText="1"/>
    </xf>
    <xf numFmtId="0" fontId="12" fillId="0" borderId="15" xfId="0" applyFont="1" applyBorder="1" applyAlignment="1">
      <alignment horizontal="left" vertical="center" wrapText="1"/>
    </xf>
    <xf numFmtId="0" fontId="16" fillId="0" borderId="14" xfId="0" applyFont="1" applyBorder="1" applyAlignment="1">
      <alignment wrapText="1"/>
    </xf>
    <xf numFmtId="0" fontId="17" fillId="0" borderId="23" xfId="0" applyFont="1" applyBorder="1" applyAlignment="1">
      <alignment horizontal="left"/>
    </xf>
    <xf numFmtId="0" fontId="18" fillId="0" borderId="14" xfId="0" applyFont="1" applyBorder="1" applyAlignment="1">
      <alignment wrapText="1"/>
    </xf>
    <xf numFmtId="0" fontId="19" fillId="0" borderId="14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21" fillId="0" borderId="14" xfId="0" applyFont="1" applyBorder="1"/>
    <xf numFmtId="0" fontId="12" fillId="0" borderId="10" xfId="0" applyFont="1" applyBorder="1" applyAlignment="1">
      <alignment vertical="top" wrapText="1"/>
    </xf>
    <xf numFmtId="0" fontId="22" fillId="0" borderId="14" xfId="0" applyFont="1" applyBorder="1" applyAlignment="1">
      <alignment vertical="top" wrapText="1"/>
    </xf>
    <xf numFmtId="0" fontId="14" fillId="0" borderId="18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left" vertical="center"/>
    </xf>
    <xf numFmtId="1" fontId="12" fillId="0" borderId="23" xfId="0" applyNumberFormat="1" applyFont="1" applyBorder="1" applyAlignment="1">
      <alignment horizontal="center" vertical="center"/>
    </xf>
    <xf numFmtId="164" fontId="12" fillId="0" borderId="23" xfId="0" applyNumberFormat="1" applyFont="1" applyBorder="1" applyAlignment="1">
      <alignment horizontal="center" vertical="center"/>
    </xf>
    <xf numFmtId="0" fontId="12" fillId="0" borderId="23" xfId="0" applyFont="1" applyBorder="1"/>
    <xf numFmtId="0" fontId="26" fillId="0" borderId="23" xfId="0" applyFont="1" applyBorder="1"/>
    <xf numFmtId="0" fontId="12" fillId="0" borderId="23" xfId="0" applyFont="1" applyBorder="1" applyAlignment="1">
      <alignment vertical="center"/>
    </xf>
    <xf numFmtId="0" fontId="27" fillId="0" borderId="23" xfId="0" applyFont="1" applyBorder="1" applyAlignment="1">
      <alignment vertical="center"/>
    </xf>
    <xf numFmtId="0" fontId="12" fillId="0" borderId="23" xfId="0" applyFont="1" applyBorder="1" applyAlignment="1">
      <alignment horizontal="left" vertical="center" wrapText="1"/>
    </xf>
    <xf numFmtId="0" fontId="28" fillId="0" borderId="23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29" fillId="0" borderId="23" xfId="0" applyFont="1" applyBorder="1" applyAlignment="1">
      <alignment horizontal="left" vertical="center" wrapText="1"/>
    </xf>
    <xf numFmtId="0" fontId="25" fillId="0" borderId="23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left" vertical="center" wrapText="1"/>
    </xf>
    <xf numFmtId="0" fontId="30" fillId="0" borderId="23" xfId="0" applyFont="1" applyBorder="1"/>
    <xf numFmtId="0" fontId="14" fillId="0" borderId="6" xfId="0" applyFont="1" applyBorder="1" applyAlignment="1">
      <alignment horizontal="left" vertical="center"/>
    </xf>
    <xf numFmtId="2" fontId="12" fillId="0" borderId="16" xfId="0" applyNumberFormat="1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center"/>
    </xf>
    <xf numFmtId="0" fontId="39" fillId="0" borderId="16" xfId="0" applyFont="1" applyBorder="1" applyAlignment="1">
      <alignment horizontal="left" vertical="center" wrapText="1"/>
    </xf>
    <xf numFmtId="0" fontId="40" fillId="0" borderId="4" xfId="0" applyFont="1" applyBorder="1"/>
    <xf numFmtId="0" fontId="41" fillId="0" borderId="4" xfId="0" applyFont="1" applyBorder="1"/>
    <xf numFmtId="0" fontId="42" fillId="0" borderId="4" xfId="0" applyFont="1" applyBorder="1"/>
    <xf numFmtId="1" fontId="12" fillId="0" borderId="4" xfId="0" applyNumberFormat="1" applyFont="1" applyBorder="1" applyAlignment="1">
      <alignment horizontal="left" vertical="center"/>
    </xf>
    <xf numFmtId="1" fontId="12" fillId="0" borderId="4" xfId="0" applyNumberFormat="1" applyFont="1" applyBorder="1" applyAlignment="1">
      <alignment horizontal="center"/>
    </xf>
    <xf numFmtId="0" fontId="43" fillId="0" borderId="0" xfId="0" applyFont="1"/>
    <xf numFmtId="0" fontId="44" fillId="0" borderId="16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 wrapText="1"/>
    </xf>
    <xf numFmtId="0" fontId="49" fillId="0" borderId="4" xfId="0" applyFont="1" applyBorder="1" applyAlignment="1">
      <alignment horizontal="left" vertical="center" wrapText="1"/>
    </xf>
    <xf numFmtId="1" fontId="12" fillId="0" borderId="5" xfId="0" applyNumberFormat="1" applyFont="1" applyBorder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50" fillId="0" borderId="4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 applyAlignment="1">
      <alignment horizontal="left" vertical="center"/>
    </xf>
    <xf numFmtId="0" fontId="55" fillId="0" borderId="7" xfId="0" applyFont="1" applyBorder="1" applyAlignment="1">
      <alignment horizontal="left" vertical="center" wrapText="1"/>
    </xf>
    <xf numFmtId="0" fontId="56" fillId="0" borderId="4" xfId="0" applyFont="1" applyBorder="1"/>
    <xf numFmtId="0" fontId="62" fillId="0" borderId="4" xfId="0" applyFont="1" applyBorder="1" applyAlignment="1">
      <alignment horizontal="left" vertical="center" wrapText="1"/>
    </xf>
    <xf numFmtId="3" fontId="12" fillId="0" borderId="7" xfId="0" applyNumberFormat="1" applyFont="1" applyBorder="1" applyAlignment="1">
      <alignment horizontal="center" wrapText="1"/>
    </xf>
    <xf numFmtId="166" fontId="12" fillId="0" borderId="7" xfId="0" applyNumberFormat="1" applyFont="1" applyBorder="1" applyAlignment="1">
      <alignment horizontal="center" wrapText="1"/>
    </xf>
    <xf numFmtId="0" fontId="12" fillId="8" borderId="16" xfId="0" applyFont="1" applyFill="1" applyBorder="1" applyAlignment="1">
      <alignment horizontal="center" vertical="center"/>
    </xf>
    <xf numFmtId="2" fontId="12" fillId="8" borderId="16" xfId="0" applyNumberFormat="1" applyFont="1" applyFill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12" fillId="0" borderId="14" xfId="0" applyFont="1" applyBorder="1" applyAlignment="1">
      <alignment wrapText="1"/>
    </xf>
    <xf numFmtId="0" fontId="14" fillId="0" borderId="23" xfId="0" applyFont="1" applyBorder="1" applyAlignment="1">
      <alignment horizontal="center" wrapText="1"/>
    </xf>
    <xf numFmtId="0" fontId="77" fillId="0" borderId="23" xfId="0" applyFont="1" applyBorder="1"/>
    <xf numFmtId="0" fontId="43" fillId="0" borderId="23" xfId="0" applyFont="1" applyBorder="1"/>
    <xf numFmtId="3" fontId="12" fillId="0" borderId="14" xfId="0" applyNumberFormat="1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2" fontId="12" fillId="8" borderId="22" xfId="0" applyNumberFormat="1" applyFont="1" applyFill="1" applyBorder="1" applyAlignment="1">
      <alignment horizontal="center" vertical="center"/>
    </xf>
    <xf numFmtId="0" fontId="12" fillId="8" borderId="22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4" fillId="0" borderId="23" xfId="0" applyFont="1" applyBorder="1" applyAlignment="1">
      <alignment horizontal="center"/>
    </xf>
    <xf numFmtId="3" fontId="12" fillId="0" borderId="23" xfId="0" applyNumberFormat="1" applyFont="1" applyBorder="1" applyAlignment="1">
      <alignment horizontal="center"/>
    </xf>
    <xf numFmtId="0" fontId="12" fillId="0" borderId="23" xfId="0" applyFont="1" applyBorder="1" applyAlignment="1">
      <alignment wrapText="1"/>
    </xf>
    <xf numFmtId="0" fontId="12" fillId="6" borderId="23" xfId="0" applyFont="1" applyFill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82" fillId="0" borderId="4" xfId="0" applyFont="1" applyBorder="1" applyAlignment="1">
      <alignment wrapText="1"/>
    </xf>
    <xf numFmtId="0" fontId="83" fillId="0" borderId="4" xfId="0" applyFont="1" applyBorder="1"/>
    <xf numFmtId="0" fontId="75" fillId="12" borderId="3" xfId="0" applyFont="1" applyFill="1" applyBorder="1" applyAlignment="1">
      <alignment horizontal="left"/>
    </xf>
    <xf numFmtId="0" fontId="11" fillId="12" borderId="3" xfId="0" applyFont="1" applyFill="1" applyBorder="1"/>
    <xf numFmtId="164" fontId="11" fillId="12" borderId="3" xfId="0" applyNumberFormat="1" applyFont="1" applyFill="1" applyBorder="1"/>
    <xf numFmtId="0" fontId="11" fillId="12" borderId="3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12" borderId="3" xfId="0" applyFont="1" applyFill="1" applyBorder="1" applyAlignment="1">
      <alignment horizontal="center"/>
    </xf>
    <xf numFmtId="3" fontId="12" fillId="0" borderId="0" xfId="0" applyNumberFormat="1" applyFont="1" applyAlignment="1">
      <alignment horizontal="center"/>
    </xf>
    <xf numFmtId="3" fontId="12" fillId="12" borderId="3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12" borderId="3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3" fontId="86" fillId="0" borderId="4" xfId="0" applyNumberFormat="1" applyFont="1" applyBorder="1"/>
    <xf numFmtId="0" fontId="14" fillId="0" borderId="4" xfId="0" applyFont="1" applyBorder="1"/>
    <xf numFmtId="168" fontId="86" fillId="0" borderId="4" xfId="0" applyNumberFormat="1" applyFont="1" applyBorder="1" applyAlignment="1">
      <alignment horizontal="right"/>
    </xf>
    <xf numFmtId="0" fontId="12" fillId="12" borderId="3" xfId="0" applyFont="1" applyFill="1" applyBorder="1"/>
    <xf numFmtId="4" fontId="12" fillId="0" borderId="0" xfId="0" applyNumberFormat="1" applyFont="1" applyAlignment="1">
      <alignment horizontal="center"/>
    </xf>
    <xf numFmtId="0" fontId="12" fillId="0" borderId="15" xfId="0" applyFont="1" applyBorder="1" applyAlignment="1">
      <alignment horizontal="center"/>
    </xf>
    <xf numFmtId="3" fontId="12" fillId="0" borderId="15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1" fontId="12" fillId="0" borderId="23" xfId="0" applyNumberFormat="1" applyFont="1" applyBorder="1" applyAlignment="1">
      <alignment horizontal="center"/>
    </xf>
    <xf numFmtId="1" fontId="12" fillId="0" borderId="15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23" fillId="0" borderId="4" xfId="0" applyFont="1" applyBorder="1"/>
    <xf numFmtId="0" fontId="87" fillId="0" borderId="7" xfId="1" applyBorder="1" applyAlignment="1">
      <alignment horizontal="left" vertical="center" wrapText="1"/>
    </xf>
    <xf numFmtId="0" fontId="87" fillId="0" borderId="4" xfId="1" applyBorder="1" applyAlignment="1">
      <alignment horizontal="left" vertical="center" wrapText="1"/>
    </xf>
    <xf numFmtId="1" fontId="12" fillId="0" borderId="17" xfId="0" applyNumberFormat="1" applyFont="1" applyBorder="1" applyAlignment="1">
      <alignment horizontal="center"/>
    </xf>
    <xf numFmtId="166" fontId="12" fillId="0" borderId="7" xfId="0" applyNumberFormat="1" applyFont="1" applyBorder="1" applyAlignment="1">
      <alignment horizontal="center" vertical="center"/>
    </xf>
    <xf numFmtId="0" fontId="87" fillId="0" borderId="4" xfId="1" applyBorder="1"/>
    <xf numFmtId="2" fontId="12" fillId="0" borderId="23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0" fontId="87" fillId="0" borderId="14" xfId="1" applyBorder="1" applyAlignment="1">
      <alignment wrapText="1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3" fontId="86" fillId="0" borderId="15" xfId="0" applyNumberFormat="1" applyFont="1" applyBorder="1"/>
    <xf numFmtId="168" fontId="86" fillId="0" borderId="15" xfId="0" applyNumberFormat="1" applyFont="1" applyBorder="1" applyAlignment="1">
      <alignment horizontal="right"/>
    </xf>
    <xf numFmtId="0" fontId="37" fillId="0" borderId="4" xfId="0" applyFont="1" applyBorder="1"/>
    <xf numFmtId="1" fontId="12" fillId="0" borderId="13" xfId="0" applyNumberFormat="1" applyFont="1" applyBorder="1" applyAlignment="1">
      <alignment horizontal="center"/>
    </xf>
    <xf numFmtId="0" fontId="37" fillId="0" borderId="5" xfId="0" applyFont="1" applyBorder="1"/>
    <xf numFmtId="0" fontId="12" fillId="0" borderId="5" xfId="0" applyFont="1" applyBorder="1"/>
    <xf numFmtId="0" fontId="51" fillId="0" borderId="5" xfId="0" applyFont="1" applyBorder="1" applyAlignment="1">
      <alignment horizontal="left" wrapText="1"/>
    </xf>
    <xf numFmtId="0" fontId="52" fillId="0" borderId="5" xfId="0" applyFont="1" applyBorder="1" applyAlignment="1">
      <alignment horizontal="left" wrapText="1"/>
    </xf>
    <xf numFmtId="0" fontId="53" fillId="0" borderId="4" xfId="0" applyFont="1" applyBorder="1" applyAlignment="1">
      <alignment horizontal="left"/>
    </xf>
    <xf numFmtId="0" fontId="12" fillId="8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50" fillId="0" borderId="23" xfId="0" applyFont="1" applyBorder="1" applyAlignment="1">
      <alignment horizontal="left" vertical="center"/>
    </xf>
    <xf numFmtId="3" fontId="12" fillId="0" borderId="11" xfId="0" applyNumberFormat="1" applyFont="1" applyBorder="1" applyAlignment="1">
      <alignment horizontal="center" vertical="center"/>
    </xf>
    <xf numFmtId="3" fontId="12" fillId="0" borderId="24" xfId="0" applyNumberFormat="1" applyFont="1" applyBorder="1" applyAlignment="1">
      <alignment horizontal="center" vertical="center"/>
    </xf>
    <xf numFmtId="4" fontId="12" fillId="0" borderId="15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3" fontId="12" fillId="6" borderId="17" xfId="0" applyNumberFormat="1" applyFont="1" applyFill="1" applyBorder="1" applyAlignment="1">
      <alignment horizontal="center" vertical="center"/>
    </xf>
    <xf numFmtId="3" fontId="12" fillId="0" borderId="23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 wrapText="1"/>
    </xf>
    <xf numFmtId="4" fontId="12" fillId="0" borderId="23" xfId="0" applyNumberFormat="1" applyFont="1" applyBorder="1" applyAlignment="1">
      <alignment horizontal="center" vertical="center"/>
    </xf>
    <xf numFmtId="0" fontId="12" fillId="7" borderId="23" xfId="0" applyFont="1" applyFill="1" applyBorder="1" applyAlignment="1">
      <alignment horizontal="left" vertical="center"/>
    </xf>
    <xf numFmtId="3" fontId="12" fillId="6" borderId="23" xfId="0" applyNumberFormat="1" applyFont="1" applyFill="1" applyBorder="1" applyAlignment="1">
      <alignment horizontal="center" vertical="center"/>
    </xf>
    <xf numFmtId="0" fontId="89" fillId="0" borderId="0" xfId="0" applyFont="1"/>
    <xf numFmtId="0" fontId="88" fillId="0" borderId="4" xfId="0" applyFont="1" applyBorder="1" applyAlignment="1">
      <alignment horizontal="left" vertical="center"/>
    </xf>
    <xf numFmtId="0" fontId="87" fillId="0" borderId="0" xfId="1"/>
    <xf numFmtId="0" fontId="3" fillId="0" borderId="23" xfId="0" applyFont="1" applyBorder="1"/>
    <xf numFmtId="0" fontId="90" fillId="0" borderId="18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14" fillId="0" borderId="20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0" fontId="88" fillId="0" borderId="23" xfId="0" applyFont="1" applyBorder="1"/>
    <xf numFmtId="0" fontId="76" fillId="13" borderId="23" xfId="0" applyFont="1" applyFill="1" applyBorder="1"/>
    <xf numFmtId="0" fontId="89" fillId="0" borderId="23" xfId="0" applyFont="1" applyBorder="1"/>
    <xf numFmtId="164" fontId="12" fillId="0" borderId="0" xfId="0" applyNumberFormat="1" applyFont="1" applyAlignment="1">
      <alignment horizontal="left" vertical="center"/>
    </xf>
    <xf numFmtId="169" fontId="12" fillId="0" borderId="0" xfId="0" applyNumberFormat="1" applyFont="1" applyAlignment="1">
      <alignment horizontal="left" vertical="center"/>
    </xf>
    <xf numFmtId="0" fontId="33" fillId="0" borderId="16" xfId="0" applyFont="1" applyBorder="1"/>
    <xf numFmtId="0" fontId="14" fillId="0" borderId="24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88" fillId="0" borderId="4" xfId="0" applyFont="1" applyBorder="1" applyAlignment="1">
      <alignment horizontal="center" vertical="center"/>
    </xf>
    <xf numFmtId="1" fontId="88" fillId="0" borderId="4" xfId="0" applyNumberFormat="1" applyFont="1" applyBorder="1" applyAlignment="1">
      <alignment horizontal="center" vertical="center"/>
    </xf>
    <xf numFmtId="0" fontId="87" fillId="0" borderId="13" xfId="1" applyBorder="1" applyAlignment="1">
      <alignment horizontal="left" wrapText="1"/>
    </xf>
    <xf numFmtId="2" fontId="12" fillId="0" borderId="4" xfId="0" applyNumberFormat="1" applyFont="1" applyBorder="1" applyAlignment="1">
      <alignment horizontal="center"/>
    </xf>
    <xf numFmtId="2" fontId="12" fillId="0" borderId="7" xfId="0" applyNumberFormat="1" applyFont="1" applyBorder="1" applyAlignment="1">
      <alignment horizontal="center"/>
    </xf>
    <xf numFmtId="2" fontId="12" fillId="0" borderId="24" xfId="0" applyNumberFormat="1" applyFont="1" applyBorder="1" applyAlignment="1">
      <alignment horizontal="center"/>
    </xf>
    <xf numFmtId="164" fontId="12" fillId="0" borderId="24" xfId="0" applyNumberFormat="1" applyFont="1" applyBorder="1" applyAlignment="1">
      <alignment horizontal="center"/>
    </xf>
    <xf numFmtId="0" fontId="12" fillId="0" borderId="8" xfId="0" applyFont="1" applyBorder="1" applyAlignment="1">
      <alignment horizontal="left" vertical="center" wrapText="1"/>
    </xf>
    <xf numFmtId="3" fontId="92" fillId="0" borderId="0" xfId="0" applyNumberFormat="1" applyFont="1"/>
    <xf numFmtId="3" fontId="88" fillId="0" borderId="4" xfId="0" applyNumberFormat="1" applyFont="1" applyBorder="1" applyAlignment="1">
      <alignment horizontal="center"/>
    </xf>
    <xf numFmtId="0" fontId="88" fillId="0" borderId="4" xfId="0" applyFont="1" applyBorder="1" applyAlignment="1">
      <alignment horizontal="center"/>
    </xf>
    <xf numFmtId="0" fontId="88" fillId="0" borderId="23" xfId="0" applyFont="1" applyBorder="1" applyAlignment="1">
      <alignment horizontal="center"/>
    </xf>
    <xf numFmtId="166" fontId="12" fillId="0" borderId="23" xfId="0" applyNumberFormat="1" applyFont="1" applyBorder="1" applyAlignment="1">
      <alignment horizontal="center"/>
    </xf>
    <xf numFmtId="166" fontId="12" fillId="0" borderId="4" xfId="0" applyNumberFormat="1" applyFont="1" applyBorder="1" applyAlignment="1">
      <alignment horizontal="center"/>
    </xf>
    <xf numFmtId="9" fontId="92" fillId="0" borderId="0" xfId="3" applyFont="1"/>
    <xf numFmtId="3" fontId="14" fillId="0" borderId="0" xfId="0" applyNumberFormat="1" applyFont="1" applyAlignment="1">
      <alignment horizontal="center"/>
    </xf>
    <xf numFmtId="170" fontId="12" fillId="0" borderId="0" xfId="0" applyNumberFormat="1" applyFont="1" applyAlignment="1">
      <alignment horizontal="center"/>
    </xf>
    <xf numFmtId="9" fontId="12" fillId="0" borderId="0" xfId="3" applyFont="1" applyAlignment="1">
      <alignment horizontal="center"/>
    </xf>
    <xf numFmtId="9" fontId="12" fillId="8" borderId="1" xfId="3" applyFont="1" applyFill="1" applyBorder="1" applyAlignment="1">
      <alignment horizontal="center" vertical="center"/>
    </xf>
    <xf numFmtId="3" fontId="12" fillId="6" borderId="15" xfId="0" applyNumberFormat="1" applyFont="1" applyFill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23" fillId="0" borderId="9" xfId="0" applyFont="1" applyBorder="1" applyAlignment="1">
      <alignment horizontal="left" vertical="center" wrapText="1"/>
    </xf>
    <xf numFmtId="171" fontId="12" fillId="0" borderId="0" xfId="0" applyNumberFormat="1" applyFont="1" applyAlignment="1">
      <alignment horizontal="left" vertical="center"/>
    </xf>
    <xf numFmtId="3" fontId="0" fillId="0" borderId="0" xfId="0" applyNumberFormat="1"/>
    <xf numFmtId="3" fontId="93" fillId="0" borderId="23" xfId="0" applyNumberFormat="1" applyFont="1" applyBorder="1" applyAlignment="1">
      <alignment horizontal="right" vertical="top" wrapText="1"/>
    </xf>
    <xf numFmtId="9" fontId="12" fillId="0" borderId="0" xfId="0" applyNumberFormat="1" applyFont="1" applyAlignment="1">
      <alignment horizontal="center"/>
    </xf>
    <xf numFmtId="3" fontId="0" fillId="0" borderId="23" xfId="0" applyNumberFormat="1" applyBorder="1"/>
    <xf numFmtId="10" fontId="12" fillId="0" borderId="0" xfId="0" applyNumberFormat="1" applyFont="1" applyAlignment="1">
      <alignment horizontal="center"/>
    </xf>
    <xf numFmtId="9" fontId="92" fillId="0" borderId="23" xfId="3" applyFont="1" applyBorder="1"/>
    <xf numFmtId="9" fontId="12" fillId="0" borderId="23" xfId="3" applyFont="1" applyBorder="1" applyAlignment="1">
      <alignment horizontal="right" wrapText="1"/>
    </xf>
    <xf numFmtId="9" fontId="12" fillId="0" borderId="23" xfId="3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3" fillId="14" borderId="23" xfId="0" applyFont="1" applyFill="1" applyBorder="1" applyAlignment="1">
      <alignment horizontal="center"/>
    </xf>
    <xf numFmtId="3" fontId="13" fillId="14" borderId="23" xfId="0" applyNumberFormat="1" applyFont="1" applyFill="1" applyBorder="1" applyAlignment="1">
      <alignment horizontal="center"/>
    </xf>
    <xf numFmtId="9" fontId="13" fillId="14" borderId="23" xfId="3" applyFont="1" applyFill="1" applyBorder="1" applyAlignment="1">
      <alignment horizontal="center"/>
    </xf>
    <xf numFmtId="0" fontId="15" fillId="0" borderId="4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/>
    </xf>
    <xf numFmtId="0" fontId="12" fillId="6" borderId="16" xfId="0" applyFont="1" applyFill="1" applyBorder="1" applyAlignment="1">
      <alignment horizontal="center" vertical="center"/>
    </xf>
    <xf numFmtId="0" fontId="35" fillId="0" borderId="16" xfId="0" applyFont="1" applyBorder="1" applyAlignment="1">
      <alignment wrapText="1"/>
    </xf>
    <xf numFmtId="164" fontId="12" fillId="0" borderId="16" xfId="0" applyNumberFormat="1" applyFont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4" fontId="91" fillId="0" borderId="23" xfId="2" applyNumberFormat="1" applyBorder="1" applyAlignment="1">
      <alignment horizontal="right" vertical="center"/>
    </xf>
    <xf numFmtId="0" fontId="12" fillId="0" borderId="18" xfId="0" applyFont="1" applyBorder="1"/>
    <xf numFmtId="0" fontId="12" fillId="0" borderId="19" xfId="0" applyFont="1" applyBorder="1"/>
    <xf numFmtId="1" fontId="12" fillId="6" borderId="15" xfId="0" applyNumberFormat="1" applyFont="1" applyFill="1" applyBorder="1" applyAlignment="1">
      <alignment horizontal="center" vertical="center"/>
    </xf>
    <xf numFmtId="1" fontId="12" fillId="0" borderId="15" xfId="0" applyNumberFormat="1" applyFont="1" applyBorder="1" applyAlignment="1">
      <alignment horizontal="center"/>
    </xf>
    <xf numFmtId="0" fontId="12" fillId="0" borderId="15" xfId="0" applyFont="1" applyBorder="1"/>
    <xf numFmtId="0" fontId="15" fillId="0" borderId="15" xfId="0" applyFont="1" applyBorder="1" applyAlignment="1">
      <alignment horizontal="left" wrapText="1"/>
    </xf>
    <xf numFmtId="1" fontId="12" fillId="6" borderId="23" xfId="0" applyNumberFormat="1" applyFont="1" applyFill="1" applyBorder="1" applyAlignment="1">
      <alignment horizontal="center" vertical="center"/>
    </xf>
    <xf numFmtId="0" fontId="12" fillId="0" borderId="23" xfId="0" applyFont="1" applyBorder="1" applyAlignment="1">
      <alignment horizontal="left"/>
    </xf>
    <xf numFmtId="0" fontId="14" fillId="11" borderId="31" xfId="0" applyFont="1" applyFill="1" applyBorder="1"/>
    <xf numFmtId="0" fontId="12" fillId="0" borderId="31" xfId="0" applyFont="1" applyBorder="1"/>
    <xf numFmtId="0" fontId="12" fillId="0" borderId="17" xfId="0" applyFont="1" applyBorder="1" applyAlignment="1">
      <alignment wrapText="1"/>
    </xf>
    <xf numFmtId="0" fontId="12" fillId="0" borderId="32" xfId="0" applyFont="1" applyBorder="1"/>
    <xf numFmtId="0" fontId="12" fillId="0" borderId="33" xfId="0" applyFont="1" applyBorder="1" applyAlignment="1">
      <alignment horizontal="right"/>
    </xf>
    <xf numFmtId="0" fontId="12" fillId="0" borderId="33" xfId="0" applyFont="1" applyBorder="1" applyAlignment="1">
      <alignment wrapText="1"/>
    </xf>
    <xf numFmtId="0" fontId="12" fillId="0" borderId="33" xfId="0" applyFont="1" applyBorder="1"/>
    <xf numFmtId="0" fontId="12" fillId="0" borderId="34" xfId="0" applyFont="1" applyBorder="1" applyAlignment="1">
      <alignment wrapText="1"/>
    </xf>
    <xf numFmtId="0" fontId="14" fillId="15" borderId="29" xfId="0" applyFont="1" applyFill="1" applyBorder="1" applyAlignment="1">
      <alignment horizontal="center"/>
    </xf>
    <xf numFmtId="0" fontId="14" fillId="15" borderId="28" xfId="0" applyFont="1" applyFill="1" applyBorder="1" applyAlignment="1">
      <alignment horizontal="center" wrapText="1"/>
    </xf>
    <xf numFmtId="0" fontId="14" fillId="15" borderId="29" xfId="0" applyFont="1" applyFill="1" applyBorder="1" applyAlignment="1">
      <alignment horizontal="center" wrapText="1"/>
    </xf>
    <xf numFmtId="0" fontId="14" fillId="15" borderId="30" xfId="0" applyFont="1" applyFill="1" applyBorder="1" applyAlignment="1">
      <alignment horizontal="center" wrapText="1"/>
    </xf>
    <xf numFmtId="0" fontId="14" fillId="15" borderId="28" xfId="0" applyFont="1" applyFill="1" applyBorder="1"/>
    <xf numFmtId="0" fontId="14" fillId="11" borderId="27" xfId="0" applyFont="1" applyFill="1" applyBorder="1"/>
    <xf numFmtId="0" fontId="0" fillId="0" borderId="23" xfId="0" applyBorder="1" applyAlignment="1">
      <alignment wrapText="1"/>
    </xf>
    <xf numFmtId="0" fontId="0" fillId="14" borderId="23" xfId="0" applyFill="1" applyBorder="1" applyAlignment="1">
      <alignment wrapText="1"/>
    </xf>
    <xf numFmtId="0" fontId="12" fillId="14" borderId="4" xfId="0" applyFont="1" applyFill="1" applyBorder="1" applyAlignment="1">
      <alignment wrapText="1"/>
    </xf>
    <xf numFmtId="0" fontId="12" fillId="0" borderId="20" xfId="0" applyFont="1" applyBorder="1" applyAlignment="1">
      <alignment horizontal="right"/>
    </xf>
    <xf numFmtId="0" fontId="95" fillId="14" borderId="23" xfId="0" applyFont="1" applyFill="1" applyBorder="1" applyAlignment="1">
      <alignment wrapText="1"/>
    </xf>
    <xf numFmtId="0" fontId="12" fillId="0" borderId="15" xfId="0" applyFont="1" applyBorder="1" applyAlignment="1">
      <alignment wrapText="1"/>
    </xf>
    <xf numFmtId="0" fontId="0" fillId="0" borderId="25" xfId="0" applyBorder="1" applyAlignment="1">
      <alignment wrapText="1"/>
    </xf>
    <xf numFmtId="0" fontId="94" fillId="0" borderId="23" xfId="0" applyFont="1" applyBorder="1"/>
    <xf numFmtId="0" fontId="94" fillId="0" borderId="23" xfId="0" applyFont="1" applyBorder="1" applyAlignment="1">
      <alignment wrapText="1"/>
    </xf>
    <xf numFmtId="9" fontId="0" fillId="0" borderId="0" xfId="3" applyFont="1"/>
    <xf numFmtId="1" fontId="94" fillId="0" borderId="0" xfId="0" applyNumberFormat="1" applyFont="1"/>
    <xf numFmtId="0" fontId="2" fillId="0" borderId="0" xfId="0" applyFont="1"/>
    <xf numFmtId="167" fontId="0" fillId="0" borderId="0" xfId="4" applyNumberFormat="1" applyFont="1"/>
    <xf numFmtId="43" fontId="0" fillId="0" borderId="0" xfId="0" applyNumberFormat="1"/>
    <xf numFmtId="0" fontId="37" fillId="0" borderId="23" xfId="0" applyFont="1" applyBorder="1" applyAlignment="1">
      <alignment horizontal="left" vertical="center"/>
    </xf>
    <xf numFmtId="2" fontId="94" fillId="0" borderId="0" xfId="0" applyNumberFormat="1" applyFont="1"/>
    <xf numFmtId="0" fontId="14" fillId="0" borderId="23" xfId="0" applyFont="1" applyBorder="1"/>
    <xf numFmtId="2" fontId="0" fillId="0" borderId="0" xfId="0" applyNumberFormat="1"/>
    <xf numFmtId="0" fontId="94" fillId="0" borderId="0" xfId="0" applyFont="1"/>
    <xf numFmtId="1" fontId="0" fillId="0" borderId="0" xfId="0" applyNumberFormat="1"/>
    <xf numFmtId="0" fontId="1" fillId="0" borderId="0" xfId="0" applyFont="1"/>
    <xf numFmtId="2" fontId="1" fillId="0" borderId="0" xfId="0" applyNumberFormat="1" applyFont="1"/>
    <xf numFmtId="9" fontId="12" fillId="0" borderId="0" xfId="3" applyFont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3" fillId="0" borderId="3" xfId="0" applyFont="1" applyBorder="1"/>
    <xf numFmtId="0" fontId="13" fillId="0" borderId="14" xfId="0" applyFont="1" applyBorder="1"/>
    <xf numFmtId="0" fontId="11" fillId="4" borderId="2" xfId="0" applyFont="1" applyFill="1" applyBorder="1" applyAlignment="1">
      <alignment horizontal="center" vertical="center"/>
    </xf>
    <xf numFmtId="0" fontId="75" fillId="4" borderId="0" xfId="0" applyFont="1" applyFill="1" applyAlignment="1">
      <alignment horizontal="center"/>
    </xf>
    <xf numFmtId="0" fontId="13" fillId="0" borderId="10" xfId="0" applyFont="1" applyBorder="1"/>
    <xf numFmtId="0" fontId="11" fillId="5" borderId="2" xfId="0" applyFont="1" applyFill="1" applyBorder="1" applyAlignment="1">
      <alignment horizontal="center" vertical="center"/>
    </xf>
  </cellXfs>
  <cellStyles count="5">
    <cellStyle name="Comma" xfId="4" builtinId="3"/>
    <cellStyle name="Hyperlink" xfId="1" builtinId="8"/>
    <cellStyle name="Normal" xfId="0" builtinId="0"/>
    <cellStyle name="Normal 2" xfId="2" xr:uid="{1BCD3875-66C3-4762-A236-2F735528AD56}"/>
    <cellStyle name="Percent" xfId="3" builtinId="5"/>
  </cellStyles>
  <dxfs count="0"/>
  <tableStyles count="0" defaultTableStyle="TableStyleMedium2" defaultPivotStyle="PivotStyleLight16"/>
  <colors>
    <mruColors>
      <color rgb="FFABDDA4"/>
      <color rgb="FF2B83BA"/>
      <color rgb="FFFFFFBF"/>
      <color rgb="FFD7191C"/>
      <color rgb="FFFDAE61"/>
      <color rgb="FF045A8D"/>
      <color rgb="FFBDC9E1"/>
      <color rgb="FFF1EEF6"/>
      <color rgb="FF74A9CF"/>
      <color rgb="FFFB9A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8.4573444412484808E-2"/>
          <c:y val="1.4553393976080376E-2"/>
          <c:w val="0.83570771460993321"/>
          <c:h val="0.9854466060239196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B9A99"/>
              </a:solidFill>
            </c:spPr>
            <c:extLst>
              <c:ext xmlns:c16="http://schemas.microsoft.com/office/drawing/2014/chart" uri="{C3380CC4-5D6E-409C-BE32-E72D297353CC}">
                <c16:uniqueId val="{00000001-45AE-4516-BCD2-F227BFCD1A79}"/>
              </c:ext>
            </c:extLst>
          </c:dPt>
          <c:val>
            <c:numRef>
              <c:f>ETHANOL!$K$19</c:f>
              <c:numCache>
                <c:formatCode>#,##0.0</c:formatCode>
                <c:ptCount val="1"/>
                <c:pt idx="0">
                  <c:v>14.98079055256169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AE-4516-BCD2-F227BFCD1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524871891013629E-2"/>
          <c:y val="3.857912292213473E-2"/>
          <c:w val="0.87750687414073236"/>
          <c:h val="0.87825897008136433"/>
        </c:manualLayout>
      </c:layout>
      <c:lineChart>
        <c:grouping val="standard"/>
        <c:varyColors val="0"/>
        <c:ser>
          <c:idx val="0"/>
          <c:order val="0"/>
          <c:tx>
            <c:v>Exports of apparel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TEXTILES'!$D$21:$Q$21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'APPAREL AND TEXTILES'!$D$22:$Q$22</c:f>
              <c:numCache>
                <c:formatCode>#,##0</c:formatCode>
                <c:ptCount val="14"/>
                <c:pt idx="0">
                  <c:v>4.4969999999999999</c:v>
                </c:pt>
                <c:pt idx="1">
                  <c:v>5.01</c:v>
                </c:pt>
                <c:pt idx="2">
                  <c:v>5.165</c:v>
                </c:pt>
                <c:pt idx="3">
                  <c:v>5.4390000000000001</c:v>
                </c:pt>
                <c:pt idx="4">
                  <c:v>5.6950000000000003</c:v>
                </c:pt>
                <c:pt idx="5">
                  <c:v>5.6970000000000001</c:v>
                </c:pt>
                <c:pt idx="6">
                  <c:v>5.3019999999999996</c:v>
                </c:pt>
                <c:pt idx="7">
                  <c:v>5.3150000000000004</c:v>
                </c:pt>
                <c:pt idx="8">
                  <c:v>5.6580000000000004</c:v>
                </c:pt>
                <c:pt idx="9">
                  <c:v>5.5609999999999999</c:v>
                </c:pt>
                <c:pt idx="10">
                  <c:v>4.3470000000000004</c:v>
                </c:pt>
                <c:pt idx="11">
                  <c:v>5.4489999999999998</c:v>
                </c:pt>
                <c:pt idx="12">
                  <c:v>6.4930000000000003</c:v>
                </c:pt>
                <c:pt idx="13">
                  <c:v>6.5739999999999998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D-4657-A5FA-BD9058084597}"/>
            </c:ext>
          </c:extLst>
        </c:ser>
        <c:ser>
          <c:idx val="1"/>
          <c:order val="1"/>
          <c:tx>
            <c:v>Imports of apparel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TEXTILES'!$D$21:$Q$21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'APPAREL AND TEXTILES'!$D$23:$Q$23</c:f>
              <c:numCache>
                <c:formatCode>#,##0</c:formatCode>
                <c:ptCount val="14"/>
                <c:pt idx="0">
                  <c:v>75.644307355999999</c:v>
                </c:pt>
                <c:pt idx="1">
                  <c:v>82.247087323000002</c:v>
                </c:pt>
                <c:pt idx="2">
                  <c:v>81.259191397999999</c:v>
                </c:pt>
                <c:pt idx="3">
                  <c:v>84.386292686000004</c:v>
                </c:pt>
                <c:pt idx="4">
                  <c:v>86.609650021999997</c:v>
                </c:pt>
                <c:pt idx="5">
                  <c:v>89.893039897999998</c:v>
                </c:pt>
                <c:pt idx="6">
                  <c:v>84.738049419999996</c:v>
                </c:pt>
                <c:pt idx="7">
                  <c:v>84.343616748999992</c:v>
                </c:pt>
                <c:pt idx="8">
                  <c:v>87.436219590999997</c:v>
                </c:pt>
                <c:pt idx="9">
                  <c:v>88.035916168</c:v>
                </c:pt>
                <c:pt idx="10">
                  <c:v>71.807795998999993</c:v>
                </c:pt>
                <c:pt idx="11">
                  <c:v>86.403237399000005</c:v>
                </c:pt>
                <c:pt idx="12">
                  <c:v>103.959902203</c:v>
                </c:pt>
                <c:pt idx="13">
                  <c:v>81.606597146999988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D-4657-A5FA-BD9058084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Billion dollars</a:t>
                </a:r>
              </a:p>
            </c:rich>
          </c:tx>
          <c:layout>
            <c:manualLayout>
              <c:xMode val="edge"/>
              <c:yMode val="edge"/>
              <c:x val="1.1862735908011499E-2"/>
              <c:y val="0.34767197069116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211051743532058"/>
          <c:y val="5.2607994313210851E-2"/>
          <c:w val="0.24742063492063487"/>
          <c:h val="9.9397419072615928E-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524871891013629E-2"/>
          <c:y val="3.857912292213473E-2"/>
          <c:w val="0.87750687414073236"/>
          <c:h val="0.87825897008136433"/>
        </c:manualLayout>
      </c:layout>
      <c:lineChart>
        <c:grouping val="standard"/>
        <c:varyColors val="0"/>
        <c:ser>
          <c:idx val="0"/>
          <c:order val="0"/>
          <c:tx>
            <c:v>Exports of textiles</c:v>
          </c:tx>
          <c:spPr>
            <a:ln w="28575" cap="rnd">
              <a:solidFill>
                <a:srgbClr val="ABDDA4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TEXTILES'!$D$21:$Q$21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'APPAREL AND TEXTILES'!$D$24:$Q$24</c:f>
              <c:numCache>
                <c:formatCode>#,##0</c:formatCode>
                <c:ptCount val="14"/>
                <c:pt idx="0">
                  <c:v>8.1604995020000004</c:v>
                </c:pt>
                <c:pt idx="1">
                  <c:v>9.4658750049999991</c:v>
                </c:pt>
                <c:pt idx="2">
                  <c:v>9.3105379500000005</c:v>
                </c:pt>
                <c:pt idx="3">
                  <c:v>9.6473533630000006</c:v>
                </c:pt>
                <c:pt idx="4">
                  <c:v>10.024617582000001</c:v>
                </c:pt>
                <c:pt idx="5">
                  <c:v>9.7622466060000015</c:v>
                </c:pt>
                <c:pt idx="6">
                  <c:v>9.115535843</c:v>
                </c:pt>
                <c:pt idx="7">
                  <c:v>9.3394036520000014</c:v>
                </c:pt>
                <c:pt idx="8">
                  <c:v>9.5646385340000002</c:v>
                </c:pt>
                <c:pt idx="9">
                  <c:v>9.2583285190000009</c:v>
                </c:pt>
                <c:pt idx="10" formatCode="#,##0.0">
                  <c:v>7.5391897559999999</c:v>
                </c:pt>
                <c:pt idx="11">
                  <c:v>8.8510388139999989</c:v>
                </c:pt>
                <c:pt idx="12">
                  <c:v>9.4361329129999998</c:v>
                </c:pt>
                <c:pt idx="13">
                  <c:v>8.4388061390000004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66-4371-98BD-2EFD34C54DB7}"/>
            </c:ext>
          </c:extLst>
        </c:ser>
        <c:ser>
          <c:idx val="1"/>
          <c:order val="1"/>
          <c:tx>
            <c:v>Imports of textiles</c:v>
          </c:tx>
          <c:spPr>
            <a:ln w="28575" cap="rnd">
              <a:solidFill>
                <a:srgbClr val="2B83BA"/>
              </a:solidFill>
              <a:round/>
            </a:ln>
            <a:effectLst/>
          </c:spPr>
          <c:marker>
            <c:symbol val="none"/>
          </c:marker>
          <c:cat>
            <c:numRef>
              <c:f>'APPAREL AND TEXTILES'!$D$21:$Q$21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'APPAREL AND TEXTILES'!$D$25:$Q$25</c:f>
              <c:numCache>
                <c:formatCode>#,##0</c:formatCode>
                <c:ptCount val="14"/>
                <c:pt idx="0">
                  <c:v>6.5358656049999997</c:v>
                </c:pt>
                <c:pt idx="1">
                  <c:v>7.3309049999999996</c:v>
                </c:pt>
                <c:pt idx="2">
                  <c:v>7.7750181270000001</c:v>
                </c:pt>
                <c:pt idx="3">
                  <c:v>8.0410699470000004</c:v>
                </c:pt>
                <c:pt idx="4">
                  <c:v>8.4601824709999995</c:v>
                </c:pt>
                <c:pt idx="5">
                  <c:v>8.6507926550000001</c:v>
                </c:pt>
                <c:pt idx="6">
                  <c:v>8.2525302830000005</c:v>
                </c:pt>
                <c:pt idx="7">
                  <c:v>8.1829451810000009</c:v>
                </c:pt>
                <c:pt idx="8">
                  <c:v>8.7653571200000009</c:v>
                </c:pt>
                <c:pt idx="9">
                  <c:v>8.214491099</c:v>
                </c:pt>
                <c:pt idx="10" formatCode="#,##0.0">
                  <c:v>8.2874788779999999</c:v>
                </c:pt>
                <c:pt idx="11">
                  <c:v>9.8263711709999999</c:v>
                </c:pt>
                <c:pt idx="12">
                  <c:v>10.257758298999999</c:v>
                </c:pt>
                <c:pt idx="13">
                  <c:v>8.7231181319999997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66-4371-98BD-2EFD34C54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7164288"/>
        <c:axId val="717166256"/>
      </c:lineChart>
      <c:catAx>
        <c:axId val="717164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6256"/>
        <c:crosses val="autoZero"/>
        <c:auto val="1"/>
        <c:lblAlgn val="ctr"/>
        <c:lblOffset val="100"/>
        <c:noMultiLvlLbl val="0"/>
      </c:catAx>
      <c:valAx>
        <c:axId val="71716625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</a:rPr>
                  <a:t>Billion dollars</a:t>
                </a:r>
              </a:p>
            </c:rich>
          </c:tx>
          <c:layout>
            <c:manualLayout>
              <c:xMode val="edge"/>
              <c:yMode val="edge"/>
              <c:x val="2.1783370828646422E-2"/>
              <c:y val="0.37892197069116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717164288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.10012639045119361"/>
          <c:y val="5.2607994313210851E-2"/>
          <c:w val="0.24742063492063487"/>
          <c:h val="9.5925196850393704E-2"/>
        </c:manualLayout>
      </c:layout>
      <c:overlay val="0"/>
      <c:spPr>
        <a:noFill/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</cx:numDim>
    </cx:data>
  </cx:chartData>
  <cx:chart>
    <cx:title pos="t" align="ctr" overlay="0">
      <cx:tx>
        <cx:txData>
          <cx:v>Partnership for Climate-smart Commodities Projects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lang="en-US" sz="1400" b="0" i="0" u="none" strike="noStrike" baseline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Partnership for Climate-smart Commodities Projects</a:t>
          </a:r>
        </a:p>
      </cx:txPr>
    </cx:title>
    <cx:plotArea>
      <cx:plotAreaRegion>
        <cx:series layoutId="regionMap" uniqueId="{97FDEA58-6A24-4F98-AD5E-902879752016}">
          <cx:tx>
            <cx:txData>
              <cx:f>_xlchart.v5.6</cx:f>
              <cx:v>Number of projects</cx:v>
            </cx:txData>
          </cx:tx>
          <cx:spPr>
            <a:ln>
              <a:solidFill>
                <a:schemeClr val="tx1"/>
              </a:solidFill>
            </a:ln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1H1pc9tGFu1fcfnzg4Je0T01maoAJCVZmy3ZSuIvKFpSsO87fv07EClbRBhLU6NXr6iZikokm7jd
p+927u32v+/6f93FD+vyXZ/EafWvu/7X935d5//65Zfqzn9I1tVREtyVWZX9VR/dZckv2V9/BXcP
v9yX6y5IvV+oSfgvd/66rB/69//5N77Ne8jOs7t1HWTpp+ahHK4fqiauq5+8t/etd+v7JEgXQVWX
wV1Nfn1/EaTpQ5XV6/fvHtI6qIfPQ/7w6/udj71/98v8y/724HcxZKube4zl8ohxTTjTynz8Ie/f
xVnqbd82ND8iWjGTUfr00Mt1goGvkuVRkvX9fflQVZjN4++doTui453L9+/usiatpzXzsHy/vv+S
BvXD/bubel0/VO/fBVXmbD7gZJP8X24eJ/zL7qr/59+zF7AEs1eeATNfr5fe+hsuzjoO/srKNHhD
YJh1RAWXUhO9FxhC9JEkFrUIJ/rxZxef18m0H6DnY2cIOb8dJEKfH/o1ds9baQ0jR1wyxRUhe8HR
+ogxRrVl0Q026unZG+V5UZz9uGyHzSD5/MdBQnIRVFXWlMHTyvzvtoypIyYtoUy+RQUma8eW0SNu
WUwyoTaoyKdnP5m0lyXaD8yPucywubg6SGwuH7p3f2Zl9LQ+/zs2nB5ppimHVmw0hu1iY4kjiXeE
JHwvNq+RaD82P0bOsLn88yCw+bk/fG7Rdj75X8YBTB8JkwmLM2svPrBoJlHQHb3Fhz/tjY3uzNz0
P4u1H6TZ8J2ZHEYMcBuUXvDWEYAgVGnYtO9O5Lk5s9SRRNTGmdoGAGIXktdItB+NHyNnKnN7mN7/
NL0P1ulbBmf6CHGZtrS5QUbrXWum5BFVRJlSi402zbTlFQLtR+b7wBkwp4cZOJ9m3RuiAh9jWlzC
iPH9NozBxpmmJOb2/Zn/f0maf4DkcQ5zPA5TUS6zsvbfOesyi4M31RdxJJhmlmBbhbF29cXSR0QJ
pqSUG+RmyLxerv0YzcfP0Lp0DiIS2JEadMDHhzSthrhdv6nb4eaR0sg7t3yAaZIZVtaRYkoht9li
OcttXivVfqR2R+/MGBM+TK26fSiTLK2fvPMbBNMchk5Q/G8eRdMjKanUUrGNY5qHBC9Lsh+W71OY
IXL7+SA15/R+7WdvigdT2rToExUDlXgeqRHCj6SA/VPmDJAXBdkPx3bYDIzTxUGCMSXP0//z/C25
AHpkUVNZSvxDhAb2TCDj5HSbj848ziuF2g/PzuAZSBc3BwnSl3rtv53CINtklFmWpNv4eMbUEEKO
pKUopXKGy0ty7AdkM2qGxJfDtF1XUQzjlbxh3MwQnSnGETlvgq+5x9cW4mbUAExrm4gi29kk+Jvc
/zUS7cflx8gZNldnB6klvz9U9bsf2fNzFmRngv8tOYNMn9OJnNlPNysTpQBmMW1u30dY8BygV4u1
H6XZ8J2Z/Pr+99vDhCqo7rK0CtKnpXqTsAz8mBZMPtECu2GA0kcWigICkcD3/HQHpteI9A8Q/Rg6
h+f0IOE5fsjAp72lkUNozBVVKHZuFn+W1ih2xDnYT25uE5+ZDr1CoP3QfB84A+b4MJOZm6z5f0MR
sCNtgl2mTyW1WWoDG6c0wEFosInoZoHB6+XaD9N8/AytG+cg1Wgqfnx4KKuH4Q3NnHlE4Gpg5/aX
2SwkO4i70RaxDb3507M34cLrZNqP0vOxM4QuPxwkQr/F62/rN43mkPlIhAtwQt+9zPNkFNy04uZU
h9vWpmfR3CsE2o/N94EzYH47P0hgLoI7P/DWbxsfKItb2noq2MxoAiUQH5ioKky1helnZuJeI9F+
aH6MnGFzcZjRwcU6SB+erMobBG4CTVDQGcG2bMGMnpb6iBJUplFd2AAzs2gvivMPqGxmMYdkeZDq
8lsZrdPqTZtsODw+aGhGtqjM1EWjnYNpIgQ6Ph5/ZtzaayTaD8yPkTNsfrs+SGzOsyao3rgCah5p
Bf8v5ZOX3811NAF4BAyO2uZCM5V5lUj70Xk2dAbP+WGG1E4WZ+X6/g0JaXRCQXOEAL25N9khJigf
bk39HE9WdBObvUaU/aj8GDkDxTncFqiTdZJXflC+pathR1Khy0mzLdk2S3MsciQmXhTx9Qa5Wdvt
FAC/Sqz9KM2Gz6C6PDlI83b58K1cV9EbkgUcKKCzdmKov6PwPIZGNxSM39Tcud/1vEaifwLoaS5z
bA4zLLjygze0a6hNczh8dKzv71JTyH1MqJaiP7zSc4btJWn2Y7IZNcPj6jB15fc1DFrq1dlb5jUW
UCFoHlTb+sAsfCbUPBIC7NtTYy6ot+eovE6m/dg8HztD6PfDjAY+o6sDxyUe3tDpoMCjOIwVl9vG
51kkDUqAcUa55FtzN4sKXiXSfnyeDZ3B8/kwW9bO3jrLUUdccbgS9NM8/kA5dlwNmtoVWm/RnLvJ
PaFcz5XnZXn2A/M0bobK2c1BhgAX63KI1+n909r875zAFEIjBsCq7+JhSbgYQtHMvuUCZrryGkn2
I/Jj5AyTi8VBYnKGbdrcRW/IPONM1AQJDNXcgAn020KBUMPeS9C8RpT9oPwYOQPl7M+DBOX3IcOZ
Qu/t9GQ62AGmksp/YGkQJsP5E86R72yweXr2JuN8hUD7kfk+cAbM74cJzKb+tFhHb3u8k4MjA3OJ
nPK793juXcDgHFFmoigqZwTNa+XZD87u6BlCN4dpz05jNEVnQfW0f/93H4N0hqBnkIOo2aAzN2to
i+ZqOq/21MX29OyN7rxGov34/Bg5w+b0QIs16K990xMe3DpCjUwQjYaAxx+4+V3FQQMhx/kcyWaK
c/GyKPsx+T5wBsnF54P0NJue+zc3aMg1cfQWfQDbDudZeDYZNAQBOK6+nwF4rVT7IdodPcPp8jDN
2lX54L0pG4BGDpzkgNnaxmJzhB7ZAPRxsBkN8LIg+0F5GjeD4+owazXXPu41eHdavW02A0JTUoXe
sy0BoGeeZqKdicKBNb71NLOs5rVS7Udod/QMp+vTgzRvK9Rsgvv1k0P+34MBqo4EegMJZTOFAanJ
lcU4nVpwp58ZNq+QZD8s3wfOEFkdZgzwWxmM2ZueWuNHyPNRwnw6kz7nNacu9UljcJLgEZiZQXuF
QPuB+T5wBsxvXw9SVRYP8bpbv2UVDecHTBzukPSJFJupDG4TAEcg0S+9tXez1oDXSLQfmh8jZ9gs
DrM+42Rgm+/q4K6p386UTeUzSxCBAPpRL+YHCiyUaRh6cQmd4fJKafZDszN4ho5zoDE0qr0XD31w
94Y1NAZKgKK0SZ6R/buZjTwiOO6hEWM/bYkfjZsvS7MfnKnw/DR2hs3lxUFatYt1Va3v/KZ6qOu3
5AToEW51Qh86WgGfnMpzeBCpSRNXdTA1KwS8Wp79AM2GzzC6+O0gMbp8aNdvGaNN59ZQyESj4H7C
hhCJY4U4yG4hlp5+/qZBL8mzH5ynecxQuTzMozcniAaC4Mm2/O+R8+NNaAgHTIaG2ee6glaBqWAw
NUFtWJwZHC8Lsh+Op3EzOE4OM5NB3/abNs9IXBmIozSWSX+0/u2iQo+opRVHF9TTJtg4mJcl2Y/H
07gZHr/9fzpE+M83DX6/iXGxrtfLxyscn102+PN3H6eOmyVnQ7fF4L1atKkTn97/+h5JjMRif78a
cvqSnTLyvGPp2aCHdVX/+t7QaJKecBVcI93B1YT4vg7nHfEWLlQ5MgXq17h3YDrmjqgunW4SwfWS
DIE6jvoqiQIEDoUQaGg1nSDCW+b3yzI/ZvEADur7/Ld/v0ub5GMWpHWFCSg0wuWbz02y4UAqKkqo
KzG0AjEpIBjev1tfo7iFj5P/E7PGMAfXb89ZMurWvxijEseJI5vxIhzS89YK+JAnp0Hr+g9+Y6jC
joKo+yxUKU+rsXZv4kS5o51C/IuShPKKlpU870NcYmbXsZE7tIr91qasNFbpGDR/8CpJLktlFeGi
pbpZ6VoFl7RXzIlE6dV23o50mRO/csQg2GXtJcJxLbNYma1KPkaRmX6su6651qmkoR0MXnRbDl33
gRulauy+lOkfZtG5t43pG9QuVKavY18l1yWtb6WKxtNKkf7YIpb3URZivDZJXF73HnNXTEP80a37
pdGx+kOU69HpOxY5rST9kvvcquwgKuLPTRD2a8tKihPcs+l6Nh9l/7Eo8uqjtKT/e5FEzeCYWZgv
mNfSlfYtcmOJwr8WvQyXrclbzzbMtD8vvY6eq6L6ksRB7dmEUKu0ecuoY7J8/IzCcOSYpP8W9X1Z
2ayNqhPTaIPzIkjDyE5zUX0N0rHz7QIYfomjMLlUXeuvjNofP5QJJ9T2B+Yt4lZZTphGStmhawQf
qa7CEyP2rrooDFdW2EeL0RehU4GLPDG7rDvv/bQ5Tw0SXPokkcquk264GeqiWUW9jpxaRvRKlX11
MtAivbAKszvnVTqcKCLZOuQs+xBqUt9IRePeSSIjWqY0ryO79Kk6TXLeXIykMFcFsYxF6sbpJ6M2
2U098PpP3H8X/zXQyvxM2yZYyKhPr5JKGJcssFaeMOs/sFb54BR9qj8WlUr+YGXQrojK00VaU3PZ
pdF43JnCWBqs7O+LrqquSJ1n52Ff945mbVDYITaOZ2tD6zvGwqZ0ipIUvm2MLI2dPvajJZep/ymt
WjOypS7q5eAmo52YWbtSlT/aOGW3bmmrztKmDY45E/klL4nnNKmZOAYdG8evvH7VE0P3y9bQ4Xk+
cn4Se7k6MVsZP4SpF340c51iT3njVSTCPLdD4Rp3KmMqsV2vItouOhn3trJEc5YG0oL98v0PQVTG
NkvccBEasfgjIIn5e9mH/bnUkbn0edVcBFYuejvLi/ZTaXjjn0WcU2Ebcd6f5SLwPmseiStVcLtU
uXfctlb6MTCr+pq2Pl1GgtWD3bRjlGBPppYtsqIZbb/uxUJWtRXZVZcanR0o6Z6yMHRPqSblqRjC
KrZVQfhou33RN7Ys3eQWZiT/OKTxeJJ6hblsm0QsAyM3LyyfpN1x0+a5YxWBWpb+UFwlXuJdlT6n
C1lI9jUOYh3Z0O3+98r1Lc/uVTPcSBkxz8nT2FiOIfFPhHSTD83YpqmdGFbnOq1RiHaV5oN5FbqM
EMcQaZRcGpHybi2SFrltyczNHV4ULixJkI+LMcnuY9RFlN3IpL9go5UMgEYE0SIcWuPWa6tKL0PU
710nNrx+wQISZs4YpgVd9X0xJnau8v4TjU3ye1m5aeN4OS3zYhXLTJj9BRFK9QGA85Kmp6uyzb1E
O143SOUte7OpzBu3Guggv3hWktfXNfOb9iQrEmj7hzGnlTE6tQqTPl/wlkbdTRn2nrrjXuT6qeNb
sdmJL0kbdoW1VLkwopXRNHV4P1h5TqJjnDMoy/Xza4B3/Mldlg9l4Pnb+5e///mfz1mC/z/eC/zj
xen65h9/4dzU5t7nn34KJ3yn+KWaf2iKA75/148biCff+/064pk339wU/Q+u/qdv7sQBd8/vUH6K
sR5d+uQm/zkKmF3D+Cx+mMZtAwEpj7TF4HOn8wO4OtqET98EAkhcUUZA7zouLRSIEBSqDNtAAGkr
w4kDHDjY0j7bKICgzYpR1Fk1XASqrdT6b6ICBir8WVAwPRHNphqXIVALRUBQTLOggIRlSrpIPCji
1o1e0pznRuyYeRuMt0I0ebSGSopqlRZDNfBFTXvh946RueY3Ly15ajgZ7SPrg/bF0CwibaTFSaeT
uLqIRZIbg51Fvci/iagO+2xhSBmHzPEsi5MHq8+GBi67t+K1UiJ371jCCnnpyaDImZ2QoIIoPBdl
cuUTs+7ShReLMsrtrBNJck6soYDIXpKQ4YwmLA3/Mqo2w5hnkO4JncAT7KwRjhbQKYbj0y1fWK5Z
4GSRJGh86asHt8vSsDipEx7DvvO2Kq2TsfLqoHPGIMeV17HpBtRd/fzxZDdwQ9yIO3inJi4Gjgl3
8enp/WeB2xgyVUlTBvchiVgUOHXGBPNtralRhKuy77yyXpR+7XG4NW6Mefqx42yoqAP7LDv2oZZ+
WkV2lhWsJJeoeRV47+dCYgs/XyOElIyh8wJ3b4L7n7blroy9HxjUL5lxL42yNenCGy3PgkFUvGam
nZa1lF8jYbo1UsLv6vYyNtNzuUY3KO7Fobh2ff7cvBkyKzOYuvcG7Dlpt2YeV3/43KWpZ3dh0ARX
qYvL62vb9zOEu/bPH48QfjZtC3da45oEzdFDDx3anbYn2sAwe5/dG1ZsFcwRnSnFGopk1KfZGFjx
ZWCQjFywqBiam6gyzdG30XAeY1H+W0nAoaAfGWf7Hq8FMHcl8S3fjcPBLO+57KByq4HIkUQrUXZN
xZeBcrn8WjZYgsKukHvIr5k5tKVetkFm5t0LqCB/2V0WQdG9jnOG05VRuHRtthtqGZjhEKXunavH
VJTHWZEn7rA03KTSw/GAcBJb5OfzJzNLZplC42rXR0XF3WJoAd5dAE+PodB5bXzD+SQrMU762p8U
IukzH1fkN13IR+4ECfxubveaMiyECEy/uUlyGQ4OIuAyvdGJn5TpohBZSa+TNkirbz8Xc7KnP5Iw
bqGKj6ZLE40w4PuhLTNb0nSuKs1i7L/1ZV1iE5hNZAIfE9mHMJDTsNa4yWlUTEpTd9n0K8i95gV8
/rZY4N1w8SfDfauKMw7TtrtYqqBVPVQy+5bGwoAND2G9xs5uB7MexBlzBex+5TU4wpqEIoVFLfOk
JOJEGaHRRnbhw9pOln/wMSoNxrg9432UZ8kLZmUiOGbrNV3nS6e7rYCwnPpYn9u+nnUpAueRfatc
Ko1kGdZVHjcfi7EO8tTpiqGAcIaVtHgvG4okGxbI/Abjpstz97TSZRx6TjKO5nCW+EVau3aqTenW
TiNMI76WifbGxEGJuYdJpEY4kPSDOeoY3xoFblcUL6gpAYO2MyH0feK2SC1NnP/AFXdiZjGwM9Oi
Tdv8qyUyEQonN3EzRGG7bqN16ZDRMmDa3WFjPeOG473m0ZzkxFV4q+9qJotV07GXdYjPrTiasxCM
CI30EwzE37ZF1EdV4vpZ/jUvoUXFklWR4heU+Gw4Y1UzYDm028bjbeL3w2DZjV92he/A4Hfy2itG
1zhBLhqOt6XRVPJSBXIKEHreJrE+jhoxwZNVTGMLDa0l2uu8DKPxdoxl1EW2GceT0wqw+gAoS7WP
Fxli1fFWJX0P7JgIB/yqRtOr1QJJMatW0mom7KLeCxBgFI+P18ozhs5WWR/iKzIED5A8MNIpNqhz
kUTrvpLIDVa6LUl7gyR2rM/LMnJLO46TkiKv89ykP/E4nOufqUpdftuaLcEms5SHOKMt0gwhys9t
w9xqYvUtXBmGW8O5JXFZyGxrMHdIPaLz+OtIkqpEAkRNK6/sLguz+JQ1yG758udPnFsjUL3cpAR+
G8Ut/bcnVqVZ+V3Cuj/Z2EybsWv4ZP5oZUVw3rIthPzqhmzEJuxoU1fehQXDgn36czGmKuaOUjBc
wEEt+ApcgkI5ouRdLR9Z2xSGlsltwtOkZnadNcJ4yAq/gDXyoyoly9K1suBjWykPFif3ReYtPVXT
NkPKbHVxa9fUK85iV8mbnpWxGpC5Etle18owAwf0T5+dYROZvh2a3A1ym7sSGe8H0zexD7PWR3Rx
6oZRPWl+i4LGFS7bs/LBZlHJ+vb45zOe2zWFcpQ5XdZHH88UIyfYnXEkkcl1RWV9aUEjIIgVZUkR
xLbjtG9BBINA8EnXY9v2kWb45dWPka0h82lLsybsqHvj9nLa0rQIxqQ8CXLKJhNZjJVJVkXc5lVw
PIohgta5XTLF1GRQCbTTIgXU6OdTojPLBnpRKbhNWDUgiEuJZqa6YGkyZmFKv6jaZ9CtOvcmAWqD
NZPqPuoxCg8DZHP9flJx2MrJpCBzhqMxfIIwnvRieikrIlDwsQ4tfhJ08bQOxdBl8tItenwq8Nk0
xcFLZLWKDKtkq1yVLaucAf4C031harMMAFPTBP1EBKoCIhfx3i5adR8RK26y4QtYvslS1WWBrTXG
Y5Dd1aaKaGoPdVaMtxZNJ/+YGBkBIL1MYm9YjokktbfSzGg68H9VieXorJBh97F2hDVJA1BH7THv
4nyybg3M5klA8w5mrUZEggcGtWviL+RYBEuReBxLUdeWb9SOiJsQKuFrGuKvzfpMpnA6/vuzSHum
o6g+4AocRNpCIe00/xbqkm7kcpCF8blNrAzWYRPeUl/1beQgs/S99CWzMHNH0yNBp6EsAreETrt5
4mWGGaLWvLc+Vw3BDqkHFJaDY/h+rA8Pc56JpdsZWV/ZMmYDFjxu3RQhC4weVqkr+7j+aMlKueHK
rbmCMYBCttclii/wAIkBxa/7FI5qC5tXdOBY7T5WKXQFWjTB4UX9BIQRBgS/9BDq9trMkgySiCiC
b4pkPeWpP19trtmuTcTkJycAI4HLcHGF1zyzQThYGZ7ZD599f5Cxa4MhZrnjdqYbXko68nJYFn4p
c2VrSnXo22VZBMUHM25YL+wc0Y5xVnqJwS/cxLeYU3RZ792ZQWyedG7D5SKy0iy+52E8ltdJJhP8
610jibsr3hKzHxcqTLXInQLxY9Wsuk6o9rIsfLfPbJmYCTlnZkn0Ik1LTRzwrU3p2lmvijG0/bQt
ee94fdRCGdqx7IbY7g0R8nClKWn4jYxBAHuO2ZOma45z3fnERfzmevVp7VuIzBxrjLtxRFqLrZif
9tHgNnZR5aFctdry2EIkRj9+7mRGg9uGx567YLymxBmQn2aDLb260gsd0C5yPBF7J2ghqBdFZnbj
matT0zwmHfHpyjMq5ZvLPMoS/mUQrRcZX3Rm9v1nMMisvjCqOjWu4TGs5l6UUpZfRqv10szOswyV
i0+6H+Po2A3AbqzGjKsks3WUMeo7VjlWhfpGklCl9z7Ns7ZfYKsMxYNuUNYwnSjuKhKe1G5aCLVA
HiBieewmRiQvNcjyKDpuJbjAGNUYlbIaq9wTpkp+MbKsxZYeSVnl/idcrlhLc5mmPM+t00a7gR+f
p6KPCm8Ztl7dteedcL0gWLk86Rpx7aaUFacy5L6nVtgrkkVTKcaEW48rFXTa9gwui3rhu+UYDqed
Vxl+cNwFCbyNE+mOw8C2edCIPzKjkaI6xeboDNfpGMIWctnkiLq0XQ9M9fIqppaFX/XmRSMIYryH
I+kcjxuzihffxqbQtP0QyjL36AnpDcOynCEUUWMd92lIktgWvJ38Ioj+ANPxmIBTWffugCu9nFD4
WnhXQ5d3ufURRY+wi1dWxAyan6I6o1V7JUMmAjDsWk+chFXWwo9uLc91jfGM87jCShlDAZN9Aatd
+OLMYG5pxeckKAISfwzDLlTusgthCLxlFqDTvnRgsiaRwBfHJl2anj8ExcLMo7BUqE2YYKH/oB5N
8bwkjLX+0niqKJwSqTdWlqomgAdxiPSnL4H8CFnsotBTTM/9CrN3cnDmTK5Cv5tWjMV1hF9Z5dfG
TZpYk8nnbe2h2qO7OsMGGFPEG8e1LhN8Lt9M1a/FiOUrQgs/8CWVi6fFPkGSmZJggofk3KfidxL3
0zqnXIfgkozGKAGFgTKSzx+KAglNsSqDAJGW0ykyWIUTKF80BhDkTdHc1mHaBCnWy/DH7NhvRk76
CxVak8gBkM5H1IeCDk9geKv45hr9tMFkaUzIi8HAa7FOpqVpW4KPwsWqooMMLW4kxRy38ylLxopv
INx8vCb6PJM3keCuZg7vNAggO0elAWux3T3uWKGes7BCY5qcWw+Pi9Fg15TONsbVYhTTX6wS0QUz
g9K42S61sfn40yJvPgemgEYXFs0TCEBSw2+/RYHMg/I4SNmASRd0xD+aaHuUeYF5gwTcy7QtNkBl
Y1tjqyHzbkrvNCV6cIVNIr8d5JVOmgyr1NIkxkdoDo6tdEBzuK22I3OYgl6URylejC3PLL7pzQpm
OTQIdm0zJ58GyNGcPEtlR06GRk3ZubmBdrM9pBvFWB/JA4xYCiueJt/Lwcc+9Ug5PcbnvsSLQ1aY
lv9lNALe1B8wUzYt72Yjjc3QQEpMcvoWEpQVxuG6A4bdVdX+JPpmQY2xG/FHFrOMW0vDRGkmPB1x
cW+fH3smSCSU8IImg07r0JuYj6oDvkFr0eIbkV6K7VMJRKyYfNki2L2qwGVPX0jb6Reqqwq/4tSc
1CEZxSR/2kjP7740sRd7wSr1FL7XLxjx2ElUDRapz9hmrwRhpWvreLvkOmxLiNMHLMKXwANkeHiY
BxH8fEuKUZpfELmFql3khVGngWNWnouHi9DHP3S4qOMc3GYMwgCUDWDym1Mr8yZ1buBf8Vo0NDJU
qwjBYj98YLqK++yk5pmZJE6seZy0tlt5oA2JJg0+79dFhV8IGkV8mRQN/jskHXg7YXYEVFEBLj++
bKPaBSnQlSGeTnwva29l6vbIAtxhnPZ+hzsOQBL3rKCwMKr040Yt4wQuNln2Rurq6lRouKr+T1P2
IeyNF2dZFJ1s6eSwjv0yXDV+jHz3buAV/r2ykzz0sRzH7FFnikzFWLDK7SJ3vGW+yrr6S8E6v5Mn
9WbqvfYqLBHL+zHCjCKvq8RSjiaBlatLPi0f6fNp14Cvmrb4hj9VVdRhBUhDp/nWQUDxq8QGx+dR
RBT4K4hH8Mq4IzVKNQrOwSCTC5aj+pUu5ECmHLYVTYV9tSFZRiLi0l01aVG69NRzixHfMW6oNxdp
OVjDQvAIFKVLIqS+SYLcKXXqGMSEOEsiOelTzbsAJLwXqRqmkkl3gM+rBliacIXMdlq8JmATVUAb
FYGLD+PUw3Ccx8cs/+wQnrnGh86tyjK41CycSMqsgbu7sCKXyfoTB401uMveDY3BX8kuF3G1AHWB
E6m2BRJIfuUeI0jJ4Qw1wB8NPmJWMk0mt5EId9puJS0JNt9mJcM6AxPNAjNg7YduFIlrfYrGpjNu
SgTTYBXGvNDyK+wt9pfR5SNWIOTmNAc3Tw0Yf6SXE0sVB4hXEVnrJOvyr1IPfkG+8T6W8aWURT64
K06zqjb+6lAx7d0lPBqLhV3F4L8NR8XEKm/BSHZR/dn0itDzHFcMzO+vOwuxTXGv26At6J+Vq0BN
HJdR06JuihJ7Fd2OvKE8sxt4hx7JPiEZYkrLErohDXZ5gjYUp8WLhtXaVofKVL/YzmSDZZGHIIgd
9CIO07QezU0ct5P904M3WRNE/5PyBlUyfQIdLFgzN6TTa4KYBj4xeMP0QZeBnUhQ3k6n2kYQuzlU
2UO06F6O9UDyZQhFnbRSJ9M72y2LmBKWSOPgMd7aUPCTOTU8p+yHklk2oaWpPjYofXeZ3ZkpCHs+
jK6mp12RTlruGeNEB1aoE+EXR1hWnxajif3NTdQfLsFbTpJHASqNX7cPEqWGSyuwVYybTcaWBuFo
RXaY5g3/FG0MVrQhGgvc4YTdYMTFREJWpSw5X6BMX2Su7ReyMW6aQOSYc92hitd+CKg3hXE+7/EM
q40nsZpHhTOyCH7EdkUzKXlOpzLjIu36aU9a7kijwBZ+lSbJ0g9jaONqsyDggSejFylcGw7zXhEj
PPMpiy31AvE1S+jB5cA+YAdTGDdJ/kYr+zX+sVLw1fTGzzIJqS3P66ENXQYzWxh80qC4BfHi22gh
mWR/Ibvbze2mx+McDP75gOn8Ep4/o9/Lps+MrrJAVW1MYwgOGFIgD4Am/fxRMwId2mSizwzPAmWF
/8oprX9WPOxUVCgXoeTTHjGjPsucInc5v0IH2rS7tfQnUNHrBIQzXnJAtjWOP5dll0LA0QbsH4VT
DmhuY7gqjNFdWdyWUdC3oXeDQ8QwY4EgUzxeVTjMtRwzhM4vrfPfH4hLfEAc4BofCnJxuh/2+eQj
v0TPV2K61+gggqPwInj8U2uIYOa2mv3zCZKJtvtR3plmCO4WnX34ZwgpmvzmRGYfh9xL61heby1G
548TaT9INgix6nml2lWYu2P5qenYEC6SJp3sOSthGoxq5PBHL0i0u9MhEVKp6WJJZmn0/KE6uLsE
gzaNzhpYcR1vlKpDXAcd75vIhV0PVBsAAp83w/9l79ya48axLf2LeAK8k68k8y6lJUuyJb8gLNsF
AiAJECRAkL9+Vto+0+Xuie45rxNT0REVFS0pLwSBvdf61ibuzDLG4YDSImhvb0ToGCxQ7UZ09vu0
j4G2VB5by1pjqx/x47g/aHjla4x+sl5++Vn61zb77z/EP19GXDgMYCaYNgtJNkSM6c/PgHN3nCMf
uGs7ydvOtP0shPSUDvZxDQqbIJ/3fy91gZLE66UEF/L2z+0Ra3++Xu5RjWBOp73+PvY8a0dREYWd
VVVmwhDk/9nrQfK/ZUlxYyDCkPzLdhAvFEq04wLHza0KRpF8uxq57HBfDNN4OzD+/Qve9pe/LVMs
CNhPt0f7gkdJoGj+k565rJvnZkvlMR8CI9M67/s8/pIZ3DD/6Rb815fCpSvg4GGgFprMf97qehr1
q2UZO/4qRVwKdQTrKBp7/Ovff6rfKMbfPhi0QrxUCUCGIBBSIFT955UjBL5MztvpYLaItNMuSv2N
RrCY+2nVX9M2wEOv1cSgrZZVTzd0i9WcsjnsLzitgeCwWkkN5ecuSqA9kIeepoyp44raIFVX6rkM
/VrTCJbT2zSC2GI7I6JkGHd9Z7doBgxKsqlvCpNCaruLfaji7KH85efJDM1I/IEOfTj6e8laVwKZ
sS7j4P+IAKpxRKOR877pAqFxKX4XKHmAX2sr+ausQIVe4LDIfm5jv1oNuRBs3UvbR9i60RreyoDF
RQEKWhUV6BOGyOIHUGJlNr/GU3cr5oJftY2GOYq7negi3Hglp7kPAflOBqxck+m8E7b6b8ljxLHZ
Vr8LmZ9LFc7agu93G4vbIZ6PDsoSeguZAewtFF6yl+gq3JnAreCs7nyP51odoOd3onuJUfaW8TVb
5zLRJ5GR4CYGTM5AZ11/9WHlsk7x2LTS9pBdocDkcBkq0c6FonVgFVtIX414+l4aPZRjqfNlx0bc
3ONzupZuU8/wG26OFmpAEmVXNU8wEZ65htrMGkBIwAn2rRnDUNR9iKLzrxWt51Sc08wv0Zcw9etc
XCGbUf04lKWQ0U4MU0DQCWPj8HMNphte+m5QK65ts/hoM2tFAigTrkZpBhCwXpOVLneynOZpq2BH
LxzddFkY+KK8JdMhId28vGekl2vb0AQFN9DGfOjN6wDlJbAVQNub5fZ7Lxrhh7Psruixb4v90HZZ
ZFFF/6yzIHzf6sR1mG+Hzq+l0f2sBoe8k2jZTAkiRlfOkKwPsZMxleNtRFJG1SIDVz5jE1fFkx7K
oNv3PGVp1TK2PKUrT0Wz8oUeOKDlIyfxduqNd0coGepjbrKo9mXaXnM+dwSasTPPFIv6mLBUTRXu
vvZdGN29MsJV48uQohft4vmAZheSUjSkl0KTL0ridhwWnd1lC9dNnrQtri4JzF7kPtkJxe2HTXQz
2aEqn3fFSuIOKzbrv7XaPkVhoi8mCdild9O8SydI0GBf2NEpWzZtuRSPuW5H+Pqaf+fTSJuu1axa
k2FoUlqO52KL+v1KB7jAAK4T/OliHepEDPl+wZ88FejH3o1X9gDugX4fS9kdpA+7rVpLke5bQdST
TqDNVx0kmqkKYsVeFr8VX7tgSNHK2/55KSK+I9FMzgkpW16pIIjvEsh0ezNPGHMocvoI8ZCDV5rj
8nsIqwf9TKjDjy4SLd/rdQh24dTPHyeXQHDAVtBMq7fneDKrrNJ+KcDQl7QtXjmg+/UEAsF+m6JE
hDtl9Yw2h/ftWjnM0PlRzGneNwENzLkvgSM0STiLR+8Awqfw6i/pNIdjTYtWfSVi0nces18uUxbe
VihNbx4qc8vZo5y9J7l0J6jfAZDluI2aArvf93BZ4qHatiJs0Tbr4G3R4/JjDAJfRzzcvk6TUBGI
Ag18cNsmrNy2010FYsrYRm+L9OfMspFVJNT8uoY5NmK0VLVb4i4+Y3xmp8/Gj2YfaRtd0q73FZTe
T+myfiOW0msS4vZxk50bSIuEV8z3Lm/SVcW7JJ+Hq24T87Zqj5qMwN5mU2UlGAhZ55ylugpsDPLb
jqqKo244KAgFVUT6+dGHg3yc2nWWtZxn9jICZ341XvdIIXjraxoaLSqB9wfHFeS0xI3n261OfLE8
lNHUdvWwOfFV9HqrYPL0nzBGaay0duFjCRPhBJq4qK0h9JzwIfk6FZm/E9D7HWyHxOJF6VxRG4zo
SC27y4pA8aoLZfnVBChqmgL1mahSMY0P2ZLJPTb6LKtLvuXHOVTtAzgdsB1La14iNeiDsz48CO2y
ryamLwv65Jdt7LfiMOpkrcTYsx8rvpBDO+fW7lAGrk+zKVNamWSEYysR5SCtcycw6fowog4NK5ZP
5Us5zOV77HX8LAxV725z2w+LBd64XEX3CcCCA8FJ0Yx+nJ9QXwZVugzuLjCT/LIRNRziLqQgsyAn
X9uVJDjLPHYkIngBPSiV2RED7mitp0EcZGrNC9iuGO/fReeQDPFeZPH0Bl1ufCiH1hzDtSuf+t5s
FzaJcedzbLlog3t+HRIyn41NlodhoubZFEXyLZagtqtoXN01WXvcPNC0PoTxbC/e5MuJLz5W0G2K
4UCzPmnQHoOwhOxRnrbA0DtKW/O4RUX7UkA6eRu3Yn7Ggc+OuNlyJCKCGQxTxvddSdM7ONxhXM99
2TXFtg4x1rsZ9hsLFFIwRfvAPPD+GmQI2ZtFjG96tglDc71td6ZM7AWgkoQ60KtnFm9ljz2797s4
l8UxhOdXO+QRPhSOxVDmTfA9oBEYtLs1TTZe1mvvUes2uYWkXdwhD+DyeUeUkd1cdaWmd0ug2QNU
lu4aJOvwqZvNV/wOg9DLw09TjwpG2FxcfSmAX6Y65OdS6eiLDahd6q5dyD1QH/vCI+fGQxt1cVKX
bZhfEqpMsS9JP5Tnvi10Ax8XcQIHv7spyq3PK7HNpav6mA5XFcDvv6zBmOO7zsgym7uxdDB6Qm/C
5TQkY/8h9knwmA8l13XmTat2banNR8G463ewfNf20nOpeBOYIQWESGkYHHKg/tvHtRiMbQ+30oM0
5egxfh5RIK0WJs8SPbnp6jBH5VKnvaXuHmqJmOrYhux5yTe11op02R1wPRo2S4gS8TKjEZ8/pRzd
n8E+YvScZiic2ACs6OjmLD+nkSeDeN7ilUauWv1ISnuOsNmRU5HAETiM3TqYpnVTap/KgEkBAod1
palMQFkn6yAp/ROPQc1UUZt0j2oNA2Rh0GiKmuRjRO6WUvihjgx0/Pu8w3baAJDbGgVl6yyimddZ
mMvzHKx+Eh+6NcjKLcbXPxDfN9BpenmjtJAl6T/McyKKuVkzkXURBPZJ4X4oYG/WNlyjfpeEtmvv
ZAt3tuoHyLz1NvtxQHBlhfGTWyGPA09StWMwCu8lh0zaCM/9MWZJWDRZQdockpgw4Ukyo2FH2jRf
q2iB+53N0XwN0tLndS9oMlV5ImNIcdDsPoU6MN9didIkNnqNDkrRMN4xBFtsVKOEawNVw5sHirZU
eZt9XINE5SjMbLHyrsZOOuMHFAk4BgpgExqLbNfqTlcpG0Nf7mSP7Fi705FXaXofBi6zLzBze3oU
Y5F8Zc592baWvbBWf2GlTkWFNqF/WsB27GhBzYHg8CDYJDID+yvfLt0adVcTc7t3rSlrPertFk+J
ia76Pu2fzNBljTEZEjkFT7C/urn/NjO67XPVwcZjnt7DYSxIHfppGZsNh03yUE5tjNCZMabhDloP
1gMWTAUebvkeKi0f9ThMxW7Kc3Y3qUE92XGa2c565ugJqjHLq6D35alXYmyiYez2cqQpulAS7sq5
VRdJ0+A+kj65RBqmpWITzOsSbVETRRQP27a5PWw+iroKD2Hu+oaUbpwQ7MvUFfzgMp+0WWhVTgvx
9SiZqJNscroqw56CIQUQaU9Thg+3WyFyP20UY4QofO/xIOCvNQY35VJtqzRXnPI4/Hkmu4YL1Bd4
C/QjTh2+t3mZIZCl20+Cs/ALlDcEsmRYHhQp+32uc/EQCGJq12ftKxn6l06ABGNo3PZ5RMWbWqJZ
VWms1FtMqDnbKKa+oohaFTWHOHqmOsKHZgQKN/euRrMbfxBoS85uCfk32cb5F0lZ+CrDeLlzcG6b
VI/qFEMy/gTxPZK3Pc3rKhZkvM8ojVG3YnO8LcLkWyJvzfA69LdT20fTu3JFwHddxmGEQkxW2WlI
B67qyXA/w2vaFMTCfBFhHXfYR6os4CK97/QUvbdti/Bd1OE9VKLL26KW+Ls15C+siXbV6anPbJQ3
cwuQ06DWkuzcazV/1uja2lrqOCZfcPAuBpk5RAyPwSyzZtYiOPIxjV5u3MA+3Jy0SGQG+kOaevFu
XaFxPKDz3CtLQUMpmsZ3sO7MRa+ASirDUNLc+cnqdxnNntcTZEZXcdf5b/O84l7BTYk+zWqomN8d
XCtXwZFzu0G4+AyRmgGZ4n5DMQ9s9AdCro7u+7ydL8mK/q1CGJfOTUfHIN0FYw/ml2wu/TRPXfeW
a+drOcVT05FgJFe7IKQJd60oQQWhhquyeWm7w4Ki6ozdb1h2fmxbgVKuROkJiiNQ17hdwqC29Ebi
rT1J9c5oh4QBiBQsojpp+1Yk0u2Zy2Cl9LIWEkWa2d3aWFfTdeQRaup4oNvrMNlBfohUuEwNugoq
saWVmdp0bULLuvUQkEgMyYfMxrSoZDjy+GsHbDQYkHUrvKB7GGbSk3vZqkyVNbptn+jKbm0/2TrH
gZuuTQv/qugqC5o7WZvBIdIoL2tBo5jUk0UDph86B3Uorjwwb2RzjdUjf2VMJoo1C24V2ChI48SD
qZwfVTbvGWq14WRbG/R/TePkXbprwT/1wy4d4bU9URLBezlogFLz0Jg1CYh4EFZLXIckAC5lBUhm
eAAOmDs+/o8+KHOC73ESw9qUuvXpawqXqX36JdYG+mY4zF15k0ajkHp9wUzQm3UPXuDmg+A+3PLv
LKHEZwdw1RvutzGcSv5m9dIGbTUUELoCdLZULBmOCGzH8yfbQlAo7mYUlP5KREnWpLZssqM8bHC3
cLVw5Akl3uPCDq5v0m6263CJLT7eVnEFymKqAb0glPkUz6nm2S4DqMrjM7F2XBU4JD6jxkHvwMa9
1oXAfhzMqpGgkO4jwFwo3XWJHXMtOYqoIjnwGQHEVUOFdVBSeQ2kynZLsmODT3i30wuImxLawaCK
uw2lX7GjQZdRuGCOltpWYTKWyS5ftzg5wPfrP+nCdi8B6Jq5ihTCZ1Vice/sQJv038kgUWWBfm+N
3KlsKtvGGXAqvtqiEebjltn1J2V/LjlzDxBL3RE6ML9ThCK4HWX2XoTr2u903APWciWMYB10T6L0
S34aUcLlVYw4ZlL5YZHDwcwEFKMv9DIgnOPkd70RKrG1Jj2tMpyjtpnjbf048WDxKBCCbocKFB0i
FTpNDyZL5r6hfeHfg436VVchW8bwY4FsetosfBi+GTwhzlSTcGgNhi1w6EYMoqI7lBNmOto2le47
C/xNcUFFHQ31Jlu2R07L0WDf27AAnBON5VBTkii1S1YyHcNJ5W+d65JwqnMaMVVDUOQpOtR8na59
kRHbRCS18yvQB2ATldGg7GowHaNDgRRG4Iogbl0ZOu++SkbU4fcehpuvkDLPd7nMunPAJgWU3aYI
V4Ct0z3QjWi1U1MMaQlLCtHuA3ILuDC5Z0EVg607jrobRW0hmL1vABawNmj5iFy/wufc9D4LtX9Y
cbGbpKQFMqxgK34EgJcgHgrN7gJsw9MXNJdL+5iL3tyqrjjiR1Qw2dkkecrfsUXG6yF2ifiolpje
A5Nk35kJ8c0Xy+aBq1ELZWTbuK80J8tL4VP7sBhE/68aMTa4w3mvsJvmPcIKMi0/hpAP86YUajmF
EC14s4CN+bzECXKEqZyS45AIATzRpE8jZWo/RwN5zcwUVmUODrE13QZCf9rWCpGj9YpMZcSbyE4O
oa5uACBfcle6E8sM6LRp2ICDMrogSr2U3Q2NQDeMAHG+Rns4RPBZ8fw0PjXM3UL2qHwoVJhZ58AL
YzYhGM6GdbqPrbZ3LApd0ZCU6XwPEEI/Lz6fQR3PAz4laID8S2LaglU9CvAPY3CreKciKYYKNfXK
q0zSEjiKHHnb4EAXIK8glzxsPRSAasu0znbSAbBrYtLz3TZ6/A5LgdMBG+l142L91zK1wy6ik6+X
OV3fcuwW7uLnweimG13xcUrNbPFyaTqiIeBQgfpI3ccdjS5F28kcmBBd+8qEtLwEQRu9rx2XZx9g
fgFYPVGDAYu+IhVjB/gMebnWPJ2EqfMl4Wtjl1VMVWeKme5sy4sO+6+Ju4sIozXdz9mSfgpoq/0V
ypWMIQYoxKg73YdvvATxUPUAMa4KhAnZ5Uu6oikoI6QaRkrSfteHon2WqTdLjXMTVR3q86aNzVjc
vrfswxIvkKHjSNFr0fXx6wjKglXOdm/x1KtXMytV4bkt0B5BVAKUYg5LvjNvLFgIQ23lgzpA5XFv
LOI9E3SXLwOzwckI3NSN4TL/MNtZned0RNbD5PIOukB+DCgpPkEx5jmWAcvedbTFO5+Q6aMza3SS
k5qjWrhiuVVrpAc6M0DiyaepOE5xO2TNVgYonHpe+sOQRq77iLQsbwzErcZgqSf1GKd2h/IlvAyr
asEGLuFrS1f/WtI5rPRkCaKTqdz1RUf/AlZMGswXmV8KlPuHMKHhuwKB/krwK8j4e3xxQP5fkbkp
7j1M/oN2M+66wn4FoDw/aIthEVUxKxLiPtgeShZIVDRh0h9wHpgBbcYUNxg5cIGKFtwtY2Q+C4gd
TeHRqIyYNLJVvg3Vp6DokifRxklfJ1D1T1oPIawwkJYyjr+tFuq/2UkNPci844CSvWvggSPF9IqO
VvX6o0kmlaQfZtGO2OWnorixSWZE/hmQgF9FP8JrgOGoPiQrUJr1sETIakRNrIif2xOxbS+2E0Du
dX6h3C/pt3RIlDwKVfRzUtPEkDloCpcmi8HmJUGzwNMCH4HZFDwjDcC7cEPZWJCV10ZmhviTXT1U
zCqLfLpPkmEpvmTDMGNTGbXsfId9LG1J2qDOA6fQBGvGGICWBIwVcGSU8aCqVmShcdMAY09SoKCt
Vj/IGKz51MDQBKi3m/SyyhaOJWcStJBm9AaRYw2OsEGYYBsZH11czGhheOwzYz6pYqFONDBiMWxl
j8gQ9+IqhJqsaqYFMxzDHdGxncZ3KzcXrhX+iuZrvagEJVm16RY7w5EizyzKGor17ZMkGSNld2iZ
d/n42WJKBCZEcFpI/H9g4fPMX4J5QsN8EetEu6z2pCxyt/8P9tyfARGYfwhQl8jK3ua0lRnAhz/N
uYGg5xBel9+IQIrkt+uNCTQp7CcT9wy051K4oa9Jn5gor3LTIYhUdfBRpnqOB5+/iJ9G179/X3+6
y3hbOXx6xFXxfGaYh/CK/nxbPF0RTWI8/y6Vvhkt/S/wo5dlh4UYKNhl/8Go/NOTv70iYtz4Nm7Z
YVi+/zyJB6JhMRPkJX70v17R/aJq4nQwsOanvE0wpmR2xAeIfHABs/LXpfg9R+nhlyP6azrQ3+cp
/H28wv/L0xz+GGv192kOIbTnvy2Ofxnq9I/nmP5jksOv3/k9yqH4OcQeYfvbs6Ei2OhYw79nOpV4
ineIYGeGkAySz2kJJ/z3LIc4+6/0hi7ikpMIkZbbvCd4ybehTjHmPQFpSEuwvBjxdRvA8N/DLP64
jJhj9fu//z7kCZnzP519xK7wP6ASCBoDcPqXBCcSIFGiI5uc0q6AhZACmjDD7A4bIlfnjo3pcQsU
4s5qWdbv8Obyu1QmaHOLMFw+KmWBAU06+NrlHRpMTLa6bkDPnjMBWaXKdIYJDFOSX9vOTR9X4fgz
xvXABLOOn3qWhV+UpsBLRS7ORZTtEDEe390kxNEHheEVF4tHpW719g2kfFBzymAcUi+jJ1AV8ozT
dLjQPO4ONsYQJBQ69yqNeF12FBuw6Ntz6CaovbwHNNsHWdxEAcvPoGPhGtHOf1C66A66K8q7dWJO
QFvz0aMPbAljUpL7cOVQowEAusqpeNxHedgdQhWx17Dk5TUM5EPo0eDQKHxG5a2aMENZOIwQNiqC
+Nxf8bqiouzXrC5CN0S16c0Mcz9MqlCA1UDSGsWn6bg9pB3R32F/jfvYIF8xctMdBqvky5iIDKG+
LhEH3XtxhC8MSjdZIJvla1jPYWQ/q4JT1Cft8jgrvn0r12V9RU8YPzI4kkcovOaaxcI/phm+HBCZ
fA/Bzl7QB4/vfWx9A2ki32vXuUMeSnwM5n2VyKEDTr/Ao5KJ/R6UccVNutZxqS8YlnBKAOXvLOJB
4M3V0Ewpve8l5oEFRXBCKSkbnOTbZzi742EcXfoXQ0WPrmvmULuT5QCoHsOBEJ9/QIZ5wyisQMhz
i+Mk2MWbsBdYSeITW3n5lo8ZQoqg5iGqZcuTdsv4XNKE328kI/fLRKAQWKikn5HZmu6EJd1TohJ9
QJETldWCDM8x9V0uKtnF8eO25vyesWTbr3kOkTTQRf4RmfkQfdg8Fg2fYnezk8lDabBWFJszWost
6b5ZYD5XioEkR/in8SWbdXfodQb5oMj564j8xXVgOn1EKbYdfbtCLghcfImW9MZ0KvYB9Pb0LLa4
rIE1dKc+sCc90JvUOaTFNRp19DaUYXY/skSeECTRRyE6tIM9pL/9krTph04vl6hdEizH0RwDMqPQ
ZvPX1qJOgSkgw12kaf4V1tOPdPT9ia0ahsjapyc10mSfF7po1nyIPsWJ/LYusWZ1wJLoLS+GZ+Xi
7dM06RVN5EAeVZtlA6o5sMdIlkH8vI1QuLYuTMN6AeL7Fc6XeMgZpp5VgLzLb6gP2sPg8Ets491L
wTHtysWB2REn+4tguIhLHPNTZiFaFwDYn/J4miGbIFNdzTJ8xiMVTyxasrNC7TqAc6vBtvQYgtUJ
+YgAafcxpd0xW5f5nNFtOKFsRImjrURZWsZvsyr5KQervIeINjb5NEOQHbz4qCeS/NggStWxFG29
tfC9oRXIV4An/iUfdPCoo17VuKA5QOhWwmFEY/wQGL9fumy8jAbdWF2W+3QW/YFCl75HQdrBcnl0
lLrXAHNeENWKw0dBkBoYEAqd6m4h7joQZ77FM3pympAGenZ+gI7nd64LbbBDyq54nTGURgMP2TqO
CnJVAIlX9mGblDwEfgZhs65pXhvns1t5BtKXYTCGHbYJPaGytmjK0r2wbU1E1ckSfZ5hUOWDCeOk
OttvF4U+834dKHIXYfAqImmKijG0KRiflVfYAUhdmiGru4B/hvhOTh1BA6aIGKtISPXeAWK/UNWW
jylkjNM0pb6vYDXOj3wOJJiYoU7RVH/NgFwcBEmLBwLAYq41JOqrKxSpC4xH6yqkD7IdTNvyU4lT
47qB1fhsioTf9Zv7UiKiecSJuNVoId11YgnHUlrE3SQy8PRrUN71NjEPs6DjvSDLiE6Sd3ALer1T
4cT2YQkZcotavUunMf4slz46ZjM+paGF2rdeRD8wYMbeLxj58TWJx9vhApv4tcV4vRfEAF1XZVyW
+1iU7ABpFFLXypY6CGn7EIb8xmajYnds9E8YxzVVQ5tuzbrOejf5qLgUt/K58Z1qP8S5WLDQwgVc
VZLCpCd2O6wstocBWvxJlpt+6Sy4mFCLHVKK24N0cbLTDpNoEAomG+SaYEjgKfl9Nip3DR2LzmXI
5Bf0W7JZQM5VLsRxy3GLXzDmQh/BCyJlKUdTvsks400/LOS1o4YesTO1JzpHzRpl6cNmRfBNg2M8
a8Tc93Bypg8hH7pTmgQIBIAQf+zWpXhhS0H3IRnJU+s45ECXw3hZ4fjt4zY3V7OO7wP0lW9ks9j+
rZk39P0+YQeM3wibDdhihZlkl3QgEdS1ASYEOO/bDKagCgcLsKKXnDyi0jU4+4VgzzZFIVIJCxOz
HuJyfhzZ2B1Vi1u68jqXstomA0Ewp8X4F+Jh8uS6NqowbSG44zAUYcj2D84N8jin9g2qMCYvqps4
UyAu+i7n7A3e6ldC7V95t71hzMPHIUSfj7iRxuuN/clA79khD/scjUyfdZvnz07L6JMUy/ANU5b8
Z0Pxi27IAix1vs5GnjXDp7BnPU6jmw9dhkFv2T1KLQgB0EYRz9zxSM0J5F7e3nmEmKCQeFs8jPO4
Zq9TRv+yYGELhJAXXDiwQpHeB4AeaqrIAYkpvR16dIj3XI+BetPYQFF7lQ7ZFyr3o0SY/VwE0qDL
ExEM2FheQrYOZ2t4/oYBmeMXklMMEqS+7S55m4bmGZpfSw/dJrttqOEIQvHFnIBUfC9aPwUv6Uh9
ugtbhKLBGcH7Po05j5sBY0ABpKhh77Lp84S4QWU86xok86GEseQz2o7lmHGNFGY/2yt+0u9LMPg1
XN4zN8mdLSPIXiRQaSVBHHyC7h8cUYu8DFvb7VoMPTjjBEHsKuAM0FAX1mwI16tr2Xg1uJrnbUaO
puXL11vY5mzKLKimJLCHcPAr5NNbuYWhExbByNhcOD9JugezjdSpovMR4FhSg2rnhwk+X73S5LHf
2qkRY8BOW4IIMdgfiqGYET/PBHhM2GGgGRiqu5ZmcLHBnH+xcdbVUC7XAx8dh7qHgX8AcejO8E7t
FppojFRsJQ4yqmH74zIfLdER5pxG/QFjrMhfiYUYUWupYR5XEDvC71kxZMXnidghn77ZJB9l+kJH
+ClzzceOIz73szX5/03cfxjNm+KJO/+uiau/YtIaPDAOCvsfbdyv3/rdxoUhRi7HBSDv23iqW7P2
v9s4PF/uvxLMi7/NG/g5FwUN43/P5o3QqwEQvj2WGcPVgGz/o43DHL8YfzAvSAHUHsD9/6SN+6ch
QT8B9DBCkgk5CYK5E8lNsvhbaAMHHYAfa/11WGKM6Fogs1YqRp62lvniHrMgXc/CY3/cESJnlEqJ
e5HJhG15Kofx89++vf9DUxn+KVf8fDcJps7dhBKCGju76Tp/ezfJsGr5v9g7s+W4kWuL/tBFB+bh
Fai5isWZFPWSQYkixsQMJICvvwty2+6W73WH3/1gRzgsicUqFHByn73XDiBUMtKWxjXOORKGg1ex
LZ5GprRwVPbw5o21loat9PsmIjGDzkj61rORZr3yI+h7/ZZ/I2FrUhTG8+JovrGfXUf8MAj/Tn+h
NJm/mM5/GvjBJ5D6IOak++YvBn47Ze9NOq2/Em+P441LSP95tPmW7hjPuGuN82Rkm5THD8sVF919
znVrLxF5DfwGVf/B/bMzItilzgafU8WqTSY6RszWycm9Vllylw/YltiedRscd8FLlzRnAv3OtE07
zb1J22SU+3//Ofzrx4BQpXt8EC7XBiyOP38M3qyxHauL7grFKnipYh/mr50zI4V1OUx3HK2Dx1oY
xZd//2P/LI853Bg95g0PFi/XIv+1vqw/fPo4KWK77uLyWvqLcSWuPFxxhxMAF8nLv/9Jq9D2B/P+
z5+EQIIyhooJ/PqX66wuibs1GLeueIHtd3gVnJlF789mmNfJVm9I0kaWPvtVhMtTyb+6aH7N7vBb
mrrpwFm0XYCYv/540hIpmhx2wPXODfdscN5zOq2KPRn6bst2qQpnUM/JXhXNz1N05f1gPQ3+IJjt
y+SyYI4slWEdy7BvP2NJMq1N4s/zj1ob642u4WmLHPyd7cGx3GX4C1HR+NcPimQMtw0yHUhQaE1/
/qB0d3BKB6rwjTEI+Z6ylYEzreU9wye6RRmfVJLm30hMY+RdGpKlKMZpxKzsffbeslTRnMQe+n42
/kjJI36MDnPT6d9/xASOfv2Q0b+4iNaqO0gcjrdiT/5wObktB0nCxdZNZhNCC/xNHyTLfoVtBLt+
HAbSkI1+P8rZGUA2JhyVjHLfmW29LxC2gGY08qEGLTqFXqHiV5XJ6jijoYS109TPmDD9jSAuGQ0V
mhXcHIu9m8i68qpqrWNLxxkijo0gAwBNDiOCgiyBCvfFg5nFd8xb1sQ5y2uuvWieelNq1sYdTd7I
dDa5N9jDsoS68rNLkTj+m9CxBiWub1wWtPUgUnrCioRrPkU2adm8qdlfNoZytM2STd/rDqPrQFZz
FZF6bye6ZkB3Mc2nJgHCuhceGO6Q04r4FjBM448pG+3rIDFp13h7joSR66PRBMVHOtYu33tL5o9p
ICYvHFlMnFrRDhGTYs2qyAxuMaMBM1dtszOMyRi3BaohblAFiSIazURsZWe1WG6CW1SBWN+Qqe0P
PGpMFZGod1kcecWXSerJ2WyD+hFUtLMfgkwzSWvK5d13q3aLWpMtuzH3453GxuYd35b6JF9TOxFp
GB31LDbHeDf1AJQtpdR2jsfB37WVSDZFb8lDyR8lgWi3FW809uwwQy/UWLorFgCVMy2h3Rcisnqt
lLgB8m28ZtXulWXYaDstUYyMK6nfWb0KOg4sHmxsttOFIGHX9FKGWP1wUn4kIjHN5a1T2rRupoOW
W3n13Zxl1lstRplhqPVrn/cEVnA+NMuebE4vCDmk+Nwzs6gedU+zjtlsWUM08BkI3H56wHY+wTgL
2VzwPOyLXDVbYHaxHrVFb4jbpNFdbOv57KlkM09F0F/crre4opTgpKuigWfhztWSTNxybrTcOGpQ
dbjgLFh8u7JI2yBko8M+fzthfYs0EaBYh7MgIEySSaCEJgFYSaQNr5DbTjAV7DizyCXyF4c7Zmki
90UyabUCL/wcd3dYLQjeVnHqf2oD2H99o1dmT7LDH/yrg71UnErL6z0w8eXUNct86HTubjgh48Qj
O92NS7ML2q5Md3Phyvmgd52sI8dkuxx5DNXFvoWcokV8rOarVsvF2OA1yiWEd6lrt3jvNKz2fVm+
ZlIG8mi1QV9sc1K5D8vQWzi38WkY50QlncchMTGTfi/asS4feRhbJ9ZmZr4bal7BtuqLeNn6xrQg
p2RzrW6kTzhjq/FVaYn9GMOpBb1cbGJhxcPGI2ZXh6nXMZ+UgHWXH2wwA/QrXoDcwJBKmqOhp/aB
fVDuRiRjGmuTVqnYLIPIWbmqtg6AzKjMjiySwXDiCTxqZ10U9s6oBfZ0Lwm8emtAxqyOSWqoeJsH
dgKzjj8XrjpzyeUTk5icVIqjCDOc9rVlGTyDM+B7ZF6NBaBmGvqjrVlPc6HM4erWAWp0ydL0xhlK
HkkxizH+QoBDy9pB/DHKN2x2ZXJqoKBMu045S3oGOtY/2eza3p1J4LbxDS5e6AeEqLadu6S8eGJD
hM0saGsRe8dtCvHmrVCKySKLs/GRnaD6VreJhe1OxWLrg/DFAOwL/h2nqGAele1oXDE2WvZ91zvG
k9FjXwsVx2ofLXv20MZMmaWHFn8oyr2HIeY21bzgpdSb9eLMsqbbe0WXdHfTbPd+pDeKzyZRJS+s
wtBvnHmCBS+IlVzdkrtku/GNYKqOHNmEeZe1RDYeTL8M7ONkZ2q46ad+HT7Ra++cXHOnbYV4pI5V
tSw4z0zZL6QOvPWXX1+64v7E68K1cLWdkt9iaJAcwySv8iUK8pGvTl0gDNyXAIFw5A5MBTH/H/dU
sy+T28awZxbpVp3ofNwgx4YbqSWYUpASGjyoOgTj7Tw2hLT43zim+Y24geDAW+fkvpQvePKCEzHc
1A9h6uRcF1ib31WJwSyc2mx+sPpJ784xY252rmrCoY8+T4t9V+rGtQni5s0m2tas3JbUPFV+HAxn
GJ4YIubWa3DOkv7d1yZv6+oLn7/nRe7cTUOHZ6gBAZy/KlfG3QEvrvyEGbLeQziuJhvOAT6qIlGn
blfDSX3VdCF3UtUx3iSb29zcquQhJVJ3xvCYORvHbE1gBoVj8zhKzOClhRUbbwuz5GuyaMIKjnZZ
Gc0PyQ15PvkGl9SWGAXXSObg3tvh5xu3PGRUczbawXQjERT9yJPWGnVG7yb72gZk1LSZMf20BH1r
fJCZmjtI4YY3Eskw+acmaaxJG0Xk9FjzsSD64QaAzTWO/c00ezjVxq4Jfa872JKN+WFRa4IOs3O3
sDrKq+qmdCf7QkuFTYSgKeV4joFLJZHvdDJ5YhLpPvS1SAAZLe3GME86hQdJjX7DU2BuHtmyGekX
o0I3G0OSHvn8XPcY9fnH0NhRiTFhnDRRq29JzEYBoE/nsh8gsnuPaiOWfYtBO92my8BFmpp9Zt1N
KDzOVbr16gKvR929sY2EeNvMdNNtFaZ1xHi/ZEeHi0Vy7+i6YmtM1tRuxoK0x36By8ZLtafY28wC
h1uEruE2r/hyjKcsabnWeNIFL1zrsrsrgxJ09GDWAUgTmeCen4a3eG4dalbcYhXusYmrjSI4a5Pj
KSDrNaILsLvGXNHbOrX4NDk4zNMltfq8unhtnVh3RB4K9whADjNjOk1afJO3Wq02ssM7irYvh/6m
YNXHMRJIzK5L/DwhU6nrx7mx+d7PLtlYuJ2JR0Eeee//Kil/oaQwgK+leP+Ixv/LPvxYqT+JKL//
hd9VlED/zQBXAg7zbyvtvy/CqXSzuTsg863YQqIu/1RQrHURzmkSpw0Pf391Pvy+CLf13yxyrAAK
6CRY+bfuf6Kg4Jj65ZwR0KXJuMS6nSOlx2Pwz+cMlMt+LL3UP+mNxN5CfHGjcjN/mCwn/5DluBwV
+0UvAoFFPQzCfX61LNm+ZZnb1aHwOu0OOgVesqSexzsbuMtLvpjCPjdcut+TPs1ilnBWIyL6Pywt
ajCn7waMdlvBcvJldnp1P7Q1e2zOAYU4JZlffIzj7FzGZvBfkqnK2nDBXSfDnpM8Ju1qkrhc1DEJ
7PQ4OmOxxXHVUK0ChzENS2m5H0SBix+l7h3joliuGdDQ1z5t7IdcaMOyGcZafGKmlbex9jOllIAl
BffytuBbf7dFPL5OMX43c+6ST81iWxgGsYOjvZ28O5IdgdxMs9XdZewqbhavNSDTtfb8ibdau6f5
QCGAjDK+jppJcMSuPTeMO58Ti6os+2ImWU70iJhiEE5qSN6XOi4P+JS7rUOl1BvDRzxF9N34+85z
8GEG0i0eZyNJbgdnODoVK9UDSbh4Hy+BT0DKHvd6xWRBX4t0H2XCGnK/EHj2WKElJvosq3KqavLS
iDeYwYKP2dCnOoIu7+kRDoXh7AYtkFmRNyeGt2ybdTDxcURXbMeaKTi3pBhISc6sOPWg9sn5sZ/Y
CdJqD6NH5VM8J0zumt59SzTh9wQoZVFFOKTrx6Zga4lW+LP9gjcnKIjLadTU3BoeFVahHy/ZberO
FdUwjjd+KXDihe7AgHM2korzX7LM7ORF7AUna+WRb2Kpsm3Rle1tSUovQlVuYA+TJtjYakqqUE+7
/sS+EsOcm0zxnd/Xn7QTzcNB75eGVJtvVZ8E1gpO+wp2Jty9pf9etparHYTwixcxTNlxtCAVgAnK
LFbV7vgOdcsnI9qOGyYLh6W9hSc4sxprZ1SBRYiIAfZ2QUnIXho9F9N4v2h+WvFwWbS+x10wpg9q
9pI7SdbYKD74dE1lRwkPE97byS4TrbvohOKr9MpBSAoc0U2wkZgusK3345tylHv0Z8N8jn1+Bifi
DUDSR7RMZoPSMiCEGVgtDqI02KZUQoaMjG40opKd5t7Od51kG61laySsaiN2OES9SoNurYDHNwRX
yZRlCDCK+RxqXm9u0ykYyKNYzL25cTbhat7gj2R1WtlwPoMDi17nstQES2lTAAin03XFLoj3fTUM
yHAkz78p/ZYrEOyDTjatmt1N1w1WZLUi2IFX6k+mbOU2zWbvaE2BugzWgu2ZtrB94wxDH1Zyac4u
p/+TmQ3yAei8zV68cp29m5X9gxZ090vCFzOvsk8AMs9rjtkt/PzDbyt7k7mECas06560AZ9mgS05
6kq2Y+nkGI+tnXPX8mVZELmy4Uq4GWZ6dELsmrHPwd/u8dHmd5ZdvgQ20cZ44YuNze2Q9fEDJoFk
Kyt4CKgoZZSlOqbCqSv8Q7u4Mppyd323K/WkW1ay0cc5gHNnL1uzcMc9E6r54NZY2Lk95dvZbh02
+LbcuoDwpzAGJHvjBBRXNWuFFTaG5dUqbPuLJ9m2sm0BEruWXnlD7z2B9sI08rMTC0YS9xTvZ1dW
utZm6cC8a775lGmtoRRkEvZiy1q1lce1f6jW+q1hLeIitEMnV7zWcwmToq5+reyCPheTgs+bq8S3
tPfQrM95a76zryZ4R1x0x2lpCfHg9ygkayuYtRaEqbUqTPxsDXPjgnfb/Nkm5q/FYmm6doz51to3
xlZ4ihBUygt5ge4263z1MULY2HIwZwPYU1umrwVmme0Ru+koNQOh599R30LTWczH/wUaFFb1Qbs6
OYVoxlqNNkMUeDLXujRKePo3dBz70SMnc980Sbyd14K1oraHm3Hp/WOm22SRi7WKDQMZrWxWkg6P
6VrV5ied9W6t9W2W1dD9tla6+UbdYdByjNsOCGY09VS/dWsJXPyzD06u1XDkPPoLDp+RUFchDvpa
ITdmXb4hrc4tk345Yy2aS9fKOS0fPIJLaxFdvFbSWVlvMt6tRXUE9vE8r+V1qVmI5+Rno52E4/91
Tk2ybqQ30ou5lt91poCgsNCIxwoyj5a1JM8aLTOqRUbao/jZouc13XOzFuuxBlWXRVW07YG3zLje
muTBcQfj0Yyp5QNLXm9m5CDQRXOfvNbNaoBfq/yoBqHVjxsTrT5r1V+C/eXJSmz6/waXKkAcXByb
THtB0wWDid3+vh9m8rJxaxl9/0VviB+a8J0UgJEvKPRFeagmr01fbccUZU9XjzvwJMp1P7tdqmTk
9GwNcjsYbrOZrXFiWga2/OH3o7sVObgJqIDcgrFaY2Bq19wkZNlhr3TQEVSP7WlkJLoZp+LIR1ls
hrIs7q167jdO6Z2GWKvxurTp32DU/52P/3I+9gzmxn8zH3+8J/9oGl/rwgz759/4x5rR+E1nncCH
xeYGjzEbjd+HZE6kv5kWzy+EWLK/aPl/XzIGFIBS4cOZfUXUMQz/c0Q2fgsC2FS6iWK1Lras/2RE
Zqj+ZURe/wX2nHTAIJay8PhlS5YboiFnLdyrk9gaOMxyas74JmZzy3ZudtYKPlPmVnnCDs6oRsWV
E3wzTO9HUi3Oow1j2YnAGz2xTZlec09Lz4x1E6EcvEGCpZTLbBssXUDtl7XMPNYKKhqAEyjVPOtl
I7QQNa6w5DkP0m4/jnhHILEnZJ9UU/i7lPDLkdogK/JwkkRyXuc8Wdjo1NwgkdZMaDzBcJ/XSAEh
LiJxKay6vnQDYubsjs0JAo76QBf7asve/7BJoiBuVd5er9P6aytzPbId6R7BRLxbRMb4ff1kxjVq
tsl5mZPpoIPbwIPva9cy08SEO2rcJSDuWhG1AbcWojL1YMhx53TEBEMzVdmtliTmKwvGiz1Y9cZI
GUk7QD8Pc0dapR+akjCC/loApH6e4AvdTuW06jPB6zSRPx916FLWKO/tTGsO+MDNawuz4jgQp2C4
TvFXjQSpwAmkN0B63oOeiYL3GqNU7eZnRoxgX1Ta+K3LPXEEMGztGJALNJe0pUHRN36ADkX/97u2
OgRm+mMYzHYbqHT64hg+lpyYgw0ag48OLQv/q2kOPEU88PKTX73KVL5Ch0tv6E5hD5Ko8U2QPtqS
EyU4l6fst+rV4geAc8RCJEdQIFYaYA1cJtsNhZ7Ux/WKfG7Gzt1ROYcTizgZHDJzaNIQmw7GmwpG
Cy0KI3SQ0cL0URccJ0I3N+IHOzfyOwIiy61QCUP+YjeXxMIdh9w2OfwUq9rSpmbvodoDYmJ7kz4q
tysujqznCxx964aHaLZzeV7csRhpd2XXkUDGvliGWG6oBcq1+jMATDOEsbKNPaRtdWkXkR4mp+wu
vfCXCpedikG6F1pUsL2gqKMnCozBxzsbdcCsTqBTR1mcdWoxA7xybWnqZQTwG7S63w0v1jQPCmwV
kTQK3ZqZvIVHpA0eGGAA04lywF0ZQ6IZnEeJSZh8mj0Q/22qdhcoRJWGF4WNtj7h2uqe45Z9Yzgy
4n1Ww1JtAX4FBwzP7gXF5sNd4PZZBJpZeeG3DqnnZXvJaVVGFgIZnbB68JqOmCjH1jvXokzvWGgk
u4IC1m8j5pkdrB73O0yA5QTbekwid0zcvWo1hyhRr76w0bR46AsPBzM+M2JVQRyVuZrPldLsPvJ9
weDBUqTeIDIm23kwlzvGworMG2K4607gkyfLPHaYGR8KndSnX6jhxaHk5T5NS2hFmcg1UtJxetZq
a4ZyFPgSZwG/EktMH+Aya9hIeqoJl3acOZyMGStFjJWp8pdnAswTJoXG2CWO7kOCghzb9ra4gavf
3gGu3UDVbZ9S1OIHIE2HtrSWWzXopPMnSB0DX2ui9OZ0TIVUB5/OgbtMmmCYlNERM6z9+RFHb33D
sGg+mSY6ZaobDV2HOT4J1SrON2kijiU51ccpayiRqMCHTPSiSk/b6mWl7mOSU5c5q7OIm6d+7QhK
R5VTkiiVqcVNgTNTbGHmXBrjg3Wie63tpjyaxmgeSX27YQoSKppKmsPWD5kUMOs1Sm6eNA8obzib
Vv+4BMn8Q+pUsC6aNx/IXNn3eFVXtQ2LGAsaOguM1Mn33kDvaCq4kevm0tO1MkzPZaHbu6Yu4wiE
nXujT6VGnSA3ogDW9kbkgf9GVCs5sIChjos117a1sXluMjYIbzwEl4MdBNoPA48W4kBiRbNrD5/A
+itk97R66HDoRjXeaFpU9Pd4kUStsG1tTGTbvT92Gkc70SRv5hJT1CSLh46swikJcJNabYuBvYj7
O6rmqp2a/OVON9LgtiPh3IT9IJatTTgU/3jFupsY7YYl8bgZiNn8YOE7bpU3fcfaNkY590yCBLlK
APU72iXR7IZmXUe91lOQRrZRLw8usVISy5WLTTzhu8ERfbOQtT8aaT7dcHbXuGFhqVNOan/Ni7FE
am7SqyHKEiN2ZbwrkF4bnMDPgoB/ZKrZPDijy8FS16BupKkxbXAP+0doQA8kn45MDyBaGTeJi+rQ
58OSGOvGS8d7VefxqzY5MuIQ2TGElgmw6W4uQ42p+EWP3eZEd5B3iv2k/pmrDA7cN7Wo6/VLxzbz
YVmGO4ZJIm+FXpxp8wJSwLX3BOVengRQKb4SOHcDo7y4S5wcA197yOeAS03BiQstS8SRDWL9kBKb
2NHHVGw7xttI98Uly+t8T8B8OAo989m26RyBa0kyZTCT3SArAnA9TABzKoAxYSq+xE7L7VsJ9Z6k
er3X0LnPy9h53ynfKb615FKuTtfeE713Hhfffia6313zQDQXxnTv2PYAcHxgJNsGyeUZsX6A4yff
4Vn1xyTzYkyWabUfhxlC91KgXiFBd0CMBYnMNLYfMLlUd0vjwOrgyTWyWL43Ykz8mirVJeCpnISW
IcZXI021Q7GMzkXWaXYiF77DnNVwTsDk5Novk4ajX/dlsaUUQMAWHosnGsnq/dD7zW3t9zR5dLW1
0xvxw8+pzQFYn+z9LqhDNp7FoauK5ZLYtqLAOY+/jEGXkjEdK5BoBXKQ6yyfDseURHJAN/PMe8wF
L6E38j7i9aEzZdbNyF11S4Thq+hsLZSVndxm9GIXSptvJmhiszDs56LJy1OTYVe2tXbcY1pCvphy
8bUlG7nHHdJ+hRGPyhfQUFWN5niEOTLsCrf7qgzuK4EujV2MepDbsdwWaH7aAHyinaGZeH62nAJO
1F4eF2SWzxjGbAxLlQSoVVRxlPh6FSW6Vzxnmls+MlTl57LxedQ7hvDCVOUcmaqqN/b0vdTXIrZ3
0rXqvT/p7Q3pcXjSk6Pt4W7InZ6Y8cWjsGbbIqgcYpGlmLxU5t41Tj0d4SMZO1KxrBAyAJmkbb52
2LWjCj9XvWfdudzWQHsiaumNU0Uwduf4anoffHSzkAU4QwqUQcyurHaArbCN2DjVMn0vQR59decx
0hlz32UciA0v5FMOstllcK2w1MBXxZ6i+8CLcu0QL2RPqcDOZYb8lZc3NfBF3OW2u1WjpElPs+MP
0beUgHA05pHmtj1ChD495Hl2y9wb9alOdsR0l50uap6gMKdOC/cBQDJMm4nv6wdhafonZaFO2M/0
og09aQYAHjFFDbINGT1wbRT5veMtpLY7AANnISD6NKWZHXU+6q+rA/9gTkJsvXJglRnPXX5qu6GL
YuS8TaMA4oCfEd6XJtHbYGcMHnHSRQevyAMJz0ucXQ3VG9+xehe3y4SurY9mEVmoUDtRLkVpPPqT
GDKxESNwwe/pIEfXBh1FB8iTN4EVAbjj+CtIa/KD6knNI+8atjy6YWbSNUzKYda6xoJCCVN+jEq1
7h8DYt0bTEzlRoMyjcoVz9MPfDLJhwp4hcwIzhf+TvUVIx2pEnOsj2IWJNKI+U8bne6bEyCb5qap
+dMV7ZhkzVP63+aW1m9fu8mDoNkMMaCp1HNqkhv1VH60QkdATCf/iGsPnJNi33H1BvdpSXDmNa3j
ftiAeURIKqo+CydQW4dOjIdWNlaYubI9abKW97pKko1rkVLAd6yGg130/no3wPPcVCYyCyOMqTpJ
1iPNDxDJAH5AcT3rZWefWr1lBHDYNPu0KW8cd5ak0ikCPut0cj5P6Wi/dhBhprBLa8BqncEir9Gh
iEG7yR4UsHQoR/2MGitu48znbdWLYHqcVBBvRghqgkqGhegcsJsIrzRhdrhDmE1how2I2LV/6/MU
zlZUzHBEZmdG7upSniaZZU+xX2BRZfTkzEQYZC6X+BHpr9v565sNNiPba0HP6cshPnbVxEiCHsv5
uHWx5BwJkDSPQki9x4fBHx2WwCGI35YPfQwNjV1r89ImrfHFqP3mS1nFL4J2i4tNfRpWqlLXDpZZ
A0mh9hNIzqifPaj8jyMGT6iwwFa9m2FK7Psyad69pS1gjy3gnkMt0THQKJ3HfrrEtuINgUqQF3Px
mul19gzOQaB3kuOI5sEw9xyF+ue8HdD6NFh+tWnH507GNWuduNxlbcaXcGrJ07cuJIeQowezzprW
3IjEUd8gBepM/JrDuqia5rvGW3efZVCkD20cMIk1C5SjMRvMbedrxMK8JTiqnEVRsizZxSHXcZRW
4F2pc+UAO7lcTLr2rfCr5Zka3DXmzupobdPkpqE7+Uw2yGfpaowUUS2Zt9xqc7VsiqEW+37lFuCD
8zfWwnXVLgjGCIzxSYDtJwdkEtxMg+pQZoLiL45llGGV6yBrOO2FeoUCPZbcPHeweBtARGPb0aUk
/L9UvfLlrZFnnbUtWOZaN43BU4DwG6veiIrtTlchksjyoUFXUHcGGcKDm1SSf3DU5te+nOrpaVE0
PNmh1nPg7e8GvbM8czsMnumBFLPaSZ15S0A47qq4SdzI6oyKSNn/SHvsEhuwzBWr3l5oXvNE1ef0
FxZW41d7o79axzGUe0xlqDvr7vOP9sa6mVRWWIa6UizmbKg3SkIDwJ9HeE/DJibir6a09mNmnqzc
2dE0sHMSY+t7gN2GZQtfYsuvuqfLeJM36f4P2tT/YeT+1SD687W5pm7Y7uq//NVALA1aS3Vhqmtd
t1evZlYUh3T8i76B/+uH0E65OuHZvHq/vgFO1oMxAM2Iwks3Bv9xQQmXXvU3t+5/Jcm/kCSRDNc0
wP8vST79mN67PwYffv8bf9/Zrxt4XNyYBF0M/YAp/ilJ6izuLdPEMG/Qpb5G0f8uSlrub7Ab+L9M
1yYDYAZIib/v7U3nNx85kl2+rjNUrIn4/yDAji76Lwl2E02UVIBpG7gK+Vl//gbB8dB45FX6kXhc
+zpquIm6Yv7+E0mCm6bZJprRhZOs8gdP+TckXMcv7pg1j3VF0YnedqdhZj/WAFy8+QkrmWnVEftx
Ne3T/KO9D55HSZ9b6ehrvuDu5DhmjOnFo4rm3rbT3JShVjJXHCHu4scLbM5tz/AITU4rWr5UyHV5
X9c3ft3qTI36CBdpColy9dKmyDnP7N2yxLoHrVe1bfNMnWTPsxeRpjA4s04uD19TBP3WS9jU7JKC
h9Wpt+MUuGZG55q+8vHnOdimQE+Mk1fN5ouNcbNhQVIZFStRW0w+Tx9vdo5DCpBXYGBIvexJzBqO
zhCu5wg0vXKq96wU/kfsZvh+FrPDgLbFYK8zTvkdxs9HKDCsRnpeQrenGMQ8+wSvumhwg+QsMnQU
wEOe0+1GPctGOjqy2d/4VXaQcVW/TWXaSxBMVn/I4Gttle47bzMMFjZhcXJIu/QRnwID5DRkFKOV
1SEz1QsUb2uf9YoJmPLtA/uMZAlhDCev7LxZbsw8yjx/usEnjwN0GF67WGKZLNjYyCnBtjlyThpj
93s/CZJrg3qj16eLzCagA9oCnpS/EEvB+RAYUAh8+1uc4lNm9hw4NA5EPRdNEsczXzREy9Dxaqx0
XuLtfLPcUy3wMC7pC5jTz4oV05ncLiaIPL6yjgVAOvRvlexOSLDlIe9XRDl5ummB+9zNtXuua0pp
22a5A8BLftPMX2rgopuh1SpgouMPNy3dG+ku4k4FlcvsPWHhHAYqXy2xoSAs39ujbaDNjbcmXVx0
4QH4iYGl42cbkwtKaXvj98rcop7p7F3pdCynxQkhupCD7hr/WzqYIzkWOF5+0kygued5WzeO9sBy
0WZ1Hv8QlqhuHa1/dPp0eqQzqkAORwTC0JYeSuKm9MDoqITVDJWldIZd7zv2kftCsmtbM9jRQmdH
TqIF+9FVPyonlzR2grcT3DtIA1IDCNAh/YYjpIpGBzdYHAN94qTYbarKkmFXsoVzFg1WsI7FxSDZ
HPrm9GSQLgWdkL9ohTguS0mfW1c3odNrrw5mZ8bwKTsljUMfVG2nn1QwtV+HxYsyow+zXNl52I0N
hwjM4cCcwFOeXbfnGz/A/9pY9qJ9Vr0LWnn0aagJKx5f8abNxmVeCcjagXznwB5+VN5jYef1HUsY
dOwGFum1JhK1s6oU7B5nni4ywP8+4YBnuacbS7xPgZifyiFuJX48TvhsO9j0hkL1qEqNFeliHO8o
bTaiceSyiAPS4qE/TfMHfG1d38aePZ+GPi0PZq9mFexxoadTBHBo5aXyamkw71T/aTQNIy1HFzhv
0zAkn4zGAd81FTSY5PWmVlcTj+JbBwSJYxh+0GVnjFI/J2Ugqe/06yhpNHOvA/2GAaGO3pwBTqQB
6T2blAkIN9a2jjUCQqsXTgB1Y20F8vUe+GZK3nv5MuEPe/FSkF9Fpr3zlXo1YSaGJa7JrWywp2iN
fc2AKG7aArNqqQFy7XywtGadvkjYW1TH1k56Y7bzaGA+XvD2GNK4a6R4bmCkUmUbWMGlRh84GQGe
fg92A+vv+gH/l/ZIws17N6WTbuI8aChECFqQknHC11hhL96KNag6F7MOYJXgPTxPMG/9/7J3Xstx
Y2fXvpX/BuACNjbSaaNzs5tRTCcoihKR80a8+v8BNZ9HI4+t8rl94FKNAkk0sPGGtZ6l1AV5cUlc
V1xsy0/v6/LUpuR/4xvtkU/XuLY0JK/okPubLJJoL6d2PxhMFVhb0/3X7uyiuLcLbAfTCxgPay9J
JntvRHtLMAHibgBoYBJd9WwzV2UZoWsbYfYH5g4uAR+GSaS5UamPoJTEGGhKO02dFdEAdca60Gdv
U5W4SKcQF0UgDc4Dd7owuk6vZ03vz1OMXaWYOmcdFyOje6j58NJEt1FShDvkYiOWFOH6zMNZBRnN
jj10wxmszl7HqQVjmqZZEJKpk3Z8UCnOdyQ/1ioE+dIRerBK3RKDvASHzs/m7etx3JGH6h0gZgZ+
aYxMc2wvf6d36De6tmxJDI0xZ5si1slLdn2eK9oHL068temm07qWmYdvrj54mocklY3KWDtfoKox
sPCGbqu3VewPE3gATS4i22JkINjl41FL6299Op8zFXREgaN2nQfQdplwimtBZXJFdiJEBX1KtkOs
GIdTgO81yyHbFWH0ClJX7LtooFYatqtVlyZwCvKU8662QTUjwSpcxwBbql4FOX0nqwoCItFRygTm
MK2qKTGuuAfaXRvLyB/S9KOzM287VvNrCBMM6iEMkVUygUbBvBEIGjKOflDIX2HdDb4OG/2GGUfg
R73RXgZJ2FOUiWpl6+FLaVgflVd/lyrOtplFwdCP8imHO+7DA6kfM5d/am5ks6q6UX1Ao6fVbpMU
/hvLHacdohvCyZJbT5Ts0FwxX5H9yGVw0tcuD7Bw9DxdnFL9kzuVvDCUySyZ8Xgfjt0qYbWIoCHO
vooCgl0upvLQyZx02d7Boe9pxbZN5vxKGGLYqGmWkD6mry2UuVVPJhu0BL6HgbnMRvdq97FlMXCT
mi05ywXtuM3irgM1PqQV336v0uSFxz5VZzUU7kMNw2M14Nu7bzpkgyzzfC3zwtsOp9CNxaDmxUns
e8u2Wbdk4UWKst2bnRua/hglC/8h4EJHcSS/eFY6+KNlN3AV3I2cA+BBNf51Pul+mNZkFkyrmCUb
dvNSfLOKsbDWE5/zSlRGed0bs9qjHHL2WFTc1yFlG9zp4ztxXOp61k0t2fR91O8TxNrXrIV71kgA
1DlZK9WTVjf5nug9RoFLkFel53c1RDHEb+A1IPv2YG5AN4Adly0inQav8PKghnymjq7jHHQae1dV
hsUjU9gKgkzrIUjq2B/gSDfvQbgB72UuT1ueABPw9K9FWB+zIQrmdVJGrGND8xuTV8DcdizejTDR
cn+WyE/IgezGQ4VdEvFRGiXdGgvO+K5nbrauyq69h1BaHwIOz3MfadnOK+yb2Qa0VOLxWfe8DsY9
7PiE29nunW9oErEUida59pQVP1lQ/XAUxtaaYOFsY8WEkFdE1UJRrDEDlaxC7hpTojmZuBQXWE4u
pPsAk62jqg6IB/zIfN2P7XRduDHOFYM80cAZ1NYgRW1DDl27U42t7RIrCXLiI7L4idMsfeIV1z2j
bdPv00QhOUqc+KBbAxVvUNvHmjY5WcVaC0sW9U32GArkdifGBIvmIGqOnoZnaxXpQ4oePfOOom56
dImj8SlLrDCbhWQm6+wT1DyqJ92dCfiuhn7vtqV3wjyormUYNV9K02pSnr8yIeyzJjU9t5jrUV3N
j6hLYabTPrTDA5ZC4fn0SUTNzF5l2iumflOPBpDn4URKH44rF7Tel4ENsv0cplo8rxk78mYlv8zj
QWxYuE2Nje5RMg8G8JRGL7huQCOUTncP4QFvMooI7ZwVY/wS5FaxBYZCHEI+j9mBhaG+TtwkBPYr
U81doeDKn/RgDG57/uh+ZI8MEsG7x3gIprSou69FXqDMiBzW4WoOT+CFbYr5vlaYnfv8wcB+tTJ1
R+yY2qRXEAjrLapqWKawPPxKm7N2ZTWVtR2MYrjNJAD6tTUj0AQLlm76xOiu8mLuVhKa9b4DYXsj
KpCQd66TNOU1M7bRWnvhiIIq9TG2CoqFvGI327orNAkClwXlZux2iLOdepD3pQptpvAUeKXrAPZN
vCgHB5VMPWD9UWq+3ZJxk80VsQkmu79VNboZKmEIt3sV2daTcOO8W88DONd9k/IsfkWZE+DLTYLw
Ku4X7R63cJNsgFsMa0whfcUm3mFZHpGKdNUrrdp3rWfcjbWiFzBqbTejw0DOMWlH8LXVoeGeXGNg
i6+qxIpJCeucjxzF5vsP6DLKLsVeOq8eWrZW8QuUAox50hvOiucR08Y8W2sbOOb30q3Cvd3llOCG
YmFXowl7nIEfbtAUz3JDejDKV9HObzqF9WmY8FBmSEFLp9IhEsnu+AlzrtC5PEejzO/YcUDdqOLB
F7ms1sycTEjKUY4ZNoUS/cl21nGB7ca0N/ymSdjLyhpHHN/jl5YqcqPG0fPnwkg2Ie86ivN62oyi
gViVOQeUzyiIadwZysbetkl18WbJUe7ztEFMn3IyZbDZVg4j3F0cmlD9S8u9MuPcXmCt0fA187R+
lwlJikfkAalurnu+E9b00KMrIaY96+CaUoq4m5SWdsRJJwfmZmQYVh6Uk3pK6W+4KQkMTuIIhEce
bbyM1zhpyOlrS02/Kj0n32txYJIMy5ukGOwCz1WmWl/TtYmgJ1xtZcASuvAc7fqTSg1IfN/hvjmP
KRt5Kyzwin4yqrMpir6D8JXnICDTfl3VRLuUGs9uy8HfsVyaMmJ+mCgTPpKqnpfOMN1GSvcu/Rim
xIjF9j61YwvlLDAunX32EdXAjcvqcdUiSin9rgrf8D8mjJAXSn1l1O4l1WryunM93RhZIFElAMoK
ydBC893iZs7jKH+B7vtSm4Azo97dSWs0iKCo+m/6yIsV8/V8mHKUtgaNZ7zqLWRLYxFm/pSaTB+c
0F7bc/YGKDna9HxaK1GMz5VLExGCGpvrb0WSPX+ytjPR6eUGF2eKIMY0N2AzBAHBXnBM4hbrfDvi
KQp126dmNnRfA92VsZ7jnRfKsb4qUTpzt7TOzsCO54sGdFQGfx5dZkuEEajszt30lQ49SlFvJ2yQ
1vUy/hndtjp4dZ2x/OrnPesK/ftQ0KIlKun3uVTEAWu1uE2Uw0Sgat5VNKojrigSHN3UOTLXWkcE
IRzcyibARGjpUTg5wvaFCh7G9Vf6NUoxjBPTWs5JfmAH1qd+iHf2qVcBaWb9cDZx5z1SSj3EWl37
TqOcU2Sbw+ICoXAsYTQNM/pV1AAN9P3u1TPqMytTcxUl4pFEZRgBvZT46sh5GizTfYpGI1/BsSrW
8Np7X3SB9UAkqrWy5lTACo6uYq14gWjW7nFv3LP8+oBmSv1Hfgwea6yxUSlezMjIDmZfyG/IdJu1
jkp1XWn54+i45kdVwcjfhoDY1IqpB8U3RHLQtHZ+5wKqYvEUJsZaVW7w2utdilmy7xsGFNNwVxvL
SidzMRLsGEAM6N3kFFP85wY9zmhBgDS9u4IDCx++aWGwSPrAIboOpz+kKZ4BW0+bI5j51QAKd6TV
CdZ8VJVzxjlYXbP9o7A2Uq1ciTmNjRUhalmx6UmMbjcdqrELRAz3wC/4rbRwP0Qo7mRScni4cXT0
Kj09ThYvV8Mc3oO06uod6udwgyqBzGwHK6mVjUcSncnN0Y1HlsSFnxmKhZBYZoGLrmXyOgznhg0a
0oKhTHqdtRMWlfAPhDuJQv0AbrjbO339GrrzceSG97OYFVUaamcw19Q6mVVvEgQX7EHV9k/SOyD7
cVV7uO4KSn34aiPUS6RrTdjfegl2whwPdgfSeeMtkm6JOpzBjHMowHv8xIF35ly7HoR8ig3ZnlSA
2HdobKLIM7PYRXoVbuIyN/ZjQnPWWF17KFSoM7kg2URPrW9/suLxL8d+VE6vaQhZV6jJ3DopCLVE
mV8DqzfuBxcRhD1OQ4O0BIS81Tr9PWcf9j/bQvQIi+PICuvskuHuG4EmzxiZNOYshLRvGp0IdJQ5
Z4z7+AxJJYD6Eg9et3FQlGMv0aP0WPN+NLy53KbxVL2xoylfLGxm+TrV5vkdKVsw+saUam8lK9Jr
R8+0fcILr1mZjjPuXbKCr5yUFgmmahKtxzg8NuzONyZBCl+ps3i0wgoIRmK4158Y+1lF3bsW2x/h
J8reY5F9rBlD3yJMDHwrRrHo/4mzFyKS86VB8shC90+cvafYsc8zdtIfTHs7hbRfibjArzMT4BBX
rHukHmgXI26s/gfdPg76hym0vvwJuA/rSe15DqbNJ+V+8NzHAX3cqooKcR+ikfdJ9Ll2jTZ4yxFa
+UkeuP4P7H1Gk66dBkFRc/XJvq9VT66V9NS4/QTgN4A1u6MEQzmvbMWmcvcvLPw0t40VvDQ0neaA
usl3ADk8NijKTnXt4lnFoOSBgSPyfDdVCT4YzoUXuxzJ6hzYMj8QomNgmScc+KlLVfZv6PkOdw+a
mGpQO/LLYyw1rJ3WvLC8lWq6kIoJ8iPLMZUrXvNLJcQp8/ITVj/tErWv0Aesfmbrh1rW+9I1x3ur
qxTDJ1bcNpoDhH2V0LzHTLThNyuCir0uwiAc18zUprsp7UeEFjxoiA4X0L7T0niPglc0JejPtH1W
BLcTiFwIdTZcvRRimFV1w44leH1LZJJ4AuJZsGSXHNhzYxk3bV3igYPR4P7B4+csK28yvAxPP5j8
hAd3qxxT27mZNPWUVpp+0TFY7ASZqx7Na2veskp37v6W1q9at78XwmQYOgpgcOzGOVZXueUWgpoR
2cC/QvvNxkODwYSfJJZ/gfY3VU4+lWpCCIdpezOHLaxJe6rExmQM9aADVjxiTkn9Ioumj0+gf2C0
FGqzrdw1k47mEnmEg0Aej6GJ24voTuOtGyLF5GXPoptmh5BLUvZ2lTaw4GU0emqglBz6AcRphd35
qiJEsqWyN/Srci6HLwrjy7iyxzhfR8infLuRn0kqsDzTurpY0+Du88iAqN7PSHZAgKJehTpCuNqg
zu4SEcD0loijcqgedOq7q6asB8SoVP+MMx2mNFp0N0UJ2U1LWMDILsMPqzY/d8p713rD2HA4Bayb
LbX+TA7weh4NMxHRJq7NQxkZ7k2BcuowTFZ/tDVnHlZ2kK2louvoqBgRsqrm2ALjOH8GCgCg+lq4
o7Hp8VtvE3d6C8FL+AKZNJGaCWNFI8iZlTXToxabhOciw9xUS+CA5kp3F/WA5/o/UwfKtACE5IGT
iQgVXtsAxlfKKqllsde9xJmcfFqFeT81IyZHx2i7G9dBs0Whh47ypzCCCXHdOgF+kjLP6tMrNuE4
uVnf/JlKYKTuvPLKGQPSzH/XAzR3KNUHVTAH7tNHrxXP5uKgs7Rig69oXug2b16BWoCIAWR+QxSu
P8ML0AWUW2Gkcj8QOiDD5G52K1oFaZFT3Onzgi69xp5krrKkfoKPk9zYYUdIothTWKldP8v+9Z85
B6Zu6Ft9pkImruCnsIPcS+rboatvu1Jk5O+WmCNXxtIIRpl27ZoEW+Awjw6sv8WV7LVvUnO6M1Ew
pOlx/mPZWsIQcAw+qwE1PemJV32FbqzJ/mCp/W9t/Zu1Ncwym03zv19b30Xlt+//79Bmb8W3n7fX
f/zFP7bXjvEPA0YX9DNA63/Fr/NbrscImGaHtt35yVADtU/Qpro27mgJ8I/f+mN3LfnnYADCy8H0
YP03e2t8M3810xA2DvgPsw/fA0twNCd/XVvXTdgxXkEWozktyWtYh+9xhql4A3ALK6iwnoe878+Z
VlFnddUz8nrtoA/ORZQYIHwIlikTdZnfekQw3mSd/mgFehivlsCfbSkHFwIN/KEGLawvJ41Emmkc
OP+dS5VhtRWjccMWp3nzzPzMPOxsagPwtCpYq4adWTfkTAggLyHyjz86vYsv+RKZVzsVKSAFcXK6
xjM/WgLjsA5l2NNvbKM1ER4PbwTfjisrBe8gcQk0Kv5oQTivczOcNk7pXhxzZL3kMBcMiw8PVeNg
9HegR6mFiDqUIj1303wjGc/pIX8KLAgc6vhtqlgblvX8bqn0SF7de+nY5Ly0WzYKGWj1yHwCn7mP
G2bXgw6gE9oRyeSaezGU+Zz22Zujz8ZWD4c7vUnPyxVQOQBlmWYfSUXd1IYMyM0Mco6ZE5Dahez6
+6EnJHW4cznLfRZ7IQ+59z6gYN9B1NiH4XRKO1EeZhyGvjZACsGthU0oPoqIUMkxHR/saLobKljD
ZnoMx+wNMMkbhqiLE5kcgLZsN5IfaGBJWarpRmZ8VuwFt7XHG1yT6XGWbHxJNWHOIEL0zyUXSkRN
wGQZtadHbv0GdDFLFq0vT4rB8CbUlmsZ5W+dMaFEm+Z0hagTMyNfi2XoxPZqvuGdeKPEsAMKezJc
3B3op0+VU2p+n0YfZsYfs4z4TMDxSfDh7N2S6FBadRTucnqcAxWsMmWTrOiZ2jpt+UJ97GLLRf6A
jyQ5ltP82MgaNo41PhCBByugYIgSEWuCUvwNvLMH62V8R3J26kUY+2BF4ktaO8/xqH91a/Mal5Hh
45REeqn2s9U1bJr6h5lMAhhbxBo25j4k02+l6W5GxjGo4a6bTzbJrfgw+Tw90zCPnsOdMM4KzbpA
5Vi1+mMRGu+eSTGZo7CDYJsd0YQ+1E33IMfsI9eTydftUq3ZMD2YgUEWVqyqbSZKbzND3vIBQpMx
sFx3o7AvJD88l3XBVFRalwqYzVYtf4+fcxWNDreiaT/HTrOYwrkdgVdeqDurV7wMHka1CPkzEsZb
jEvlOhtDqudaWnSXjIBqZ+qPdWn1hzanmx17TbtOoynb1HOVXxdaNSFkznrScGu6Mi0z35WBM7Zv
7CvDTcmOwaMO7WHdLEmraw8B6dpJ5+EtcEr6dJTqmb2DhVY8MiF7ZKltM+2U5OERUBWzTCEPu0hf
GxO9MsEvmzGyJ3aD8bpSU7OpJUE/68a2babqYxMe3VJRFTr1JdOim6JkTYeZ55GAztBvO8tinWq9
jcXUvBcFoN5CS6INbHXMDhjoqqVFwitG30cg3o2hGAuEBbc/S4Z3FCwVouocA3evk9QrDPa8bKT5
LrDLzNyGdWDo61FI91rqTrcbBTfdlDrPjmZfOlEPh6BvPiBxnaSd/oZPuMjzfkJQcooDDvBce8Gc
Ohbt/l9P8TjBlsKqvmS/q6GW7GpFrTZeQHOf54Bw+p9ecb8X5H1+NY8Xmolcg6Bb+xcDJhPMrrDh
9+/hdYD3MphEZQvfgQCj33ylX2SJy1eCh8JyU2AsJVbxl6800DSbCYJxJAbpm7fERS/HcWIM5D+0
q7Y88Cv9h0SPEJm/DyP5hcDy42siQrJBabIAdn65lqFZeJHbBsV+UlbEHq9/KJnI+5pJMahZRKDz
88IJODUtp9t/vrCfdJdfPkcI0+CfHYcAA0cu1+MnyiSC+GFGq1Ts25wRWFLm7g37+2g5Lk6EO6Z7
yH3vAyGW23To+2PCcG/deMhDmmh6j2xc18V86kLi32bT2nteTheObl64w2mwOb5dW7AcIKK3LhN4
Uc02t/q7MQ8fdSsCczfKS+diDxzL0ttZFlqpkE01bSvHw3/+SX+RW35eZIRywjKo+C3xK+lWMHDN
S2Js92zstrLUb7Ai3OQzA/fffJ2Fl/PrFcUkvJRWzGGsX1OSvAEmPb/JvcpU/dCO481kxHIDlc1c
FbaXrNn4nhU91G3WTzdsMvPbKOQdKufwo+45l5dSJUkpIAwxnlDHohoYugfyqy8m3pPI5bgnTTP3
wxB3YT2K8TmEKLgjFqrajPEUnzq0fXcknz6ODa99XHnyqGIX8BXr1JMs4g9cMDZ5eySyLZOb3agl
CC7mRzfstrMidguWzD6a8GtGyAQAJAYIXcYTxuWMeSuWxAlFPoxIY4vN6RU85OQ7BjXWf76Qf3PC
mIhjPTpb1xHWr6brmYaoliiE4I5hA6KcGDnZrErYsAXN/X/+WlTY//KZwVuSfFoOaKVfBb+NQBRI
Y1jsicC8k218RDT5mwPz80n65b5YqLMIfvl/uO/L9/DTkxZHNSMgXQd7QMO8bWNGmzKY35eTPkZ5
wm43OKZC7tnHXgirjPCUEH05Bk9gPr+6Nv44AXeZNUwCZDDhJR55nE7VlJ8NI/yY7cHcOAGWhwxk
7iqxzIHB1NxeZeSuEjr8xVX8Z3Zm5NdMpKBlDApWhoFEpfbqaguRjiGXV4sdnsbFzxh/WAW3YB2n
ZwZChLuHk+/aCQUqOy3oKcQHFFHs97q6I+k1oieeT7/5TP7mieWzIAcNu6dOLpz46wUrRKXGcsqL
vQHtB1BejsMAxMWKRQQ/c8QVYHaYrLPJveSWXflB2+grZFKE53EvB2mxwS7VbYeAAYSyjXLdRfrz
kMBJcnVnhrthX4LOIQ07sJjTiGRtNZxEhNmXayeZHnUxvLNhgYEZ348m1aFHeK3faOMujfTHiUJs
VcGA3ZnZsPOq4S4Eo4HZhvtTVotS0e4RRGoywcubecuE/NGrmv4HkO3fvjr+5iHhnbH8zzDBdxm/
XKMhRAagBrA/QO3WlDiIZwe+HQlPNqjC33wihrGApX+5h13ewhxrBub3f3kma2lOpsBhvUfQVWwM
uy3XRA0eA95UnsHnw4AK6S0oX9QwHFMAiJ7jMDvj7yVJtwxsRnJe5cd5X288e0b/lbFTLSYXE75x
pfXuNb6mFkwr1f5YMLIxq/Ydae/dmE2n3FlextxmoZm+oRmkSkWLl+C2qTsgMWhyfcrVTa8Sd6v4
SD/by1mOYEkt/qDXpAyj0PQkaBe2VdCBX2DWfRjd8eazCYLqUK4HIHxIFIeHGAvGGs9h5881rZ41
Dw8NS4LVBCjIM/sHkaLG0+KjuYwbDadDcYaea/kFLqV6FWBUhRzY9VtDNu1meYza0WLtPDzY4dJA
QNzkeaowxtdUS3qQEEsJkdmp+NMYxp9rtj0+/PL6CiDQe7NEX3Vc4CSLz7FJz+KNlOIyk89J1ONL
kvg3WP6RCXjU+uQ45wusLOQBVio70hTv8oA3CznF3Jg8HTajwMywXqN2KI6pYV36FmMzakN/aYwY
8sSMopuSeBfrkin5LBp2fP/58bb/5vGm1oHPoVuo1039l8ojA8lYA/TP960zvRdtf9fqvPd62iyE
Q8l6qb8+W+0S8NRWeVR6n898EantNLRQARL+Wp0jUFRFsvFSb+32jekASw6JBxZuwY6om/YsxjQa
tDSvwSrFm7rIwvcaXdW5akh0nkPeiygXvauC58CfHfMiNM6YRE2PvUm5pTfIeGw9hkQaslvOXCrr
kMaQ92GEiMxPQspssBsPClD0qhHqrgGRy8guO/dddyetLt6VRKRs4iY11/Uwn/JoeEDAw4AYLdEK
Jta73ZJI3FTqzqE72Kexfel5idBkdg8m6J2lmldsxX+8X/83YfvdhI06l2Py30/YznHL2KuJ/zJd
+/GX/piuEW6oL28mlNrW55js/4CO1j8oH37l1OjEHRqGDVzRNTk8ly/+x1gNt4iOSUSnIqDIMRE3
/TejNbbdfz2eeU86wpBwH5ZoDRNEw1/fmI1hJzXI5OgIyQLXYZaFNqewTAKBZtOW/YvO2AAOm1Xe
xdVUXOaBAJnazXUDaWOXbIzF6ZCodJ7QH4zpdeSqJMWXVCQkTDc7rP3mURHavcqBQ9dryx0JPCK4
WC6+34HpTWRFpx5yzBX2WLQWDJmvKrzyNwuSbJfrXgS5PXB2DJ7AXYS5FqzbLrV3cxw1h1Sa9rlr
YcbNc4uUx+wIG1rlgytOUybsJxT7QAKdXCT+SL4PrK6u38FYV5x6ZXBHsYj5cMlGP3T61xT3yZuT
Zu4Z727wWeeqDX8AVh6G7y2APpKT8Ybg9bW9DEAK0UMHnNpyD+BMe18kgh9OBRvBTAr3AE2v+R6O
kLYQxlXGTRxV3U6ZZkOtKIdjkmJxo/EmEXjZg3xPdMK/UOnNzCQrk1kWnOJLqBcYHatZey/skBGJ
UZXiAsy3OExxjXV9rO+SQdgUF27/JaqUuvfYVeIa0ebmqwyc8LnR0pQBpSUxrtshm7K5gA9LRirJ
ZXCaV0KPm0MENg6RiDCat5q5Z8caZXiyhS240kX2FauG2ntzjKhQxvH7rHfZVaw319ocWse0URVo
/HkGbsLusLCcduugIhGMO2LyHPUJBA4fapg+ezHV0Iqr1PGv5Vq7Fa2ZnSaYjn5T5jY/6IgUuzWC
7gpUBitpS492Yx1kD2Uhoyd0+1HqD0WFlGai99vktoWkAq4D3tNIQHTHETemh7oB1Ybqb3HalAQ9
rVhdBdto1lgjhqgoQdQV4PFnczHFeuPwESds/vxqNFnAFNkCKk6i4ia2kRXIenKuwgbzpgUMciUA
ip4rpSVXQjONyU/zAf8/Ez4HbEpZ4Y4lnJE1DSKcr3gVZbVKKwsXQMYEqaz0fD+j/UcV6shwXbrE
vcy55d2SUYesxdUgCuSoKKd+bTfWBVll/144ZnrQG2QNA7oD1HBtN+3gPo6nmRC4dpt4qvjilUnw
rCH20o5BLWrea4VjfKuZ6hLyoA/wNuehDDZAaIwXBVq/IDCq7m4NlrGvzYQEjErUeEsbOkW/n9R0
1w4OSEJppqCXeTOVezjVQJhzk20OpDki3bvAMB/NnvCCmlCGr51d6yB+JDctcp052zOrdl8TR0eB
Yo2Tfhh51T6wD6MinhIHGaNkFIeuK2zLrRsV+ZsVRt6XJpZfNR2SjV01JrJYe/qOQHbCCk14QrEJ
3KB4TsKO7JisQYDEh1U0L8qRVCmTk6A5CphD5lrf4f6lhriKxEgqtGpujZbtBn2Jq9BPIHmHYipx
c1czYm1emnMPVHGUVbyWLBhRPqn6mJYGdBq9XRT+0GW5DmSKEiHIscaQz/E1ZDG7PpPxneg1a1fG
ejriSFUBuAen0V9EGjEARYtFVavDHkTjHSc7VLsZOZNmfWG80cGQLM3l5R9LLqyTJ09pnAAmrRnB
D5xoAXSPcCzcJcqwekVMXjV7qbktaHGPeaWlT+21bBvtvbQc4AOtkfQ3U41eMkmpTjA8J3i4Wan0
Ww1J7auNJuA7TozhZZKFccZ+H1DHDNghVqbFfNCHwlFfR5MXwOgQFZOWaAgOkYBo5Bt6dY+YsaK8
9YZTs1Dw8gyHgg0YTy6EPNwB2S2BPdm6X/h5mIZCwgZlvUMA8BBiddqRSRes4k/0XotY08HtB5GP
0a29qRdK32wuwL7egBhULhQ//RPoly1sv1E3FuKszGob6p9ship+mj9xgJPD2FV/dqfURs0T/eAG
dp8QQdS52kp4iX1tYCffQipr7uw80+9swwlvOBbHHT7w+dBDc7FkUdzV2DbvOoQhYqXHSfCI/Kd4
NrXGZQLrFAN5q2H6SAyZ4JAaeKzcuCpu9G7Mb+hF6y1OOsyDcSovHphvv+xnCGpWE3Js88pDVzjF
DFi9bot5sk5Q0eY5kGFdPXd2qm2NFkYOXkyt4lHHXbwymta+qg2+fRTU4mxZBf1QwwT3XrqNfUhg
FT6EnebCfAMA/N2cNTTgWtjlO4xC5dVEOD3hclV1j4EOpDE/+HtF8gYb9sYC3wSGcgzq+TWVdEH0
KxpiPyObtolkET4aCs4LNpFNip8emk9szCehZofMhaj0gene1FnXrKxamNdBmaHKnIw0uBvm4ID0
UJybsQxLv5hBQE9uV96Es0N3wPV8wIBvXHnJ3Ow5LpxdUjeM6VN4ZBsiDKzbDHk5jA4ZA73RBpLL
67Hi6+hqOk6w9m+BWNGqTp536I2ufWyCkihDw+r3i+MIw0RXImKqoBDwEYU9jAJEx2vkD5DqEdGx
x15UKrQzxMouU6RNZMX6Pqkzed2leQCX2RsPwN1iVoNYuQvPfdfL2HtnWSewM7ZW/RwDM3oFh5ce
2lKrdoUZoQePe44abr9ljyEzyH2sOJ1t3CfpTeCVw2vlOAM9h2G/CKxu12LCuqei5dAcvExAXh7I
lNhgARTlfTF5zzGZwZzYEWihUw3J1oAl4YKQ6vPBe4m1IL23QILWN0icYgwdjgf5abYJe4eEAk3g
Stgq5j0GWkhHd62iGC5V4XHlSzFjFanDNXojdyKh0ibKGDOzHxXFEt0bDrezIcrkpJqszfed0iLm
Z6YVvwmmSQUBCylRjc0wNyGGRHusZ5tR0ogndFf+SHjklhW0zc6P9Ee4Zi/UvuNTmmrFe9KP4tFT
nfNgLMmRNRGS9ZIlmS+pkvBGK9/p+hwYyXhnEz3JAfghiaJMlP3idEP31UQmz65uSaxsLVLRPhEG
jpvdoF/eoIHQrvhw0O0smZdFquoPc7aYgamqxqcy1Ka7BJnG2b5B83tLyhVDyK6TEbmjSHrCB9dm
Cp3PYr6NZuodcFnDksL52Rf8r4X6bQslf9dCFcV3GAx/YeLTmix/688eCvGZyQBAso5c9Ab/9Nd7
C/FzMciz6GHSRIv1T3+99P6BIci0HMaBZKxZDi3O/2kUTKz3nmkxCcM+7fEv/zfNFPOsXwb5Oh0K
Smz4FDj+WBwYv6yCzCj1ciUL/QQbpYzqzgcXoa1HowAGoYyx2tCxoBidzL6Ce0MRibQbS9T3Eaw9
URtzXOBQm1qyNALpoc0zk/mJfD0pH1EamQTatgYhYyL8ko+d48chzgukzuoMQQREG61ZsI1LEPNw
bjTnHA78pk/z4gH8AtK9xyJRnJxknPf5yGHbIElFDxagHWhrsD/SFuqqTzxZfDFT5pxX7VzPOvZw
m0HSSpJ+/i2Zp4bVegv1GpP/ykuqLZREqhWW2muz0U0/cszuBWTQEI2o73LIPmZsYUJvcqciaNSy
7sMgy5k94VnHPpQF8RcjosiDdVfMfoOnxz6A4Wq/OYjM7lkZwi50VPT/2Tuz5baRdUu/ynkBVCCB
xHTTEc2ZFEVJ1GDLNwjJA+YhEzOe/nywa+8uu/auOic6zkVH9F25PJACwcQ/rPWtvTWmX3IVgB3k
eF43pkJz3veWtU+t5AmBfXZPqnKYHvgj9i31IKn2gA+TQ4uFHimSdOxtK4y3kZyOFTawYjhqMG3L
uWhvFQ36uAaX1G/m2FMOlZvRXIWZO7c9s7Qtz0NPHDsQRYgG5iB8mQvfe6w9J2TCN1n+UYeEkADk
q538hschBbunw/RjPxDsZNiWt84ARnAN6n6lcPOd3KDKkR8AW0bXjfHYconpgDMwDTdt10ISNyJS
+bzEna+qZAZl7sOo0IdMoGRtNWN43MxQBoe53Hj+BDZShihZ/CkMDxK05cea7QAKysaYnwiXBVvf
RoOXUD2y/X9B9NGVIOFBWJio66Q1GtthCdtr9lAYaJGOcbT4IosUkKp4ixpOez45jNVkPQXbopEA
AWp5mZ1w2I5mWG5dMk2OST9ffVJgtwFIMHB/1ZCuEwogsGTkIsQupB3dIbhkhgo6lBMcO2Q+h/2a
hVLNktt7ynAtFY51RO1z60w+MlGEtthaLlLNuAnAJ8qxCE9eVu5K7ErPtEQPo83QQPMyu4hCiSnD
9CrMYd55XhISNzA9mnna0BTGMXoElZ5VYZhHlAcZA19FVrRRtphkUMI3xIStCrhsJ9nlqC79CiBm
Ps1HU/HVtKAWPAeT9alsfblWpFes0kV+j0Kx31Wl18Kvtu302CTDuybX8EQzE90ol+HuPBfmVtfT
vkLE0DDo38mZ/SZuk01SGHRjymCkUgvi1kHVfXVm9dEjQXMVhOzy6axQC0qdEd4k/WETdFN0Lh2s
kw3a7j0hWY8tRr3Vopmm1XBCyuNU3PPu05vUmQy9gjVJrp1td1+ZLEwbP7a5OHzZDgqtYObVbBij
uT1USh3LwXlUdn5F93+eRbgPdMdQwpqfEpfnOyqhE3nGV0QPx5KqkpUI6pmUqx+Rzkai1nOj1N6f
xtvUMkbihbuRCWXOeJ2wUpLY5YsLqX81lEWzEUX+NZemxgEzuIQSxCDUDWjpSghaArdZqdbhEEz8
W1nT2qQFll6TYFic8pZ8MLu43C56FBTq/cC9VTcCWRirTauh9Dbo4g6+zj9TMSYoWczghKcfgrcG
GDiGdsrqpk0PUH9JwPES8RDF6gHgOtpQfqi5Ki8j3d5bvpxmWReCPvJTErrr2pLXxMIfWdVtvOYD
07t6rINXT8UfCV3rcYmN3+IWlwBZ4R1gYkVQuvAhMpArBzgF2GjDsf5Ad1evotkNjvAFr6GrH4a+
xUvAcwVvpDEQOIAy+gPnChoP4sRBndhtemFM0ZO3kLV7wGLOzqxUd3EiJ77auMcouc3rrI12I9Pi
tYkslhZBdzeNxNyBsV+Nae0x/GmuDb4srhDTt85Md6md2by9Sr7hzL9kdszTgdSVMRMB6IX2KQda
sbPY5j5i6rqtvxukRJs+e0b67ESoX3Kjf2vm4KMbWUerY0Vci67eFTnmwNgads2gl45gz6qMvX4K
wcASkcL0iLSF2O2to+fmYGL1qUMv4wbOKmbczAZuHOYXF4x0145ETRADL/R3xIvkM30hwyxO2q1r
BJ/w90F7RQOULWdpbfj3fmPjME/HK6YyBg01MfRrjlH/UxZG4mMOVG3DxJ+vmoHAwPL6W3RD215R
sfpWu3N6ZdHe0vCrnnaJkKwqXmdT7u/zsZuPMRmObZ2e+iTM9mxm2XQHBpF3vbHjYYYjLQw8mBGS
/qOSnfwsDT4v6khkddNsyoe4YF40e1rd5h0RftPQV1vcjPF7PbpyPVjdmWQSnglD/ixkfyjD6jaA
ogHlPwi2lm4f+6m5qMQrPvdjeQj86SOxxfm25+dxR0THaOm85Kaf7KPQ0CNlHPoWGSnOfBkdCa7Q
CVW96eZY3DiJE+0mA95v00X2a1h19RUFcAbeVLcAr33qddoNu7xHPkPgQaXBfbU817A5Ijqp2LYw
wK53+Le6sxWRCZpgKz0gO07w+xvP6MyXx/PAoMsNIAY4lwG36wvon/LOjOp+3Mgph8qzmua0uwIA
949Bk2H86e1nOZr1O8xMA9dfUXYkLnoDQho7F8DrYBpM/YHnrMXaLvjMuOdexF4Ctmdor41T3iNm
w9OZGQ/FFHd32Zh8wDCud93oVifalQ9+I/OnMUEOZIh2K/jxNlaZEwAvfbQzzHNhmgq9hdanyRcx
aOKrPt67uYuZ2K8Rk9Jqrskme6VlaMAlwC6M+gEaTdCyvO0b/5vbOdGmQ3aAsd3O33DUTo/eAJQl
6yD5ZizpCr/wXjyP3BIjdM215cXpUxnBaBmZ2oHkzLGr2awWwV/wJeIDS1f2aBNkj8WQ7zVvL9IN
iX3pl1pn7xOhp9cgKPsPdgNDIujiC9Nd7PkLC4XBmADnnGjcmjN281Vt6vwGNyzAIJofaoQyuhVW
fmizEAMXyJ5t1wXVFWKCijhu4+7BoHM6EOWsPhhzcEB3OT71DcTQJW8RbR+esnPZtl/YRX7mdM4R
Y7rBptNh94xF6AYuTEArqqeNMxjJNqxdHhAJsZCtZTPudBZ6N5YQ61LadrKuLEedU+LiWGU107mQ
Q3AYoGRsvFh9Jj9NrLsxT8R9XeOk4oBsxq3d2TkA3naIc2ajEUqdQmY8vBo8fcoL7JvInZxdTi34
Yg4M79aVn/sjatHJJvjIFu9l7rjvEhb2Ss1wD4k3ZP4ucgqGjmtukay9mlmfUAD3J6+biZLszE1p
W3csHYknYCYNfOEUB/mmoPKAvZr0IIOKUBRDfKM7lhzwiaJH8n9aLW4ptNZEZL0ALz+61vCFFbe7
b4R6D2SgVkVbj9sOnuMxLCv4BqNDQqk093xyJycFFhgkxB3nFR6aUXaf+paliDUvCMYa6y2xkcQo
Eu5BLl91iGVZQ1ZZRAe+yA92y1gpBstzgv+3DbV9SePUfk4k+Oa8dn1g1EV1k6KdJQg9eJxmMOW9
0lcd93Jvind6a4qmNKy2eKaeBb4TfDkgFg1JjG9c15vGQWrSp+FJu1O59VR+wNKMb1aPzQppoFhX
RskmX/YbvOOKIwWOLMpyxl6qX/lYRD8NS4IrRf4OYgBg3aB+Hivg9x4JUisnKZCHsVPGdlZsaFdS
bhFD5itkzzwX84oUSnkNhkLu3cj+nJfdc1VPzp3hzg+gBOCYM8vajQPJruxNN7VkO2HXjsZQglJN
z4b1kg+6WbV5UTyPLchvy0rxA08GVmDBBN+G/JHGDtJFK62qc1bMz4Wqx13VUNclVZh8ybTYiNGb
H+aEO33M3dVk4nh2ATA/eyI/q7iTF42fjLjK8hsFMCaduNmKlHzo2GCAOcr+boybeDfnXfGsZZps
ctnBVpbQdyWDbgpvn3xaI81vMzSpq2nIil3ATPuC2/7dbHS0CbLR3cdDNj6wvDB2QQP8e8o9Kh/4
+XeY1i4lmNqLBSC4wMWznhsQDLE0p4uVBidDYLyc3YpcCABZYOG94czi8EtFz5EL4xVS0VtUs9PA
A3Om1Z24GBnxuPMx9DMgZoaxz8k/w7+2QuphnkWT1geV6XuV2DegaDgiYwWPsk/MXV3T4vaWtvd2
2++RaouVnaY3viC/zE/Nk5n5zw7Cb1IO5rfR6z6HXfReVRn3T2U/dO2tV4XPzFmRMuOy/mQYVr/u
ZH5k9jWvI9s74wr76NcV4sOggsCGl9qK/PoC8wTWHAmfZynrh3SgQjOa1FwwrPCy8D2ZlywETRbN
xj2rjZ68nWKcF9Q1yBag6RwPpkHWzuT7zVFzB3+aNBPYjHmlHYK6ie3FSzlAmcXu5xSvZLkW1Rb4
eHHhsSVxAlR2TpFXaW9jxRrwUbtsJI0RR1/qZvs0ATG0ri1txusKGN6rNQg0xgNhUSCV1fOA/PHY
g1M5Ullnx8CLy70MSmyZE6iJwezcnS67p0kDmlJVcBf4XXpfJob45iRNdzPHiXuqbV8f8PNkJzQ2
084ZpH6SBOVufMKa6OPT26wkAzOMzDtweyyGmio624TbgieynFvoghJlNSwjG93pJoWPs2OtZSC6
8PyNxr8W2jDZe0JfNxFawVWh0OeQshZtmG/APrPNu0h2/tqtU0a/cR7euaJ1D16Ow7ToghVD6zcv
yrliFLa3ZUf0j06no6N7puBDfxFFRWnREGFOKMenwIR/zlwdNWrBGN2onZJSSM+kEvLPNwHTX747
EaJybtdiwDaRLrEIYLnGMd3FlZkfqR2PpGuQEUCyxo7jytlyok989E65zbNkn8b1HQ0VK4LUkHva
YaYu9pi+9pCLqaalmd3yuOZJNNAxXKYmuCkbEAg1xMKNFQI9ZsKMbYAWhGw9deMBrl6RdZUcmkwu
VAgIv1mLgrbNgH01lf1Nzd3tFOR6tfQXsMAugtMddX5ULMG8NxjYsRhgg4FWkIP9GQzs21XSwjb1
cbHK9D6xFoBSVdxGrvdS+SR4U2MTgVsvG4yReGFh7qOBmUeOhnhdQ+HZdVnCP+V31ipJ2q9zVT+g
7QdNjO5cL1v2yN4yaaDXsuxyXRhQ3AagJVaYM7Kxm7UZj5zKIBMPcZUTiZKBzsDcdhr4pqKZA2Zl
di1npCP0hiLwvffSd3DPR1+q+7GtCIFoJrbOSt1wRL/UxG3vZDduabe4kwk8Xrc9Kh6+DeZlFp0F
rnxglAIuB7s79p1aXKfUOPopS7weDIBSogRpF8/lByXhAqyGYfB3Vi6eODuv1hTBNYr6dpu5A92X
P6wjTUvYGkgCgU2zaKRRDRM2P76glpPle0n8xkMaAQeiot2rQUECHu352RfyHmhwuxlrYbHaMXdt
43hMqjVxehTLxsbN2RHT5KRPBdsaX6hLM1s3me++If7Y1flbKwAntv43IjZqWl0MJYuLeN0UwUZh
qBcproRZ9d/YZ2brHOoGuLkYZwHMhwZJWEbyIoMVVHTenAKWBtYlVrHACMmp9QlV9r2OOaCxF2h3
XNem9O6KrrdOBnV9vRoj6JhA0huA2JNePAg0U30G7QdQ3bZsxsXtx8Z1UO5NXYgbtqhrku8KirEs
73ZMcqITjywg7rPA8ZiKSXVnA9j7XjZWTrwcCIJjkqvw3udUA4nSCO0UlMcq9rEb4n19MqRbNLvC
b4xph2oBc7wtYsZtLn0CYTPK6hKWU4FQEBm4Rk5YM3fojMk8d54vEQOOXtaeQ9YiTC3+Z2b2+6/V
5a342nzPxv1MccE5F7c/onL/+cvmn9G5SyDsT7/Ylm3STg/dVz1dvzZdzl/9Iepc/uR/9Tf/4+v3
f+XvpvGMzxFq/ntB0+Xr8B+vlc5+EjT9+Ev/xy7oo4oCSyv/6Qr8XdPkBb95aJcYF3s/crZwL/wj
gcv5DVS1D8fZ9YTtu4uV7x/DePP/Zhj/J6ngohAk6hRJk4Pn5Ff7h+h5cJtmVB1738AUnJWRc2ez
Ob4Q3+n/nS7xZw2V9Hkthk9oztERCPGrfL9vTEQ5viiPnj0g6ugncUlZN75MXIGzUiAI//BR/Atr
yy+areX1FlAwMGFPsmjwf9ky6GWiDDaG1ysEceyDWRMxzVRfXNpR2pApQtfewhgXTxTM1tNfv/gv
wWbLi+P8cEk35tPjYPtFMKaIbAV2o8vjjML0S5EXYKNyIP/nScxMXcI5IHXd/Lsf+U+iZV6Vq4Uo
FecJk2lumz8q4dumTfXge8WRucZ4n+Vx+wXhKhneQaLH+8gE6PvXP+afXtAV3KS8HJQ3Ewbz8vt/
kN6nJgAXyrjgQDxtdeMRRET6Qcv027eNTzZa3de/fj3xp+vqOSYOEMsJCG8O/qT1nxphzhEhsIeu
Qta76sj2tai9lElvNEj4QxNr+Iufl/LoIeW5KgCwL2VdewOz9WwmXMxrvCvbCBxjunc6poZ13JzF
GIwfGSX+zV3geP/i/bIA47uPGBEZuZQ/X6CSmKgoLdru4Hh2JJ+MguHzTRPlSCGiSjHGU5EYTqLC
g8e6tnXEE9/BifjVnMLTjF33lDS+fSym2nmL7EYDOnRz7iX0F9VNMfviMtKQxqfetEDccOaLS8Gs
gMjZzJnFpgNFQRWvkyUTw5r9XQ2M6QIcwNDbzjOrm9qYxis15Xgfwk0Cdqn7ynn3e5shuIszvWfG
pQCpatsZ711OCXeT+BRzCw3J+MBIOgivSluaWy5MlU3uWgP6c2HoxIKgN5baVLmYG9PxtpVBLx8w
7A3nEpNhskaZhsMT6Q3Up+UgIKWa7+nYN+O9MbTjfZAp2EQIMOrXLrXq15lR89GFOUl11vf1q1/Y
/b2J5BTRtmK+QoZZGmzpQp03XxNYwoKBiqTowxoqUTteDWWIJ2hT/iaZE+eNfEOrPCIkGCGLtFQI
rhQVTrTQGa+d1PykdYbwsUBJr1AmJeELTRwZ8J0/OG95x3X0557rpqV46gI+NBLug5dBzc6ba7jj
NYmwiSobttKO7OEWOOpowO1r+nC8/rhX4zSyu3VsJ0N3S3RT8yVPKwR4bGjpZiboC/tm6HMoSXrK
QAxhQimOmTIUuBIXfPp3+mr8Icb2+gLSADhfm0G52xaT5D5BWiDfqsavX+Oo5suviuAcTDp4qfOC
fD3cSosXIKMqktFYUaxMfPwLfgNg8VQPm979nrVgNVC2RzBLEC2zWe36TvMhBQydj12cJsBpGFVd
E6a5OZHTlT58v/5ybJF3dL6EdOp5G9xMcUO8S2Bevv+ZNkRfV0xmyrkxxweDn/Uh9tp+M0RBsOvU
AhKLl6+H22ZDfSALLwxvRNObNS3W0FG8j37AJNYTGqwtpviOgQTrykurXLaLK2iB1vhYu6XJYi2s
xrDf5SnsVWau/IWS0Rhsd9F6PYnALJfiU9OwH9pPJs7LjYqMKbzWhFHncGgch61b3LXh2SK0+tUN
GEb1k6HAkqfNnNwPk2ENHxouf7xvyrLfN1YMOXo26aMNvyed28ySleH0Dte5eYI/GC9eMnqhMph2
gZ2vFZjs42ArOlM/tS+OjxiXmfAhDMjFaSN4KG7RMfqoATXCKJwu0iHBB2C4+AgFVW1qQgVXjBsF
Q5y4vQ5Yd6NVG/bOp1ZmAUnYdjPYjOCT8ab3jP4g/SoqVh3QzXxlQtjwQeF8UQ3Hpgsf91QmsXup
zTJYrLByOoNWLPjAR6OpqJIjsrjquf0S4LoaAGwQ3bXh5g5OMoTsuwlk3wS4NrzwxS4b0C/CkM/0
JeR1aPVWCo8FDfF68qDQGC2UeJubTps9t9SUsc2OBb8Af9WNVx5z3Msk2MbJwTVCntKLeWJq6PQd
0QYvy+CanBFsBhDK+n68zviLX5idCJLpRP06Uezm7EqGt7Hyo5fUcTkwKyt7Sg0z/ZAiwJzXweTY
ZIM1CXE6tg2OLQCEFwRhueExWj25TrGdE5pg0mpktBN24TsnJ5/N4MPc1OJToQ1jPs4xLfrRLvQM
fU3UzbizNUlSJ9ey7Xc6J8fd6hKfaVCH58Goo3vdpPERJsOTF8dQd1v9Bv97Of0T8UIn023SjuuE
zJdz3qlFckKhZn3qjLAb1ggTzds6gBFuuaDkNklPEqeNT39jD4qtYCy8GxlW2t8FpVXejZ01Yj2U
1ksR+/WmGhsGKz1GCRYLlkJdCDSzXxV2WF7gpMj3XNj8+Zonln52sG6F74E/JHqlVB1Wu5ltLzjj
KOvkOmsy40ykZ8elK2gz5taJPk6ejw5Wlv4dAykQL/xIzMCYviOJCptXhiDUInW7cBcHNjuZ6PlY
FXigLX4luNSsxCN90X4zHTGx+BdjnHgsQDgtNgbg2S9sqYOzA6RgkVXN3DSq405pIshLzE+WW6mL
kC1HcSUuthVwlirX4kxPEcO99KAw9gDZg3Mz8NEwwgg4B4su5T0hD0DiXkv+R5yV3IKjHQUMWXGD
biIr47zXvT5Mcc852DsRGgCYw/45qPG1pX7FK6c8TBCpExtwX9u8vOsMKt97E8/xCl7F3g5n+TaT
et+Bh+aY9OIu1FvPiJZbfzDz+H5BFUPCqAd5JnPARBDtzAQwt0bzpYTECk7G1twRFrSCN+Yq432T
QItFCpDA2ZtUlaPXbh2PimGiRdn/eFuixHu3V3FKJREaBo8vD9nhjcq1PvRTN963PbVvAcEd1nBe
TicLqTxYpG5iyX8rWFjC7NZB9TogZojvLKfnXSdFzc8K+pCXLDEweVep6rwhmcdtEVas8jhSsKrh
LvUeCdyjdE9d1hBPlyhneiRx0Xl1Y8HBOmlU4kOtIY/TIacsKTsRPQ3eDFmCcZN7lrPtN5yLnngk
UhYYVhcb31qtgn3cDQEITr7FYpMYXvBijUgnMXEufEdFmNOTrRWPp0iPZbbTnsyYdo7JckVVxSeO
TZPHelf7CFcKzVH1GC6faJrafExdwR2XN3yMhoAMv2qt2dTmxmGGkGxzHyzKizAm6Sysf0rLR9dO
jO4RCVGOOS0BPRT71zzzA/AHRAPPgE79SE3JbsoYWorn1Kdajvbj0IIoFpQbuVk528SU7JZQ/SQA
wxgCDS4xX4WBRX9FJLF5yqSOL3bR9uvEiAFuIAdi9eUEpzyd61s+fnWtINEdMxDLH0cjSE5GiwCa
zCEePZNfHCIL6to0Mu7Ou8Hh54AlTBoP9gMvuJFTE5K3az9AgE/QKOFYFmYEjwHfJ2bmUR2rvgW4
1ebiWkqOGAIzUAwBDU6gJlKRtG6RfTMS6cCUr0LMCxUa0lZBFeAbOLDQKL+VeD8Qi9wFoxyO3NcU
Bp0ygTzXJrhrJLS9WazdZioOYwfGkNo4fBzdDr0tD9FNqmKENFKCZGjlLSCy8oFPm+dyOeYnnnzA
nSDTASvEeusX7haX+G0HsH9lc6nuTJLDnmuAFK+6suxL1Rcg7O0It3pDpnke5CU85nu7EFcqv3KL
ntv85rihgw+xx9DBqDVIUaKWHkow/2Ck81dHuXwgkuQLdq+OPcSbojMBPlMRgO0l/4384YkRPidI
bHJC8LziNGzT6qZTlnF07UnVt00Gv3FVxJw2iau5I+d+GQCGYx4391M2pDiBKbv/phVfuo6f3aZ4
6PExMVgQjCB+bfvnniUGT7yaDfH3or8fAafqpfD963btT90PRCKszswyaPsljdvP3U8Qxm2XVm19
yEuXw7gDlfCk0OLnKzmKZWq1tC7fj8O/ft0/tf68LoQJiO10psQG/dJ10ZLndlqN9QHgq/vWGojC
imbMR1j1MedXVZTT1XVjzmLVL1XuX7/6n6kTsC4sumK+4LyJXwkeEz7QfBBudWA7TgMysyx48pdT
N/UaTvsWkP+SbaFpS5bK24LJUP/PzOJuk8+6aqpv7a/DOCZq/5zF/a//hyZ2wjQRm/77gd3/zt/e
34qfxLM//so/tLMShBejOukyoPpZO+v7v0ngJbYnALMAhl/mV7+P62zGdSZfqMDHwe26rPv+Oa6z
zd8sS9oB5QBcUpPQq/+OdvbX7+1SVDCvE5ZpLYbHX0doqagt2djSAGWA/30Fbn4+dIFsnv5wTf7F
5OzXqeDyMqz8F4oZil9rSeH641RnFg3pKHNvHJqZ3pbdCNqazvTviqE3ih936n/ZZ89rBRwRtkR1
zLzMWbTCf5gg8VkQIcO+5zAJlnCmi5F/mXGd5GxSSdGR/C2YRfz5x/MYPDC4YizHltRcvPh/eEmI
k44SKE8PCX4e+kNVteeKyrHCDFSQbeUHNNSm79rWzgTAsggG8nTau9VAPpNycK7Tb/BUZp8KATBN
9CGoRo63KdBEJoyJPivm63sVRsH+e9NS8CRflyGK1kkvdJIMbEGOguiZwUt5Cnpd74ywSC7h1CYX
CIVOubGpY/eTMosjY4QJm0lTPFiGnL8GlKsvMbXAi1dHtyZ6uS1GNNKp6tw8zBj8bpmnuP4a0UL3
YDVd8W225+qO3iR9xsdIigvPop2jYrYl4AJw/5XDwazCaoN6lF1RT1KEVtOwFfFYox2wmxtPtNVF
1z6whzyz38w8InvYHRTBCgYCSdbmjBPGIIRmZljV58YvCrKai/EBfmPcrUw1+ESw+HJnNhacyMwA
r7EZY+01agWiNRqaV0YxztSc47JOd17pkck+gD4wWJVV+BZNuyjfO+3Vr2kX+R+Wdd41iDC9rhEC
BV9ScNxEeQXaK3lME7exMtIEVWVPwBJLIjt+z9g4ki9ayvzOzGF2MOqJqvPiliAFpxxe/GlGixsm
emOBPzrJFCIp5LjUuUtscY1H9EThmE7XGNHOlhGkfi0AW+6q0Wypdlxi6EcgwV90UcT7uIw/T5pI
s4hM05uIMQ2V+wyTZ9twceIyzG9VXswfpG0ZD7gp57M5hz5zJ3Ihjm7Zm6DPMFaZK4MwOQmendwM
Ux76oWy29pRkZxN335eocdv3TEwAzWdEkhA52iQ4cQmaDeLiz6rN1wNCsAup6TQzXv7FtPG5u5m8
CQ0op1kWPSP9SbhJ63xvgLhdkUk2rhuUH6iLpInNLXFXXt3epIaWNrA4MCWu6advsCtIkjU8xrud
TcKbC4Qf1dM1HHLr7FK1OOMwkC7le5Jbm28PRL/+1oaUzGiu/zoSOL9zkGDeZlY5vy8gkjWfrIO4
L8vuErrWTQZa7aocdMPIiK9KBcm2c+aPRocYh7mitbWmuYFCMc/bIXCHxxKLNRllQU84hHxgXPGB
sUJlHZLMR9rP87aHqERkCdKREHRAtXG7jMJgNfnLjnduUhS+UZE5WwIXJlpVDHTz2R/yaTzmgQky
dU0/Y5or+qdofsmaQfaMKa0O8xQXoiKQd+qb9AlJsU95DPx/9PvhycNRtA0E4TAbZ1pizTEkIeVx
FNFmQeuz96eBcj0qdRn5O4bVlnOkD2vMTZIbk08aDtJYyXyqdXdRNszRtYcV4+/sGuHUxYUth024
0OVwH7lG5MOhc1UT3wQhIC904+HgvFp13GmY82XIEnTQY2C9pB3gq50aA8f7QswxH1RMdppxyiiP
O/2Ivass1J79YPZqOHX2CAoy2WuToRAv5sHBMNv8xSPkT69D20LpMXSufXLGHunQMPcD0dkIi/cO
Hu7TgK2byfroHCzk5B7DRvg4ZIUE4smKIb2jaFr+txe64eM0dcNn1yJXAS50We9kxjymyhlurzoU
F5usA/kEOqs8JSO9KpTFmQmiIuqQKdtAQyvlYifoPbFDUQP3Tifl1kFtuC4bc9GxTQi2jDAMPo2a
/1KtUT7ODXSQlVMaXU3O3VCgkpf1V+lKn54iTFDzW5IJ+RQU86ZDhBBv8RRUR59g4js0/+5bXije
nw04chc2XvEA8xdmceYXvDfDrfk9x2iLbxYq6xfbpGPPs9SdEU8X1WNU4DcjZqHC9D8iUiARAJTv
9+f4/3dR/c3e1nbspeT/92Ug5o0oKZOf6sDf/9I/9rbOb2xm+XeIAl1ySBd/1e97W9/+zfU86cnA
gweBH+oPhWDwm0TNSElJr+NibKI1+H1vC5GCf40tpMc+0LIs978VUsoWmCLlpxaOlwc0zz/JuzDp
rn4uYnjqVBVR3eLg+6SHsUep/LWGrYFVZ1LnBGbVWIafptJnik2UVfxsEuaxpkerUDBG3cWukOoG
mvA5xwtFuNVA1+4x79YIu8sFJjCVBJNJ/6jC9ilkZ+GzWlNvJshrnaBd0tEzjVz5Yi27o7oYaHB7
y9BfHBSZN4RFBWc5jc4b1krmrKNFHIddA6teEeMYvLRuZXxFizA+Z3ZVjF8DLwi8lFWXHC6g37ca
f4IfjemNmWa1v3f7sHwabAlMdRUZqAO7FtwuqrDKQBHhIN2c47LfMj6PkAEh1GuKBVLpWfZ4EXok
Jwr2wyfKLogXTdv7XJbKsg6Q1aIzwl/yQDIX9T9Fd4V/HpfpTigTs3mTvUu+yzfRwFfV8We5cbTM
PuoURJMjQrkxPNdZ5yS3vaCCnK4UjwIKWLOQaeqixtU6m95+DGN5NMfeeG2bnChOREXPsdnEy2Me
z5Gae+W91E3St2DwmdtsZz3TEI7UAGoXBgvBzptla90hDmQBYziueNLKl29dTb7iys2H+lVGHFpL
of00DstIHYjSMsqsOGqDzKG5n1DHPUVJyzA0R8NUr1p7qQx01YpLY9vMzLy2ISfVrkv2iL7T07j6
MX58lk+KAdqAafhG6Jxx4Pf/zEXK54pMmZkblCj+HAcsf8exwWSea2KycbTOTEudlpiSVPp02U7H
gK3tJaUyE0LmdhG63ReC/+jD2cYHL6JjYkWl2Fc9tyathyWc7yPaHl+0V3UzluzAPrLMc97qMVfN
XrY+8yeks/NNQDoVP2fBXMGKBNO+FANRgzaTi2KBu8CtmzGwPJHLxxsYhCLmyovAPq2/bwjzoWDQ
F4XoeXheazvd+JRNcgPB3LUuIeyVcNe08JCPbd0zP4xI4/qSsq9bJ9nMryUS2IQrrhi35kR3qUXH
C/xp5ZLsw07PL/nn8S/w3/4MR201WxlXUA9L5zArz0YbVsjjOMZ8LPOy5YBCzm7OqPkhws4y7xFM
u8wneUX8Utm46w3XPg654N78McVIh2jx42esGjF7gNCQg9XPe62FfDOnqfF/bPpck8mDsgSjUOWM
+hBR58oHsCfBNrNVXB0TO4GVFbodQ3JlAcZdRXbOjzUVvn/mKeV+wM81GS/f36Wfz110yCeU4WiR
HN6sU7vcZYZli0ugscas8qxhMdzA0evWaLzV/NjCN82ALC8fKbjQ5ZosjrpLOwXVTcDz+2bSOKku
wbQsKf+TvTNpbtxIu/VfuXH3cCAxY3E3nEmJEqmhJNUGIauqEkBiTMz49d8DuQe7/LX79r4jOrpt
d8kUSQCZ+Z5zngMtn7k3RqlkDxuDCwLuLJO0IeMJRRAH3ENuimmXMIP+QX8VV2TqGcs1hWGfslPX
CHKgFD27BF+QCEVJUyOkG9UOmza0Zk65Hvzmgcl9n04MZbjSGHqzMBPCA7shSJYRr2mDbk1VBRwI
10L+W1EFEm67vKAlcCIjeeeZfnTzKTTwZdLJRUJXPADjbZk1a0TU1ukaEPspwiSRDPqHhyDfwVex
1mYv3WuXtM1HapB1BYXFbcFEcnwMPIOgt6W5sC09aN4MH8CtZzoG745WSZs2Zrdo1u2gM46pYcEe
iI+MTqJlg0dOI/Q/6ir1bbDCZbC4EgdmbxZeyqOUqXPk+MHnOy3CmfZ9niBdXfa8YD7cD8IF0tFL
S3K0sIlSgsTFcKqdirwH9cllFsTxWrNiXAtRFQ9ZX1Ig1isk7JWvYmKA5ezvQORO3x0/t08RIsgh
7QPxLXP9TyLm6O+QRskawsD5bkOCeQLqOx2rnNg/5xpqPxPjGVK3/hIz9dgUUB4x74UBIqDAK0se
M2N3idaaUVmDFz7HDCjN+XsCgYI7YMiam8AdfAI2qU/zMPEs+w2UUHPT4j1F0beWsOoMtpswpUvs
Yli04rG1vHUSzf6tK+s77en8O5CU2Nkyxeuz1TjV04maiOAuG4wHkRvWuGUCaGt2fX0jbjP6DOrr
7NjxsTfDPdiOcUfBa49bU1VnWLt0MhtddCl6zdNkgs6SGFX3QBMFbQYDYOM2bOjzpSjWvq0Qoqzn
CDXpC6EN/ZgNziUmevUAXgA7k2zEQySE/0isMl7hR2iD+9oJzAPAzYrqC5CM0hpG1MDgaWb0/9Lh
Gt2Xo1vqvTsUZcj9Qdbx0HMu4MYfDoT0sCpW1qVpGIV4NOGhEZixeTuUnI6nqG7Na0NV73bEcrXN
Ui0WRIQmwta3cbXNBpP+vziKh69RNeYZoe7OTXdm3nX5YaqzrFsbwiGGZdflOuDk/GRRNP6WWKHZ
sBRide5Sh5ISTOPH3kM9Xg92+hWBo7oZsq67ay3z60CT8rlq5glcyDBW3tovova28eZ00+MWepzA
Qt5MYyquZIDbH70z6q9TiNHmfWw5+F8ZsUcSagN+cJkp6nZq/cphMrrGsaD+GpoiWR5B9UIr0Acb
tjS+p09dYxv3Wrcc/S2A82B08u+wIcfbGnF4G7kTTV9J278FiRdt2Nd7l7AKXbTXgfyrKmIAeSaJ
oTufE+DZJE9bbGKqba6OKt2N73SoGnnmr3rHG0/UgRRfk66l4LqsnqOuQvcx9ZeWJXFLcZe7wYL/
Jix5TLEf3BqT67wOAz0Y3HNYUkXUiC2HvRiLkSPvbawE587Xh6AbyO/6FvQNU4DQ9MtqRGWMW4d3
GIi1FTt2htfY6qiamYw77KTW3kziWyBhAJsz8RKljr+SmYcWZJUOxXXt0s5ErYeo6MhrrArxdiTD
Ju2QtlDp1GBwPZbwXejY5rgi9WZfA+l4lyAkoFdCn2KhLxCH0MLbtZrHneG3/RmvpUu2Xz57Zi1u
Ck2TB4p0BYuJcFLY5vkjVdfAKlK2HzurEAmQbpLL22rpMe9azwXkQR/NhdirvVM0vj6ZWvc3U2Ob
L2TleEB5sjzzBOpBp0AF2bR5eLVbs99XRRfzt5ZT3dj5XD8QSYDUNRXNsGVExlEuJmB16py0uyaJ
Z2505B2BuAW3pZLTs9lkMDjdvPsSd/ErqXoKnVwRsKEYe/nc07qLMWok6VA39smr8vEwmtJaOeCp
d16HakpePR28VQ7KbV4HfgfPGc+Py52QtwrsllvvaDJgdcRxhezt59keoTggT8cb76tRP0Zp6e/Q
sqJ0y3I4HEjj4vbPQrWiM21ljppBFv3RwKrS2NnMk2xuyIgy2jHjqbsZtUOa27JGe8fPjGefovtg
7fO8+Qb5zvsRYDygE8Bz5wOx4OwDVkt9CHUYbbNla1XljV5BXYavTilRucZi5G0ppqtoGeyTddAF
3XlYXN/RlLXrqa+XULWPtTvN+7sZk5L9zPoGvbmAPt6v8xBeUNomNhlft3yAmi+9B/oZ7ZkYbrgU
/KZsC4rBYQRmmXJH1Re9br3JXlB5Qt1LFlnZZ+MtZWfNllZ7uAVpE1AiwzbgbGX4AVfFZMtXPwdx
B2A7ZY/lhG+yE+XDHA0pkpyMd7Xqplt4Nu5dXcQkTqn8MzZUb3cnUk7tzSjqaR8UyXgRbts8xUN+
wux+UwXzuIGVUN/nTdkw1PBhYLW1PonejfZaBl/YqA07v9Gb3tfONe0nWqbdXim1wy1Od0ATQ2be
JeE8M19xyDxQS1yQZcstb37obHKfo8rxC/LII66KFo9xq6DqrsBkcKs6bVCU3Y/NxQin+R5jv6YC
pErc7tegrZ5IlhSKOHrSOdGiL/NwOwLtwyNg+w+lyF4qOxvjG8KefnRrF+Z7O4TVeXTZyCVkk7uj
Guihwgo0KbyBaew/AGJyzZck56/0sNKg/y9lRVUrxoQVWt8al8ILJply7dg6kP5FWlV9YfU7EgLP
mSD/7iT/v4gXP1tSFx8qxEeBxwEdBxHujwdjCdJ7siT7Wl9rB18VJ1E3ia2nefKbb6EWyf6vX8/9
k5xA5YoIXFQeYMpsFZgU/F5OgEg1ofw05aHIdXjLNK16w55P/SSzH1IfZfcRZ1CY72QfdMQvtEcF
7RpHUZyfQRkiSlKeHG69unD0ff5p4CSMBy7QEnhWFjMteW82gM5cRGzb8sUGI0075EDvtDM2IANF
sx6VPiRdxzaTpPQ7BQ9D+9jQOtPAHReC+HexSKVfZ84TeAyCkQObjDA/JbbkLKJ4YjzlCMJvTD2b
b0sW5AfmxuLRDiU7+vbTkOdZZvVmYgsZbyVnI2N5dpocsIQRXWej6Zod2oRu9p967sQf1PdOWeFE
0bEA09qIoHz7PAvnXi3u/vpLWKYdv5+GhMhvnsOkJqDHgOHMT186kUIr8hqzPLjTcl52MW1hXxMZ
x7W/fqHlX/SnF0JQZhsAZMf6+eoKNCe4GrvGgWpVvuIKrWPbFjXfz6fBp0kWLRfPHoeQmVX239if
//zqKIwB1mfEdFrqfrZbY9YVvgnWkZRXZT155HQ2SZ1M7B8Xm9Fo8Kpei6xCzinn2PbXb10sutgf
33tgYmNG2xYIaH9670MKoaGMdHloBK2+9NjIzjn72IOfirTh2OwIAq5sYybwL79p3ATslqZn6WcH
ieL/9PkL/Xe8+W/Gmxbcpr9UuS/faa6bsv79pxHn337w7yNO5xfcqoEgfYJyvcw4/zniNH9xBYMR
vmTLC5dqqn9o3Y71C//ICyjxsEVIcOR3I04CLcK1PLRxgcAKCeA/0bp/c6H8/npDIXKWU7JpIXlT
rvrTiJNah2bOK3PCO78gwFmbE4EWO6ACRSPNOeAy2KZT9Kfz3dB6dcjJVusj/lY62uZaQ9bhyUvs
uG7azN3E3E/GCgdGR9T1o6JI937wPPDnE10vbK5GsQJYRLyWNbFBq5rYJcGzqVaGzdN661Ov2a5o
BaUyni3UvDdAwH3RzaRPE9akO8E9i59vnp8juKdMfDIfwYBoWLqNy7wGDIkT7WBSChAQfzb99zm1
vQIPZAm3oKRujFqlKqTTqhsjgPoF57g5+W5QQfAxgGU9j/zMqzuVabcJMYXdxnmGeiH8BvMztyuH
FYAK1rY0BvdC6CC76e0wvac/uT33Q2PsRZQysDMjsuBl24/bADrfjrZl6ghdPpT1CNOWpABUGaLd
WOuwq5qrPnPt50DzMQsDhsaqW4xoYHa7bYGYf7CgH2ytkE/eSRxxGuYwv7SG7e2oRMiv5pyVl7QL
9D2EDUz+vamKk+tTW5IGc7RWQ+zDDbDMdq0hxoJjleZ28j063+lGJ9VXsKvAStzedqXz2riyfRQN
YdF9oCMoAhaTILZpXaD2kAXsL2OmrB05gmCfVzKFUzVH0dkpVbKZbBMgRVnM8CH75oGu0SDdep/e
rsXl1Sx+Lwfjl99f8sUHhsBX7x2sYQ791CUJZPxiggXuTSweMp3b4z16H+2BmMyMJmjX7qfvbHGg
2YsXLVxcaWGVFld3caqhfL7gj/c2anGxTYufrVicbVOHxw3tOD8M2N7MUnAOUmn6EHV44rrFHRct
PjnpkcpO7WAL5YEQC43Xm+jTWxcuNrs0jNxdt1jvwmH4EFFo0NS2uPPixajHRY6veDHvNYuNb6b6
dMtWBsqibTlgSd1rydVGsWt4Q/86jZ6LJRCr/uucI1XOi1UwXkyD7mIfHBYjoeywFIoOU3K22Awd
35fHarEeumyqz1giQxAxDeHGxaKoxdivs0/bYl9z3Xx6GUePs2U1xazPWLs36afrsYIGsg0WKySN
rO4KOqqDQdJzchSOZ8p0x2RH7f2AkdIVs4NYlv5mshx+s1xOBjL7o4VRd3h0Gw+DOTqrisUX4XAt
MKFJkxtPm/61Bb0Vv4zOjGGx4wxp74pwiVzALZl4/T65AxdjvYTkIEz6IAWwXx1RvLUlGmK4r/Ag
i/Q4lBbrXFbOxFfG1JydYq9LTpePfZI4w2Orkg5vq5QGbn7OoH36phQzh2ID27egHyN2aYKZKiK5
m76xRp5sXSLlWy4SStDTWCR8P0aZYz2kYc3cjtMsJFWdybj4SIcJQTmDnR1scWu2StJtFDhvi42j
/fBVKJSHP34OSTZlXUuje1sQ3VkVkWpt/scDyQlFm9ZMRgGkGp4KBUF4bdbsddZWq62IG0uMv8XE
/rtS/7uVGpMRS+e/FiIXIv7yn6pK/pAh/e3n/m5KC34RlHM5mM/cv1Mb/6ZFhuIXtr3LAs2p5B9u
tH+KjuYv3Ls+PSYWZ0EPCe8/WZGhRP68A2TWybYgQHWkZdL8+agDU7B2VdWoI+bZ+exLNe8Mq0E8
Yp0ONpSWm4e2RgNbWaJlsMz5WDFhouX0lva26RlUKe0ZpWws0IvK06CdxVQyO42s8aITR238ySDn
hcQ4WwwXE7r3osSfWG2apRtYtPM59KV54LfEJDvFzqjueqS/734aLGbOJJl3OmYxXKWO7T3UBmF4
nUbjHlFvvMxU1e0qO572fu9Ep9JdpBevGItbfk23WEVg09/tsJh3FOeoTbGUXU7dlEIMiB2gLKgc
nyYJEc2dcQo+3RMTrED/Wy9t6e2G0AePYvaRTLY5XRZYL1RsuG+xGRIAo2sqbOObsrUVZo0BKMpw
qS0fFwcZlkHezbQDB7tSTUI+DNL0dmamcgwgicxN4vgN8DMezRx+j8JZ/qQUcYh7hKWy2MO/81BG
F3+J9+k1oS2Zx4QYAvzzax4JQnIWz70IdXoFKvHXnPnPfe9P5bZklcYuQvMUNiVZB68zk2SDWP0w
boei9vcdjoWWv1uVZq8/3LTu7/wghRCvTGnjA7MFIBeLgpco6l81eOsgzPa5zs0zQPFsH4Q7ynmC
dN3TzXejwUrUhAUudawsLpjKN1ftssgaALWvvTehCFeuemUmpVbY2uK17ZJ9AhjtfjeKMX0IGtxL
NUz/TcEuaBczAjy2NM+9pWxiVkMcl5vEJ3aLkaglk5QdEIqzh5iy0Gs/tgX5REP6jC9rtm+DB0Gi
ALs+PfkkJ/XKCMPmV7cU0UOuYn8zglo6KulB2R7a/MY3s2bbVA52oDnJQKqgd5AojPeYeMMPTypA
djrS6QVhrn6XPaZoKBKTiYoVQBhoU2GcChKdcNiZlF/RhKb9QO75i21lhJIq683zJBo99cwfCavu
F2+J0zro3jss4Rz90c5WXj0StbSH71HUBO8zCLptyFo10eIk23c9s3GdMSRS6OKA1R9ueid27xHg
sp3dz4yJPRlxepSOOqINe+eo9MUbVqbgTgDvZvo9tMcwVdmxcCYaEZyyeWq6kkny4JYHZef2zRBP
412G6nfIZeVeSc+Ku66v0ldGZOkb32i2H8fOvukQDQ4Iw9Wdmh3mhbKFnBxp6Z8Sbc8X7F09ZJwl
AZtUoqdTifLxKW0ZZRmM+XYGItM5QIe9oqFTCMmQ2zxko4ZWXgVJsuxB7Xumis1tr+3kZWwQ2Fc2
QZpzpfrk3MaqfupUNzwyrK1OtpI45MYkfGPkmX7Rvdfe0FwdGtuRqNXJnP3Z2ok8zi+uGUbHah6H
fTubcmOmYbDThIh/uL1mU+h708uYWmoD0e5YqCo/tm50Zh5QbCJKsFbDJwe1kEcrrG4m16T1OcSZ
pZzuGz5DhgSqyA6mhNNYuCB3BJnGPU4l9sGxOW7m0at/rSK3u8EzmezoTSMkWzjDNS1hF8UqmMgS
dfY1mobptSPF8oHBvL/ygUT3Y1l1L6AcxRprar7hPmk3WCvSw5DB5CfZRDMmMUL1XCVIuXzt3C3G
UO9CX1XfbAN05RzkIKjGyMQ64lFiUOe6vfiiLywQd5MH4rKPVwE8ph+zFcPiNL2o41KGhsPA4An7
Xn+Oo/zCnjOkUdiSr1bA/T+7Yb0bbTIRK3NKzDM2PPMctiq8Y4tjXaexJ8Unmim8LRk+7lE977Ma
M+tKcKOeOkoiaBANMRJQTAX5RAl5qkoieTLw6Azr7OLc1fC+fJtHDdi8G4NU8cmqHfHoTQh7a7M1
onVTe3QqpsMIcMhYHAMd1W+HZmrqX0HOQmdN1Ym1JNziBba+poQ2jlnjkpsi+fEk8Hs8SL+lJ5mU
5cro6pmD0KTq56boQpiB/nzuSQa9V2UH65dp20OWlGDhuHv822IYpm8T6DaKMCQ9s0XhDidD5v0e
raa/61ttn6zMKnZBUtdfBtdtLqMLRGZykO7tZIyvrGyYAcKuZHxb+D+wgGIy9FpCnmEov4GwSrdO
MgNko1F2KAMsrWODriQ4VxnlYmgMjQbci1BsV9Ep+vcqB3S27q2B8Kk3G+kpi536S9QV7bb0Kwxu
bp6gX3ip+lE4AmZ/2NcvgWSCuGVXnv9qSxnsi3qMzp2Igps+KIxVRrXVMQ4D2IbKwlppsb6BZGuz
u5ZR1n0a5M0Zu2q77YIGwmCJ/zNqiVinjgJ6mPngiPqiewkc4JhWBSAQBqwBbLmxh+5KA0ZwOzPN
/m7aXdZRHZKwXId8xjfZ0BpPcex6b3VS8uhh4+ysYI2lxfLQrpjCcQzctmZQ3gPEte8SQLw8lnoc
hUE2iVUauQGhHChrXBMDggOpwXqdCwD+Y+kH78qkQcpM7HfU+/Js0NHwGEA0XAlztG+HNnR4DE4W
hRKzyUCV3mm+wFOd2WI/t8R4pyLZhGltnTu0oqO0UOx1XJSXUlr2sx+0Pd5ZAxZgXbp7w0sh0YVA
KQIwnhtoSs3GKO3qCBSzufqudD7aWGdIn22FIXHow0fsMcAl6wajeqzJtkdIO+vcqJyLimrOc1Y/
htdMFv5+iFlkB9O+DSI98LXnDu1uJpy9RXQMWyvYCuSa70SUEAmNCZ5g1Nb+AYJptW6yZsK+PjWX
as6qC1bR+pDGGKhGG4LU7JLkHDj6z/tIaP+FvYD1NDJ7mBhI2P6PIDe6t7wM3F2kqle3zvytkSK6
WcRgeX9my75jCJqDxSNPrtI2jU8kAslHwc/G+eQg2bJo09GdVBollT6O4WR14wZ9dLiZ4JBxaTow
cVLlXiL2pjuRsFhTF+Gk4Im1T4lEPbP/GHkI39myq9Hi9ReS4fl9jz2YMjmYo3vWu2LXO50iQwlb
x0iEfyAgTZBV+COrgp+8sUHzQAamuEnrKTp0VRqBIlahxQhc4912MynWXNnZZSgrYNPaGVPyfRhJ
thiBpq2C1/PgaR1jlLWHo2dOxX2raii3FEtqLo7Qh4030/joKGuvTB4rENTZTI/sVOHzW+bw2GO+
fyZanj07FntAEuUzSnFU1/eVasObWXnsVqQbHU2/AkYuzdQGmF2ygq2CPjomXQ/ua5R2ekpbON0w
WUXSscWkviavLdl8t/PUb9AMVTuJoFrZdXBLkhy7PkYros9xffVQjMgY6OkurCH5hSrBtSDr8UTs
fd5KNv6vM5jE1PGepMdRtrOSuyJhrJbZzilXvvia+AyDNKLXuo5gYq/83HvFjWQdJwMHfz/E1Lkx
/9hW9vyOwQT2lXENKoLLYdx7dBKJGOcwlvyyLYa9aRuEkenyHTki3CSZyLEmyGe+FnvXTVCow4ZE
NVWSEWHn5J4sn31uXOdNNJBtx77t8NSobKNUAEwuz/hgaI9gBDZx1rY5cJe+U5xAHzMp6IJdjBB9
wohFAQyZalsXmcLLAIDC9Aq9Ez5A4dkYmbMpvPGkWIE4OfmeUDBEgCTFf4JhBHIdZGvAIHtmN/79
6FHYBKpAnQsuv3fmPlvK/aKnvG28Q2VE08m1GvPMuC/Z0MLirHGisMw1cXJMKj/YkYif1xXUivWE
lWBVla28K4yMlZ3arHvX5M2lQbZNZsZTXl3pFpocqO7fnVr/F9HtT8IEI2koQox8bcbJnA85OP4u
UhNHzkQUPEiOKUIwWzh6xE56DnhKu3grHx2zqD8q9lIFSzZDsL9+8T8JcLw4KcYlEIXFVoQ/vTh1
ANqb5io5irHU1L7q4rZKsvg+UKF6+OuX+pPOBMOIlmwm35x+yVD+9FKILak3xjkvVVl1seUemTKU
ZFl+/+vXWQbsf9RaeKHFYsyh3ySI9rPOpMoJiIdiuNZVgAdjqpiOXjda26xI2gsWVxXe9mEMWnly
8vfKx6bFU0XG90YUL4dr4KzFbzOcfxnU+vNX7ENRchi4Arf8M1uoM5mdtZwyjvXIJNXM9bS3U1i1
DLpD0CMYjvTH2PV8z4K+3c+P47/zo383P1rAVb+7chbE2d/QZQtD7f/933uVvaMe/MHIbv32Q38b
HoXOL8jTwnf/LtdwSf9teCRMm9wieUVm7qaFnsn/9fcZkr/8P1yB3nJj/3OehPVduLjePV5k+bn/
aJ6E4+WPVzn+eEKGFiMlfgME+5/zjLpXQTF6oj45rTFubKjILWayHSH34OoSpCqPbigZVbY4Ityt
0l4HM7t1qbjwP7kOKJ7VkgPJwyTaG8xr9FOH1ewmgHaSXgjX6a/k0/03l4TUKRaIIu2QWugncBBq
M0nykzWigngq7Ddtnxa4wWujfCviqjxDR6jmPeIQ9Me5X0uCRyDb+0GHbz2EheAQmPAWiWxP3ms/
jF1wmWhV2fgltqnUKltna3tLGRAKepC89y0dQd1nXVCpsQztqqWf8balva+VOyPLTWfNkzGJxxVN
F4E93LEpR7jbBfjnq7uSoEizisdG+3jeptSJDiwPmO+20GlNIz8VruMG2aq2IpicpGVgctwFFgO3
YRVlfJ4s9VPeDbDaqY1lUe5JyqwFYpb5MeCUZOVWMW2+bBaKxp2Bq6clMIK807NBKWJXYOClWwk3
Kg5sxiqrOJg5Y23YfzoztR29hFmsMZDFPn6jlMN/+m2O8By7at2yQ3ZZusrEAWTg9HJvqTHSd37e
GkdzKPTFTHFKsb1iLNY7MAWauDjGhtHvJXjwR0VoP1mBi4RcAozmKjIM+l5YTe9+laot5kDciWqK
NwnFR7se9s8tvjEcqo2TQztuu70qes6IdVHCYOuz7hj0Ix1KcJrzHPcPZl1571pkDvs4GzdEA9XG
aV0bF7FE66bI5MrYKn+JCoO9qoqAl84k/O+z1HsmGyuvtqybC4RQ/5oxfHiL82BkPiBYAat4vHI9
lLuJTNaXrBmjS2aV0ws0D8NaQ/no15HPyB1Wp38Xhir6EtOweBhjz7inoJymDjIW4Q6bkH1LSoqk
Xmok84bwqpq+VAvk2MeO/Vx7onhsJoZBK7iZclwzpbNH2qC1P67LaZ6PhSaQQuwMHDrtfO1x4Li2
HzIlv6B02Dfh7KNoiModnoBHNtMqqMB5bTqlsx8C6Qp/kT+jIsiyKLZANGeazCyXkS1lZ3pwn9La
x8jXYSZzoN/eLjoZW/kEoMgq0l1/30lp3ZAEKw+k9WE14R63V13W6GuceQUi6ggFN/KrXwcrfhE1
qgs4p+DEN40VuAIePjUVhaNTNl6xecQnoLv6SQp7fu1sQga7cBitj7TU5o0xFzh+69r2T0M2hjsn
rb73YR0dmLjXWBQVZhf4oo+hCrpXBkvZy4R9/8Ue2sRdu3WgXmqjCCHicodRaq33MKasbegP7S6p
vJuhBFWaB0m2T7VNlVxYuKdhBJ3LJkDhGuNnDZr0Erq63Tkl/0XB8aWI0vE0Gpj01tR/2VzFzMZj
NwBPlEDB2OAombbl0FFqFyF+8rm0K9/PlvYFc125zXAqzZBI8ORaXxzwFvetoZ+TWT+mleF/w9BL
sNEMUVdX7kBaaG0hnj75OnVucqBet2iQNKSkTbTxE3kMncY/T4OG51F2zePMKI9Ui1l+eCS8V9Uw
lxeb3Mqv9dLUyhCGioowH6obmUrnWcaUSHg1eOZlgA0Xdg7l2bFE99ZCb6XoWbLzzUFjKyEIYIx4
Z5NKvjd2nHzPKG5YN319a3UU4rjeMG7ivrNfUdSTg234FoxTZiW31rhMPYHN4jtqLYM7zonNO+Ia
xk6XuKagrQblFR83NpeqFeH2E8XWNwmOH2qSTGjS+ZCOBysG+VYODrEHJQf7Eb0/+FUNOQb4jsZb
ex1kBAmjKJ4eHCPCx9kX7nvn6iWAEGGkmVrBc64z7fEiaaaCdBvENNwMHJw/MyWY0Js7X4bdtJId
TZTCdqEQN0l8LPOAUr2KzeHt4hG4QwFSXKIuc2xz/KAAoHhg9jwdpRERc4obuZZp1BxRVnCM1854
S5k6jQFMfz+cUrs/SsP5llS1dSv8vsE9WefTCnbRtsYcz01uqPOAWfMc2krdxiZFIqt0/ohNq17V
C48Ew9ZzaepHCLLmOhA65ixPFiXpvHiXCOFi9J3Day10uTU8K7bXTjM0B2nQj6B6CVo4iTa60OIF
8cfZp9I1d9zvH+lcEM61QLvEYOWfJJwnesR1dRpSlW81NJHszCxd4i4oMPYWpjwYA2U1OMsZNjpC
lFeu3BwCTThcEmSgb/XYABW2KpGx7cHbKr3IOfEbThtrqIgluxWyaqbc/JJHhFgzot5HUVA8bzL9
3UyNmdwaDJiRdIpy33Zjt3HQMt4sjtybLCg5Wvrqa9uIX9MaE9zM8nhL6lN2K68Z4osT1PmqaErO
unmMPmuPzQ9h92rbial7TE3P3TJZBR4iA7XDYxIAyTGiR07QzZL9aPdDaNf8Fom+72VqCwbxIYkC
x8ppktGxcSRsjsYVr92C8iPTyb4Seeh2cgjUN3qyxJYxD99rEHyNg+y7ZvpztAE1rk1fqU3t8lec
FsPV5LreoU9a82iSHtv0CWBkwFbidq6M9CNMybm3WWzsW3KtK6eJsmvaEmm3UNN2VZvWR1CFlFdg
8j3YDCh3/sjOyxiYPykr7m+SvERZy0ZKqOkBMzbmNLeoGLjPbb8pPlp3SKhYyp6SjmFHN8XeYcDQ
T4PVeXYg9RUgeBYbi7UrhftRm9W1o0aZlAPIcFL1ex7RBr1uxqtIgOLHsZfsiE+xw8hMb6vM8s6v
9NU3wWs1NX2POfSAXA0bMy4eAqNVJ2RHuStgEaABkWrzkgJjZAy/b87kDmvL2c4N4yEkxr7PvC48
MO2X2HuJ5qriAok43rU53Ssz2ay1l03XsO8E4QOV7UlclZt2rooNaIAA6HIn9kWP4Vgavn1PZh6i
cmj4T61jJQdo0eU6dMV3BhjG1p3SfJXkzFuspHJZyBQA/wL8woCF8yPJpxpfEJcfY8mDN/YFIxRo
+WGLKNS7Ha2VYdUdR8yjh7SQxkomc3DKQSBnifuVfurn/56l/v9gzt7iaPzXWvwdHLb4/6zfdZkl
xR9PVEwV+NG/++ZcQr6cfqgs4NhicUL6x4kqcH6xISo5JmiRxf/2+2gw+V9gSIwosHD+lv/9RzTY
/oU/KvBVYuk0MeXa/4lK75ucz/44OxAO/DrSyR6ePtP2f0Kq+GpEusma9MDQbtnWhYuYOTcSYKPV
63Dctn0F5YOockyBCoB35wgrMKRmYKbKfG0NQMt39jzmalu6pawPRlbCkoB1XuQmcQG7+YY9CJTx
Emxl3iTuSpd0futQesDkP63fKEqxjzyaWECHNGPFVRkTMJL/IPMohH8rFixpBfdCb2kUw0s6FCyW
gpzX+28I23CpfCsLyaa1K62g2lu46fS2UYvZGVoMepBKk+li1ZAgO86/8G2rJUfYNsH48JkrzRMx
PujUAvColminXY2+JhlQqBLpX5cBTHwc4U2A9TkjTAemNi6MtSgWA3FFePnCdnNJLHYLIqsKHfYE
liX1weQk+4RfAwqfNY6XsjS6g93H9vO8RAgLG7gfcROOa17eiDtp1bx/JjSkYL2MfzV9rliqfeiO
zR42XPMt1UvEsnAYmydNRv4wWmjGo635Y5+YLGLF7vskF5odG2l9cMWwBMCo57mYtrSe0ogRwbrj
HEMaOBx5147iNQNlV29gT3nv4SdKsBtMm2gPDTFF7IOSU8D3mAoLqiIS2oaipD/aZUgp7EJ0ZOa+
fJ6UQSwJ3DFHq+G65p/89oXirOYMLRNSu1a3fMOfMEG+0qZ59aZyGsH6RYyFRkWVxAbZSSVX4Me8
hXLiDMO1FPPfQZORgXU5wSXgVA0SqTGpPtB3k2O4a9/wwY3WbU5zcaXy2HzBnejYO+gpBpUow/wj
jroFpfU/7J1JcxzJtaX/StvbR1l4hMdk1t2LnJGYRwLYhIEEGfM8evz6/jypapFgqfj01lpIpSoV
kYkY3K/fe853xjJ4Uvl01y+ds1PM2CWmbHi9C7veLVoPYs2J0jHWZDyhVUYd93LChFZOwYOekRAU
7jix8JOWUFvrYITx3WJtTu51+Re7us2FPYmngakFdzawezyVJ3qoLwUq6ByZIuVo1PHwGRZYxHDU
GjFvqvt3unzEfDPnEFcx8/5pQ3wyN7iCTY7H+uRt5ehAX7kEbAODPSBbYwuFmedN8FpeVEQPywNR
nfaZkY4Urgpj3LxLlgHbcZFBE7ZNosXIQyt4YkIxdO8zwsFoWzLbi5Bw8pwAOQairHmPvt2Dk3YY
KfoCO9u6pw8CzNIKtjS6sVaOY7CtpahfsJ2ET6dH+IRXVBmuXE7TQNv1Qxq6EFcx9HJJJitSNzMz
7RtSgatzGaf4xU82/+8Izr6qMRLXua/ZyZo5/R0Gd3olBgibe7R3XLwTHg8dC54EkTQvC/aNQ+PU
WCgwSIkHOVXhk5GaIwIAPGPVKm2igoh7DsAEegA2XyycoXnsTONqSgp+HTORJGXM3NDmxDZG0swD
Zti85F2GeJ1wJyzmo6aCKpM8Z0o1+NJeXAU4HvPgYmm0nL1PFD8BHwM2iZzZMak8XhfbN+hgcFgb
LcfubR8twcbMa+/gcpRCuKMppRxYNkAByZYE78HzY88trp+lUwNYGF4KxBZtwRdCoTPfFVY1xXeq
m+vLkxE7UTicbcW7nAUsz34JNGlbiJyfc7KJEwZOnkzPkmGaoXjonXrgCuLNuKt50ElKRf/wkuE1
PHCcj/ZhjwHG09h9N9NGdj9O2+W+g1omQS2yRNpIQy8A8PBEGQHx4ZscFeBDaJLwcYwqD0amjcso
PhZhSsaLiRN7kBYee9ph7SFPQvnWJRZLswgVzxRqXx5w5S7c1rbDJ2ES4A2eu8SK3wxKPJC5OTGB
RUoLsQnxBEO7DqNLpbEBE8NfjHAuHpEEjcpDAb2/JbGm1lnfgavfRCJeFJAmem9rKwq7d1zREHxj
h6eb8fsDcBCosYyc0nNZD+1hEB4khdMzLy3JHzJ7ff6zmJsS1OO5CFiSMXiifQlw2D7Z0cdJNP3t
iNptZvrbsb61Xe9v8tjWz2OgvfS0X4InpCrcyO9LWtoB1NrU3sSj5IRQlc8AUxE53pyODbUwxI10
ebvyPAvS9TBxeXFa0RrinxWjL58mjMVIhqj1491pZa0qnDOMbv3mSSQkBT1NUaSyT5zyWSdyqVcp
MU7JXtITfQv0cTYdmuJWxIO1Zl7/XsZzcNbWtd4MGPayOSNNY8TMCO1qWhwWspz6ASBt5ddQaGLU
VCBeVawOLD92wZk2GighdNunEmu3WoLzAqozc2UvBFjcdkmQ3y5p/jU1k9zz14xOoye20vZQ9vA8
j0Q8a3ORRqVXvJOko7DEgMWeLCdd203rvldl8VRFoj0G4TyYE0imCdAIjc0HqIhIlPRG1GkeCabu
+pw9xr8RpWeGvLuQS9oGnX0jRH/laK4JYSHRetSsk8RrwJ5AMHltemtrWFVz0Wk2Stvr8xT6JuBt
371nPTa0Lh5qEj2DtghvTO1TC4L+U9nAQdYuNgPe300tx1WKwS08Wd0UYGCDfaJCUXfGQbZgVU15
w2EDctgwB2tTEzaxwVxBc9qD6h+h25Lpuq6s4iBIdY9Xiaw5FkI52mWlNZL9gnLRHAjqcUighhXl
TWpcWWVN2pByIawdAnbjdh11A204khCD896Wy7U/996xSwO2uWRu8LQaeBSKSTxKMSJXYCp5nSyZ
f6TJyNMrgKG6sV9tIz+t4Z3UHGrSzONcOo90NaCh2qvOcOa3XFbpo/KKR5kSUHcBaUPeoqfWlLFu
AiOxtAHcM3v8hvsh+Bz7CFK6iUH4wkO2bUjX3PitwsHKoP9gjpg91dwTxOjXMxnMMiW3we7SS7+N
U3XJ9XLfU4BYu2WYQvbxxNxGyfQY6NTsDDHf3gunVwA02tXlfWbSrDDnKtDi5Ort7Ix2H5l17W3H
BIryp3S3zlzMX9LBejCIukZc0HWXfhIvt4genXXlDcWuIq5uHwYjpJIgkVv6tw9NMAAVaF0qo21X
NNVlT/+asXBBfTJhb4+oG45D0QqO0q2BArXqzrJgkBeVTVuFi1bi02sceLVEDM1N428NMh8hT+M5
4QnJbmSTMhzwjwbNsWs2AUXJR3JTRKTCWU4z8TYiTs6m0X6wjK7d+3qHsBXpwzM9pgPNIabeiTJe
uhDxY1q3weWSamwEEcPoGs27rNVmZOy1j9ZsGReqqHMCGn2PP4eH1P3cj3lAXWJZyxFSe8MUuq+e
Uz0uRhdW0LBKC+DoVgvd1pts48pEVLpm5/VQysjd4BELmNKvOZvw370ZWQG4TEOeBTGc67FtOwzc
PDaY4xki0DQY9ibn4LXjZ6AW8oRTOPoI8rnj/oxG23sdR3JroStdi9rM9WolzhQ91bewJUxpE1bd
/ExFvKW6bqkEE7PcqMzMtvTH3IewYUVh5W+LbVIJ6PqJ5R3Mbrb3pOKqTWcp0oQho0wX8WB4YlXb
Q0rbuXP9lmvHzOWOKNJcIJTIW0Ut3iwoS5NQzMTxpYXMD97SjdE7i3+0w3QP6NAXNRGOI0OOKA4Z
j1SRHe57NzZYmNrEPfhIDZ+MrKOJqdzQcumuiXjT1j0nkJjjv9tWSMF5LxK7n56IkczPFpS6UG5U
tluWftmiHuRvUy/ZuVZuPk7R7POI20UljWPi6MKPhbRIgi9BYEcXpDlcMSnrPukU5/Oi9S9dBjdr
Nq/wvgAW80zir9uuyCgN+2PWwJ7+1Ln1YJ4VGQnjR6MRi0X6s50GOzuwh2bC72RQORFaaIfXYR8w
KapHMDyzk1T+S9jkLOphmk61YvlWiCQxYgC833sAaRZazjmh6auI/t1EN9MxB/vFjwt2XR2VDheS
iVa086bQKc4bs+Wf44UBAGQ6TPp4eiwI8M5ADRq3MdVWOXUUIu4o2ZsSqC7qaIoFa4hmGIH6zgG/
TZTlCKZ/53H8ZcgtyP6VPtNNwoE4Ruv//wcdwwDdJqn7JD2EFS6eTVFV9vxpkcvQPUvmKJjwi4Bq
pCIbgly5CSv0b9zEvw7+ta9UMGWRHv5S29IKhB++wRS7olqsPjo4My4uUiI6cNwD0yRLe5DiiGIz
rPcgemJAFnW4lNva7cKrqOzFg28O4grLE1XlD42Q/468gy9E3gJmBpe+xi+5QvSyQlxqMjqUBqUf
yj/YSXNCUjsVWZgjz7aofIZioTgyxuh3rtcTMPlHIyAXg4939X8owYX8kORUKi9DsrdwTVTOUSjF
V4BAtGv8IuWGxMohLtqefPsh80LjTOjyG9QnWIIRqbl1LV01Mvcxsz6KD70+QddNVKbf0Mxwhilt
Ftq/v1x/cRNJAhKOdskCBhaeVnf8cBPHIEoM2/BzsqlHgtkJ8hg6nT9UUzQRO9OsSyg3W3fumjdS
eNVd09OraGLO8kk1t3dF2ax/8410z+fnS6jpwxLjhvRswTb88zcynMZYBuoGnMMGZeMpoKanJfXU
0eIhePaUQwD/oXtHAWKf1SPni5IRUL4XKLWSddfV+gzGlf37L2b/1RdzsYUhcREYsz7Csj0yXdqi
beJD7UZUqFHF2QuFJzQeb6YqsrvyvobeKs9URdmKJr/qsuMorfFukCNGj3jUsF5TcVpGKk9dLHqO
sSdLfSQXyvckgtOUh+jyIIvR6yGEhjfbYFBKaeq1M/GRNAbfvx9Kk2Ii/Ac0F4uQqmeIGRqQNKbL
fKPruLekRHhTAqzIGLZ5NSegv78c1kdiOqJ7z0LUiFuUFmLw0cgeCwM/NzEtezt2WAMZtZJO4w/6
qFPOfPtTjA9BVaNxX1o6woRhBV9LYZW5nwOXqxXZ+C7WzgJ4gQEB/5OLxX8DM1PR9tQesi0NIJ9I
Cp0vhokEl0MV0QFbJx458NtohKi1KJ0a5ljwOTZuBt50hfSqeD/9sv9R9fxG1QMaUktt/nUn+lPS
falKJpY/esL+8af+9IS5f/gm0hz81ujQ/MD8ZxM6sP6g0UwAVED/+aTg+f+yHomsh11FY68x3EKP
5Gv8mStokSsIwQITNH0ODUH/d5rQWgf3z+VGgihwSBU0LRYcxr+Yl39ebiBjxtngxO458KX2cEqj
c0SpnyvG7eu+BQf5wwX6ix3qrz7QQwWIYM4BzS0+bJtYqqzaqgvn3HYs/NX6VIwHksgyUi4OEbFx
vwFO/Nxj//4L8ppyvai3MM9/2JICOK5dwIt87lWx+5YGfACpzOKhc8bflQQ/1ySnj+JWc6+Z7Jkg
Rj78am08wevMhDzPCoLHEi+lA9wvnONdOIdXPTP4Jy9LxdV/I7/hL35LniSHp4GVER/hh9s4Ndmo
TKOV550FLa70a1Zowykx7SD4KX6z9glGKh8fGp5AoAMOyx8q0g+/6FzlXeHNiURl4fJBjALpIk2p
yfYz9h6tzNLm2Hos5pn1jDDpkaJM6NibOUeCbupe6d8/VL/++i5kVVIxNSQBUfKHajBFH0VLIZTn
3+PaTthBE5fd/n/4WVqmp6WlggfnwwPFxJgMIESf53ZHm26QpP54fcFmlFq/q6f0dfz55XSZT2Gl
cJgd+b+6OHvk9W41yPMxjL99xxgCaP7N3fyra8cihPWUD2OV+nAzcT1Lr+dYgCadxnHqj9Tqvkva
nFh0N/Tvb5TQV+fjr6Qrdov6hkv4UUjoh7YYF0PY56mVoCmwRz5ThAaNxBN70ScN8Y0ykJc0CThI
xPTAo5GG+m++xq9PMOxFlj1Tv6ryl+CE0AJDE2rI+uz3Fq6zUtD+C5l61Vhw1maDj2mbZRa1ilro
gzJv5uWFmUlPNejaw99/m7+6AwA0AsYb3GnP/PBEETLgMsKreXl14iDI4okxGxRXSe9g++9/FPwg
4BjQ4uxfEEgodlpi2hv7PHG4vNiSeGVRDrHU+xrm+fcf9vNSz/ItcQwRSUSOAR/3y+Nbx32VN01t
HEMCBOlXowF9KW1mEqf521jq5uzff6L4eQnWH8lhzDPZgnmaJbk5P29n1HnIYXFaH82QDDpYrhST
Haq1OyZDhB92zCO3tkORGPspNbyuOAuSus89XMPTBi5gc1gatr/TCkIqH3MatVhUWCH5h+RXiep3
F8k5bbH/fCUcNn4d4cGDCBALjPXHjJ/Sn1M5F3guutwsduYSL7sqcQ18w102YOYt1ByRgZa2hI5X
aa3cLcpf97aF2HXib+pZUsFxGNlJ1L8vaEjfZyYDqAjjhfdKjzXjjdnC9KcVoAeSIgrkG1HV8x1O
X8akKX+s1fMcD2Bliz6QOcOkp8P96FVIdKV9bFMuIMl/qbrBoEwmqcvI6AlhhAG6JQgbcRAoSEFY
MPwl6SzgCMXIJwltJFeJ7e7zsuEzfK40qkB1Q9cNTL+k4EVFh630ClwlT8hpnKUqr4fZQvCui79I
d4v7iI60agUF9ikpN0vz5sWrS6s+gmJQd1BuCCK1epyLONKj5FWogFvmLbZL9T/BT3lC+MSz12fu
W5bocYiE0PimoOe/dydEkjuOzlsB2v9LzWjxMDZec9e6GDHgkkKrTyLayhb2OkcbR9lQhWJ8YdgN
L+kMa5c8MGNtz0x1TuNMLCfJPrQZv5+GEUaF7bI/nVUCiKZ3YDuXJ2skRfH7sLpwORmJue3esyKy
EMvYjFiWLgTm4tO2fRpqfWjCYGKfkXjIVS5SRjOLnlPKwURdd9rlSnZqxMpubsNWjtv0AMiJdq/y
PJ5syaiV2PFSLd4x1oUJHVfkcjpq1EwthleVgvwFg4fpsVPm4qpJGp4aoBgMz109bVJpWvdr4OUK
+a0Zkl5X6/XSGD3ozp0cydCjncmXsR1Py8rQS767Vcz7V5HMEG0LHYEbG4WOwDs1k8LK1yNWJfXs
LguZDorS5lkeU4PDLhMxAGU9EbAzDuObWvjsRX2PZGKncvblVV86DIVqO1ouFy9fIh2S4ryNFZl7
bjzQ4u7KFviMo0TLSWuxDssC5XNjRa58LcexfPCXRF3mzZhvGhKgMRgaufDxpJntMcmrEe4o0tlV
l88zIO2lGpiNh+4DY/AEd6bLoG/lOam6woJhnhcyrkDcZEGAwKqz17OD10mVi3rIAtOBSxnXNXhQ
NHUlzyQRHmZX3vZ1h+IqDYfiKzPk/psvF2T0gAauAtdB3gEelV76kLEyrRdQP9uJEzgXwVD1s0ub
r9t1jnK/zIsnNsTigW7oSFHdYb7xJpyXNUTOtEKuWw3VVZCOdHA5D8evkU0KikfW16VyY2iCpSKx
VfVes/e7yX0hSLFnNF8vr240VUdbIgpH7ymXV0CD2dZxrGWNH5bb6IfOCAhnKl9TyMX9phzhcsJA
9fa6GKVbOzO327RtYSCAjAkLHaxiV/jYFlmYmIIDsrkbMhyvZdbUZ2kbdzvlDOprSGthi+jAuAUy
XTwn2YhKQJU9/ETkuikBqDBU2zevl7wfyWLQKi/iNYY5sSswxaatb1xJ6Nws/6SLwPFt7VhsdNJY
BbinwYHsMD7woN/pO19PF1S6/gFXBuL3kpjOlQxDPgi3TIguMYrPfCCJjMwAwWMUM7ZWUQ2PNSB6
Mm7Lbjc4GabL2PySe131TAfdWiWBmHedEdqbIed70NotbtmVmDIsLO8Xrmywf0UmdxQ/UHpREaNz
w6izvkFQzENt0Nnr31TICN+wUl6JTjfAtlXdk+/8Xedh2TONBlbb/j0i9KNYM/ITD9+n42bPjLT1
Blp//jA75labFbBm4D8gQZQx/LK2HMwToZAEXWi5xSn8su8C9mN/cEivRTeMhuCUymyKue72WdKz
BLEaU5jVJA8bM+co0n4p4dxxYThfS179IXaag5wlol5HZAiHSDDmq3kjjassL/MX5nsR9RyRkCth
V9g2kfJ0dfHKLM2vv6maEJhu9HpYpV7fbctUTl8Lf2qQpmaG8wm5L1PSOOgOjJWZIZVzhCcSwH38
GejGW1o79taREHrWIRDk7jlfcJrc4+Gr7IOPC/NqbEnpc/Mk28bThDUWfONO+WX9iDq68PCmy+lx
dNriDrzDNytfnmdLiuust/oD66qX4zluh60caus96uPofUmS6T4aPO4cbzw6X+JxIWxF3oQDIk4y
tWryzju6TkLQyTzldbHuoEBiMB+6aDr0yEvOZVOpS7hn9p27zImxaotsgGPCXUCIST/hCTg9I6tZ
9Pnl3LbyGoZ9ft3AbL4rEp+xfSW6L3I08m3VL/bnKnDH896twbI4oUUyEKHkSFVo1xMAs2CYLJqc
5QJDI5N6Xx7VNH4Oa2O6n/oouxXEmV62SeS8ZpMLaqwFYsteCbsDJ60dXQWADi7b2bGPREMFRJyP
UfdmJajOYVIGW9yjwznNQyNcSRwM7V6w5IEWLweGY8Ky0DIjk5x3cV7aDzRZYVqX9nJP/gridzUs
t3BpqlWAefJlyPtm2JpdJ5PjnMwzYV+VaRAbGiLDvXJnc6r3QTx0B065xkVKEOmjmTCeWBsMX8qV
ZXhmdhh4eK4mdvhvYmy6y6Guxz1kf3UOBrHINzUSt24FRcQ+i1nc9lgJBIoyKgtjHY3eeBtZ40QK
NdZznQaety/Z3OMLV7lzMScWy6htKoJrGvR2KPaKdgjX4F+ty95Ti0PKWCP8rZ97kgVRTF8ry0W/
hGt92UEPkWdSNqBycheu/eAld10hmkckzN0Tfne5HecF6XOqA1c9V66kCfl6NS+pt7HryaN7Gi7x
u1n07EO9qbCnGGOSQ8dD3TMunFPKHGEObOowubZM8jvMdjIunaS3o1ViY5L18WB5q5Lw7F3Tec5E
mFQSdPuBZ/dbmMfzpxoB0heCEb33ye2R/5qgvzD75wILb1rlXrsKfbv6xkisIWYkXtRw8Pr6mxPP
0U2XFja7XNL1oLFmNEBVVTYb4rkatZLohQglLttrI5/SrQWdot8EETV7tKCjQbZYefgxBtn759mA
0tqQ3vgco1Uj+iJa0mvw/R4ZT+RfXJdIsPpVCWH+NqaPv2bP7gRO/xpLyfA0xwxA5PcT7H96ob/p
hepJGwfTf90LvQZM8GMb9B9/4M82qAZVygAYJQBYrZzlRP4PdyNaXNo2tB44upF8InWH9B/uRin+
QB0LxtKmr8NfENz+2Qa1/T9Qzpq03wGe8cfpJPzf//2TR7b78Pf/qxyKmyop++7//NcvUYPk1hAX
yfGbhqug7/qhC0LcAttS6cDxns0atFq6ZMCI6vDoSDmucfR0sOZSqFRYqXZAlsKjn/f1S4Ch4ZE+
G8EuGHc+mdDwP0Wzaf3m2P7hWCv5drwHiPsorzjbfhwKBQMkRTEF8iwdZfXmxGzcDVL7i/JExmqS
XO2D2hzXXV3B8frhLv5Fw5ZZ5k89G2KVbNvxGXLorqbvnrTSPw7JMCojEx6S5iyMwmeivNBiTUMS
XGZBW7kbt3a8CxrVpctlcr3zWQbJo0Ar+zov5fLuDR2yknpR9jHKo26buUO+7/N2yLbkO7u3Hju/
WkP3IT5vKvoLUduEipm1XC2spys424FYy7ErrmNLmfUazg1CfJ9J+WrCAr0ZhgWXjU/cdLOye3fm
/OBaL5GuzyvkhytGQBzvSVPfIicf7uKyK1GVyBKBYW9jEImagHhCAnAROiVSw+dbA1y29zDgvMtR
0DQcuDy3Lq/ARBCxEevpe1vZ40ExmlpnxoL/EBWFAiM8jQ3BNG68rrHErguIgc8lQBVnZcBEvHCm
NNy4reo/cSLF2J+YJDGsTOIbASLh5GXKn6kdCRLungA4+jLSwlrFbKG505KXW7NLErFJSbh7ySvT
ZbbtmVThSMe202C3yW60Z0JPAGK4d3NIKhOBmQ2OwAXV2YPgDLIte28azjT3K9ogJO/v5mTw47Ww
p46t2QXGioRPB7uFPZJkPHFo4bYyWuzzcm7pSkVRYk2g0pBoIEuU3NbUkAdntCy4MvA/VpPjPHup
8rdwXsqbrGwpg6PGQt/gMMSTbZ+WoC5msTPTtN21PQRUhYBxjyQ0em9ia9xlZkJ8wDhueFODM5Ds
xd1iqdGmfB3S45L6xP04vfcWs9cclsJctkFe9weVtNWyo1CLOPenFkoGxHwz59Wm1MfIVJCm6MNP
8UX4ZKdaUTHFmufhOfFXOZnjtajE7KwAPBVf6flmlU5vt1eNk5QFpCAk3SuCVrGaul7rptrmch+f
sJHDd4YkQQLkG4q2SGZCfryScJYQeXiEtS4syVis++y9TBlS+jo/YG+Z1fSONJTImjGLC3BNdVmj
7OqaoMWCnOTEfQQl7ZHrrsOjvwyLfZabdjo+uzMMkAvlWNXbYtiQa0KGJy1vRWP0X8pwSMnQCvom
Xrt9JZNtP7Slsa1CX2GTFiU4cwxQYjuMyAPulQ284ADjH7+fQZwg+siyLaINgYVR/YoYGkBEZpSa
4KOcEk3blJFciiiOraAvL5h3JDXubLt66ypG0Xr+zKM+m9UZGuTsjh66XgzRKq5wbpbX6TJAZhqq
hiLNCvi0Vv9u8EWd+zZcxIQeraMei0fZfeoTN5Wg70e+/Rx5y6Gp5uWQVFONrMoh5H60GCkHzojs
Kp54kbcdojySJcx5+GymLWUsiHMHpFuI9nnNxKl6Q+AaOBs0lsvutJQH/Oao3NCfbYmHoL0AB368
orBbMADbBhiebLJpipMLZnFo2rATCPXmDAPCpyPGQZO/UO8HmDZpFUTE/FZimcbnMmLMQa4Slenb
oPqCR6ddyHBoF/eqoRglPb0aK2M3DehXVpKu6L7xrfwaPfw4I5FOLE58ZFMiGYvQRFQVL1YS+vl1
6+RNscZrQRqJjxr1DPBRj6OUVJfiosCCBn2Nb8CzW9QMgYTwxyvZtDPRmbYTDpuya71XtFGTwvLb
ZsE6j5ZSbCrfVeYKnZvfruLGm14wb1ZXFFwBdDKXlKDQN4Ha0d3ZZlNXfe5E/0hGqXs2ovxz9gIN
0u1A2ynfGFTQ495HBitXwie0lrF4EK6lk4Y7gWn+MrZHEgkMQ5UXcT61DxaSU8JL48H54owlfsjR
FvGumrItxnxjWVNszheSpKLzMB7ji8FbWg25R5Q1N34NiHZuxblt5LDwkMt5Kx4g4yFjnyG1yw7U
RgY0/laiKTxr7Tpd52uTClGitDtKtS8nW7H6jW7awnGlheREjtzBGaCPWdjdp9M++p/C8TeFI1wU
k2rqXxeOpJYT8sgY+evJHXb2Tnn2/c/8s3ZEh864zfsOv9BmrT9rR+cPPUqmqPSYXZ+qwD9rR5sx
y5+RjuYfdB1RaQDEQO3jW/9OqQhC9EM9RMgh4wUcYEyvJTNQPc/5QTQUWFXp073MD7YfvUwZJIi+
y6qt65nPpeHet+Rxl+bQPPuFeFYTASGDpwh8GY/kSPnbxWisM3sqkDPnwbKC3+mcwWLL9y3lzQaA
VrmmgdN+UyEMpSr2fF7Qzrwworx+NSnR7gwLLvNi9CdYEkQhKIu7EObmdoi8u3RM/JtpSdCCAtcq
p2Tipw1gAaam2XaGZW0UItOj2bfskMW16ixifHrZr8i3OGs7b7nlHXI2lTd5NLmn4YFTYbaO1Bye
xQmdWmmIW6hYzp6u/CewzzgYwFLsibmJL3szEeepPS1r0yyTG+F2iAUNt7lhZLOVSf40zKDG7Jlm
cuM6h8Ib38hu0y/9OG1aWc+fkzKIzjOajSs7WKoVwlh3j63e3LaStuLExGg9yZxGtW2/9ykROHIA
ykDaDRmQ3vBmjWpas4gf8efQakzoL2N+RmDQlxFogADsqFfeFU2363O1w1t6Hepc5sFo5kNtwwaY
vUrcBbWVP/ejU39yxnRXsLotoi/uMlyDF0nutxQ/PlbfNSPny5YG9LRF5WOuG3LPnoelSm4zO5Zn
dmf0axvMuG71je19Y+NBpp3knKMjY6kyCqc9wNpsLsK4Tq4oTqdnkCAknzAoemIelOFDrYZp40K3
u4jHgFhqYAdnzZD7t940ZSsSeFipcgYJBzbA+sVDdQ380RvzpzIrnXMgYAEDcJr5siTecrXgxqDe
pYl84TVoL2ois7l4gUW/KR7g/XZWXR7bLoRWv1QE+GolGtZ0v/SAkuQZAyD00cmV2TMEU2gjd9bk
pa+eBUZ1M4eAOx0LL1dKlt89ndeCsKykuheZ7hm6M5MSLUrDfZS+1rV2RASCuYp2FdO3TQ3MOSaN
foUsg9RQMKBY6CRhJAm9DPzF7QE9LjMCJ4EI2DaEalJ45E/kFJuf24Hqw7DRDiO777mqbcW/w2aK
5Y9kxhEvO0gyrKAPuCXK49zzIz0Lk9XGLHFEWUy0npwhVNnBYQILlEJF6s5jGJKsispkOOIyjEV+
x0zLZlPc1n7ODxQ9/QVClYgvVmA3Aa8V9UvM+7dPmPQRogxpBjB8wgiONm3+VIsyuVKN7N6TZhn3
YrDrr87czjfhUNXXp2+Whmnt73A68+Nzy/JuYdkADnBah7NVGPu334dNOqo4L2IJS6YcHjq6pOvK
VS5xePoX7+1C3anB6R+9ueBfJHzAOnMY3HQb+jVqawagTNNJpq+nJy11ej5tiTBYrwRgnPNExzb7
MqiuJxpkxGnhc0Kl1uRPVITWp6mkMiLWWXq3LaTDs0r72ghorej04/C3osGTh5qe8G4gD/pokOZH
kGE41TsYIf1778VQ5mAfXKNnUedkFVp3IViZu6kxim3ME0mTPHDC18CCajE5hC9zHJn5QaPPJ3oK
C1IexcZ9tTTjfqE8uW84wpFyyMzsdLcgwFT3CUoiH/dYWPboDEefwSlvr/KkcyHwSIQrhN3xuHEj
fvwwqWjt5bpMQl5OdpL/4rdSYTuqkFOmy1VXxldjo25A3T2MDZF7o1O9lpTyZPwo8A+XVj9co6e+
iTXaI+/jQ5G235wpOA+In2JgQ4Kf5d3NnQ3bN0aNvjxFbcegzZz9C1DCLHQh0KTOWFm1InLPKqu7
nn1sWFl2NexFItw7WaePFIX4wjhtbTLhR0w0atIevFKuca5fJTMwlDnddCFDm9ILbwSkpmsxW+nO
ryJFaei78d6tMh3TOcqtwqiJcof57zjm9bpH/o8muBXvlK8cm6yvDaFv5w3Z1+cU7jTjrUKc2Zbz
pRX9gbDiW2KP83UGGOSabInwxYis587wv6ihIr+g7IodBB8sLoq8X6Ow1SbF+p9hpbNGIHpudT/Y
Uq7HOF3eixFdOsHAK2dhBlT3832ZDvUR4C3gsh5rgrNwgzmf7uZGtwQmlV1krnikbEV8FDRn2ayK
M9O37MPEIrwx/aHeziUZgWYwHOsIMKhRVS+NOcjVzNgJirjpHVse/D2ad3PjjOGLKQrCeMBW0oH9
hpvjrk587yt2heQgp8Z89VwDCnCWPfSiS98UWBxS/lBb0kv11+ZAWlvYodeXQSib1UgeGALYkTCd
dLFJZaCAXi/VxgrC+6bo3skaDbdm6aurmXF5vbUjOBEk61p0O0vaHttltBjnCfcK4FN2y2PVbmmT
iht7oTM8WaRTrgtaAocMsvFGdgy+O2HVX0H+ZtulgM9YVBk+6vptyCtr0/hdsGH8/2yG8LHMit2e
0DPNMR2+mNJ8IVBsb6omfJwErgHbzhAK2FO2rqRjXLbSeQxVacI3DmfODWX0TAQsMVWdDXjC9C8m
f4i2FAn+u/Sc8c5zEvGYqUbXEOgeoMO66jj1pNyvRrxNM5319DH1BgZsnSy+djB+vvZtmx9xddGP
jqDfVKNBI8CV0y7r+LNRYYPc6M0rj+S8W6TTQJvihspKDzKnuvWv6rGeXktT5a+AHHBO91jDHCos
xnxAmIhCBupe9MngrWnxQdbKCj9YuXMaXYAaz8Sxs7CUrGLiZa/ISBl2PoNxk1cieqKhZFy7AjMp
QRxzw02sTA3HNvAQpcOF57SSJ6YMMZ5igdXZXxPb4MzEtaLneZROgQOucYpt2DXhU9Ak/d3EYThl
vN/AOO+D0rjqI985o1LIGJdUzTaZSVSFnFUR1NjO38rCsq5FEfWPU5tMhzr2mk9uowNWWQs3+Fnj
9eRNAGhlDfDDW84y/PTnxTgaR7NiAUMJ2Byq0OnWNe2XdcpoDHkJgwmsIs1eyfyz1wHK4ig+XWeu
wfgnBJDJrLTdNxYJf8OUhWtqhsu5QsNvGHsIhu4695eXtG2rekNsIEjPqWnXiwBr9f/YO7PmuI2z
C/8iuNDY+3YGs3K4DElRom5QlGRh33f8+u9p0HEsJZEr33WcKpUdicIM0N3oft9znhNHEMxh1nZb
EiKtw0L6wBQD8id3g9dAH5BinrXDw5Kyx0vpC/LmGrz7eayzpzppR1UD017RP9yJomp/p9HBBsSZ
u71Edb7vs0CF/EBsbrDi+zDPmOKmSWCNh1MIffx94WINqhTqp9VHG2bWdJjGKfRb2kyzY7rqeC82
neclh7kQB2eM6ewKWDFDGf6OYe1gdrzyhrok/jROeoDT03SOB9Fue7hMp7EOLnFYP1qBDbg58BKQ
v850EyQeWYsqSgXKu2MujzJldRU3bq858bBDC5mJ6oAqNIFB5iS1zxRuR8BbBNgM0KE1DUFISGEP
qptELUGUMPFu02li/7tcbLYq6TYJ89TezW1CK82rOMPC65wSghmGvi/9HFo3YgVq2OCzU28cLFQk
QWkcFQ9tyq2rBndqnxey34bAR58Cd1l2Yl7auzCxy30y2NZtZy+f6sWMd0vlPMay1LbUNbtHssVh
HEs7ua/dyv6CVmKGMF4sXwSFgNsxJ3omFsPvDXTl3Wgbw603DKbvkhl1tuBEsfpF7YMcM+Myuk79
GLJV2RkB1FUgsp8tTw82dd4nb/Qf522MhJWGWxCcc43eZZjoOh37FsXJEE+EmGNxrQIFru8stJ2e
fJbwXjY2Or6FisQGkdQ316A+a8HVuCNfcpuVFqF+RusHXSzPcwheUAVGsekP56b7olsjtv/UTi7j
WLTs41vraDqxfWoS+aQPvdQ3NPeQGKRDl54gVHstmwRrvlhxo13pbi8fs0bPbtso/8oBNMx3pQET
fTN2i32Dq5WMgyL6Wuc5b32tzr+5AzFCmzHoun2P1GDfCL15Zfvi7Aw6+o9Eqy9b9kCPZpzY97Qb
QvjVBlAgnUIGUhnSfSfo9C8O9febujKLy5INXrWt5w4SExkQNrAkM/oCaFrHkZTEEwXdiFeBLhsF
7I09silHkpm/eaHOwkGctXgEEOR97BoXWZ6ZF1+WqNTJhgtMi/jyAmXCtgf991yw6d8RV+PdBGVX
7lsWRmJ4llM8BwUwMg5ZUO7Tuzjsx1fRIZVzatfEekFyEMEeiSpKcfH7OmRTkpQe1eAilt2zaSBZ
Aftd1sViggrgPbjQDYgBOaa+2QL9bep2+B61eX50TYKpGzDMx0krfk+nhTSMOSBN1GwvaQPUpwob
79HJ9eEB82L1iGdu8dOxZnebWNrGhha0IyOIJCPpBQQ8xB84+MFak2D/NJrhp8zRwuZ/7cL3Ms3f
VH1oWFi0+P5z1efjG+DjIuzKH70T7z/2R+GHLLnfyAe1HaVsN22kkn8WfujR/eZikgKcY1B/+Ue/
UEJDNSz6jPzQGrfzZw3Isn+DrCkwSSrRNp4d8d8UgVSJ55+aTcvDBuWRu0evUtCAQaP9YwmI15oC
X/fONR9YBLZEy/ZXSD6dg1Sqbj//5cb8mw7cj92/9WJ0J2l2Uumi92cbP14stCcLqE5n0eOeUTEq
/sysND7vohyceNVrqLvWmxwQ9v0/Lm0iOfY8hwrbz3raWEsF8lhhXRfFJSkkkMsdRRbwC65ifUDE
UBo5vUG11AYLB+ZfX/5HBbH65nBG8aDga8C9IX6+vGHGYSEJ/7pmwPNIJ9aI51VQCGAXcakuN+Uc
6359TeNnbfh6UYYK/jlBZ9n86XYjiQj6EDLa1TYKKDTYLU9G7mApBbssX6oOoBJsci7ei54U1ajr
u2+OkoZnUPnMbU0F/wAzBRFUC+Uu2C28Md4cT2kjUczp4mZYgTsx9SfEyaBulC+igLzy6+/xo0Ht
/d6xo0EKjPkIR+FPqnJvJI5iciMDUQ+CyrQH/DRl7Bn2XjsBUgLkdzOlaFB/fdUfa6N/XFUyPRB8
c+GfEd9sIN1kshtx5byBhW91obpF9F1Ppvo6K3OwbVXiDkAer4CZFIPDr6//rxPTNYm98lzKwoyb
n+cKLQnUhOkkQLc5CL7VhJmVvQiz3N85i8S/GSiYQJhZntJUUv77cV4Gs9sVut6Lq6W8ChpN33T/
ztJatb/kGFhvg+6o2amjg3sHjqzC24S4qb953P/ui5u6xWpJXw2U2E+j1rC0UtZ6oF/7rmaSWOj8
yosBRG+gq4kX8te3+d9NEmzXal7yP/dfXCOigiSimYNxXRXOxRyhKrTIV7rpFTgoh2l6Wr0dQLQY
5SvIJB8kQnZSujTUf8lSkgADmiisbdrqqW54ly4FsCLYWTxE0UDtFnwys8yGPD2eQaj32f7XX+In
u/I6WF1aB/QW8KJIRuyPDzDBMtR7sxRXSp5Y3VeS0Tpu1lqeUq5y0BlZ92ZuIFoyCe+CEK4tITj1
sZoViixOLZTPy7ggiBWB3n7zGiqGv/6c/2YVxACIJoXDOBWqn/0h2mT0A4RNcbUXlxuy3mZRNdWr
UEihOmv+bmSrN+gPrzf8vYxq3rm6MumJn6+Yd8hS9XRur6sA3wbs9RbISf1i4u7qVaG2MR0qm8C7
gAnhIaJ6AxNWPsU0xEmjKObum1lSgV0RRAj3qteYUIILQg4cBeoWtbw14GbFkbwg+aSgjDDnguPZ
OhkuXwg52d85LfgGP38tvgnPGeuaZWC7+Fnks5Az4OLaDa8l7/qtrOYFXhHJKfe1mc1UtQY8yqqA
nnQ+CtmMguqA+3gvo5BGbcbfrSPKruTWIGFph/bO3eN117pj5LTQIQsRziYyfTtYfN1EUoqUbdQ+
VBqHd193yxJ9RDgTzUnlDKU0SilmBkfAfscrwAGfmygGrFcV174gf85r8+QCk7S8G5LArX0PJCdn
WyODyYnPHsXCnH3V01b4GeJcUD9gDyo+3xB9m23k/HSbosKPO97fZ8ykOWoGXHlKNwSDbooQ06rc
I6pfKHAoWbmuVr30RZaMvhm47hOhI8Rk1UkIPoGaXY102A4b6uhAlRrUBYb3BWMJhZEib7v0uEwL
reiamm9zMqBYEFWPpOhCOZimUTUEZ+RN8gm1qUDFx6G3uWojAIEN5efCJvfXAEGSIzuoHtwQj8B2
klYU+F6CMyJEzv9SpYwRAgaZco6CiNV5BBiMrQH8MM4bfDrF3mulxTah8MAmsQWk8DxUvAWgsfBj
M3UOsCqKKuZBW6UUSKyoe0Hqk4LkCkQkOEktRa+7xJCRxzLfOiY4Im1CNLIP5zKP0k0VT97JCmPq
wansvnpF6pSbkEgw0Lw0kaWZh3eNYSFtkTEVITwnIyyzT/i847MxQBvHo2F8mTlLwcjB4ABzP9gb
nHw+57K1P5WqolU7VfSNgTL9HvZB0m2WKCx8vefxbKOgI8GUNDc/F+5AuZLEQfScQTERwDTTVt94
ZffNqnUHB0IcVs+a7cXpzVB4bUq3oMhk/uwOAZBqBkCG0cbP3dzTUJDOSI0dSnK2hImScuiE/FRt
UysmNm8DzGZ20AKkQlaftGhwTD5umhQ4Oeo59/YayqRDBnb8sUxT7nShUTnWQ+qxrPYanRpvBMLX
ZopJkodB9mHSWp7YKnDP5xl9xgBlkTpICbMinhmVm8gTvEytoubvoE+E0K5pebKOUN2EOKE2oeuN
548S4o8qGvLo0wEUXmyF1971QOEus2O9BfaIailG/7qDU85qpIy5E9ail5Wg0C406oDWsfBYrEMu
zJBd3kR1i4Qnon+Qo2KtaFbafDhOHOUN27rgpadi5aeUWG8ovxrPtW6rP6RAdF03sD6znAWQeclC
I9iRKny8CZeJ7zQooxONb/4PAi5pxXm4RN4aEF30CCi4tSROieSuL2qWGHoznoLHyIt0y+mRLjQv
9VhjRV3XSPZw5P3YvETdhBI+3ej2Wy3VrZSNJZ7btleqF/Vp874HjGDWSAZLOI8GUqx4fkDmwb+m
QDqa+5UDFoYDZtYFy8GgYuFnRXAZxCIpTCTz44pdMzMsc4lKAAXYjadoVrvH2eDei3zmSzEluVIa
DXS4SgZDov5taGYMDCGAg5Oe4rFaWd5SWaOqTHEDZVi/4iJg90unbH5cNwpLiinlTHHLeTOUu2rl
GDY1H2YyvOSbZWZ4smLXNE9lrel3iLEoVZSBfkeiTVpeGEY8O0N92qKsefG0ONuVg+JRT5RbqkSB
RCkDfwIdXN7muL4wtAUGpjinVZS4gRJVeapbxfUc+BkQkOUIgqHWGpwW6wanV1uVdEm6b++HH1Nt
fWbwXrmf2RRVt5aW1gn9FQfm5EgqMyngtoVqzQTUwWuHD1gZE5Y3TysQQVe5CL5kWsTFi3UKicCG
HDlMlDv8gjdP5zfj1bPG9lumHOycIDw2d/ynDAUv4MKi2euX6qiCnCw+CGVPYxkwT5Rhxjtq9e6J
r1PemINGbW/uZ2TVZG3m/tATQgnDA3+6Gp6r90sP8UJBc+/5m5MBn5hFxb+/rUZQ48cc5ia7NLoB
MNcjyk07j38uBqospDmrY3LFlUxD7D4nqVdnoKAgV+IXZIxkEZBBsO/c06nK+f7rIpBmFL/mGNjs
FvyovDizbZ7w4DLhHHX5fAQ+BL+I7VgnqtdEuTBXXgHb/fqIIJWnimoKcBovcu7DyBZUFvSiNTIw
H6Y5dN5W72GqKxsVdk4a1qHNjG+alk+yjkQywER7swIp4RGyYIiGxgF72jqkfIkEbMQHpB5QUlss
TUYJshHImHyhYjVJ5IkLQViLQ9gHlS48jegiwvwJ46v9tvIGDM3jDEDEHK+myRPPI1ByZBnGLIYN
67zEqRdL4gPDiolei3F6WL8hbyL2yK3DCoRzNz6sB95l1KjWKbot7n5srCzdJFpypH3ua/5P/EQ8
lrWdviA1zd53jOtrc150RlSVaZAkvYjvvtgVnBTD0zbo4HKkfz0nGXXXmmqgo5iMAuVboz5O5CTi
OVUEyarvmK9FhBAxSwumFeJe6mjmQpAX/gCY3G3IcgSsO94itWZ1jNoG7WTEkO8Z4DSMozggPm/E
PIh008bHass+sx+nhpQRQl8tLJpag/fQmtTKwp+WLytVJct665SS3VbupPTG7JwPDj+d9ZFRPwnd
GBkiiiK8XZR7igq+WvvogWoH4IUs8mxFQnUkJ++QSmuOH3W9Ae9rkTq4D8rFvy6sAOp546xjNwgV
nHTqquY4ufH8peE1dF3Hp0VL45BQCDgMRW2lt27vMUTAOzVHy06Hc0SZ2ftjQFCK975X7pAO27wZ
lAWzgHczV/ZbiOT7eR0VzpQyKVL6UfB/KaqKuoDjaqtqA/1hJIkg8wV9I7tgJZox6G+RclCEaAhO
XzZY9zhVjQS1bhA/ZtsGDH57mNkINSSXGOJOWHwFhpx4BvlRgo3MQmaWC6bt0XBBVe8hwE4PfVLK
FyJ1xT1Y7eX6biPWSUjot53CiK4roJV2mL/KwOVmd4Hi18ou4S6Z7si0US8g4nNDgl7Bk+F0BMTW
DMG+1jwIYkWvPm3SdwrjibHIxBAzT485SVqYzDiqvchpZuNnh3zvfqa7sxkNkocIoWwmKMjshZan
AYXhdOz6oYju6cmiOoXVBFxDx4TFoVGpGkLSPWHSY5VpnjsblciO6GX5oo+wbAvyW/i+LpkGiIjc
p96b8ntyvb9GWqDB9k3aI3JLfeM2rOy4ppPvodmWG9eoof2Bs0/xwppM4InXYxJXvJFmqtZblEad
ZIcyOy+YpbnPccUDLe1xmcg9Ssy9avuCb6vLDqXrlJ/iqkpuTasVYstbMz9xsp+OhQAzvM2qqiD4
F5ONnJR0x1EUa9gwjLCmNTpvB1+j08+1WvzPSRBSiESwIe5y4oA5wWC4O63W44IqG5nbGSaHpzCh
07Bt8opfa6mEJqsdfoUOeOaIzAbuFPFECiuVqy3d6hNPQ3rlq1UQAh1zBgvPMSVM92Y0JVNVEmJG
J67h4wWLS7HJIPLRt9Dzk9y3vkyCiHV7AVGX4nVVmO5UVkBQ1TtcaOCLA0/Rq9eDYQgjuTrTylEM
ro41rXQIqSPWZGqOK/M3VqBdtCkguyfIzwLU5TdjmT3fMdFHcQbjuRaOwfsTux+jNQ9ZrRYnNp5X
Btq6bhKdTMw4wBhay8rvj0qKRX11NMPog5EWVJSvxsmqXlcietmx7jU1U6hTIOQ40NKzVpJuFKqV
eVlK3kCc7aKjYZOgYg2O3t7YFZA39n+IFOy0lhdEz2qHgWectqAJ4K/wrJPrIs06cWCb8BhyvsHJ
0DeHsmt7UoUNA0OmolnpiKSeYQlRsrMVepo6D7fExSmdbYIAPu5hxfA6w+w8R1Ss/YXuy6myoS82
iyLJvm+ZbT3/7iDk3VAly/U9OdXoEemuGnuuHD1HTT99mCJajhE+vw9VT74Sym4UTzanHQLbM6N3
8ULkOqkbVqU9KDoJbblFFt7ObMzpaIS29rWvTPsbGMfl94xd5fcym1q222NGj9yZSReqUDMKNmWH
jOIKYBjdATeN/zva1HWR1Duk3vXZNqf4Ds6V54eJE3/Mqy58ctjjY4jOIUemra0fZs+e76RZBR8i
zU2/lgR8NbjXwQCzU0ZJ+LAUGidWCOij2LodCIRNIwfnda3O/E/X+zcdHqp/CGl/0eE5Fd/itx/z
Gf74mT/aOxi/XGkj/rR0A9mGSxXqH7JeD/wVwCbHNFdklsFv/aPFI35zqdBD68NHtmY3/NniMd3f
FD1F/RhVSTLc/itLmKW6S3+pguF7YgfFp0Dpaxqcy3+mCvUGHawlmihlmAuhd3WWvaFkR+vRx7rB
pgaVDqfYdsYQ32tUjtLQEBcnavLbhXLdtBWsKbtAjwdMUCK/X5CxfZYUFigZSDAVG34q96cy6GjM
L8Xn3MaISsPJuEfo4aDIHRrzFtGmR25bwlF/10qsQbHjPZEqlj0CxBvu9eEtLxt0+22UvnTohF7L
NB607TJkxXJI9Wp6azPoRBvQ2DMIFlIIAn+ShTlhlnLDFCZlnX6JtJQygon3A2k8YFm62HOMqoqc
H0LpZH+r9L9s7tAPWb7dQGHZZaXn8h4xZQI5wUvMQ802IQJNHUQXkxIaC8Lsxshci8wxcUml5deq
rarXstOXu76dIdaaWXsTynb86uVD8WqR60XWtRfON/GY0iuokvDNILyYtcsosS33CCPzausATeWs
iLGXt1P5YJtzia7Xm+oG7MXo8paK0zvPzKerlRFPX80dUT8l6yz8vE2dUmso+mbjWPNhNGL3ATUg
rIjEzL9ObF15nefeg2OL6hR0SffE9qX147Ztd9Y4m8dgIfKI8kZanO0OmEQCHOiGyNg4OC0t4YjD
klEk0kOyEDexXVNc0nODJFVtzl7MvOqfeislNa8X+MM5QYpPsZsGnzqtmk7VaNe7guCay7gg7gCN
6GxK1F5brIbLZQlF/zFTec5bW+bNZQya+ibyvOG7bOSSbMK501irMysiN7fIdlUtiwQspKyLDSyr
4TbTpkZQuyO3tl7VDy308kNIiBBZOMnYfk6SjJjfEccYhcjaDB8KTxbiSJ00foyq1PxohHl8lSos
Ddez2zwJNCj7vo6sG2Ekg46CuIyOOJKQLMzIgoxuqI8jh5vHMMpVjHUyvWpF2JxNPZe/j83oNntH
z0OMIuboxTvk6fJRwdrGLcryUvuUhKbzEFlstFD3IG/fyHZJv1p4+SXnTnRuob7kvrQ7opxzUTzz
HFMEbG304E5Je9uKOTq7FC45q5ZjfYmCwvI1Zw5zQnaT8tkza/0+bLoS5VTN74sytG7xjPXljvpo
dZcU5EO2hKcxyz9NhUiw92TvZp+UKgTWH/nuACop+3bdZpLDnDiPbYmnP7vQFpoAVhhowBckOCrb
cVjAXVD/NOdzZEfJsR6dB+ElqV9Z7oJQnEhttr/yacqYPbt26rPXIJDzRmQBiBK3t2S7TSujVPVW
+6nvCYbgxCi6bWfNNbq2WL+zqnwiqBKZJwhre9OWLQLNFPaKDEjHoh3IUGS+PAbthD45Rvf5YcIe
lV+cvtOTBzdGoSl9q1p6/claWkTXGW/7wr4zcJcdx755sbJoJKHJk2RvNURjm81w5gjq3JZV1Rzy
TqWhT9lyINJ6vtalZ5wwpNUbMsXDkze32XVszOYR2/e0tYiF2QemzHZuxYPEGUwkImgPUUd3qjDQ
5+Dr9S6+DMm5GmP+JlOrDz1nlZ2MjVcniOyNnWjnJKGkVZf6BgpQy1+jjYD5W+slskzrFLRNuRXc
lj1H4vY+1q1XwCihj4OBEINx0G6TRQRHyHHTdu71jwWJ7RtcrsyBGXYPJIWFexh0+k1C3Pq8JaGH
1Ig2+jCZNDzwJb147uye4KV/RfSXgdo1HvW5kciNspfQbO6dMUkeurr4hGIMHPx8w/ERl6VePg2x
mRPX4nbbUZ/zjT6mg28U2QByHUoXO13USzNA/U0/tDXi/ci5rWPRnhuzvenY7O9n6Q0HwxwsX7Rz
Wm/ASOqIWdLozMkV6x9eueU1mmCqy2m09g5KLNgy1o3D077oYYNxTOuLR32qy4OCKBzgJjOa5nK5
m8mUBOdfUprwYru61vMsH82lSSOCZLrsmmrTeO/I5htMRf1Mrri4WXJZ77R29Ohzsu1UyyyCbqJt
5vAZm2roA8iEtzLZxg4sQO6HTjjfZRMCvnkQzYclDfEg2laLADO+2o0GR8ikJdAMQ3uXN2nOkSXL
n4YsCGjLY+q3enZzdqnPqISGGxnoo58aZvSWTcFb1Or11aDd+mBMcrqJm9Z8dGJZPPUjrY/OdM6t
mxdIqRg6iaZ/tNuo3tgav0TYNbfQd5Dqpu7XcRraR0+T7nbBubI350Xu+9HNvsNxLu6Wcdf2S38Z
4dBArO1b6441BhZFF7t0QqK8fuRcBl3ILdIb04UZD5ADaMXURl+tLGNuQaZvt3QfHhmE2Z0s9ewh
sQN74xSOu4udpaV8rD+46GT9zkiaU76Y5kPmmdLX+rm6t0fx2R4aZ1cLLX2iIs85o3ONjxg/6307
GqlgZESQ39kXOFsw1sV+jo0GJRRALvqH8Y02OPJst+OMoDueTk7HKxIWnHMCheQI/3/75NWw9jf7
ZFTO9CH/sxCKdKzi969d/LXv/mqBe/+xP3bKLpte0LHCoQjzrnn6c6vsmr+5bHVpProorpQz7Z9b
ZeM3nV2soTz7fAj+5c+tsqX/xhYZWRWqKlcYpK38N2ooa0Wb/lMPxUU4qYMooJqH+kBBHn7spNs4
riXls+FIFJjwjSjOdtFSyK3ddZ9mJ/3i0SIm8X7pqP1Mkv2s02KQmdOzRx0eRY/37A0eR+qsS29Z
SC+DRwKGq6HHrhuTExzvfzcZJIu0NXFELpa9Zea6X4cVZUWvlvuK6jIzt5dbemrXKhh0TNpIExPL
S3eiBlEdCq6phVASErTF9I9q3U/S9hNpC8/0REqUnqVyiSZfHK3S/Sznj6cCwXw5uM2pGppPglLm
drExoyeLre3ywH3RRv0xMcWXgSBjfrb6lJXx9zLsTLKEgLQAtSDkBdGoUfB9nGrqdnpTf3JEQsVY
STJHja9H/8oAD13o/qAR09t4JyDxHZJxbg0li13Y5SYaxvS7wcK7cRxuZek1dJAxE5GTzC2w0vAD
X4HboHunnA2rT+wKxjqdzzBUlraLAqNV26bySAmt2pP/mqHQdPjd1Lqi4O926idJq/Y2sexxwhgO
Tv2ZW1BlZrdjl7UQe5Fd5ZwNu6zlknhssZhZmOSx0Rq7vuYDmZWD+2IJP6SthD5AMdSXZfF9Lury
WJuNwQo4p0T2zgbVwiz8GmQaYuwGGS8dDoKL8KG0kAEozELagP/iwY4bDPSjsn2mQpReUMoG29XB
XUHSOo4ed89suehouydPaM/rIIlrikGzVbc+1VbdF7OJTM9Dh6rL59ETw5alkRqsbl+HmA8VJpSN
TI2kFJH0rV+G+XR2JXE0mMsZRR1/VpfuXdwK4j3L1ti5uFa2TgBrYjEYWH3GsSS37TvG8/dJpuaG
o6S3ycb4C4x3nv3Cf8EQAk0htMIfO49Vfyj5mZy71ApqHAZ7oFudLewWT/yn9XnnICyIBGNYdSOO
9TBiyLiSl15Z10AT8S+ddRF+Z5IzqsHRbbyI0em5DJVSzYWw7uYPWcR/Ol7yBb4Kz59WNh3xFIMd
t8u13GfOLx1bb+YJ56PgzNt7ucUiWW2l235yCb/eOsBCmXAMJuJPsP5xM2DDDdsRY9ctIvcveTka
HHLd+ozM2t5BQqxo4rQY+wspHvM2qbZGNSI7boAUmV1V7TGoGLuGXAk/byxuqT7wGcKoRfGgTYcQ
ueXFrAPy90Am7mj7U2wazUs8wo6AisooK/jNaSzSW89gonKg0H2otdmOvUa205knejbE1yGy79bp
hY56OeoCmz86Ss/vS2/aAJMoN3rO46bxm57DSC8Ok26mO4LLmYapV27XZ4sjSEk6iosDmpUlhCFQ
cLjakhdGe1yNclq58DqrRh7a0Ep3c57JvWPy3h81hvM6ANQIZ4pfY2spDubMMiYH5re1SA4H6jF3
PZipjqLslhS+jqRFEbxVZIkcbYgR24X0jG3RC+2I/IbVy46/EGvPIxDp95CzGiF3zB40NvE2xzmx
NQoSzfWmLy6ksUx39mQfvDH5ooUxTT93LC5ByvGJGKh42y+6dgxt5inZIAJ/XCT3rsMgKwj8umit
5OqIB1h787eiZXEQS7GJJwv0VgaaRJv4y8Q4bK3WdFSFzcQEaNM9N9rmNDo05NyCOvIU5/pRJ6hq
p2Uhi2IoWNxIgfSp2slD0BvXiILOYYFPcag6FpPKGoatXfO1g4GPMPaCWeRW5RF6IL9A8ntfmwwJ
k2CdtEPsoIcINbLGu+gBhJvuN7Z1NeZkPjigP9gZleq1MzKY6qnat07M8ysz3Y9qvbhMjjXd9W76
XdK1oSfDDFjvNaWh1E85iTz0gudqFU66AyvCmRHKPi1+u964mRY8GIIjjFOiBPOC+jvw0I2Lp2G3
gsM4ZE9nS8vivWiar56u2btCI225rN0XQmPKXapFD9rY38Fk5Gw9euF5jqmab7SMigSZerO+M9KR
E04x4djyyRL4nNIyG2CReJazQ56Cc3BZmuSLkZSTjzSPAC0qVM92mGZ+i4AtuZ3Dtj/Ho84jNHUO
OBxyIMjtUL0RcF7G3UMUWg6VLYeOkLtvMKsn9MU7fUcfpqGvCaSTXLG61qB+9m8aApZv0FC/WrFe
9pvQnNLvXm1qC3w2bVmghHHkOHZFU+5lnk6y2rChB9aZNMz5xBo0DFwGe2zhBbdypHOK34gombvU
iDz3VJB8nh87TiPapzmEvhT14ZBhk5Zmh/GHrSmGh7SO7+zBMeYdQaGB9lj0bB8i13n+y1bsb6XX
677GApcMc8nVHfRwP6kqM6kZC9HeoM3iGRPTEn2H6kegdOE990CAGFbMOitmpP/6uj9K/v64riUI
lnRIdzX1n/ZTEoIsZLmqP4pxXeyYg2YMQmZErDNV6fdfX+1Hud8fV3MdKOAWelb5sw4SMKpmxUif
jtnMAFE7AZkGGs0y5GHrlf5XLP+bQwBSNsEz/M+ngKey/w+Zxn/86D9OAh42BqG7juOgzURh/edB
wDOBXJAdA1jdBdX1l5K5af8G6FzAvYAvDbCCuvifZAyOCMiXyYCwHQFbjI39T9S0X1HUbKnmw1/P
AdDadFu3lCTaMcW/jNseuHJB1608ToML0UdGqQl2FqvPIULWtHcKw+oh2CTeVcYmGjAjxhQ/Qgfw
h4x6pt+YPaGTQWx+XDnRpWMUT0PrYAe3YDxXi4n7B0Khfawa1QblyIRhHbmZ76YFrahxShGqYXxO
kJBxJjIvHqqau1SUzBuWa/PcY2SnxSRjEDHNPNMYSnsnmvxlSIrvba6EGy6zb59qrXWPHGt6SKPA
2mrlNGg7vdbMc4MbFue0Y1Nh1czIiEDGtTimkFzeIiQK8FIbFPJ7NE3nEX3MSU6Eou3w8g2ves6H
8us86H7nKpRXGotdEiQJFDpAouo44i/O5vfAWshRDqREQE7pLtZG+xjTM3F3pNjl32Me+JFaAbkZ
hY0QUixx8G1x7LrmzDK2H6uFODXenlP70ars9mMx6imuRJ0GLXbM+7EPimfww+V91zbDfEOlP7R9
+uBEmwUgRzhW5JnA9ylUZW2JKu86pXwutIncSLYnARUrM2ZLBOvVvYIkrT6L0PMeEJ1j9YKcpgs/
kATV+qRdlnvXy1vc3e4J0U91n4paPlB0iaNLYkn72HL/9gOqrEvmxKTJR5HKgyOafooG1AWxXYCR
ELV31ZBE3KGdR0dD7++YC4Jl86Ah/xTsHVY0ng7vWXwOvVvep01N9s5i5TNklkScrXYcaYKnveXH
gPba46LlHd9Z4Mov4vrLuOT1a9OXxsdKn0ELy6UGuwASqP0mtBzrWBdh7/EQOV+nCvosERDyyQCW
ep1oD1FknTDHbDkdfjYCqm4bRp5N4h+8uDePZEd2i0Jeqsp08bHOeog5MiniI8rebjn1/WzMdJV7
DSGVaiWNhguoHj5AQZggTZbuFNmpjZZxrPpHF75ieonMST5UnibMjWgc50MhZus2eg92M9eUN+89
8s1Z89/CaQ2D0/6Ihltz4mbOjN5rreLjtE4lyUWVSpVLUejjoXyPm/Ncz9uHKF6ApgVlo3Vn6LLk
00H2J6vOqJTr3eafhs05cXZuEGrIfJuWQ1ZwizhkuImHrv0YkYPHliq8ZGs2XgIul6A84z02Dxmr
W/iuQZweWTUxickk7ukqbC9QsXu6CuDriN041Us4IrgyYl/DtXcL3w+oDdl9tFQiP84qA9ZGwrYC
FWKETZIdjXNkemvPRUgMII0yEgF78pE4/qugQDpLNalJhAdqndGSI1jwGY6zjptrA6269+dumm40
T09OZa/b/iyLx3LBqKC8wBC1W+AP5XQe0RntyEPJdpZyD9O/PoyapX2zF1aaLIC0EywHNF94jpX7
eK46966dpyeKy6HvhqMC1Nkv7A7hcvV9v1Ha9/sRS7NYvc3K5cxWnNqrhfOZEij5HMoNTeIceAq7
uNGVVTqZ3Tt9MYLXuknHIy607KlQ1upEmaxnZbe2lPFaKAs2+iny3pUt23KWu7j25kNmYdmOlHl7
VjbuSeOnRIrvOF5d3il+b7Q+9paE0/sFN3inbOGVMoinq1VcmcaT1T6ujOSOspTT4v8Cf6s+FMpu
Hq/Gc2VBL5QZvVS2dNz0xOMqq3qiTOtzhjKmd8PPCoHmhwLraKpM7obssbt3ZfNxTOrxSNeo+5D0
TcfAGPGjY5LvGwdZZZTMu65ZhatG8NlMbQrQU6AkvomVs5/2DP30f+ydyXLcyJZtf+VZzZGGxgEH
BjWJPoI9RYqSJjAqJaHvHD2+vpYHs5HILKnyje/opmVeCREIOPz4OXuv3SN7yg5OIdyLkpz2XYCl
jZDzSHu2ekTSjJow2RqGvOtr8DkJyl1AyeibO1cUPBXeIq/ns3efpDp8/L629Acv5n5s/o42/EOl
iq+XwG8+lxU63xVc5+xDTfwmELQBbG5i+ztE8zAtFjTL9RiaT4FGCnQDE5oK2Px1yTnnYm6Q4xRO
4d85/IerVqMIWpgEElmwySiCiWikkQXqTC/ozyQDV0MNgB/BN4g06iA/Uw/ojENAoN2zbITGIrga
kDDYoBKcMASRWcSTWhk1ejMJKnAva0krTtEiUnXUrxqjN953tdk+8cSB8U16eM8mcxxP8xjQ/Zsk
KmXlxu+405h0Uk1uMCe7XU9WLA42A+XV0ArjqDTrwdHUh75QnJdiB8XScEZDKE2JKOmJOutUsyNA
ZluPVdwP2M8hS0yaMVEHjX/ZhPYnI+i/JRpEATJ2WgGTM9etcB8RwRqEwbbZ2tYIi0HDLBaNtYiU
2E9O+imEd+HbzD0XjcBYNAzDSeYP8zAHm06DMqRUz00BpWRwTIS0E4hSC6xGFMoBdwYAEJsgzsNw
5m/YGsXBnN8C2u4p6C2AOkqIHei/ystCQzyKM8/DPrM9xljB+WitYrlmVhsi+G2/9Gn8MFcbSinq
i0RzQkaNDJF4ozZuaNoNI09erpmLHj3WmJFOKLqm7HLbmBbIsw2NxLC9agPby/wUa1RJpaElylL3
/WB9C6GZ+Coh1dWQH8l0oF2qkSeThp8EM1PlWgNRpNN8rDQihRSuE02VkHdnXW8Z32QbPxqcQ6rh
Ks5QH90ZJVPqWY+JBrDkPPN4uIGyWKoN9rYGtdRmulfQZE4VDBehYS6Wxrrk8F16DXohCVkwf+mr
d4BAhrWeN2ZklwCH4cg9bF0PUdys0TEANArOjP7vIVQZYpjhszSuc4O3h0hR2DMNDBobFk1hA6VJ
FvA0tQbV1BpZ08OukcUIpcP6QvwfVJteA26sUtMlavBOrajFNmli+qMaiUPFIu8tY442IAnTnamx
ObYG6ChIOoofvcrVPonN63huxZosQR5Rjd+Z44l0A43kcWDzTBnQhHCK+z3DSsg9UkN8eobi65TT
Ob5/vh2gH6GRP0YD/KeFAtSlyV4Xm41V3oByjNYCZhCoym+YNw6NXeSr2DBvwrG9wXWGdrpr6Q/K
VQoxX+VBCdt2ehjbnnSM7qYzyiuqNcxpHg76vCM6YsYuQw3Ya9Mdy9w9I49cJ3FR5WkSEmxa/9Ir
AM7FnmI4KWndkBe83NqKkdV/Dn7/l+mP7dAb/tnB7/rr+P8Oz0VNuau+fj8A+uNP/nnuM3/zAHZa
Hpbz7w590v6NAQ79ZAzaL1Kpv6c/7m8OaiE3wPAGp/BM3Gbn6eL//i9h/0bniokS8ip9LDSdf3Pq
E6/OfL5+LTu46cjsIX7O066773CIAqNt1PgwWoHOxWuHd+LK9qL3392Uf2jEvG1RcJHA52NjbuV/
XjViOphANYrv5dBnvBgn2S6bWA5yXWei2/78Uj9amHU3hMgqbot0sVuaaL9+/D5VQW436pOFM2zS
Ab7DQYVmlnzyqi4YeyQdBw9l7KfFFavAn6tfXP7N7dREA5y10rIsfrQ3nvd88d3RozpKy/HBLuST
n7T/trukL8HhXcJJQNjmveouKQRJaLms5uBa4wNpDu/bwKrWvW1Jqu6Gp/SvPsY//HJYoV8/IDj9
AIC7OpEYcJypfdTfPSBO1AhvCtoWkpbTnFCdWvWaGUXB1hYWp3wQj0iFmwKbQtOZTKertCA4I6BW
LzIiZ9GgEkkiyVAMGND72ZEZfECUeTUEzXrKc16rbRswHbAbqx5XRRysmBjZR5sQAlqi4z4a2u5b
KTTiV3Wm/X5ug3ptYAsvwL6WznXc9MHGoVWxIW5ges/LUl0mpN8gicOLGm8EUv8Hz82jp2SW5FMU
yrkjpMa9wbuY3XscZVaDUAXAwi66Ro9uAYYjO6byoSfSLmkQri1wmfzoqk8hWzlQ+YTM76tE/O4t
/l2nUCWMwi9OtTl9igYxconU2xq0sVcF04tNVi+kUwCjXit4vW6bjl+JQWmOMo1vyAMzNtB61FbY
Rb8dq9G7niYnY9f3wpMdOe+lwTwgBdmMzVIiBR6Gr8hkgoeJYNPNbKUptWoTPXQetiW6qAy7Bo4l
FU3iaQyHw5LkIY3iKb4qW72PI/QGJz1euJFJN3zkRDhDhp6j4Nj5aU+ML4rhhwYF4Cb2XWtt+4mk
0khT86KsrdDagRJX3qMopfEUZwP2MzhnqJOmyX6orGy4gKjYH0yHvYijR4c8rXHjC2oZdUW73t3a
FCa7Ygx4RIomvW0qjSMaSwssRW9jv8/N9wRrM/8bmmltxIndf0Su2dBwN2fr0lhk9JDEzUJWCZlP
oVcIJgAIizkOWcFxoX9zSUms7uqlVLeFai/RYDkfm8XvHkTvZIfGiK0ra3K8Q4FCbNWgK9/1XTnt
mZh8jDPlziuI4NEOaft0EG0S3JlelO4NhzMTXuHqtke9bLf9fIVjDDlfUOfmTnGu+Vh5boRs0EP2
Doo82atA9BdJCOiTpA/vNpHtLgwd6qKwk0j5rOhT2mfxkT/2NA20E4qw2WDLu6vn7BErU7QySNLa
i6JExcSIFDLXgJ2tjxBwhaOFcigxD5ZZc94tKNzdum0uZiKZcq1frG6KmX2DJ5r+NPOvyLyDZj4/
t0ZlMt0zyssBWf9Fx7BuTxsi3ng0O0oOSojos7CRDPUarhZxNmS9GIZDusgU7sI6xtdn+OFHP+vK
NYz6YB+F4XgxpUx9JbTTtUdW/L4lYIy1XwBEFICMRNhPDFizAONFPp4WO7YuJ7T7uzAFlVpVVbou
sqQEiBg/O6HzFFgLY4GuM+8Tmh4Hm5aM5Hcl5jt6x9gRyaHkTjvJcuIchFIpRJS5CKPbhCPUoca3
oKcv6ZXRNvVd2oT5pmyWL0nkg4+OccWTQRMNx9CIMG4b5t0097tuqiLihBicV0E97peMv5YggOZR
WYYseD2NxqZuGIf0duU8twNlL5Fg3raddk0dOQ8uLiz845kqj6Uc2tveqJ1n3tv+MSlG4HxWzKF0
iO1tHPf8QiA0luswz3BcO2E9P1aWn1/yQlqO1gTFtrbdj6oamZkF+LpGWMVYSUJ705rxJePGfcwG
sCoG5q4Q/emi5ugnr1sNQBrsx6zA9s2JslxHvjoJ5RubZTHCDQl3/lUUZl/DKUjXS9NCgLHFc2+K
+nPaO8NNzdQmWLk5a49XgneTzOl0GTBQOnqFja8EJzLOvGX8UE1MO6mGuLIZpDPFqscCQik8pd+C
1MifLM4zDxDKxJ2zpN7GyWmRWnlBT7dyc2cvKYS3XsnzZU3e9KUoZuMGxygsFUBhmZLpezd2ywMZ
gFW+blTery0yqdap4O1ByHC+7xcpLnMnGZuVwyz7pmh948AshrlSI3+XlhN1K20V2TShmx59aL8P
eTtZ+9JNCLazxcz4fk4OdiaYPnpBfOgTDInV1NOS7Vz3xkus7BAbUfTJd7cFY9d9Psfc/iGeHi3e
XBtbBLimuzl/gCBtrV3TqnM6cJn9TjTe1huL4qmjZfNpGrz42lPe8tSWzgZl95hQ/Ct13Vt1t8uK
lCdvlulBZLla5TRDNmye38qstYl+UBiGorA9sj+OxwGRyipoEKV4Fx12XTvHH9T2/5nu/J9gV7Zl
adDNX1XR5rl7/oNmfv1cfP3v/7pKfo+T6PkH1NUff+hPL4T9G6mFMKipzILz/OavwU5g/iZoRwYu
vXDAHGDM/67x/d9wKJg2qi/HY0/UhJM/a3xL1/h/qcKoZv9NjW+9quFobNBsREbm6XaEoGz8sYZr
JmPqCDOz2MSFhjANyMGng9Ih2iHiCa/ghYYl/jLVzePHZCrpwtdzXKsVxRYZkiQ52NYGO6xDxoGL
znumYSxykV5ENhyJ1UuwJWkdGBa/u9P/UH/qT/bdSAozAh/Y59YCgD3H5/z4yf22H+nBLuribKW1
tFmcJBYyNAZpIhCZeZ/+/IKOtsG8uiRIGYsjNHW8x6+pS/zvCl4jyZ3a6KsIrW1wWXUQRuhyAjvb
p4IaF8hjYzQHixiJjzTdWZXrXgxQk5GvYZF0o9iqjqFMKFeXQWqeghf2y97uAOP4Jb73bYWI7jZ2
MPrntkVYqghLkptb7QSPkpKxGikuyls1qqHBhjCZXTkaS+71mbiTLw2KI2txn7uyxrSdNroyJgtt
iLYKxmqBmgos82r0DAzZQNzxthVd2/e7EBMJqZE46ZTl8BCMDm5u5WA4n4WBr/McSap8XlSIPOCs
bMck0MMp/cnNWOBCbeLIfrAs2l0rChq+W6sofc6G44j3F0AvO/En2qi4cO0BVCrGfruJb6a44BMR
Q+JA3CQx51FRFQIAbAzberDT2Gov7EpI+3rJRoCUnpy9+oON4j0+dQpCgYxaDL+GrQm1i8IzbTi5
rTPOrMn45Ngddy5ptckXNsdUHVWtzdoDNptlHXo4X1d5rW2ltIj5dPgdcN9OC8qllUFlG9+GzALw
a4AH4LQwOnx/GqLuczpqXATSyPdDr/jjwUhCzKZJvLuYRimY/BbU+DY5Ey880XXth3gsh/ogGPEV
W+4jEAf3jBoDooSTdXK7Znk3L5Xum8KJsy7gv+L9pAi1H6S+ORBmceWONbG5QWMQXJ3knYF+eRjG
qzgalzuGGeQVECs3HZwIAcIGQBNynFbNLEI2Wj6l8oD/b6rBZp4RygigQQOk3x6n+QHsS3dtuMEk
10Uaoj5c3L56jtLOvZpx2b8nDda6Hoc6v0W9jX1nFPQkjVz42PNL+VxG2fBUO7DAaAzyyMYjA8lh
HPAgxym73rrAvD2f7Mkj7tLlHPGe9IC2u3tx7LuD5LEZlLZl49P31I3ZcXjdtdiES/qC2vsOUADD
+eJgzRGG/ftYaD5d4tRi/IYUqK8/8o9F+q0GCnuPKolZs6cRENWZIALurV/HlQ7StPUvT6Hb6Nzd
kd82g/BUbBcJ0oU7w+KSacmizOpqDHetadTthzNignM9C4FjBjc4sRlI7c8+WddmiLpiLqgO8I/x
8p45GsIhLxOIAmwJp9RoG0pgrvJiArdYbRAvppT7Qm+Eaql3VXVRxpmtHjJqMuO9QSBKc9nZylC3
M5VfuMtnh9fvUjClfEyEWWT3oYYCTqTDwLgZsNsug+AFscwF91J1HfeSLEWm3sE5C7w2Ie2HuZ9P
O8FbJT7VDZJkDlg8yNlk8MNVeE4VoZ96UXQK2QinRId36BlLmPSMI9c+Qlnvw5T7vX2ThgEvCqoc
DGDSGYkARo6I0zfXJnUDW/V0YGSo0k90rceIzCkO0V+c0O+yJ8UbglIc/5OrbqqiLDmKTJERQvzJ
I4gdqDj5m0wepxMOCX7zTpOwUlIwpye/D5vsqytLm24RBhk8/5DQICkX7D9Ls7L7NPKOIeCDwobu
4ZnmMbZxOKygqxHTaiSR+SmZFs6g1P3XJU2+D+5AvGO1WO/kEE3j2tIpsLPOg810MiwPRrt2dFos
5WoIQklHyBY6TdZydLBsLAv3gD/CGy8rkTZG8hTFom93TOe9kmNDrTmqeV0d69o337ewpNcInD8R
/knib8l5IZsxFCXxOPkHK7Ojzznk7K8TY00SRFR50+XeZT+qZt5SC053hEZEn1xnKLcIUwVRYVgg
fHSenywRFzu7NKNwLZfCXZmdVJAmGPTJWmsJ7SXLr5I6yh/tlFZzYLbdjqwRyvOBIORSRct2KEby
CvKluHTF0G+1I+KO13r9KQ36+N0g8ttRmhOTAGw4u2ZuiHQ85xAnVfIOkkX+OBaijXZKRxYHbGCb
PGuWU24EEHEckaxAv4FTz6VM6FU41QObTv2hdIs6Js2D9DYf0dlT7Hn61hZJsPI9nZbsyX66hvaE
NBBq14aZTfstUVJtIEYwhFrSaAeD2L52o1Zy5jfdkljjmXJg0+ISu2jaotr7eTMTbgmL5yjp7u/A
496lYVXv6X70G8V3/JBmih7TZA/ekeBka0DwKfvrphPhu6COvT1ko2znGoG3NlJj8XczuQzXRtw1
F7yw54NZlvNxNHSroctGcM5kYXZaE9P0c3ognM57GJJh+WKaeXqBgn+5UOcY659XKG+KOSEliEB0
AgQL0lV91bFtqsLxUx1ueEZaZKBc1uaoAUSEUfkbgDfkLbHKDz+/6qvGJoUYll2XtoFHpSvF6xau
oI0h49ENTucw9kQkvBhq5u7+vyIhuufrYJTwKJdt+ME6fOj76muIK4JKgyg8CVLIeKeaind2Cb7U
nTRk4Odf6lVf+nwxSXQItxNAXfAaBIuIsjUiikDiIMEDVhXT5jb2cgZ6ffCLxvDbQpYoIvqn1OKm
RT3/ugSPAlmTruadHG+2rsnUTfbuGOTr1of60crqX2oQ+Wq+VphBQQ1MT5BR8ON9tOA1V2VeuKcF
V+/7ly2InGt2DLdsqUZesGo/v536yfuxWOfLMcxgUyFvFLPLj9ecMYR2gerESXkl1ZU0NC2LFyo7
cDnZ7IGoNdmPjAIwH/rjlO3j5x/g7UPqaxEdGkjJWAUry48foCpFY0555p36FzASoJzJAnnx/3EV
Ri8BYBcXX96rBZhDE2KC23onYqQVBBw9eaen+otn85++CwdKH21foKOvXl3FQ0rduAbfJWgQqHqJ
DrDGW7j5+Xf5h8fSDYRjOjT49Qzq1R3LaMMmNeiSkx3CJ0pUzJp7QQSf2U5dPQ3LL450b99fvNN5
m/C1hMM/vfpikNPDeYRdBoIj9D5YPZLpxRwoRYi7IIXa14PqF5TXz7/q28UOVgAOMcJG3E5vVkRg
j4m51K59ynpWd0hoAFHbNLrpUv2KQvwPX5GHA+QyNbhOLtNHzO+OkJJ0PC5V2KdJIXebC9AfS0vg
LBZv0Cv6BDfpp+bffz89x7NohcHcfj35GsykdGJadqfcAypXFkKnTvrxnoMOP+rPr/UKvqpf00yf
mLHBXQC9+nalxb7yTd4nJ2ho+FJSq0DfhtEtv4e4r66rNEc6EM7g5qaRum6k1mqJ4RnoIwvEmRwu
Kvc5j0jMIkMewou/lHl862denf/itrx9wgOT1ocd8EYioNh+taGQaj6iLQx5wtF0OuskTOqPqVZI
kTUrtCYioKz/xd15u3YDU7Kq2J6BdYEz/vH3j3L6JaAYecR9g1p3Autfr1CjdQBmwUmi1Av1854m
1jWJYM3HYXCB7jsaRAxMkyZnEyF13VElIV2aLahoP/+A/3RPeFPyrEAcNt8Y/vAqYYz3WfXF4lN0
m26KABT9ZYuSP1nRwP1VG+fN2gPqoVcDrRweUeaJP96QJml10T8vp0GA4sEmplkVGt3Dzs5p/Off
7p8uRt+I+bnHzPnNs+kvNjEc8BRPUwTTKNX8ZLP1deedgUnyi4u9+ak1rsTHvGki5+N19mqpF5lh
1W1ozicvdDlYMmDmyWIhckr8+bd6BW1myWEE9XTxAGWfLf11ZZQ7cTJ5+KKpIBShHC9ILwPCUPYY
GlATL+p0oBMiIki98RgXEycS6SiGsXobrKCExUlGn8AYOSytW2uB6aRRUGe+b0DXC7wVoXQczwFt
LPvRJl2tK6uAodXPv8nb3wf2S+DSMA0QhL4phZJy9mtZtO0JFRYUUGxhF8UYJ/vIBA3780u9edCh
ffAMIGmnYSud19tbF5l2NxDTdFIm0CbfZkCBwhOCpGEDBhPl9Mv+od69vquBUO/zPjyrP6i/QD6/
ft0shWM1uJdOXjOJr55nDyclAOCdGyKebOnqNEvuPlaMTH/xprNfPyIM6G0Ptwu6A5g8VELOj8tM
5ASlCAStJ8uikwTIOAUu2O5nb+kdG3196H8mVyUTZNi2Vnt9ZhSWjooYh3QEnmB9TOd7sy/oIi6Z
7tc0SuqDRU9uOl45niOFsTbd9/z9t7KbMUQOFYqpQ2BERJNZGRl1dy5ZYe+RHLPdGWwG+7lTVn16
QYnaXjvduuNEa6wNM/p+GY0j0qubASCLH2F7v3JNI1Ng37LibqTbcK28DrmGSLzbaraMZV/hyF/R
xS6XFb5FmzwwIJ/lupVuj8IAfywkcoF8Xub1Mm6quVk4QC8J9shER5HnLnmaCI5hrECeSKBja5vq
WD0zrcKEsMrhCi/rvrZy68uofIikqZGyXgKmszRD5yiLb4d54p8J+1yqI6o3mt6AXML44A0ZpyLm
jfzXM8PrXHwOWUjnJch1XdPUXv0xLqGMfqNbTrxnZkWKg/ussJ4eI9+Y7usJRect0moI8FnUDN1d
67T8ICARWN2VVdQZMmaT/UL1ndXsLBNIcmZCYI8IZsvuZW21X6bW5FuMTuouyAVKMKaqsXQrasz5
mSeiPpsdX919dslcW97VxLdCRLVTcfkHMrVGaE26Y0figFfPXJ4+CJ2rbolphPvFDP9xICUSoKoX
h9bnZXTKYzOlvfFuqhIu3WTQdDaBWQpaOHHutPZNOQ5ud28lBvjsjMcF3xzdZrWGhz2i6NDw8GFA
IZdteki864VQbfIzbV7hLgSdGgIyXhKchCOSBDHgXDxCd8pD9lWL1MkKa5mNtLpvUWvnnGFxpwR0
GaPenNSDVbqgW8Fh8ICVse/Z10ai2BvOdQA9e56+JSKTBBh4Rd8MK78zX4Q0QoBrL3M1fYOgFt76
CwTflxacm/d8GCcmjEGktvuchHGMdrhvsbi8LCuP2GmeUNbMKJ3Uf2b+qEGOLlhBC2ltcqDbS2/e
7qBQrpXn8hQ1vsfJDMgq99Vudc/cSdv+80xy9rCbEvrwL6MZiwDN0HV0IYFrlX5cRX5IYaW6E8vM
GkW0RudNFuC59Xn7k15PkzGmdyUvXck8YpUhk093lZ+BuiuCiGVa1AaThnwW3FiCoIWzQ4YTJXeI
hvkgFs5ctatxCd+Xi9VMn0incEiuI4M9y+59wDn9lTvl1oOXpmQa9ipM5q/AqXlkU7+xxd1s1XBb
45na2GH9jbJgP2YMEFermHYFz4pgmpOxgjtHPlGYZx0gSBA/2q2eDDUynTBcCnrzRu6mp1y1dOvn
nKYkEtZy8T8mAgP8qTDP7B465J1Pg2zB+zy+7Pj/ccH9wgVnC1xm322/b+akN+prVP04JX35I39M
SZmR/cZhCOI387wzCeOvKSll+W8uVk2fYyin9x+mpN5vtqdnpMwApUn+D+XE31NSMHO6HXbe4gkN
+TdTUo4DP+7dTGfZNCX2Ib174t58VaVmEGGysQ+S2zQjKgGfuAVfZ6WA6N8EYS3EneBk1ZJWauKX
gO/E1Hc1Yl5eZyHb4HTdOJ6FA40Ik1Xb8fJ07mN8RPn05PqDkRHCiCBuVQ9ldiC63RxvOxClXwqz
Hs1xJVsySdcK3gQCjh6gVcxM1s6gBFWBiLZF3KSnIi2tb05UsmYwLfifDVsPADwO0JIgCzrh0bKe
OsRpLuDgfUTO0QZEk3mTZUmF89/xsKcAnC0wNeS1YnU4wniUpvHZn7x4U2gpXIlK+9qLhwRh9pJe
koKSHOXg9p9GCMNbYdYBgQKlF98r6QMUaqtpvkUgFwab2h4LtXWI1zVADiwATtsmr9kC4pigWGaY
QxKtu2j0PifMjB5b1BHptWtPBq2oWt4kykQ6h3ca30juze6arFnsOARXBORjgpKa30m367CkoZn5
EM5VyfROx94Ct4vecRgLA5hHvEHgLsXDMQExdbGM0/RBJInl7rGIm4A5nGEbUBGVa9NKC2snOy+m
x8iI6YkdWK1J8UvbtS+H4mS05NyuQPDXPS61xb/xmU32K7xZPBLpkoB5kxOhk5vUbVtGKgQ6fuz6
uUHrpXiy1nY2FBP+OdyJidkD0NeBGYWRxt+kygmHjJLs0Cai342g0jZuk/SwDWJ51yxiYmhMH2Zj
M868wxKpTnNF6K1ZNNYd47txWw6FdwqFnI2VIl34i8apbiYWzbVkMgzb8CXvIAIyZe2a0qgvxTkS
wXzJR0D6MvpQImgE+j4O/EJAsxjisr4VCO6r44LlR2iH4EyOc+wnyMv7ohVw67LSgudcWr5PmoIF
owvKLHfvrm8jfqvFGuS7AiPKuJEEL9TvczVgpnd1TsVMZwLw7Tm+wpkm2bKzR211SqtQgQzHkvel
aORc07+XmVzl/lwYlwNK+hah2VRdE04LTEwna3hhOT7bL5kbOn5j5gA5H6dzNkdb2SVemNwz4wOg
PHAD9AYAA3bWDGluPMd9mCSV7sooSdhMiTRaxw1AEKa/YcHKDn0JILieE5DtqVa0EVg4DJfLkvTN
xjYwFsLMIv2wHorBWptnQml6ppXS8YRcqoq+kFdUcCPhr0BOVSb7TRw5pCOaljDgP0haeLkhk2tC
bfNhN5zRqS5FnNoUmqhqY7zad8HUIAo02/tl6tLlLuiN340zqLU9Q1t9N53d665y2mXXAavqdlE/
Vx8mwiHEytc02GXBhIS0oFblnn9J5zwwwNIceBPN6JQCxuR/pBLkOWPO3IxBpMsU66sDDuMbDrhH
F0zJJX6DFlpzZjPYHjOtbcBBSxJGbVgXTtuaVwsB1XeiHFmPoYCgv00j3mZub5YMvZp0v0yOf0oN
H3SMPxrTdHmuiaXTltTltcr2vh+229yKQrKy+a0qaNJLusG479wZ9WyiuO3hcXhBal9UHsxthh9M
Vo2k1tN6XX/Vi0g2xInraNBMROln1cj0OcUK8givf/jYmtOgtqoSgrUmpmFjEOu7LSzP6I4qisQ6
d4gH3XpxG6kL/g+CKG0DTM3KtSl9oSr4FOQYUDGE0ssT0q3NVTrngihPil8KNQ+Vo+upCJgO0JmD
0Sin2oZdMaJEAwpN8V2Vde+vfEY1D5wgnPfDuDwJHmFmgmfdQlCa9sEjaONOW6c2UReSBG7HaISD
UprbknSWLRrNEO6Enn2XIbiyvLB7glOULKyrUVXVFY5LL937TeV8aLrpA72PAU4RtjFIYglT4fUw
mB0cmSGlVis0bXuZrfa+SKtUEatA0OqdNdFBoCUm8nmZca/JTrrpWiAhDU/MA0f/GiCT9dLY+E89
9Yt6ivYwBcj/Ljtbc8JTz1+q720lL3/mz3rK1P5/5la0UTzLIUzx73rKJEuRBh/tD8wIL9CAvxG8
pkV9Qyc4oFV89qP8UU85BDbSIaVhwqiPAeO/q6eELpe+a4UwB/J9RpTnfghl3etGv1nEtRkai3Hh
d2GTAmiiWTr3H9QQiFKdUrPQ+cAZ3bU43cuWJ9W9pFwpxi0CfOHKjp0DUDXvwSD0M+eqNGi7eFBw
upjdDBstWvN232dpN4X7jLNdkly60TgAWFr4tyGO52bhWo+mO5AjGq2ivuin+NIaChf4PtJaabC9
gZyEpOeXxQnUMX0JmAfE662aEArZR7aTkDBkr1P1/C5tFvqpW19ELFQ/nvo4uEkS8EddIDjrgbcx
ijXTbNj5OenGxrxih6YgQZHd+PVLE+0/q+YXq8ZxTH0C+N+XzcNXiHxt+/Xr9+vmjz/1p1wTdaUr
yRHzBTOMvxYNUk06Z6gkWUkcKc7r6Y9Fw8ogMhR3FK1rWr1nX8+fi0YA4wNwyjSezizN4H8F4RBS
9+i+WzVa7KiXJhpERKGsiFfjMTkrx2DQXh6NAehAvSePKEqHbWiMI5qdAq3pSpMGR5RDqK8LRGiA
IieE1YgmDk2BBIMMs5agFNCB1y3mnQc8o9nWS0wCxyMPFwgYV4TN3vShmKam2cyO6zwHUWkdAXJh
IglcSAs0FrYylF/6su6OZPRGexfP7sbDkrm2Qtiey9L1+3kg9JrZsqhWRIy2OxdQwDovfbCVgLI/
iLqh78FJ/dhP0bIzE4+IESk3JkzL9ZAm0Y2lQv9Qzkn+YMcOYhmcxhz7OblVH2Krb/b2YCwnFPfa
P2973mfqsxpOdVHDpS3YvK8qNXePvAL8S/J4zHtENDaRO/Ju6K3gCr0qyWsFUu4cxDakrQxDjOyH
TZZgfyU1UO2RTJaHMRFIz535rqoreURgWO48A6sA3QOLUPLgFJXZBsh/dov7AT9oaBOyNY/+NqeE
hQXduO+U6ZSw2IS5NhchLoN0ao+0oqB+GQv0ChIjT3lb1vTYGkpOKpCNDr24ajxUFVsknBy9xrF/
sBLcrbblyssoLNw9YZvofRrH5W9tl7t6sNsrpKW4fHv7wZuK6fcZAMq2HVNOSjJr7xZ6jatx9vKd
10OTgk0934sklZ97HKWkUnwy4QuCD8UI3Q8R9g87CN9D1yNEPA29L9T62XwFziK9ilyOiblfT2i4
pg49Y5EPmwTKywHDtNo1HhiHmY1mywDbXkV+B0UVdu5nX5XjNxxFwW4xy8mHnlCUW9YNh2dw3Pnl
nNaPcW+lj1T187PhMVdZlYtrXhkV9iHfoElacSSOV0kQ19sa38aKThp2JCgcp9D0yhvHGqqrfLQe
af/VHVR00Rz8vsrumHEYJ58z3o1dqOBCINWcICAKypsECIg89EafzDuyyNDQBdC8M42GHU+USLu0
tKmWlkk5u1jUBFDhW9YwCLs4zL0P9mAJ3AhDC3XtmiAF+qGEXNubtKFziDFcS1+XgnQvWuEux/+Y
HLAr5dnPVd7I8JJgoym+oKf85KFquiftbg/WzDKObdKL0N7nHR58srCDsQx+X1C8JdsonJcb+o3t
bdujc/sd6jumb1ESweN3/aNbT86t8ntSH7Z5Jh9E2KbbQPXWNsrL4DRW0i6QZbf4lRA21XSVjYJO
WDIP0QFmdaYe7Zygnmnjmhmnqg3Q2kqe8Ij5rUEnILXNG16U3PdiqJdd6KUlNnlcZebHJW7Gbm3W
RnTdzBKHo4loqFHbls7mXTkFffglDZsW6esSrHjDrWIOPmJr4hvnyXWzlR8UPSY5JWAkT0OOktDs
gvSzNMLZOPjlQBaMW+WjASaz77PNi/hWm7PJ4qIyeF/MSNIzhC88KbjCoqMVd+awKhtijspOii/w
X7psD8eFM4ucIfhC5kwCcvIg3yAwcHXG5ZJH+jw+ISJ1aJQUAF5yZpKmDpd5aap2GUczTDi6z4gN
JHWIgAvK6gaph115sEyb2Okusnx0zU2FwXUVyUlGW/LMvBusH9POFYwBkIJBX1Qu93jtWeH8kI++
faEQZ6tVVqnGXMNeHpGWO94V6LTmSIIW635yw42b5aJb270jmbfY8R5vkb+vYpXdlnYOVJ4+20rB
Zb6cQJJfhHUtd9XYkZKEYlfqs0hSN5se9OCqSz375Eu1/x/2zmRJbuTMuq/S9u9R5piBxb9BzJFz
JJlk5gZGJknMg2N0x9P3QbBUqmK3pNZeG8pUZA4RATi+4d5zXQO1IvdqzvmVeNmuSwgt3MMZFc+s
S/KdZ/WLCR7RNSLPqOt7Hwv8JZh8737wACCRn2BpsC/hjYa6FpWyM7eFcpLD0EFugGI3liKq+kW/
Ixz8yjOqu2cp7O1nf23uIK4TpgS49TkB271XLKc+uk7SPzk0GDwcCLwBX9c/NEMAUs7Q4jzVIn4H
Zuo+Itbb9r6XnDg642PFt/pc+Ga2xbQUvE7Mo5togM98zF2pbvzFX+4cFqoE9SgQ7bPOASzY5tmV
zXRPAOseuz0JkoQZ5AANCLchrcF2djlYhUcazXyXFgAhy7r9iGR4OGlvGg/rkPngUjoy/TFhES09
3fxcNukDYjk333bKCm4ymyMeIYK7hXAFH5af/6yoZSOLqFSiJuP0kY5y3kxLCoowD5ODxwvYt0Sj
lJE5OylH4+J8tm3Z8Sx0w/bLFFjDHapW8ztIm4adDa1rgRHz6PXS/gTCsd1ZYZNsWfpgW8xgP3T1
UN4XYpYvI/fhHaSV7tFlS3ob+NjCIDrkt8AxsoO00+m+wHa2ca3SO5bL9CYDJ7vVTpp+iiHm3Mex
GfJNeo9KoFrYmgX4B1EfivseRf8ApdANHl3S1g6h5XVfAr/GowrO1YYq8oRuX2EKrgLvRDpmyBwr
XW7MvGi+zn0io1ZVAuRng3JXJJ9iRoowHgCjlGBEIrIw7R0wMsK3hGkA8I/Fbk4beafqUN/YRp9R
bXcJjkmcmVsHTkkeKXP4aFjjACKU/DJ2lqRThcaMu3hSXriRrkBIT/+RAey1MNNSrfteJArPTPhu
Yg4WO+Cm7qaBWKzM/ZldqBzAF2gQc06CriuwrdYTOCP/2e7yIOGRh48mST/0nm6zp2vR+p/6/l/U
96DJ17X2P67vb77U/Zf+z8X971/ye3EfsklAp++7q2cdvaWJ4Wr+3g////8Z5towu5TwP2VSUBX+
7sWief1bQb92wZTRLADw18Ns+Lfo2qbz61YBERAqByxY7OPZz//q15fxEJR5orybysKxsrE832Sv
ac4aZBf603aQ2OOXmGciSZpNfN/U2nQ3HXtwoggWqCvmc9lIgeO+7z27U/gTFJKCYxCPwDRHe3JB
vMpyae+L1PECf08+XeXM9wNiT9wimo2pA+PV8IZkP/SQsW8nR/bvBV7iwcn8eGNamEyc1PMJrQpD
ve8l5wnajGcjWBbzdhmgs6xxY7VAeh9aOW4msyMGqlZm6UJIERhS/a7P+mMpcc0/5jS9z52Mw1ds
OzYxAL0czU0H07q98eqOPSkZwJ8NaIcNPwJxwk6hJAfhRD5QHdkA+nYQj4LVFuq9StjG8MKa+S2b
nPxxccltbkb2A2gVuzVmx1JM2ewUSuzQGO2hWKrylI9l+karIz9bvU3+jNlk4XsTBu+l0veBgHEY
TQVTY/6I76bRsx+YHogjPZ65G3KbgF24xPwbO5RPY16nM/ZzLbbDzBIjcloABjCISYQunZiBxGy6
07E2qP+IEuxfOBvjk9VpnMSLr5/C3tJng+hIIm4y1h2sMY3smJZ59o3rwX3Ki2limd5YxkNa1cFB
MUo8slcxmbcP9YeUAfthob59bBbH30wqSZuNEwwWT7jJ+mQ0Ze9EnrTsh8ZJxi2O9GZT+b5/Ist+
uSkHV1O2j9BiTased+T/Yg0zYrW3ZxgZ1Maq2WjmJG+GrlrE+aVxkJlcTk5qLe/k3/inlCb0eRE6
vh8N2dw2OKerg8N040GNi4cxbq8mZ1hzh//2v1hhnSm9Y17asjzJfs555O9Tn7bHzHYmLIRn59b/
ORjCAnMBhRfMIprmsp8XqqjYFO//OVH/TxAbGKEIVP/xiXr3pdPll/rbn89UxhzrF/1+pvoug0bu
Pg4vh6wCFOV/nKl++BtSUFIdXZ6gK5nkjyPVDn9b2TYE0TOGRBwHp+aPI9b/jdEg2HLGMM51rfvv
LG5/OWD58Rzo0GsE9FsqjWu8wZ/UtrUY84587+UIm9pdCOtx6tuEhdDHink2Oz3X3fzp7Xn8OYz5
r3qsHpusHnqIO7+MaPiB+C8AryL+tgPOVP7+Tz9wYBwxgEvWR/xd3ZMw4F1fpZr//Kf8SrLhp/Ac
W6muDHJN69dt9OD2YkIgoY56kBlyPCWf6BgAb/lOuxPGTMXYdwQ1yty49LOvPv7zH++SIvHXSVRI
ZAXuZHrzAE+7+FXFPI46yCbtD+RIeVjK1Jwu+9JPxXHCb3CrLGR1KlcsxDU5ombUxnZMCnaL9XXT
Y3d+JjjIJDYQ3shdj76vhcDulFGwzMUeix7/tmw0She7NOjHVZsTWsDkal39Bhp9FCb6C8KZYrso
yEEpx90m9j15rgClfo4zqQ/xVK1il8QkgqeRtpSMCiAZCclWCKdBe9/NBQZThWoHbhmEfK9vv+AN
zUDONZP+wVBo2U/E9ryUI/TyPr8S0UEIol7hST2zTSR6SjRvaabbVzMRfOGsiDju5Youh1B5CScf
DunUt3StvFVoWROT2oKlpePYB/BxvEzhr7EDrIwBxiF49BVNgyuXGi9ZSJAMKugyav2se2IhSJLb
5NNf54MfRD018x2GOECjopqxpWUd4nVLPvXVEJ+XkcrbkyAarqx9PL3TC0P16UXmi/fMp0NYTy+s
XW0RzTZ6Sr5rdESbxCcFIJtr/TEd4uZ1FAufjGxrcfRmkPb+3MVne6hZyqIkOhJXoH/MI5gK0fEl
WnT9J6+BPBYrcjxlMpgf8ML2n/IBNL1qmvC2qgLeEZ53FOVORdJA5AGqJ628BKHXYlbCJGvtGmkV
l9aD9jPSiW4IieveHSDhUEeYsZPqYC3J0VBMf2pnlMS7cTsHQBcOXjaWJ7Kp2nvtow8jBgjtUG/X
Xb0TgCtPLTvtaFggv/sOgQTQc4oLCZLgFIJU3sOMcjcleqfvhdAw2bFQ7isSujk0zAbPoJxeYhLI
70I58a1sGJtttYLzFa84nI32PuZpvfEM6T5cw0ickNfi0clFQ4jSfyKwq4pYpU/fzQJyBA985yFx
+CRA4QeRU7d6WzGwIme8HXlfi6T94pehSyBCnOfbQRmAUJo0ji+eiOW7G4rlrp5T/RFtBaG3yLW2
ZQdBhwy74ZuA5vcBIxaKsYSMCdPgve0TPkeqH97q9RItazV91x2vfrnGdsiFT8LxGn1wTK7/rpgQ
aSZ+zGyyeJ0NKPMr2eMhCX6IMWSmkhmVB8I2rizKAPdNWJqKKo7HF4T7/IVlFNnBEniXHKd8w248
fR8cv71vc5eLEpvdRqV8UJ5vDPtYOu1DW9nOQzjM7sNIR/+hzvr2dQQc+GaggsOfSxgDPMzmzWZD
c5PbhvusAsTCkZEH4SZgyfwlCRDKbDIb6QOay2J7fXFByk1AYJpxUagBBswV+XI3BxqScm8UF90M
QGWnhPfHZAZ0VkSnb7xZZMehsVCKKqjKB1dl3XuLcoCPqSpGf6NJpvmMjDa8zYXGtu9ZtmQMYiWB
9Sko8Fp7r1NTz8N71o3Oa0b3WiTHyV5q55gNi1EDABbzeAcHFO8BIo/RudiFZrFEKvZHM9DrWmnE
JGG6Cmc9KKI916ErosGykKY2ishWwKH3YxMy9ucKOxNK/ziI3ngiaupiuOO9wxJ3H6S++7QwYIpc
X9n3nZs8M/+/r0D2b4XPTZRgXj5VVvGxdx1zN5Yxpk9Hf80CeFPONH4rUqs6Ee73rkcnPaWLh/rE
HNvbpprmXemS2drHuHrJfJXwCfobSBI4lTF1nNVShFtTd/4GFWCyTdoku3eYXt4ZYTvpDeTbs5cH
Z6NgDpWVEsFuG8byRH8Gv8QA6iKBFWGzLSYSIsvyB4v/gYQDOL4H8rj0hjXhRdd+trMqI7zJ06QF
o5rPey/lhpXod24yHavdGAbJadF8kJY5iROijImUCcBS7WAHBKkZ1qa1A25LcgAPqfCJNDEqcTO7
WXgcE/MZczahH47f35p1aJc7i/f+vW/nGX60DI0lqhY+wygph+lotZm/p3d7q9Gt3I69VW5qS4yn
ZEaBQ11AFexCDtrquH+3m3k8kILNM48HeLCf8FxEKe3KjmGqvCBFY5MzFD3KqJE+LS3YAYSBAjvD
xBAMgbqpVUKGW1kUr6ERN/7GU54+hAzS5o3voSMhnjXd+Eg16blt+UR1FuwdhLv+qeV8RXTDIcIQ
u2gtkoC4r+6ACLc3M+zUXWMJ64SfjECWNOWu6ndJUsiobrgC0cq459br1McFBTEBPtVEkDFrknJr
T0ZzNmHafIF85Z4sXS0f2rxtko3Zh0e1uOGpGmP9mBX2sp3iUZ6LqnU2nlVWXO5wXcuZ2NLeYR3g
9w4cpVibRFB0M0TyNthLY6p2WNSXaHbhigKxzj8z9cuiQOh578QrYTicjL1MS/YuSfVUwnDa9JmY
T1lmK6KUpmmbGEn4UmJaP0ATN3ee3aSnAOPRDos9UoywYUVWzMalGlRwb8pFn3UA9zRy3DB1gKR3
1Xc4H/cpYdi3oaKzAew5d0lUIhzcVk5a3LVMSU9tWvlykwHfvCmX2H4dc18DZHVnf8UtkI6aohUP
oI3m4ntbVVW5JcPNU2jyxXRaJDE0Lb5+Rrul+zqXY5Yhuc/yW/Zf/TvcOE/cmb0zsbY2yah0X0NW
bcc5LQhZFBjCASIr5Lp+6k5fmxz+31DOa13QyifWNWs81FQ3u2CqshsDyh4YMlBDPpdflZ46e+pu
cRU2zqaDdQ5MunGzo6oR4myg/7sP2oqzI5PC9isdqoGqCSrZ+tmI6Foi5bnNc6g0F8atPS5wK3Y5
nFvMTQDPWnByFuYXAccI5Aan8I+aqOhtq4340hb+eg8UlAl+LNp4m7ik1/hpVrFxbN2HJcuMi9G0
oFVIWEz3Y5EBpEqY9GwqijwEP55qv6p2XNpd6vIhmQtPZz1SFf4svmQGUSQ3df+tzf0cUIoLFDsy
qxiduNIaBFfWes+qkJRla8FY76yJFKM8tcoT+476tuyIG0J4NW+JRuIw7lanEnnrMt6mbs/DPawa
8kqScHzJLDt5SCCbbWvXa++T5fpbhPKzbXiUpbGU66G8VPrHAKqVfZZPeRJKaT5yDNbf7NZr0CIl
RN/0lIlnL1kpEdUaqqT7Vh9S0xhf0kzw2ZnSCJAsVp0+JJWnb4hj4/WP08xCl2d5Q7H1Sl9dbXq9
lr9kub36gypPVs9LWEEhH4JK6R8BU0rAl3Gzq3Oc92Y29zrSK6wYgoFdngqLccc/byLM/62HWNfR
9EuMwDiB/toqdVZYNEliDMfEsOQ5DjkMKYfXSTEDkSdyiCnvoSNvJz6Yt15jYK9xJMRYANx/1dCY
v1pz1n5m/U3Y+eP4Jmzvr7/L2MDfa3M5HJ2Myh9K3Og++B7SqmQgPks7FIRpyDuLa0g9+kmDlq13
7eMyNG9JXHNh1gAwe5vEhXpu5edxdJyHiZHOx5mKe/8v3jia47/IANZflgjrdQSJVAdJwF9/WbQ1
hT8Zdn80MpuxSF97z7rlRkO4mj4YI1cdjyIuMHPiigdiEWwFz6lzUavmS95SN/sORdA//6WuLeef
tQl4Pl2fmMD1l/Kd/9H4JqPkGkGTeawqm0gg8ATxtmfkd7vMxnToujGFEVQuO80Gg430SAWVtzSv
frreps5UXPLZkWe79EDBxm7zrc3Y1QdewtYEOA7L8q6RkRxcY/vPf3P3f7kQfRRSDC9oqm3ygH7p
2d2RVUFJtMFRSZ5ppFuz7pIV085GK06nrJ63YWr7PyZLT8cssEkVMK0vQd5+mokf2GXo+HYGYR3b
sa2au6mznNepbes70N/FjSAa5M1iy6/u2gSO9U2XpsEpxmu1FUBW9hk0rUPFUXJMwsx9gAjIngas
y0WVVXhLAbkA1sRx4qRU850c8S2tJwzrZuMysah8Nlxf/6iCRLBKqtmXRXbPGYv+i7p3bkoiKDjA
UuSfNNK4VDZOUvCPGBhyhXRJxUl8rdVVvcinuiQ+IjLDtWxHovk5rBggO4gznh27YJ2kYibJZKvf
5qOkBjUZOSRTOr0ki8FKHGxD+dbZI8b0oVz8CaY75JdPM6gVHkn9APoHixQB4S1cGeNo2/lod6yY
Bly/W15Qbb00sWNGrK/a4uR7LGLZeU7ZNl7W/xBT0Mdb0TOX38SZZwZT5FJx36Dj7b8RHaZansbU
9CiJ83oL7JNXnNRhs1Mcwqw+FaW8j/MFsDxFPu20ONJ9c8QSSfkJ26m3sWqm671r4Dyqwna5u1q0
A5b+XzVIzn2XQVkfJ6orATWI0PCBhoKd7vgyZOWb39E/LspsX4MZBuG20xkbxfW9CwsMZudl4c3n
oWNcOkxjJ5MHx1OBsOWAZIZDL3CH8jS4QfMFEHzzxcHaS70P2AQ+Ap+nPQTdSqMKbrUU7Ntmmn6v
rAmAqehllDJJmFecRsPa29Up9AjWcOSNOEupyLIv5xEyU1Kduh5CGhnYpAcmmf9U2d34Ikz0+zCS
mi9uj9NfOHRYrUn3vGWxyRNgaMz+k5UzUJLI9u8H4t+5gx1OkyGuycwKBjqj2HEGf8POkHukFyOs
XGXylyxS5fsV0kEEISRHusPIJS/vWKc8E2Urmcrhvg8jOMI8Qq8Bka4m0xANq/w8az+4NWfGLD2h
DbdYvbozqF5S+5i2k9pV6QPyWHfToA14wZdOez/rDDMXE6AQPdB9Rb4FEV+0yQHxCz8AMMO5yQIM
iIjnHyflt1+HcaDdFi6KozXLE7vpmqnLN62NtXBef2vlhAyxkMJwYTTl+hkgBDyZ660KURr1UlHM
25ZhyRs75nGvOii/US7ITxynjMnI2rxmOOvqbaoc+YRFhE+mySlFrs/itk5w3jHr0TcFdha2wd3M
XMf2eKvWoUSDgeAGD5q+UxPTtetlaClGMFzeUhzVCLzNSZh42L2WT9eJT21z+VQAfFAWMDkhSJ0N
Ogp9xvoUVGWAfHuMPReTGOMB4vV4GxxJZ8vAkbd+HeQtWaD3RctAaE7TH12w6LuF263eKKLW42jG
Xwf9iemVaFVxka2zrnRZjtOnUJKNja8e5TgxnKsHPuJkFuVJLbwiARKBIc7CLdiATftgxV7K+K8Q
7qYdjWYX5lyCNYM7vAwVd0yiKvfBKjz3mYJHQB30pv7TkIMR4Qwr5GeMKgzK3GGW72jhLMwUxGOS
w8fcxupKlHJcFLbrcKzR0cfn66SGzZKIAkqNDvFOxneqLIY9cuGIs01+/HV+c31IqgKbfb3CXwCW
fBfimmvgr0E+ZUWxJHtR7H9emhmjyxYP6QnscXwRZlnfto0FdRbKxW0w9PJzYzJDYxfPTG1cx4lz
ZacPk0OntUnEwOFugDxoyrB5UwnFTidkeDv7nLPNnPIWpq7s3gUSps1cFIh5etqnXY8o/Djk3NPr
9Sy79Rju46a/IWKQiWSY+dS8RceX8xDViBAo+NJ16k1dsj4FaNDezIBLwllGgitk3HxJzTh58Eek
PWa3Xj/YfI60OgwjPV5OvE6/ruVtEDIhTQpA2RV03f2C0B9Qr2l9uD4bSGvszvA70EBw5DN3Yog6
kQP+4CeGy6NiDon8CClDSPyzPlwzRMOKSECvoRJ2aIeJLsgR8Hs2qK6RDxLBcnnS2KtuF+h/t7iD
yhP+4GaXUh6+AuIl/bZbGorzGeWZ5STTi54pk9uC+ZxoSsiAFVyNmHPsc9MHWG29Mj4zv/A215Hg
NDC0DCzYSZio5m2uKD97ThOiV40ei1KguEIaRXEy0OxU3NiHwbaZgjYlN4UGrfRWWgYD6pmZMQla
tAoDhbPtYdvE2tzueNhzEV6PWeXzbjA50jdYD5JPdPW6ZRlbrf1Er5hCdbZ67BjafGTvuRyNZWZk
MYGZffAFx1s6cR9hQ+Op5U0tPZ7NtWaI+KJm5mVWqarsRGaKPM9tyRBxPSphB6zRrHbxgPkD8R6C
aqZeRr+z8XvQdjEy4Z7smE4jk9J3fmgifpL++N2vY3UY+NURURXcuFlIE8Iisf3aVx0lhyTq45TX
3GRZS/6Y5ddvECt4166WcCtIuVWmgvdgKAXdEGrrz1QluRONShNdUYoGo5xFTDPETsEhO0vKiaaJ
qSCJb0HhxQeug2K5KyxG6tf/e70x9Wp4iwxz7N7dmWdqy0PlhBlCPSrL0PsqJYGDxDJu6IyqMvFd
DpkJl8QDK9oFexsStLvWW+jIZl/vVV/8GJ2l8XYQR3h966DY79s3x6Izna+gFoVAaF19jwcGCbxi
LDFlPh/HwHlduiRlG08xOzBQ2ZHByw+DFB2ch3ho/iPu/j+heBFbrIiGf7yqvOHbjO+F/vOq8vcv
+ru2GyU2e8ifHN6/q7uD8DcUz6si5EqsuUq4/6buDn/jYR+agvYAIsPqe/hjU4llFVIb600yIL2r
8PvfiFg0f90cktZhIi93Qxseyv/c6WGKTXnKxsl5MmMUgTYr0qfZRBttz/VwyCRa40l8zY1ZnVrp
YIjMmyC8EJYwHDH6TAdbmvKAGVKIf7HSdK1f142BxVuCaEZYnuWglPmlQVLoN90CCMlq92ybh5C8
wYdg8ZCloOdAtmmuAs6rlDMjEmpI7JDQqanfVFfJZ1DX5lNPLgdK0PYqC11Whai+ikUdNASvVZoO
aEhJPF/2y+QZ2OCuMtPqp+bUAfMQYDGLSbn6KUk1fwpUAcOiVk1X4WrzU8QauqW8MKxC28rU1q4g
USJ5DVbxa0Nm8E6R2IwQZZXGhnNgPy6mN34MGyjdM0xdpL+lVSZU17n8WulKXBzA/NcQiDZnnoem
NAoKV5l486y0PA92UxZ7FqElovaRwWVNNHkxJ/Meb8gL5lPjAB2jO8skNw/jaPfvmUi7B7oqtfXy
/sZMmnPbeP0Hv87UoxkqjdllHG7oXSZw+sTpZnBA0ZKEuXcvHVvf1km6N7K8wMiJEfhiOOGrAAQA
17JvGqaEZbouYVriPkZ3vjOSxnjC8BKqjU/IEdTeSd0m/vIsxqR86PSINhnroB+BrzSTfVAYzlck
+cya25RAKgCT4C7I7fMuIijaywRFCsNrUD260+KTEGezProj3b23P+ZJh/iemvRhIRzP0bG1l2E5
f9BCKCyrICAA1LiHsqzqfesPabFhVAzpA9vObql986gA3rMJDelfFyF3SoDMdJYBHqdMvCfedXkD
sIQsOr8U58S0w3PIlOScmqJMtnEtys/tYPYfGr/Jf8jZpGwugO0/yz5b7u3aAsQ6Cf9b4qcew+JB
7irJqwcQOWwIp+t2VtYQAsn77uwZ6ePjbYs2/VJw2WM56BSW4zVLAIHKRfjTfB8iY7lxiWjaUVCH
B4fRxo69P1Elc2bzglZ/91B1e1aoKOA7xPFs5yo/3lMq9RrKvuN9JseFfDCFJzoOwnGHe9f8YiV5
CoFX6+8WaNM7WaXOlgSN7ki0FU9SKj3vFdHQ0rHvTnFlTF7eAd+3Na6LYa0qEAut9mOMxwhqZeVb
G5eovgbLbkgYV1KSjur1sfHBBQPig4UsB2JMO/MmbN3GpVOmTJ98wF0RHUN6i729vlHpzLvnjPEC
I4Xsa+oQWBCWiyM8iJ33anZmjzSdufuwzC0z3zIMefsWCa8FVfDebsJ4DQtZ7y72Zg7bEhgSh8kr
bXY9pFM++fhj3YNfNN6pGLqPYTovX/1pUWSJ984p9Eh0zzwNXr81jYZUQ39+nVIG81EbeBTyFY55
xMYZIkwGzPWso6bv/Lc69sMR93SnsPCSwDTd2+wbgP5RTUVIa5nFm9OQVreahK4VQc1jvUm8xt32
HCLVJo+D8sEFIduh7k6sh7505ievAwgdLXUK7FzXffmA6bFFgIFPjVH51BhYCMyWQqFbvHuP4+CG
1Boivgh3qF7QbMlLNtoDI4nSsu9iOctbQ0KF2vq2FA9ZkDcffNRe5dYcM2crGv7e4xoNd52p0/ME
L/duttL0MbPm4mNLusMHxgbmJtG4Dqp2LnYczxy+bl8U73mClDliCQwTx7A77xGsY2l8btG0zxvM
PeHFIpM82/nELvKhtJ3X7R1Rhd87pq5nwHTzaxIQTzERZ3sxh0keyTXZLgywO+xyTXoU4LIZg8vU
uUnDKd/789Q9u3azgOMwvfTJdC3rU8Oa4eJrVZnHvuuTR6hxLZWYHgqYhX7avzVakLrrmDWnQ4cx
exd7Y/EFBo80Yfaq6W4IKpaA9IO0DWjL8Q8VemDOqQYD583U8+PKZJh+cL6HlxB/1F76Xv9GEA4/
ImFNfutwNu9zbeenrrDUTs6u3HE2qFPuF/HnqZhM/uCii5j3I72HcB1pFilMWZbU2IRI3epN7kr/
lmVLCBNAW2kRid6UZ9LQs/g0DXK8GQLPu35sRyNIbyqEj2k02rzIyfR3kEPfc1vM2znAUF9IZb8A
525POfX9Y4jMnJ9avVuyZ6FLBKz9gH3lFok2R45LAIgOYmQOzSn0RyQTrqFQklTGFsoeNpjWye81
CKmDg8aRL1gUPB1udCeas2C+d8eVOGCN1rZKNcEvHX9kgTDe8rmQT51lqxtaBRKCaGPrVxZd0/tk
s6IqGPduu4rI07Uu+VoaV86zdO2Nw4SUoyPHc7DTaZzeIpiZUjyTNij+QCqmFnbq26z9iOPYjdrQ
zhb+Q2jvdWdkzVYto3jxcoANbNRk8ZW5EYs/IlhtFSUOSvgtyXp6iYZyAFTGEntG9huUy6FlGGhs
xkl0r1mfFi+UcHxc6RfDyacHQzis84X3XKjYPeR5lSAVdTp/2dR9at8BVMJSvcqFH0AVOCdKrOZN
N/GwH0aj2jaD4POKBdY0bpa8frNdWfE9s+mbZdYF+hHmXTxEu+oukL1523OccRf1eqFtmqwpou6y
WkxRQ8wF4lvFFxC9r71hwm/Qpu1sCCZozzkWMT/irjMctKwkmG7Yuc/1zmhkdZlTMQBHzPWT45nZ
syonYW+9ntCSqKOzxB7XX5Jw5mHtBu5d6jbpVjXcYreZBYt0i8eu70mbwmcQuRVYEPgS0zbOtf8+
50p+DULZEku9GOHZd9BcUWC6VrfD4h3uYB0MTtTN3UIoCm6fKGxG7xZD4eJEjOFHK1KAz9Ei5zlD
XQIG2ggSfcL+t0bfh2gm75gP4mh9witROYeRh/4Td+0yEzvmO6xXkYmd4ZXzJIC5UcsjWzZHbZG2
pDGPVof6qynt4Jk5Jkxr6RtMnXPt3QTIUFh/h3Z7CBqvzO+6VBfQqhGV3ed1oF5YIsmLSQ/3JuMg
PzRegvCXzaDx7pgxjq/Gl/VB9gzUN0ZS4SdLzYVHhsS9csiq1ny0EOlX56DNQnBQfvsDu70DZUQk
4tSCUhabevXv9PboCQRFV1+P99Plc+1V/qPp/xeafhIM12XcP27rntdkw//afima4cufW7vfv/Bv
yn56MZCVHvJ+m7LUW62xfyj7nd9gIiJVhGYLPXrFK//N7+7+Bmd2lTGu3lx2f3/0dgQpOgEQB0z1
lJH/bm+H2fyvKzvkpzzthABzZIaWgDX/15VdKPp6iGNp3Dioq55wJxA54HTuqSqXYudDJtsKjpEL
26+JK91ZdmiwwhNGBMytRUMZzXgPqAaUCVMOwbHIxOTiUs1rrk+ThC2vTsHVJ5ektQkNGibG8V3J
NLd+mcficbaIxaUvCTZGYaWcgrnawIlgVlut6UpOAaWCR4D1TIGSRm1r4Yexk+remaf+A9gfZor+
4GyxwJTfhAFXJ6Dgp862rwaFeHzSoSarm8SyAw9XB6F+PlYXlFbjuWkD4sdoFoZIyao4oILKtjni
s1s9e/6pYry7y/NlIJAKqc3Qj2QSFM3i4ekVAsAfMMZopp3YQqknpdFnRUcZIGp9XEQnGD47pFUD
C7sVXXCEV3JpBd43ewjNu6og1CZWFbO8ECEJuvhdkWLdlTKI94NoMeSHDkIIMPuRTIo5IjdqQ7JZ
t+HDqm44EhFRuIYPWyln49TEBAEiYdsrK1E1mggM4xu3JyCeSIlnFvpyO+v0JdSm9XGuXO+kHH96
rc3GitJehluhVwdHy/NX7PCGZR3OIzLnxM1Ux/byXHc2Y91dNjeB8V6UCmMXZ+JoLPsRrCKYnbrp
CRZxG4dsEmeQQzRAerlIuw6ANYbC2M2B5AnakY83HyoLcq3lu+rgk69AGWg6/oOq6uFi+IMgjBf5
XjoguGVnTcMOXoH+RqBIUVmxM4rFYFw+hXDYcryw94YGg2RsDUzhCZRFituuu4PjC6+PagzJp+9y
RE69j3BlYpFYn7FO09G/MnF3L91Ccm4BlqrJDNyFHXnf+fwUD0V1qGUT+Al20mWa5j2cRAFd1Fna
briwDrK093EWYy+ejUmDskL+k7MU3VgJsAZrj8UsIJs9KqjZhbqbgYe2ci/7uCYYrBTmpyZo1RO9
3FJFOq+ltbcyM282hZEAXoLhHW8MHqohOS2T8ZIWLjlm1uIToz14lbormAkFUR3KbzAGV1KktOIL
JGKj3XCSSIyBdIgvsVsX1b2Ra8vcVDBp8OXO3oRH0Z/jDc8L2DcmeQhnnZvpkZrS2GWLbyebORj1
cxenPpZ2o1OfiqzEhupKz36joLZo1arkAYGtfPAQiO0GFsobLzXr+cAvAFpH9GsCmRS0bOVyzDSE
Jq/v6hfoQGTc+9Jcc+F1vipcQrMjMjOPT8AN4xN8VQMIT09DGyWDcremYQ7wMk3GAMO0FFWUu/ag
6Y3WVDpSIi7j5NePUCqSg0/39t/sncly3EbXbV/lvgAc6Js7BFA9+0aUOEFQJIUeSCR6PP2/QMm2
RNuy/Y09sMJhi6wqFJCZ55y91060wbr0siG+iwoxnegw63SBlXj59N+G+E8sGcT9IpT56/0wfC2e
xqcfE4W//sz3hgy2NdU1HUQtCER+2wrxajguxgpiC37Fu/ze5kS5oVsrkMHCubCKcX71vLlsrRrY
WMDhuvvm1fg3bU7vj+oV1ItgKKEV0z1V33ve8gymlkYw6X7GLvmxy8iqCm1hjD29qLIOJkfCrBLN
fEVwO5Uqp9gAzwUpiqjCthk9qAw43aIh8+/LxK+q3GYooY6vU0deqssvD9yICo6a8KoCnuDLHv3x
Gn9h9KmA7uVhSjBUErEmD4MWF5FRK1kqt19l6mhrL4qMcaLv0rvZOywnZkB0ljyCIwA/WkckphBU
6DPfanw6ufI0NTLz7dIAnzxZ2Q7zFPZzCm5xQNgfHWqF1azyYqIP2vQxcxrlY1qUyl2Mhc03m6na
9cA0wRkIg4ZGKy6XCcVOObXXgxu/gPnnQ0Z8Ui3Rr00dtR3tV/CWlqH4WUxnWI3zL0ISekjoYleH
lbp0tAFQluhNJxhq8uo4u65tY1L91OnOO+wQfq/r16nm3hEifq5FiIqTqbqFhEP+5igoqPNq8HV3
XP8oz7BinJmu+BgRfB8sWjcd8zl+BNp2sBmK+NChr/M5f2xWcapT17cTASmf8qJSQ2TySZjDyaMR
NmMtSKuAW/COXt8mcpiR55G9vgXMGRa/2qMu3uHQhi+QK8q2G/KaXBmv+FCjP/6gTUa1o9mI3zCO
DJS2Lo3FDodkopZf2kVccQhElGEqxw5KwlNtavJOeByFkjRicIXEhx1SF1e48veRu8Dcsrrmch4S
+dHM3Tu7TetdPTH91do5PrOj3EF17mmwWG13Iwv3HhulQuaQMd7HJm16s6xbhzi0trzWvah/VtRG
VoHTqMY101LjoiSJXgtp10wuuEaCacHe3xqKRgiaxOkY6rVx0xadt4U/XoWGgewgWnW/2ap4SQos
5EM5Nd5OvqlhYqGRPpxSnmZ00v3OHez6Qtem/rRK6EAFSsW6dwA8n8zSVh9NPnjYzl0alGkGjsPi
WtZbzZWR9A2yU0/j3Fjdoc4Y4dGlQwGhVNai7FxoYdGX2XPG80KXHLXiysw3BSA/6WtFjC41027/
W+j/yUKvMc/6aeVzIKCsqtP2+6rn2w/9OtBymEBhAwMnDtHB+77q8bRfSKC20VWyyLKurwCwX6se
ouVRWbA/sD3wJkyKkV/XevzNNmpMNghGUSzO+r8y373HfFGR6Q7zMVWl8kJb7r0re1Ib8m6htclx
ajRSn0ZRc7uthb14q/Hntdw3+8y7JaKqQe8UWWkUqIPLfCRuWaj2En1uFLhr+wDHLJ2E4q2r0K0N
BgYu9Bq0t75DvrYgmrduxPDWmSD90abPqLfDWTGWbuMXEZ0wv3/raYAwsOHwrJ0OdAPLYXnrf1Rr
K2QpHENuBi0DbmOMNQqBFsyjT8Z485lMW+fZXdsqnevFm3gB7OMnoujaYKaY5CgVj6aO6BloSuuV
9vmIp4g83p7nnAYOoWf0cua3vg4Penor1mbPtLZ9SKAqoe2h295gAVOSIHMn/A+Vpcaub2fiprDE
sOPXNxttqed9PBJMpAuZnoDC7qYUl6yf1KB6LKRugU5zjIsJMR30pxU1Wzps+gPnyzUxTxa3Gjl8
GwTtRJLPghb37IXVYhhXPdqIwwBYLUw0/Sqxlza0gL9sOP7bmPAUwv8cpWCaMt5Y6gjGpSiQ3ojJ
SZ5tCBs706mNQMJgP8ETL0IQO83NIMnf8HtCVM9bnBsXY1KxUXb90p+p46bR6/oiErL8kg22tx1y
E4u5Bew2lk57Q2bHsxVFdQjUIsJZlbBPtPyBGuYBJLTmM/esAlFYRyDtAMxhsNxmsjVujMmbTgZ5
CFdpqzbXIk8+I7lLnqzaHoF5TycMCnNo9eu+rUd0vmxB66qeyttC5mVQ5UV7oRuQrDquSBB5+bUs
MvIRpxzPMk/sfY5U2jdbfbqY05a5xGTh+bN4pwr091AdovhuASFX0hBsQHhDjyfXvsoyScEqoGMm
jXqc1f6l4O/TdzKLawevIbv6FHk3TmqJa5cBk7/IKIswMS7LhakYOP/EoOxydap3i9JXNypdXR9+
d3cGttU8zYXucxAwt+h+2/N6MpZPZCpa6UbpOiCVZGmGgkBhTi3GYIYNmrUdGBDErHSvaYO0RzWx
z4ehbRx/sekLUJtxloKDvmfXHeAWcw+Gk4pKr4+UDo1090FRii2g2xs3ndVt5JzMwZuQb1Yf57HP
CDKVl0pXfMAH5IVeYd5oSBdJ8RHPLX3vA63HD7OBzQly+GPpyGKbpzqZ82WqnwDkYJ9Zv6n5RYkj
wQSng8zTqw9mzzST5ki0F+OgYOXyCOzpRUy6mfmJxbC91EU5bYHoEI6dx9Zhblrzg2nD8psy2LJl
JFGAGuQIZQplakIbJdU/QVJjJuCUclc4jX7I2uPSpXRAOzwyVEdzlV5A1sTgbzPalpj0SuIbNyNI
oG1OezUw86xl7mwU18K1YlKZucyABI0D6m1aoRPd6wrveyiEkKSIT/a5KYfjLI3xIGczysNRa8fr
0ew+9BqoI6WB4TpCL6l4wGromuptlSlm4YWNJvUM5s1olGd4My5KevN1w+jOthfvLjNmsTV1Jj6w
eaMrxiXpJTaHp4rx4YGONsT6VHuyxWB1fiLV7rGVfOSVxhhKAO4nAFHlFkElt7QaM/opzWJDxHVx
NbPsckZc8YU1R4SAUePjAg7bB1IbBUPPPZjO0/zozRNiX1y0zS2Dt9tKtRs6L1VJzGNCv2nwil5c
xaTQHgwxJu1O6HRUsM+s/pElIyQxHyKmfXBqIMBW3k2XOV9ErY5BjOBxO8LM7n3L1YBDwqxwfWFX
Zb32lGkIAEDtraynYW0raF0Rp8HHKbfIDCYecQIDignTRDG3mrmfwQUfy0pNevYWpXnGX1XP8OWz
noI6GXX7EsBM3SOxIJUxB/K1nE2mtK+JZqpvDRnxiOQjt95BdoP1sdUw3yaIUVvcpYb1uePuTwOt
BxMWYL10mMTYwrkhbMXVQ+AF8ojFyj02c8Qh18uqGBolKKEUz0hS9MWtq2QG/KZBcXZJDtwv8JYx
+SSQKW8G3Sz3Gj3rJ9fF9O6Xrswy5n+deRYzjU+R9gvYNcvYM5bCoHM+GsMwcORblGvB0k6GuAmD
l4y28bwb2pZ0Ub1RQ8eeJ0ZHDOFiyv+eNpLJlOZBjYzmqZFq+ok9GeDzWPbnrbGUl9FgeV9UuFsL
J9XIuIFHODwo9MEuStU5UJYWr9gA7Ber8izCHhOj6Qk5HYpN7AENt+rhwGAJTwrnhxlSv8SC50Vc
RZ/MXfdDP8zWWYFj90XJ4OscS6oVUG8ipWvE4PwD+4i3EdMSb3t8O0pQO44AVZJrSXyQ6TQ95yky
NRYjsk09KpmriVM5d+WcKFdphhbP141SfoLplF8YhYjxVUeYUwPdK5eDh5Hhhf5afiPG6hYZ5agH
6VJFh5zYkVDLEx5WUVM5LJiEoqAdWxfuVZtG5WYmXOhcFMn4yYLg8hrhKn7E6z1sKyXzYE/H9Ono
gs7KUWrZcFVZrDeo9SXDCnVuL2dZxRCmie3Z984s5J5GjXj0aDZCHwICcxBaZ6BMTLNm9j2nzB4a
NzWBOtcGzVczIrxEmTCi2p0oDjxzKWEsuipmwMToGXjnAJIdqX4iuDUyN1WqgnjT0GTuejQMN5En
VMBPsxNUfU+NDfApo1BOMpcx7IAVP9cderZdc4SpZlOxm5gIBxrXxQpLckhUCSZXYpJTrSawM50i
NIFa5mutuAZ90jFVt7wzyhpGmE5U48R1MnFoHVMivy0q+SmXWef4ady3WtAz7fyILVlUm870ZuQE
AFZf12HYeaSOIjR0+7MZJ969k1TlEyG/9dZIiqEIWeJp085UO0owejkrokW1c0gBTZx7eB4eB0sW
e5GA2qKNaCHYmI3Z+IyzPTl1kWZ88Dr0pL5bGpNJws2Ax7wGFY76k3/NkdK4+wzr942bI4QN4Bxo
TwM+b/iJlnikLOyuLa/zGBdPuvqpR2kQbWBe99xLattDeXa0F6/Rm2wTlXa8zqey6GPqddX9vHR2
uzWqZDr1bY+OI1MURIVyjeh2jPyQxfmVuvTpx6ZyLmLALXWC9XJw17ZvnwTV3HnXJCyqF71j4rf1
AOiGlif0S7vgbOhqsbNrEH2SwysH87PngE7zzVrEHyrGubOfoeJQYFsb2szcNlV3XhHHF22nL5sR
ABH9w2LYLabVhQt2MKp5tT/TlGRj91gik0zv4Sj2tvNqky6SrJYkyn7IuPcxkSKfgflE26FW6crw
bS5tIKTZn2N3JdaGY1YL9sZShZ/KGF0o7pTsRYDvx52y/iHoMbO0GON5jWP1oYim4i611GSHZkSh
Poj6Mykmb00Yst0TKQqIQIARJeUYH92lVFq0WE2/d1OP0Ualx/nH1nXo+CfRyNA6IeUnYoau25sm
WpbTGtl1HGFunPEJizOdaeVztKTdtkwhpGOhHLaxt+bZFLER6vnyIMj7od2sa/IpNhrnCuOg8qqp
qTz8VyX/kyrZwA5A1fjX/dAHAgvAy35fJH/7mW9FsqYy/7MMViHKWVUjYeS3fqimafwv5/v53681
svWLitDxt/AQg0r9W41sqjDAPAjYqotNf+Xa/Jsa+Z3qE02lBd1/1ZDqSF8YXv44GATtpaWUaONF
X77EbcF2+vm7q3H1RyDNWmJ/58v7wwu8MwvKyShKMfECTPY5FXJ4954wJqUeBqGXn7+UxZX88bU0
vB30jg0DrqFJ2f/jhwEZj2OZgKVzIA9EbwlCLb5yuT1E5431iEU4dp8TsC+dulOF3ioL5haLmNQj
5rwmLl84yq4DIUqiRPWcXSRjdTe7Vf+KZAUJ2VkvoZWZJ9UWy6FovSySd26mzifbJDH0bm66Ld0u
69h2mXaVNTUwrxkZTQUrk0ffdw3JwVdHYTq2pLMYXhdaRdkk+W1DC3aQgW1Wg1OHvIkS/r49c+yo
ep3tWqT381T0pyJaXTILis9xC2qyMMqTwxwutCZ7uXC13BoflVqlsYnagG2k02WAg8c0Lk3FEcsp
67xEuR1VAq2AQHA+8Zgmdfkbptx5Y5b/t2r8k1VD1xyXscdfrxrEKnRP1Q+Cgm8/8/2qoWNmZflh
bu+tPMBfBQVkFakrWcpAGECWp85j8OuyAVqfZpeKUBq28VcZwq/LhvkL1Dqk50xQLMtmC/lXy8Y6
FPrhWbNYzsCAa8h0wJGDK//xWRNLnaP0nbGECCJegkIhQMYnvpGZdAOpee/UuVHhko9xQtD2Eeex
XihBQenw0tL+rn0H7yfmFpX6CLRHUwIWaR37eUFSs8Ep45o+EJH5rG5yWTyki9mcMYBWXzIjnjCI
9zljxlXosFJroNTtUtJH7p2OTtOBafcwHCcjleO5pETbJGTFcdLSixntng0kAcY59VEExn9WztQe
87kvhQspIqsWPWxm+QjSFFEuIuuDOdBzCObM1V7RqPcWJ7bY3HpuxHwS8ZSVBKadpOc0BsdDX/TO
XpH92sYqWX9kWk3XQ6Ps9AwBXK17OHaZMSTIXsugjOv1Xc1L9jBZLVPdHmJoP09niUcpss8WTWo0
8EGqdsx9igxhG71BFhBtXUv0mpyxYIFnuGg+3zxXmfOZhjST9Qd/dXvVijGzT6sU+Zkrgrfv63q1
rGtX93Udc2Q85ZtMQshCRDuJnXQFSmJ9ojzDJAOkotg7xaxpKtjxBSEk5CkYrJ2xz0hDIrczaHMx
9M4JWDVx8gtnN43u3gYYRJ8lCG5j2LPDQUMK4Q0ngsyz1EaIoRGO+hYpSOGEp8XCr2zo2k3bztNV
AddkekEULrIvXqa1X2YgAKNxoQOALrVbp4y0rd2la/YjqYPOR+rqnqNy6Q1n8DvyI4mCggslc9Rt
c9Fnh9RE2ccAJb/WtJoGWErREyX5eNnSCvXVNM24Lae8DmeRx4Gia9rRRQICdETFDZCm+S4HigX9
fLrp7J48l0gp9DD1ZAJuu+k45bkoyALmMqg0dCR2e5WE8W5TGDP6mkmV24Uz51Oti+JZ7xrN2Ho5
tjlfNgtTPBeVL3PwTEJFbj3t2BqM/kwjLo4ZBZS2h6r9mGQmMvGlNq0rFAg4p2qiJx5jaaonTqzl
tpwsBWGLWcHvUuV5YSNX0xZtuq6gC+2SMXezS+RotIIblzFnrqv5SdfiZvRH+tMhycbVYcCBepF2
JOb4MDrMM+Itl2MVLaq/sL+FeZ888R6zrYtJatsXMUFcLQTs3rTPVMdpPyZTHj0mMvG2Na7JnciA
FhM2Vh17zRH3xG5ewM6xrtc7+zLSSF1iCFxtQISdLzTQOQeLLnANYcF5FLrkCgj1S62hZ6itPP4Y
M088ycYcz+ohL/bt2lunKRyjsxzyHYHnIPMb0b4gS6anY0vvNjYVy7cNVz8DVvBhgRleGVkTQPK2
z2CsW2cibZR9lrXjA+jlMUFNMY1nU2ronwA8TZPfz0sd+2OhGjeYUmBUVq3xRXFcUFodV2ObL1l3
6Lvi2XZNL5BpxNBUIWTL8/PBNm8ZKNPB152hfjbdOb6zMnKu/Bor5OeurPF0em3L7xDKoXALHTGk
UHz8qsVhVO36mKNVovUJ7jkiEoeyLHb3wDexveLgd32Iadm2s2Kk4E7f0YT3kv6OgXAeFFyfu3Zq
rrmtwWPrM2gwNMRWHnl7BVsYU0eqBAwpUMd9iBfuy4R068or3HRP56t6gbfthYUKBM8XBBbaG/K9
wO6oGsiA7AZLgXuYjWEKc+7uW+TwaKLAxep7rzeiYOyWe1fNNPrIVuygQ23SCwo3VvZeNR7rIh79
MukVdJeamdHKta1PxMF5BHiK5aaevDQwHTk+5EmLhtTI6nO9EJRngzM9M5oY6D4Z3ReUUkqAHQNQ
ENEJxK/qxke9oim0aIgoBxgDV3NlMWxcJ/C6lOJECwuIuCaXPGgbmTfbum7jTQu49onRsAzNCZQ4
dtS6C+YxMYKErFAU4V38hR6Puq+Gyvlk6ICzwoVba4OcCHd7Nw+2j790DCsCig4uA1DfYSp6TopC
HPBEGlszRooVN544uYjHj7UnxVWjreObRh24sl4yv6az7G6tIW6yAH0Pcxt1pnWbaG0ZRFNj+xrN
9MMi57kPTL2hq4W9Q5tqD0+xXp9PGb4gbOLybKnq8bpwFPTOuXfeDDp9L2dOkwgHqJKfJ6rWhBqF
/2PRDlhk20KcO8Kdb1UavygKoN3dmN7U7Qe3mw71FKUmACQT7ySu50s5iPyh9OrmgV6qvKpQDeNr
jdJTPzXIYwFU32vSnJHr1PRs5DBvIsCQvmojfQ7pZanIKjpd7Q5ohQbM1k5/bwLznHEHtFWopFYV
2BZSuEZN1KumdYBaOG5UHyuyvrqgzMf5xNSuzAHrrqkOtWlwHbvxozkh/LKGxN4h8B+YWlFDH7VU
s58pdlQac1GVXsUdjFw7U72HebHavWoubPQuZM6VBtCmWzvN7TOYG+IOSJyEFGFJUFlxRG+LWLDp
rG9quW0FeIjgv8PxPzocI/ThtPjXh+OLWv6p5Jbj8PqD307Inv0LpkCbM56NFYAQ7d91Rm8lN6df
j1EBNBrmyO9OyEyfTVvlIEz9/HthjRrX0FTGxOpXndG/OyE7vP53J2SyrRwkvTaFP+5FZt3GWq1+
h2LFuylae3L0s0UlS2DZpYAiu4hTIJahuT2HK0gXuXSKzmfgnDVIgZiYKQDvocWl2FUGoZxFnO43
c6OU23huGHuQpX5ex9U+kUZ/dJvRCRnK2Ke6r5TbpuIQWVexcupAhHKiK+3bAQniPYTCjkTpOlN2
mmgwH7XshDanLdQyi4ZOp0kr3xsiY5c1iBJ53zzUVozKNzm36VQfdc/E8NdE1+PSXNIaxS4E34Dj
ubZvWmRD4BxyQq3to2ZGYYTfD+xj89JbwMT7TODDHCRafaOazymo483YoWUf1OdEsVO/KVplg5JY
287qQoxB3QD5I/4FPUj1gCkq27T4LsKFYMpikpcyn80Nid7dk9Q7A+Zr6aK/pVltlDavX7IlcqXM
sKtcbz+3PeYfqNRhqYEEExCCAqzs6zZKGB6nLjyInkoyQL7gx0s1ZElkiJqqMFjKLCOMUw4RDB0m
f4BlfcxT5zzRvMjXjPIGW8646SJn55X9ntMzGLNC5zjvwejg/KaGeqTusEpqgZXMH6wO6uDAwWrD
jtaFHbtlWMx9HEhLsTeF238uW/bBaSqPAkzGidH6HBicpOvFwXBZiK21NFUI2kbxU/Kj/May917k
HTtyCgI3x/uRLpHCPDOtfYMqhe2Nzd7op2kLi4Ch4QBTXK+T7I6293Jo8aOF4MubbTtp1pZOyBy2
k2qGDExsJlzxbuptjtUUFhtPyx7FJMwTqK8DUewEQFuEF/WtZJBTxLvE6B0fd0cDeE3Z5FlzV7f2
B3dazjIdu0jMcWir0O7faOqS7BxRPi1W9gjsytytEZtYU7CgqB7j0Eb3Xs1FgTY6eFbIPXFXsDnZ
I7eEK+Nrr87qbR/nM61zgJl53NGAJibTbMn20Drr0OiZ9jib5ITkEhqkkn9emD0wUXPFhrHFvLcq
SGTLUrkEcXIvoOVrQicW5j5ZOOKZyTwFasF/yzX5UWm7MsydKQrZxqD0ENe+01y+QRxu5tZGkreN
jOxe6nZ8ziSv3BruZ8R96nGKge9ZwlbuaEWVbdDbmCidIk1vygHqXtXahDTmCfxWioi7NYkoRFyT
3yyOa4Ztu5y3HbNoapBxw4nAho+Ku87SVWcD1T4GyqOoVwSfQiJHLbvRWkCLMLf0kLIMpyGytoOm
yyhIYxcopB4D9Rn0U6uofajoibgHwshVZFYM8igD3IinJ7RGRrNou6EjW5l6P0ec+TrMQzy58D+6
RDiB11NncoSqbnPFmK8i0atHrWtHy/ds6t8A8hHteOHCve1K2P8FriVjhlzBW+3PHABl/EXlDMFR
satz+0Ix88/pQEglPho8nw1C5N7FcexA+TwXS2vtnaTI6ByoXzAquZwZa8iPA3bWzO5uacYdegIv
aLGj68HJcGNHWbMZVeItEzTITCALG/TrRLut8Z45p98wH76KtP4KnnLnq1mq7RChv5bmMm8h651k
55ylI38fLMtutKGhVmZVbcGFAGOSrYCbyQgGXxnIXTN9amoOs7G73La1Pu2dgahzso4UXGh9F2iq
O6+OXh2AETWyGtvyfNadbV/qTx5yOlA+mcF0u7Vu8XHHTFi81aeGgBIMKISe14Gxn+8sgO0tmRk7
taAopVDMtwTHDpt8psLFwSjC0SvdfWJQJRX6o223Z1lsZgfiTT64Y8sBnGobe7FhH3rgP3eeNzC/
AKMkBJOSZOR0F6VdMMbFna71J8fs5IVw9WNakwWN87Q4LxitVaq8KhIkgpGRuAHowC/A1FQKYHJ/
raUnydXsKYot3O2kL5GihROXlCACUiyCj/dFVqHNT5jMu94dIDuI3ZV2Ig6038Iza7YkUKDqcHnF
alnumsFMr1oOZJnGJjSRBsCgm/ZSrsXFVvaW5aulhVoL3qIN8OKEuOIQS8TwtICIOeoQpBQJ20tS
NvanIp8+jlHf753Zeal7XHLghiA36t24m6pJ2YI9sgLYBd5lVwxXKuZsbCjm+sbHc4HyNugsWlRl
dFNnS70Z7XQ7NehcWdCgLyXKQ++hVW1oVxgUrayFfQ/NcyFWPk3lZo4ie8/6mx4xdY+7WGGVw3kH
m2gdN1P00bNiWr+NndHYUugYwWQKbRc72cM4pNZhUdy7uWtPbd7gNFbiL4YinGNRFdEWATDqemFr
W3yXxCSbpYqFDFIW/FCwRKyqW9y0NW7PeTGqz4yyq+7epLpvOdiiJPOwj4z0gAXH8satxw8duHJn
PT9j9UB4w91XupeRJb2RzHCivteHrM6AsRl7JFMpbSBHoFy6N/qR6G7sqrNs8UdYbc3qnfvNV8dF
tbovEMk5qxPjqy8Dvufq0gAdsXo2qm8Wjuqro+O/4/U/O16/HTV/crx+Hf/f+euUPv8Q36obbz/2
W/vZoJOMeXINiLFtslh/bz+/5bfSewb8/5Vk8tvh2nD4IRiWjFM0cjyMNe7gW/vZ0H7B6KYhCMV4
quroSP9N+9lau8vfT5VIwTE5VTPk4fjPrOfdpAd4VLGMMXlRUu/T+cmkN7bi2HGJkc9BnDT18ShH
dvzUqNtSOdTsfJYMPMup9vXIfJmUs/lFGgSGBIoqoJxn87CcJuSGr40sHMSD3LVLs6+6mFB2BirF
OJu3ClR+t0evgSKEdlMBwQto6Az529rkhNKTuqqmSucg5usH8lgFM2jSWUHAE9Vqj0OnfipAt5Hh
upgkQgUSpAfpruma9Doh2GM2RPeJANgYSjx5sPZQNcK9TYgOqMcsWCeCCP1Ks1uQqlSibO9abBXa
xs1Mo1AfQBN0AIIqQTQX6hYVhdEphRPebxa14bjdyq3TiPkKTmLFFGkeM37UnpXlEca+k35Fcv5n
Kf0bSynd8LXW++sHcItGLX35Yfjz7We+PX2u+gu/gspWdW1If2/i6W/DH9f5hZLSttYwZGBAb57R
b8MfHrF1UsQQlzegInz+/enTCZ6iegZ9p3Lfolu1/s3TR4n8/cNnehTcYLA1gpj5V8hdPxa28Tip
iyvqntNlzxm8IHwMgJsOINHs0XFC/5AVPLge3qCXDG743bW6+uNAeZ1If/foWyqQV33FzxLibNn6
exhQ08SLB5yj243s6BtnLu2NlupFCBWg3P8PL0V0LmN2tn2SXH78oPS7B00rrY5IAnwZpLhT8LRA
FxHEN//Dp+JSevBfNb70NX77+2YB3fpczCAsd2+YULSzTShJgAi6yem/Sjmep/8fvxK1VMxxXX0f
EfNjX8J6u4AGn8lU6REyvXv3qaah6/PC4gJ6aYQkctavK9nbX6YB02sVYeYleHHNmM4DoZr116bX
X774u4X724sb5toYwYtsvfuc3USCBLbdbqfUJt1NZO6bSmO292+/OOohtP8uCTiIKJx3r9LGrtEO
TdTvJAFA1OMMj5j1TY0zbDJRkoTy85d7p3HgQ1k60gP0GmDssfmsH/q7To9Fu9VItA6k/sx4K8nl
K1PYLy6YZkwr5YnS5FvE9r+4jJauE2gGvBED+x9MbMyvMngXdb/LGPZiTYO3imap3vz8c62X6cdH
jVcxCX12HRwU1ntxCMgd2BNN3u8MGFMoA5UzkH2XM/CwYOIc7v/81f7sKn7/au++NA4hcRNbRb9z
h1Hzoxq86IAMQqy0qdrzOl/m+eefv6T+bor99s3RIeScg+WEG/LdUjYniLZGZM87LbHNS44RxYdY
Rbtq14u77+uYCVdz4wwzYcEFlF8b0uxRWMa+j2W9GwD+b3ACj74cHfE8TYZCICcyYx3A0y1N+5Vk
ylA5Bx/98/f9Hta2vm8D4wzENhqc+h/uOLeNbb3ueIzSEYM0HKWRjN5psoaNosDkTlutCQQn+5Dw
XrjJxWQ+QsKYrnrNFRccEiCgiti71IBJ/82z8P5o9vWtsT6vT7jFP+8ehswr7BxqTLebumRtYFgh
krwpaFy7I/klbu8ZsnGUwUGCxrrAqz1VmTwjyGXIUbXjlxtI2stNYgSauYIRr8HiB/NLIo4ez6e4
1+WFbi/KYclHlDJD14WjY2HK6ySJoGOqfOgGlyamkTaBRPWyNQx9jcuT7obY6WNHZ4iUuaIPMPug
hi2sU2Lm9/3othe4Pwym+wukZbya4ah0lzVKxX0DBQ1EeGH4E7D+MzWZ1QdFNsMuq3IF09z8JZ+N
m87tMJmDktl3dtJd8pur7c+/9T8+IIg6OBjw1LMHQ3H5cZmZWiIJrHH90tvkQmEIGaBKOmjpdNcv
wMv6Hn7l//CKFos1Xi4C097HbHlyGlxvybudjKKD1tK91GLins0zmrnkknv2x5+/3h/3duDtrDZ4
wjEmmG+Q9+8W0jZGccl30+2yuUAlTd18iKGLbVxdzn+z4f5xI3IRrqDIA2BPzWK/u01j5ODZONTs
gu5gnRDhawdCUZy/uYB/+ipMIjimGChl3n9lpRopZTdyARVbAg9uHE/Zo8t3r35+3d4j5Hno+DQu
tmZOiygM35Rx3124PCXK3RZYiyHY1CG87GxrT2UMv6eqfQK4nd1kcOOTHRcfpfsg9XhXm3n6d8uS
8YcNY+VHgvvBEWho2h/KsgZ0SDo4Lf2fwtmMEPi20Zh1W3NkJBEYJPAcNHK4N1KtX4t6dG7yLqM1
YqnDebksxtHK6+hvvgH9T98TxSjeG1gqSJ9+fGoQAihKlBjtror76qBKa+Op/QhDrWsuopYUyMTp
iZqyeJSLhujIXtB6t1NVDz23YtRRFa8FHLCL3J3CZRkf+0zRgybtxO1cgfATXWrtLebAx2ouLhQV
Yc/Pv9s//wAAbymsMcfjjf/xA0Sa9MqZft6O/vQNxjSx7Uczvk9YxQLROFkYtZpKD9Hu2LFkeZyT
5clNnbtW2t6hF/hjaK8N63DWu2acUN+55vK6WFF1NFz0GqOIZ1RGmcJe0dFkSxvxN59Ae0efebs7
KVh++wTvFi66grzhesb4rmTxMQL5eCRDowozheDSVLLI91jhs0w9GDU2bYat5d/cBcaf3gWeq66e
VJoT7x93d2Ytma2+3WVKgpOrL1zrM8eqK4cJNHxLFfD1MD0wykueWxl0/RDTpNJRka8GsSFut7rK
3EvapgPWTCMTyNF7ESS84A7TfRaYWay9zpWmsVQ6tyjmN5aa1SEUuAc4TnIPteL/2DuP7bixbcv+
So3qIwe8aVTjBcLTBJ1o1MEgRRIH3h8c4OtrgnlfXonSSFW+6t6OkpkpBgLumL3Xmks/1xwj389V
9exJ/dadOBABKENYj0H3uxzIn5duvstuEHLC0iP9qfkISQG2XMqA0KT5QxntPCxha23WxaqaHes3
68RfDNt0Ux12ngCOWCt+2lF0OQqilkFnV8fle5D4uEgMvPh4eILfHGn5pB9XpJwWzmA6jraLaeLT
y9xE8YDqy+FJauO7DD/rQ0rCEaj5id2EM5Hkt9Lhtx7JtxC/eYR+MftS8wLJhLqYvTkFrB8W+UBq
EGikerfDHPNEcPLi6rnR7eg99/oXtrzubyaoj7XnT+fqQIcyTDbcwC9+PGAgtU4lCY8s2/DyhqiK
S3OiazMBfwwtOb/pUXFHNwWr8lSzuLH9JJRd3K6JVvvNqf/yYXKQjOL19mz65j9+kwTkuCMk7+/o
Y5zRF4eXDXhvBU0vpr2Zvv/9iPeLSRNxKZEogcHem03+j4dzgzSLabpyk6dW7SAPROE8+OI3e8Rf
Xl+DSgZPEpf3JwVr2oG/Ney627FHbkNiuMRalmkQupGvHcYODlMsbZpmUwO5IaJxSDUg3yipnc1o
KH8zRv68Kfddg10hm3LbQ8T+6WaP0+DMokO9ZlEk3IjYi7ddO19MEqNQXBhaWHdFuRMLKbTKcAn+
/RU3fvUGsxriYrNu9+3Pz1pPypNp0enZTYYtXmqvXRrfbdyfOkBFBf7BynVDXOv4ybUpIPlBuk3u
EBhGTx1ZoQdPd9Sm8UIKCw+Z2fcDfe/Y6V7//nv+4mv6tBNdxhiPdY7x6ckgSTuZsIQ3O1dFwG3t
WW5stK304bEZ/+NDAU2zEYN4lOFQMPz4ENK47+qm9ZpdP0fFu40x7RrsKtpRzdX/B6fFGpQqtruU
1H4a1eqynnvslc3OMZP2Gq+Gu60mLzpL24VJ91eh8Re1n18MYhyJsghLRI+i1vLqfbdOxEoVp9XA
keirgi2GfXMLxcncMLvBYFIFoutKTL8ZPn5x16A9uJRawM8hQf901xDSlvgOnGYHpEqGwKdBnaUF
zVEdf8Pfn9+HLv7zDMFKg7TlBaUOo/zTi+RndjXEs8EjYpNgsaWR2+MNE/Y4r50iKgmUaDtz7bIm
z8PGkiOJfX07qM2sPKu4LnyHlwsn7BwcyPvN781a4otvy8wf1nVObgGQiEY8V6OjXRCW4hCRKHJy
EzpUG/i7OCUr9FzaW+tAOiOWYUsnPMnRRLBD6uchWrRbWL3kEJEDPJizsc5t3Pvb1CiAIliAr81H
QMxJgZWNYgkxdexgBAzkFsVIm2St+NLlCGOXNJXA2YmEbsCGDoZxLGaltB2iXNldOkU5+Bd2T5Tp
Na7FvNzy7xqWkbHtMrStNrbUdZlJO77wPXyg60UUkG4Hp8lvpQZZ59iWWrU32oxgmCluUeQGIrkv
OteyV2qwq/TgxWQrhf5QEQ40ESgbb1Drl+15KtlOJqEboJLcdR0mSLQ+KGrXpBpH+hmGuEin7lDU
mNELLJrAjX3ffPa6iHqJF/UqnH27am8JVMB/XPVdOl2NKPNuy8Ru+81E99K70SsCp2iZy3g4sIhV
28ZHPbq1yxhhMOLoeQ47goZ25QJ83eTRUv7TNQLf6G06/pdUNHlIvhW4iM4WEuZNXTv7wh+uqfNu
ByDzD1Ft5o8YpvWbvnTHVVSkak9uU74EVpyGfNqWTbdVBCfdgHleSVuA4ZvJ9yBpa1xnQYZga5BH
AtnGkE7Rc5qhpgEAQnpcqqxtYVmvtqWNG1lOHd+h9XYugXgb3MnuDotiRRglADVyLeKzzq7Vi9cT
YWEPE8xrTz7PjeuQ56ogBquJOKP8flHquprbXDlB0SK0QfeIZRF6up4YZ36Riwtr5H6wW0hWeIXv
FZ3nnaMZ6ITJikD3Eh0IwMtog2UDiwrAQjmzBGoUb74GBkiMMwTHZJ4c/shOGdUlNdokPitlrmc9
g5eOZmWVikiGmZcVZ6Ml1nCE/CvCpm8KTaiNMfpiO8/tHE7wgtaROZm7maXrTRTn9dfS7/TzUnj+
GuGoizS4b99drSlDDfLc2qdgvYPs5BzaPJhXSybIASw8Tg/ymQBpySMkoi3uUmObOdNjoQ/NY5lE
e8+xb5NhenRURO9dDyjUDdFj4WoxCOms8A9YF8qt1Aj1mx3tLsPUQSIL2VluXPkbHUkw96Gh1Z4G
GM3ZN9wkrSavmrj1b7pBMS9a3XlPxDjhXjNWL61865qx3vtWn+wBcxT7svDlu931MCuTcabClUkS
eCfyicictdiam3obR5sKD+4dIENBGBUPz0Nh6pZaew37CCZTBok0HsYnRPDZZTPylGEdL0kCMA6A
9CfwvX21dY3ZP+MH2N68EJsIHszUnfsTaQDd0yRar4MIAWxkJNWwM9snDSMCoWM+gleT77zzNLP6
prw5q/dWlpvDGmu/R3JXhdXpXIN2kK4yDxXWCly9ox0pz+oYZ6sm2bctV2rVZ2W+Xiwid4Kq/pWZ
p+ZdVJRZcsAX0W6cICEScyQFFvkAqGviTBSJzp3+Qpw060nquwt+X8/PCC9tv/XICdDF0eoIU9Jw
rXOlOveWlL7oPaC4P4SsAjC41ZHU1/Pkqy/0mYr3Fog4EryiM76WymvXbNFgBZZm/QSaZVx3opt2
PSuWO3+y0ycJVZeHMUdk1xMAOVfspxMFm9m0re6BKtxCOFti2Hs58CQIK2geRew33xowJttMac0j
rI5kn9LcJWhHEeEEhqR7QMIIo8SrRvKIIofA8WHueDlA8JAJACV6HbtAi1MWXIehWcLAKSFv2JUG
7TZj31Rg8634+30Sy/slwW7e+A6sNMw0Y5SElW6Tz1rQGjzUpciXZ1Abj3GQils4GtA6vHYwtx2X
U7vH/84penUWiDOylvmq5NzeS1MN40UcEUaT+ORbVjpRc1VPTJEtbD7VIorzIzdO9ibBTaxEmqNb
C3FKRyJpKN2ZGwpnzgnUceNuSvwe23kgnWislF3s0AXEJwLVpYcuUzgnXiKSKSPuLkX4JXM3sE+e
EPVLS3rgtT23xl2XcL0JlZh280SEgC+4qEBOpjONR/Oavn394iw7zLB0ZxAwWUO2Dlc22TuKCCpX
G8iuaEnZqQ1yqGbZESYGvuBRCq7rjAnhW2WgEYLeIrisTVkQsUQ1YjcEffcajJ1zsucGJqWsgvik
Eod8rNEtiul1xsQC5K02R4tsUGs0oukcdq256K5SrELCb6CLlEvanz8MS2xrpRt3tTE5p8Spoi9k
yOOTcYbqq4uIYN0PAsePqc2RgeKXRSSgiyXg04d23+oEzmoD6YwFJw90SxEpnzIuxsTdEscK80HX
4tMADA4Oiu+wAi8BbJ1sq8mhykckopFkkKXrJCMvVBQ9f+Ej1z2Ox7xfp3NdDSuCJYhP9AntmyaK
1r4nCYCLbSfEx4egqe2Xp3wQNQyT1HRuk0LIe7vqMZwChW2OuaNnN37f1s9WKsh9DGaQWTUZ8KfJ
LQhD6uyyfcybWV35bkeqX00uW7LcbtSI/rmTEkvWLAFlRkZAUuChElmxyBAnu+Oq+amYUGBp07s+
Y48hgpt4SIr20Y1ZpPYBZwChe9bIJ1ZzdsOSXX1BItK9zqOEuDe3lMQ3IGWnd6+mzBdGA4mTK+ot
XbsqsdtiMNAqr2Qkx5If4hWMbmzBlmtVD10zHQqJEpFz50mataZl6HVtnjTGLHHKs7SCrQr36goy
O0VczLfcax3dpTyQ4Ez6VtD172Bz2TNJvcDIUYzNu0b08f1HKp4cO6yDMh2GkFevgTybz6QFpDV+
X7OcMlKsneHN9AdyoSIJDlKray6Ly0ze7XT8f+0KnqZxN2OgvAl6ndHMc+Wbqv3mmgBECv8NSfYI
jOsnhdn42uj9+BSBbd31ARHGCRIRgEIiQJKGxPxQanH/0IBC1K9bWB+M8VVWOIdqgs7Citq7YE8c
beshQpKHlsCjbtpbAw1hy/86d35/GRWgWGWey73tFtwaps1zi2xgyDhenFy5dldva6IMv7S1jJCM
ivc+rvhPHfChdSRr64UUA2dr1/kc1vZUrU1LwWWUlgthrAYjibN1TRAH72FvFdONUbTqikXIiMAn
je4JyLGxm1a3fWBfwE1K6EXqCBD7tl2PQ5BeIlM+6gMJNmlRtxw2c0/6WBiXwisYN+A/74hC1C6U
q9WnkozhW+BhZBuoBGFPnxQz/kqajQ1E0oOT9Ec5TbDEeDcv9HhsScDxymMsymnFUp8lYED7jxLq
c+CI5pB5pbrJKmm9ytw+NoluMKT5/GGRUF+6xiK4s8+USu0H1tuLr0pVL8G49JmqfiuoLB+IwPPo
liFX2kugQA8+RK8bnUi4rafqvVvlzTpAuxevkqba++P8TP2veMoKuJXMOVwkU7NjBnp2OKE3TTaq
vizrDpmmW2BmNP2UFXa97YbBOSuiQeEfMItrfvAoypPLMjSay1AXxDdDx0EGJ/KuBh1AJ4VpEpm9
yH4OksC9d7s+3yeJd69SvdhRLgUWorOUg70EI7JKRnGBCSEKK8M8gJc2XoQejVt4IfquN4157ZND
sh4lLyO5D/1qzCgVxhNkPhYX9kNqO7vSUdWW14kBuMI/uIpdYJQB4S7vMhvMBwTpxmVQBAuqu7Dv
aqHSEHqZvSW5aTm1Du4XQvnrSXKXHIknbuuxLly1fQs6T6n6babVBDkl7pPLJuUxSMqcOHeMZqQB
1PUkMDikXahqEGw0EFbBDCJ08FwW9HacPqeTyo7Evez7rEGn7NganNJUXRNY+tBDt97yKm4Ta0b+
SlePBZk3XBa2E33Js4plBlSejCEwBbnaJze+3s7rrLD8sw4YQRjpggxx0voy/L6ngmicKhTIYGla
5PNhmip54Toa007haxkvnFse61ilpxw2TLUiEZRI8RaaDyBVLeU1oocmL4KoTx8L03Z3jkEBntIa
FlqUmpQ0hkRTVwGwpXOMeym7Ok8CzAZPl5FXmeg32G+ObeqpfYQPVfpddoGErTrrSuT9nV3lNEfH
flWOXX9O3XeCkpfuDaUFjwE9U/Y5z20FE7uAmxc2NaHiqVcKH8lubzyqyW5R53kvxuy+RUQsf2XF
muNSKyoGrU774uWOtrXkEG960keuJ5cVSz4R/LSCMUr6BeJwJLq62ksTIMJRs6rRXktP77y9l2FG
ZtBwq5OGNxhfyeRVJ8o3lb4y/TSuaAPkDEKVgR+hINDv2mz84tpNqCOvkokBNBVj/5p3pv5CrL14
bSJ9rkMTp/mpQQVwRJxd3U42oNrHlhUP9y1hk1OQ7MgsobnWIa99ZpRA1U/MltTO5txA9RdTkDxU
YN/uWB+zM0XNbB/jTHWvBSkEr3AKKSJ0ZOq8Z3ZJVaGb++ir3qXGS0YASITKFyl7B1bsq5m1bMLt
KNEgn89R96o5NdQ/c5YB9NjMASDVKAaGTiCfR8vey2prByMVjUEJHg9hDixwwIJXt4LYG7T8cRV9
dQyH3wlqlbdrLw0yZ22TkFSvSgvR+Vp2fMtN6iCXWpeotIhiMQk/gxtrl91ZMjs9+0a9lIYIR8Dr
8ZbFK5+MnFmRqDVSflwLmEraTpuWJUBPhzRasZkKzlOh42F224JFax653CVtZqrDnT1EX2UrBTjY
IYHwF8VO8W4OBKeshsaaMMlDOPn658V0pBYPuCMtIwlnJJBwGY1ZVVg13WoHByUOLVTOGarupShA
ykN566AfK3d5klLuQVmAcbLMVLavCb8LTmbjQH4jQ9Y5w6pZ3TojigpuIf3WcIwazi/zHOohba1n
6VmHikHuignhx0UgSQWSLrXR1WA6NV4qzRB32STNXTmU5UOBUvY68wIoXnXt63ejqLtpryjDRyd7
4KT3poR/Tqnd5lsnZcTNg5NWEsWCFwI84YeVndq/mNbUZbiKUuv5+3NJjmvC7iVZ8WWD86mT3VuS
ouzeBUPb0MAIFjaXDu1QkTTC+7MauZ1EIlP/O44JVhGg+j0rOkfYdXrQ3ZYiSktvhSCsJnFIOCmx
4/G7GvNXWAx6lBHFNSCrMmc15ychLUxVyxISgazZr3K0gV+MFOkqSWD6kZ50u8dVZV0Xsa/O0TIl
9/Msxi/ERMg/y+r/0aD+ToNqMe1/VzpdP/fP/+vtQz5++Vy8/Z//vQfiniTfU4uAeSy/8t8CcMf+
w9cx4Xu8KrzwkHj/4o+4+h9ME/aSnPInrP0vAbhp/oEGzjNB7lJcXhC+fwnADf+PQA+cRSRHRX3p
7fwTCarzYyMQ7yS1VSA/aFkpziPOXGrO3xWyUXXkc+rE5m3HspINy1xgZ5QGUtlwXoLra5vdpUjy
9lvtseEXItNuyOqZdqWtkQ6bJ4REYy6jXKBH+bjWMF32wHA2jpL1U6frfA5lIuqvmqySq7RVNSlm
jPmHCtIBnQfT3HxsNzFjqSuxVBc+NrCEgGHkSq15H8SEiAtDG97KWUOuTQXaJjSMjFoSE0iNEF0/
PgdxPT17AN2SdSy4bORhS17bNmvnLTmDzRE+Sf0ymCJ97uNxutIyBjumrulpasngC+o480ILdtsb
zmVjBWLCBmmmG9excNkHaAm2DaavLxAV5+w3/cmPltS/+5Mft2DpxHBXQc4QBfNJl1DMtk38JmWZ
ubWCg2NhOqxN1VLLIQwzW1lm08PTM4vgqvJq87wcTU6tdv3KCZNMB+cm0mnjMXgegpnV9Rw54tKk
tvyKYl17KBunuxGTpjZOkqYXg9PT0fUFONc8j/xdLMhbHjqrOvl++6XPLUQY9XhOVdq8M4W580Tw
ip2lefnuJflF/+SDGP3DSdu6tzzAqD112/6pC1zTKIojvS5v7aqInozl7sdVZTwapq2uNE9vD0Nq
tbBlxx4/YVnQHdP6edtZRE2rQekvdUZIJSFrozrFsM2PY2XhApv4qUH59WbWlXEWa+Z4EoNrnFtx
o64cP7qPbWUi2KXUm5UjMdVZru+TcqQlqLUwedk8rSds1Qj9C55pq9flmT5br6U7nI+taez7IXL2
ZBYu8wlN5ERN2UY5JMTrdSCYop/yOkiPtl2N38gZtVZ5b43f6jayDt6Ut/u2N8j0EXSewb1se4xy
N7yU2aUnAUjlHUqizHrVmVbYq0atSwppyoTp23RNk8hXwzpJqD9iTgx2+tyaoZmwM/VKdkuq5C6t
+jJJLwqxrEBxRj1MNKbefFIQ2b3TsqC17xDYwErG2Jai6/asqJKzvO/1i4ja9ZVfGvLCyRpOzrSG
vNg0Yk73E42WIJxJdLvRkl6dut7gghK4tU1mf96PzvJukjVDUtjYPRAEC2GbVeK5bbcBnj2lLv/+
2fk0ZqG49rEPo83HaRNwLz+SKb4bsyB8UXOTnkY0pz5fszkvd5rBPgWEH3Hr3hCEKCx4dtpq/kal
lB5G39VTiHBFvKZ1pS4Xz9Wx6fXmgSSUep2LHGSmXz+qJRS7GdziS9HwKZlsHYrxkryCnHt/XpHn
utJ7ComdE6vNVFTmjdLbzIYQwalOgzZd0M9PQoaraSvpDi8DapUdW4dM043Ta+YmYe/EZyqpLlvy
ka4/HluomJho4ZRdtI1jnBs17H7iyPVHXyu6h4Xe81Bqc3OZdAmo64LKriBooExeSj3bgVXQinAg
G0mg/xnoe0wzmQeZL/yTrzfV9JuG7odK4d+v7nL5F3k26hRylB1ks0tv9LvLPzZGR0xMS0WprYnq
6Okvr6a20W7TOeAMjJSgQrfptLt0SkAzOqoO6gvVgsTc+XrC9GLxDg4rM2+io5/J+hnQCz2rgKoa
wQRGGz1Rs+RkdDM3Dk0yaNu/f35+dQL2Mr0S08y8TP35xxMo56xrYcx6N7lLxoZKDXXZQI/dNm7E
hgOP37yF5Md4YboMMaVwtI3rl/WzHunOmTG6EbW11mJgnqpnS3nGuTuyhxUmtZ5tk/vRHexpVpGC
9Eb/N33Zj/n408W3PQJh0IZ75Mp+/u7kLybtbI/ODZBkKnsjWPt3nubI37cUx++NmTx0CFfqlEMi
3/VsbBOy6kuXvKBEHmn34TAOzPaQOyP7RUJM7ghJoh6AdjsJAWyWBMt3yblncv5jQYzyCm9y9y6Z
JrhFif3SReNwgDDg06FaapQDnZASWZTXhnVKIVCZlIh7yrgPQFVTQjSpInVIfjYR9oItEcPxFrSu
eqLDMO/aUUaHhK7Kkh0MHrc3TfVmEMXRrszCJjqjq01jM1t1QPxs9kIFa08IZNmsrKyuD7kto6fS
41VnTaCuPl49SHzxaxtpQm7cjP84lFl0nFVr3kAnn+jGpJYMA7MRr3rdzdtUF9ETT558s/NiGUGW
SwN79ojpZr6w9WUXYxeMfPUir5vMIrvTa3OOCXxxk0fYvd+sih02hGh1yKBAhW1rylCjGHTOVhHu
vperS2JymEv+/iFmkchT+sOTgEqMNQPSHudjOfhp2cBYXQxdJpsbkRu9F5KlJmC2L2NzTlbWbqK9
TtBlxAlQLo+3LMXqZ5cm2DUpCVW2iYvuILTGg1SZ5pTY8m6k46MnWSipdRSrOC630JOX19Xw9Jdp
1PMvDP/9izna8m1IPFtbB65TeLSD/AXExHLsAhw3cVaeTuqnspeAALKBo3ybGxGb0GCG8ODHmlpP
c+0daHJ8YTdt0Oenn5RDDEt2lOW1a4TmE02mAa4+bR2GyAwKLRWNaq+MGfUmby0wtWRZci73lb1x
/9CxzyRiR05rZSbzJrCmB6OuiWOpfGvF9xHFqkt5IYjv4WFNzc4OSeHwviHTKtatlNmR+D19Pwc5
9nFqm81ubkxRXZgwxykJDJm4Zx5I7jstRRqHLRf7epWAbu582sxY1hs33gvWLezjLEYDKgW1eNXA
j8LUHpcFDmWio+6TEqR1hbtu6WGSGCaGfoOVp9A5XXToQNmXmgpZFvwc9QOvwSTQmoQ0Amx7nQP2
vovjvjtEtL/s1Wyk1ouwInS2Marl7IyAgGX5E0zXFOMqbUPemf5S5OCBw74p6AkzsuuhVhIPFDtj
dgTNlfmreKyqM82eRBU6SE8fjWpGZDwR4XZN4zwaVoaXqpuWteWeJOIgXsFWmN9NN/MP1Nq1TT4U
GQgnNwKqQP1t3NhSBqHfuYlAJEJTF6QTT2HSsMpcKYR1PdG42sqpI9zv1py/w8+4ISQkT0KHZStU
Ecq/YT6Sx+Z5hbgyC28MmQwCrkwwzdcfL9J/dra/29liRPpuyPlpY/tfbTJXP5I18UTyK/+9sV3s
y7buMAhBqWEJzyz6F1iTPa8BGAgNPRtUcL1/bWw/nM38lk8D5OP/8IHfO5vZDvBxqN4Z1/7JvpZV
4KfhEbsh3wunJts0vt5nIyBauo5BwR3PIQ7mCgKYP/bwySkiUxA7q/609qZ/Gn0zs8gL/aH/8ABn
H35gpp+e3SbGHsoteZu2QCBDptTFRszQA5GoD4e0TD5kx4x1W9saKdyUZTDtU20cyX4pHZNS6oHc
soLK0WruAWbUF2VOhuFaounoVhCCynMnStWx0gqpH6A6ThfESEQEQDT1sdRc6CmV3JFI7sWhrkjf
oKx8nhZdsqOgP1BZAlhyJ1zA9mizhlFbBcXIwIJOPdiMMKxH4upnCrRu7qqbOZPOM9PXUmbqO3mR
MPkB5xT9OKxaOSTzKgC4kzOUy3ynJFlZoMer5OAibfMuURbIlHKqnuwaTav4zHrqdz3JvgMUGHr+
orAp9sHF2KYzCq0VrBI+eOk1MSjKSJ5MtPJP/TgZN6MrSokoKe3XbENkvGL/ThENsNO86rKiXad4
AR971oH30VxRumzjhpxvVfkMrVHrcKJ2pA/mYwRl5nxEDr7rTNQRtpEx78d1QxfVaAnWqIx6zXJq
3KCTpT5HV9c5uNg47skAUucALFB2J6kNb1h0rZ6vJI/6WrOGSb+GvroxGfCKndXnxNZUzqIT+mDb
dymsS0cW0mPYswFE6IPtsCVHc9BUwOdULAd/a47juBl7kipZQMh4O5m9zoWO0UjB98zHd3puOgwf
g9Knw9u4hQQHVxOQ+zMlzcDcBm0B1L9S9a1B0NgZIPb8sdLBP0e6NMYQlkW/z6VYGEmtd6LT3q4p
cUQb3PCQcwCQGjw0hjIkDM682aLyUhvhtcFJOU29a6J2CIfGjo8iiJS3qqwiu3UpAMCWFwMBsalW
HRaQ5aEvvGLtQoD/ytvQSnATRvCCz4yYiqkj3W0X9w0ilTwZDmNbeEA4JASQgKCVW9+W33R2iGus
f/M68lsUHbwBCUvP2irCKVZMFbHrG+eFS6cvE47/5CNp3slOgGl0uhl0qyOpH5GZq1nrLmruHDtv
Lxtfn1+gvyIEa+LpnkjAYh/NEa+gpsFAAvQxWxvIX9gsocNeNngLxlVPLDfLYUk4ldNl4IJobn9x
YzJYRy0oD2WQxA99ky9p5X2U32R2bYYdSp6d7ItdX/k8hzTu6M+StHtNnxLZS68sUJ3UcUdGFuKN
zihBp7T7+vpEiyHYAinK30ojmw4NwamhEk26iM0CsgD7b6kOG8+aAMg4UPL2KU25sLLNZzVOD07e
YkjN4kChgDThsK4by+E+jquapubgXo2dFsUcNnPcYWr/XF7+Z1b8zaxoYkhgIvtLCvzTtHjx3HXP
38TQvfV9933Z91+/+a/Z0Q3+CEyU6IaHEhkVRYBA+F+zo2ctsW2kW2M1w3BKA+Wv2ZG0ahadiGH4
Nd1m6qJa+6/Z0TaoCJOBpCMd+DP1859Mj8yy3+8d+GjW7Ey0FKQ5mP6TH9GagFnWGgq7JH8XVRzs
NJ+FFzbI8Tf7lF8diYRnYkwXH+tP/pkc+JM9K4MjmaTIF3oNIqMiCjoisue7+/CLkuKvjsQx4Kxg
nvm5kh33WjS3NbI7fIIDwhX91MmCYLBmvv/HB6JqjsPA4XA6x/qxfCC93ABON9dg8bL3LM/e2WO9
p/zzf3KYhXjoccd/ukeYX+dOUDzZg10NNsGikWJMBNeGwOKfXzqe1cCmCO0AyfhsB4hrvUCuzhnJ
qGjPlT4wyVamf96Wv7Ok0Aj5/OD5sCYCk/tk/OwV8SQFCQRW9R5qVrZi4LphCrinXHZfy98SLn7s
bfBkU0x3LWwOHpaM4CdGgmY4Fe9mVRP9CVTYo6qwT/2Gvq+WPOv+UlK1KeMYE0yZf37rXJuGD+or
28UQ/+MTAjJqMEkJrfd1k1S39AqtlRNo2b2W8tPfH2p52L6rAvx5jvhhGRUWvr33yVI0D+kwJVVR
77WhaffFUE8b6m/R7d8f5RfvFt7+fx/lc63BD2ypDTlHCZRzZrbqXhZjefzA8fz/HenTpWPTJyoi
9HhA8oF2rEqf50VP+v/weuk/n1QAbx8/BRYH+kyfPXDkwDt+AXh5X0uzQhcoabZMdY/QwC6mTRDp
BBYGrbFtAsfZ6+zfybu3yF5q7PIoGwcjz4jEaOOrGABRVY7fPJHQJU+p9YNugu7tZe8fSjFsFPKi
RpkPHH+mCG9CAF5VNX9lEsRN6RSOwoEZY++Bq76mlGw+ZB5SKnYG9OsLihojaPJ9hKgYFWkZ7MaU
5znzlBsv8ga699kCP5RNbB+ICCw3yLwJXDK98rbXUvuokzv2DctfsDN6JC7SNThKaldnmPVZ0gvP
F9UGX77+Ak4RVV/H90Hkbz8XESedSeKHkXTWJ6Sv1bp3bKIppRVFRPUMOSqCxuoDdKT0kRo9Upu0
oSWhtbWGmoSzmwsGriL1+tDrSzNEvkOoXZzALHeZAkpvEQUIgrhCGRjW0UZ7skvbuTozdEKQfWii
Oz9A3UQXz3yIBRZzFcPRjIkSvUeaxV6ks+qnxi3Mh4hzB7M2GvVTXdgE0LuRxNIoPNKDQ8sipG+F
KIBKhGZTKe1Gn8YKxZhrihP914hLcybSpj65Q/quG9zTIXXNBwqm76obo9venSug4su377pqCWnE
sNHmOrstIEO5uGLzpm5SldgHRvQ+hASX7GSMcIdlAOITpODlMYkt6lH2ECeXMUXNU+pi9MTbalwa
FS0ddwB2sDa10fdXH4993hE3jR7MP2ePV24y3NQPSDJTujGCgEWq1nf+vLQDYy/JvgYzsrWiAedA
CzAt1jkyFVQ5c+vmu6QkQuzCGGQdrF3sBY8iqrVgg5GoA6VZZWz+XB3biVYl84MPNPZOlRniEE9Q
tsoQx2Pzjlb0Bpq9zfL/vgICcmeVFc+P0+oOtWObbGLcLQJ1xYcKhVYvqMrA5Bb0kUK5osyanSjM
WS1kExPcdw07p3qpsYaYiuGBT4G/662a/aSTj7W475FYyt3gl+lzQNNzGyztKcJeqTMlAVvUTkbq
ZiRd6nEGqLlzavCU21FrzWSb1pYzb+bUz1CqdTH7UFdlxsscLHD7mXfL1iJawGRId1+k19dPBAA4
Zx8tukJVfNl20KwjPtZkWhPGrAEf4U44Is6+NrEJayOKSwwTnQkhNX038X+fR/CVj3wRY2vExYTd
EQsD/ERXXMZZoDZDnAeYprlDA/Jb/lh2zD5x5g7br9tUtqQAiFqJt7IOnD1p6HgGXLJbz3E2PyJo
kTurqCgIBlSmN/Pol8fRTt67iAjFRuv1EHfSLmjjt35oqel2ZDY25r6v5MtAV5yMRNfcDFHtnjEV
etdi4KVEnqk2upHLCwnzYwMLmMxJNj60v73swYclf6YHalvMXh7GsyJYgNoC5MMsYRPFnpiHmlGR
rn1eT+tySIOTxaJy22i89RnWHoocNQ5mjEcb2iX4gsae7Ntl3q1tzhs98jMaGZpUqGaec9X513g2
jUuAoMYdMXjWUQ08URkD6tchgFOr52hcZcnpsy3kNSINODj15TB+67SWxk3cMeYAIfGvDZcehK3n
z47DQNm2jB8uxdnrOaF8YLYwMCKvwZFFr92/jggTODdG4khXHyutIWj/L3tnthy3kXbbVzkvAAfm
IeLEuSigRrI4k6J0gyBtCfOYmZie/iyU3f1L9N9S+L5vOsJtk8WqAhLfsPfa3b7UKxXlM21+ZSrs
5yMvTV5mjxvFJ4TIMMbfU6fGOcBEaYXVcgUzJ+qz8tZqMZGkzIf5Eqr2VjAQ2GSN2VyVhA9xkncp
sIPKgPpB2OEGctQYVa4ytpdTd0yzz7IgIUUfOa2G9RpBUGTcFDHiytyZkt0w43rzRiqJjaZJ5yZH
ASxQY4dDwzrYWVW5nWxIVl2IcckmPqHFgzk66exnbE2MoeIbRs+o9z3gZrd+GtpknS/XNTwBdIFC
cfZoCafHGHDTF0PFZx40amcxkkGkP2Q3VoyOLzCUvCJ0kHq0Ubd+IUiTcBEj5GkT7Ksg0c4Ij2+t
zBpeNdIhbucplec4Xz5lujV+8ovZj/yZtQH6L4exOzP7Ou2q21br47uy+Ox1fcVwOP3WJHESspt6
5n5+6Qc9OZgkfWLsrbpQ6lZ7a8/CxK0xQ1p27XfNQZ9vejz0Ckb9Ry1Ly5cOlRg+PE4cvfKNJ8TE
bRMufKUE0a61xUVovfAd7Oi96KdhjZMDbdchAnXEY5Xp2P2+TsERGSmyakn8C+aYsuQwy2nyCPYz
86AKjUQvjvXYkebpt3A+64JMVqIVO8aIUElZqSBCkPrGiceuIhTCfBaVWZ3GzqpOjYccPWx81Z2s
UqhIGRUpO1HcTQy/rubRnEi0ZAPTc/4xDccAYI7ZGKGUS7W9nQ1VekKhRp4Ea7N48E/2oJp6E7sK
WVJILQ6XbLMEvfdNzARzbvyhqL62jptsiCBlE+N7LYE0c9ALqhtH33Zi4lyfQR/MWSh7Ke/gOSab
PrdVoEj7TPKtbNPejhZLYbTh7BFf/EIvZNhM5eOYWxPKX8NFGElxbSNW8ebhVJd5EWWt/m776kBk
do4D2qo2Np7Onelyf3FwDPeE2GtnwyJpM5IegxjNNuc996lpAU5lGQVwQh7Mjr3J1MVvzIuKrUdA
NsbbBgeO1xmvlSTOWfGMNtZlgx4xm1FaiIJ2ueF2TX5PSs8gvIUlNlipCYZqqWnHbHJ0H2FnxfmG
Gp9DP6E6oVuyUaXbARbtljd8KNSIENKfnWH/87LXWOvaH+p4xD/0/iiA8KwzZPxQYbNRSWwl9PLQ
8QCNXBOhsUwUolC/p06QlJY3s6Wh3DQX6ooi6JsrbnjnCmU/Ymsj+FWj9sHgDHWfv2ed7HtMKGh2
PzS5HpIt7gH+nr4yXhTJbGipus3oZW91qR7imcfczz+Bv3WGASFctIaQNqjH8Tn/2DMJe3CqZGzL
w9BRhNWxAg9fo5ip6/SynWqOP3+9j1b99R0a+PRXlmNgWZb/oXOqewocG/0PB0rHPJlTosHjUWOT
zPvqTWqEyBds8W4hh413l8fOCOXf3acmduTUKCFWgf97axYAVizcfzU4uUDhPlwRBmmClgOhSmeS
tH5g38ks2okNnm+r4pBWyEkVcuFvjdVxT41yRI+7IaV02qK75kZKc0PeDMxu13TY9rYl2IqIj+qN
UqY++Yixo9mk8xRZy3wUXL5zZZtZcF2z1oAvKfD9Dx265Iu2KcGRuLfgMzdbm5CoR8vW7TewTwsp
VPzP3tcMzAAxi5FNTJTeyxr89OXyVKxr5G3huBTmr5AhH8E3l+8KtYWhw9Bdt90fLg5MmzH+N7Ei
wXLqbZYiGzlhHcNQ9gpVjKBtysYN3idz5/SBE2KpO/38cvlbnx3A6IQKxUUDANT8SMuUszsSXGxk
BPTM2d7RkuaKsIJfHQN/m1jwKgwqTJe9M1yBj9+5ytQQu6DdD9imrI2bcHDVsG+JtAnoM9wCQdmc
0zykBUXvz9+g+QEuxGdMiQJay8d5aADP+HC9zUZhs/IZ04MtxiQ+lHYTXGtxjB6c5caVwKk/3waa
E6xJsy8FYb7f0HES3YCNlfVyUxO3y3mLqLkrlW/hx2spJ+0CzRs4suu8qQW6fzLYjqvW8S9a3n/n
1b+YVxtMma3vvui/zauvG4Uq7ENE4l8/9des2vfZ1rrQKW3L52v/XqIcELkKRoVJJ/NBQDLrY+tf
lFzA1ibLVe4KzGuAhHiC/DWrNvmFDBMZMDPpA2T9zyTKK273+0ejsV6N5orJ9Rw4Is7HeSu4h1E1
mdEfnTrG2M7uzXgg7XA5+0PGZKLLfZikLRoVoXnxE4LV/jhXdXzSCBM7iVWP4/HIvybOs94XHGGh
CX8GcrxfaE8+7OeIPC+wJ40ug9BI8+nWqFE05qviD3NH+UJelCRgBuVUklbxGeNwOkW16Q0Rg71+
rfv6EaWVthyajqgYVavpF4rHD89GPoFVBI5KllINdNAqL//+UZCjNx2aAcXT1BvTHfvLAEIqAkVT
yvV98Xd/d4nc/fmQ+Z5s+2Eydnk95uiWDUkFiODHZ7GpGfpEBmB7pJlmaJKU78mCWBYFavaLV/pQ
ZqyvBKwH6zsyJgzPH7f0C9pcptwucW1xJyIzx/QUzKTw+ahaHgeztPf0O/HDP357HqqFFfoJAxmU
2YePE1zKWNWiPJIoMiNHx6C1EYCgHdw8DkrEf/5qDvgwBvlQdEHp/vhqSeCPWV3l+HVZhBbnusfn
Pbm9MYK/CJ5+/lofH5Tr5xl43K1skdg5rXT4H66UqSCYoSr07NilU2mFVop/L+o6mji/N3A8z+l0
q3plXI9Ixw4LyK2WztP9FT7m7xfQKhNl+K1Dj2G//uGCLQ0BT1pZ+bFTa8TEJGYBCwJdQ+C2CJx+
/qb/fg05SDwQU6zoRtu+PNi+K5R66IiW7N382BrLct/4vYikxh1MOnyRHmeRkevr1QFKp5+/7v/2
Jj0KM2j8bkAq9YcSuUhyXFkuxh6avoHkDL7NkSAH7LWZyv/Za60ODd0G/Ud/wCmIYv7H79XOtNEY
0iA7ZkaXRN00e+QK6j0c13m0nn/+vj6ct5fXovBc3SCebgNJ+vG18kq6aOG5hpZ5GY2oib3qVNLI
G9HPX+eDQufP17HcFUR1uVzNH19HuaXo3WbKULPBECWYJudN2XNt4t5Gy59mGdTiCa9YtmGxl8db
vUrSP9n6/5H//OHaWf8GNEIcdIYL/vdvRLaBqifrHMnfAPItao2hM8kM0JJzbM205YmPB8+15l+c
55eP8PvafjXccAS5LuNenqEfQ3+HxGUyG3vZMSU/6FOfu9UJ59l80+Z1uu+tthbEBq2ptuNMClKI
5HYejqNbT38YbtnhxRmC6lTEdXxIdK06xVnM/yy59qc27j9+Ov/b3+mweVw3JPDw4Tj++BUVJM+M
i6dpB3TU7jvhiXYfDl0Z8BWVFMQH2vTWoyTVPA96ylicdbJoQDzUYG5V0dhXgQzi45T51k2gucLb
uUPa5FGTBt6vSue/X7U+QC5LRztGReJ+/FOxVssGUU12rAIdFkCBJa4gI0rI7c+v2g93PVeMD71w
PdxAlK8q+B8/kkxDTx5rAgUL7eA9gyum73XROFelsJ1frN0+HueXF/PYXl5EvoBXP3z+sy8cYU85
x3mDACTx4yHSS1CrSJSLXcw8PWzRilwZ2M4/a1XNDKyBsv/zN2zoF2rdj5cr1F1MbMwm+KIvsoTv
64+SZY7JnQEISI39fPRKk8NUBpPVHuFILvcaKSfvzup8gLO4ilbblOaMyF/Ci9wK0bzAsnEKlJrv
SCRD+y+6HGpDV0qVhWZRLWcSSMFtIBN/WEor/jZMqnzx53I5L2VPax10vfvodajsTchiV0Ovc+CK
ajQfHKLcHt201Q8SZ9V1SnOiIr3NtCfNG5f7OYkttSlBPd5WvS7fynjW3xecsmehtYjNgqmOv7GT
dlDbVR3MAvr/+LAIwxa73APisbG8fq0RmsKGnN2Z9hvjeuP3WlXW82hZbQfL+uK+Ryj8rRykzTgX
TVC6FXSj58TiziZSJYmMfsgYxXN4k5nqfEvo7c2wrigboc7rJGmOWZConZ669n60dYohVmPiD99T
5pZ0Ne8zQwpoSaiUud64+xPIOU3Ay7dtr937puDs1IXyPi927EQT08+zt/6scBr+jBkZ55bIJTTe
XlZqT0FjzWeeMwxHu3m8vXy8sYvVyqxT/b61uhRBNHP/9Iiol7WGCRLnjBapUlvSlnMIQ5fTShnM
heTCCeVjU//CGokrstEnRMZlSVAgqiw+uxlxE8J4XU+fbNZjnxRCO43oOb2+swqWlFFu83sYfePs
lW0Sic7L3nsoU0wwmdUn+wBZNvAo/JWPeWJZz3499Ca4JT7bCh/Se0kC+s7oG/uNGbVGHKkjWAfE
ICjuUQpOkqBhyBf60E232WwPKYpAI/tSupKjaTEwTcy6DZBsvQ6rscGUovIxCecUokCEdoUCxqia
ZVcPJdeSV8nlnIywSzYxrdfMPHjA+uRouh4u5FFGKl3NRjlvQLD3HFFvCy6wrc4s6S0dycFtJp+r
11ndCX2cTs1BpXQMrtNoT25a8IHpiT2fE63MT4VfboNFA/3W29Mtw2pyvnLPOCQjOVoEazlwl5oe
tXeaHXW/r6+gVNlhVpUZI0Shr4PU5aQ63T0QgBI/JdKDm6eKt86tizPrpQJkjYN0cPH2bACBv0ME
2+uEqn32fW67Fg6R3sxyAyTdinRtWkJSOs3QACK0C6aGtJK+LomTnW3zJciG2yyp5xPrwV2adtZu
VCwPmb0BRtNUiz1/DAgY522VBaDQtCgIGyFEY4MaH+wO6eW9J6xzUmW3/SRXrgHsLnSDUErQk+yc
Lnt2Y7fazphCrko2DyxjnbCV9cg8tNLDYsHZmC66GwUt0LcsSB9EOr8HrfnWKk1sc62C+ura9err
N4+a7r/iYAcANlhtGc6Tz1NNteaXymLnikZ5M5hMWlzm7MwJn4YhvmpqL3mV+D+2KeiAE9QoDmB7
rZEqc75xM8s6y0VAjsFNcdIGmFQQTq8Lr5t9cHoswUWA9LYzE/G101EqzWx9UciypoYpllj5yWhs
xtaxlnjXyin5g5oSZRWkHHN5dhbb2k1jGSvGdWZwhdOju6VQstNoxG6FHgCHBi6d5FmZ+vg4o1cl
MFq0kMmI+5vPhYciMq5cb2cX0v+DWPT+OCELPqZdAPCe6Avr3Cf6g++M44M3zvPWWpTars8fdrcI
psHkt111J6S3oHIAccgS1aYUMIGNh/1MLQLam2dh7YoQwGnGUVST7WejKdp4SeAx9Kf1UVx/UUWZ
t4PkYO8V3KE27FuzuhW6fCGQjXzlMRtu7G7x8zApG59NAFaefAWSVFcaHJpdnRfOnQ7Zdud6Kvkk
82S8smCwyCweT/modPyL5GF/sXBCseXDxw/Sl3MShWefnqyOun1jIn44LAOKmU1O7UCLUGr3ADG8
LTra17rxHaApcvis7Nr/Ju2pAMdRG5hiK8f7NI1LsOxZe2u4/kYWh42iHqun7tAuS3AzaZ1735eC
6NGmaWHvdd6BDjrAb2ng428N1X9tTd/fIiqfMSJaZ6+ydcgiPYnYdmBcA/+sKWFqD0hyGdyXcYfz
MLZii+Y/T23GFOC+tIxIRUOWwYkvNXicHAWaM43Jwa21wf59WnRx70mNqQGJtpHfdGaEXGpL/nhN
6jvsh/3oaeXO9eWwHdGfPhezaIh5FqxWYyM/EgRprl6yLLKqIeyG2NgPLFRPSGXPLuODMK4C8y6B
X3twOs+6DpJErAoXbLhOZ8BUGRv2qEu7KxfhvynJW+Kg6cJBjJkV+pJwp00RO/4+HWpWePW4Zs6K
OHmp9cm6Ubrf3OpLTNkfWI27abHe1Nu5IO8G6inb/7IgThyeGUMcsm5JKXV8hA8xkYKzFsxfJe34
tbRGdS9tbSLCtQ0GEWpFzTMddAcQtGZwbujY2z3QH48GwGhOpTFjyEHwch7zqrxrXUfe+mKaDlYH
+CnMAv9QTUt/ZP2u4ZKPIQWCDznnqvb3djJU70Xdee62aIPuk504YFPdvPgWOBWK49Zrm6OGB2Db
5mX/4sGAq/jV274jLYVVE1iqUMTLgELfRqtMjakdk1ZRy6LgZASc1vBD8kVdgU/LQhLC8R2rbFtU
5u+ol9soA1FfoEWxxLZOkvnsBap594x6wP4GlN4PeAZ2qbXsYZbFEaZjeWfog3jP+4IzG/dNVXII
9Jc0WNvrCucZuXrtid/Jl/DtDUiRKf2WQnEOZSZKECK2rGmTpPatQ81/npzWvMlGRz1rSTy8233m
f07YpdcbPBFayQZ68Vdp+VyRNQyFo6oPmmvPJ5PlKcxTd8CsbGQ3elF1keYPJTDRDk5GBrcrpIpK
bmZz9iJZdkw1zC4+Ok05WfxVcjrYda6fUWmUUVmMPDOAB8zsOfDCulSXTYqDKe+mgxGP8mT0Vasi
aRPhy2NrSR59KzfnEHSsOjrBxGPEYDrEdVkGnD5i0Z4yjEe7AJDHtuWhsLf0Vp7aJVO/t/RGdBhp
GdVaxafQ+9mX2FwvZSZK+hndETnGntlPB1e34pfZMa03zWw1rFNqvI79OXly6iUPjYZfO9lT8GzU
2bAxldN/iVvEHeWgB2EnsmcK4xg2M3m3adE9uNZLkiysoBeOV4JUuKiqF90h40X3tQdvQOMAGGgJ
kRLvSAF2N30tcT8X7IwmipPIAxvIbg0EpU+PDY2GcCqoXe/QKlNAofTJG5UivpqxtEGkMXfKHb8S
dYM+ibFv2PVmsCsM3wuLyj2ZosLNQJLlpnLUzk8CQOa+SfxszOWs55NxNTtwrRbjbWn5xWmj/D1x
pcUGu0K5Z7E/PXaumYam8pNzXg8sFQBsdUtVb9xhIEOVwe5WMM06Zf1cHgKd8YA5rSlKba/2IK/0
90IarNwtm6cOhdDJVo29FSDnoPRKca2zKLoujGlfuAnVPAUXm+7JjSTggNHVDYASk3twetySejX4
tCYYwqGk84Bo4rvJECT4lnm78yWS8F5rtq3WLHvDJR+66oIv/Qyiqp8R1siW2cGS4OIZxT3ynreM
vGbcIDN1SnBTV+JUad3nsVpuFZZU2bjPYAHOHLkMjMpMXhGT+C3vkhesHw8eHJ2Wajok2fMt0LNx
v6Az2ngyeAenJsKlT1QUIHB9bsrVM9KY7xOZt6cS1EYE9/FYur2MAlPf5aoFeuyhOkrc30loJQ2m
YqrNDo2OAF2U+rRYy+/TgMsnh3fZYawcwzmYk0/4Y5MF/JVfnOye7dpMlG/WZNbeWLasC1+xsIuD
kum10z3r/qCeOh+CeCqyR8JR0oMHsRhD8aBeNZPMoInQRla7gN+U6rVDP5EOrfmzfnKszHvF3ljv
s6qDaSRSjMlZ5zIeHfO1nfACjOPNaFBCZ6vXnh3sci3Bm/W7tJoeWKYFf5DWN2snrS0Z6GyKQPj6
3hzATV5JvwJgvGGpPt2V+NX5fWZX5G8zQ2f8rrAU5TFBMRDsvLFo+1XgZudrrHGJjEuQeL4pqIcO
nqU87UYq6WWRgEiI+CZgaOqKkZazCFC/gST+7CdgVUWM0oxoeMGKwSFruKcUoZGCNtLQFiVc9ipq
OF6YM607jblR8WdFmOw21oiIrht2+nm24EjnGfeCWnk+azbyOpMtJ7u2ztVvcs3Jhq1crZCV8jiW
RkEKcm2s3QkhRsPXfAF7kbuzca0bxYIcrcedDs/yc1JpDLkT7OUPhnAkJNGeTiRZBv29aUbXOct0
WFveQDZzmDqt+NTVA6VDCat93xoYrant+dWaWyPBaWjQI2dOQKwYHv3V6MovbgmPPOsp/8AttXcO
mOLCGLDWtAmiRR75R7MQPEiFFZ+s1GEoIGjyfeUxI1g3NZfXG1pb286N2x9jF/YCfcKwh5NTvV7+
k8CvzAfdpe2/YDAwYCwHEz/4m6gkPRiWYKYECHlux4WyR6PZZNez1O5jUPBhkqFF9nEqu91lUIw1
kDXKhHZEFcyNywqBygaWM4aIgD+xSnHJAgmo9y6hvZ+aTPIG4FtVMDym5V4weLkDG43oROl863UB
tyQep/7YOzWsRVQ7u0VL8RUXCmxJC0MdyCLvC8hU/NQ6tH3dgPg1dOYcQL7W0tsrVULcBdCLSDBb
mIowvOQwUBDYYr0PogahBIDEGCIX1z/iyeugSdo3hn8ZKKqciaK/XAU9cHYy8wJM/Tw7JET1ZGl2
shhH+7pEhXTjGCNpTfnChmxxGF7FS3G6XHcaxvfdwLad8n+FxPTlcp9Kgdt6mFYbL1zT+JtWr0Y8
jTbrnpQpPpNSsWUz+Ee+q+mmIcf75DKkDG1UhGezNup9s47ihMJV783xeLuUsDoaxKY7QqCXs7R1
fncwrL+wzN3HxAy07SX0ssUTjRSoJbm89vRXHOoY5Wq7P3o1hgGEw3xahjtxwRqWN5/R4XHtLIgA
IlQd+muKAyaHglnAjRdc9yli22sMzVjKL4MnQzPjbwu0/ashR4FrLfzSfNKaN0aJNdHutTk8Iygy
rgMDIOyAYewtToHVzHHKraOl3MK2pdhNjjI+xa3RvBWekMegmzR29WIo9WHTl7HxQHPAO6xNl/FX
nCQFFXAMdiaoM/OavqX/BDaJ/6DSy+KEeGs5DwK8CHh9IPfrDWuKIv2jWqr2rfMzXnpSYjiVQLOP
kpErADe0zG/LmnIBhvhedvxcAOcesb7/rhwxACXJaD1k+zvA2yAks9JHQNvHJ13y7UgyrT91E3dg
rOaAiQUqc9kPcps0WFItRuDnFg/n5x4VgIN4bjGuysQ0bkmtjk9OuTLSJJ2PE9Uch3vdchh+sBZF
3bpeBWPLaM5pHUYKxIgAjvAlPeEYKK4SWNXvCfkXb6witQYWQBuAKO+dOEJL5u6gAABosPmkEjfR
nhYaAnyTLW84kOs12OsEHXl4ydFWo32jDpiXg+atVBzfo+3z3XT46rv0ySENxvQqmmz6QhrbarOn
IO8ZpbYJmU7ArdG95t21IYb6BlyhQig4+n+0A8k0WTMFJ6JbyhmzPE8mOxuxUzrenOBy5AoYgi7+
nLsrkEP0Vh9HHnl3Q1S22b/oK/8VOvxC6IAmzmB585+NeTekcZ++9uLr/IMr788f+0vpgPUu0Eke
IvSIELmAmdf/uPKc3xz+H0IgV1ibYfJv/hI64LwjiW2dwjsBmhyO238LHSxYbPw6NsiUUsSHsj/5
f//3h+2K+PDP32/dySFjd/DDnF2H90bm2+paZwb5cdxvdn1dgf/qD2QW0SLXvUVQQ8Lo/wrFPs4H
nXrqMXF4KDQ6du/jkNXyPm21odoXuUGn2PcDd8alIvFihUJrXW2b7cSpkCDEvKcF1vdeUVuIljse
yJM2ok43UitCqBk/TWbtvLr18EYfTGhPWT0R/uo8yhVUJPrgCZBEHpZ1SxXWuCu82TGAsxHvu5zV
uIKm/dw3HoSLTEm2Un8NCgO3Msea+VDXPEnFeqJcGDQudpjN6FLT2I433SBUE5GhGcZDjJ1hWwkt
+AZcn5u0bSxOjaGi6U6GnFODSQzg7MEA0TVSSSw25d3lgyoWdG69l77z/We4gFeSBktTjmYocP7e
N7DdhHmljkuR2yEVHT8onJEQE7NuCYQAg1MFn4Z86ZKwXuFLl0nv5SnmmMFygI264C0U3O4a8tPF
IPAUKzSkJ5GhwBizhvprpc87GzvLzGJD9NFy6HNfVRGbGu2zUgywfZlX1QZhrnHd+yLQ96t5/QVQ
KsoWUjiM155hMXORSee3lRXrer8ttW9gHYNwsiAmFekEWATk3k3LOnx/+fsg9PA8NNkHbzB/rY9j
yZdRV2hdPNerx53ew8hi/TKgMW6XHXp0jQUFs456WQs+T/IQSnwDPcRGyaIYr0EKpekhLqkfDyCK
e2uXOh5uG4uwBWTP8aKtzPHitNjNceht0pRkfgGaJeZry2TV3RntTBXOpcIaQFZcC35LhYEuN+LV
M1DfAs0Nch/nEfB9+dJrVvmYtv382rUpeQu1FTzlPIx3qWUSCdZVnXWqHZVcxZ2dfspn5HElShHm
gXzZPlMWouUldfKwBt/BTNO2DFREvWe9aWOR7uS4cQPpbqa8XT7TOIPHt5HRlKVpfRtda2zDuK+q
ZmNYC/lViZlnxS7IdZneFGXD7wpwv+3cBmGuGdrWwDe8GXoK0K1MCvHAJIzScgEVDaaIpYHU43Pl
Vhk6/GT094YMDLxCqfVCZ1nsK58CA515SnLrBCnb3xeGLh5lY786slTXlaN/osCakWDTMaWbHMoK
PVdRnqskXiRya9fdZT6bBZywbaj0ApI2ASHmBhpcf7ssZXMn3AUxP4u5HZPciiLVNk4qqYONYXaM
WzzXPiweSbLYvJZTaneQegsapnAsHet5Mhg1OIQlMtns6XPGCQONLQpuDJMRRYgCnSGsHKYt4bkg
/XWE/aEahbbvWkuclRXkt5NvFVe1Njp3ErzkdkgHyX/oCRAISVViQfC1gFo0APAVEYTuvQ6Llp1j
g2DUuc9zGJzNsZ/56peW6Jsan+e4yY0G98OcW24d6vzM29IF3PQaWMn6QEp099gFeptvR6C5W8jl
Fl6vol6eJ2fWMQN16Q2j/h5DVdu8aK4z783Ow7ZhsUQhFRkbrLatUTavWg5pR0xD0MOr2jG4lckg
Qns+6tHguiyr4ra5pwMAzsb7t452zIzt2FaNh85lSfqTYkwbarOrlk0xMmrbVDV9wkbvgNcvKRam
0KvZgPaMXJ6Q1usLMTp9EZp9lV8NkgiHcOhXf01ukpRkuS37s2CY9qme1IwvKlTHeofdZDbhH8Pm
aHABPtEnrXWgSdJGME60hERuyjaE0dff0cUXp0vFfFlbm+7AqSRcaqvLydIVkkCQqSpOVNvosIyF
XvVyF7X4Eh8vW7J+hCDkajrHKn5JwG7ezBOmb1DVTeDgVi+MaXM7sJQ1HKroRqYEADB75y8ph2I5
j/pI3UrcZlDf8NiebwQEvJkmAAjbpTHo2e1fXWqA/5ZLvyyXqLF/Xi4Nb3+8/VgqXX7kr1IJIdlv
qwCQGDUcsgZCwH+XSsaqsPpXcWT+pgPy9LxVnkiFZiDy+RfPx+FfocVYRyarNuufFUdoAX8sjpDA
E3myesctlNiI8T7IklJ2MEPdt+xKVn7LTL1xnC24WhtnKfUIwlfXRVPbnBD8gH9pjG7Y6ksitqPr
l3tlig7SzoqMcVLSfxqvhKjSTYNlkyvVTUj/emTNHOxgZ1YAjVxRNOmFShMMPoSadoXVTBdujVoR
NsoSzed6xdrQbEK4wTPJIVlcyDegVcZdtuJwvD6HzXhh5HgrLseFuNlskEcgTiE8hdYUEwzounkG
jpdO/pgckPUtig1+jh1XsUMiKKgo/ug8rWO9CnRmM+IGvo1jdASbLol571VbsTXGelp4x2bubYYO
DCbavcBDpEeWYDJ/Yrw6M/53COlIcHfmEYOoSTv5/IHNFccXJmLUq5V1b/ocbQExrOB3i+G2W4Ej
uUf2yZiSFRbGK48oH3vvAByw7sLcbpbkkE2SZTbxUnWEuXZif8Jm/xkFOLtCUl6wUsvuEBtOpvZV
bCaWt/cd2CY7r8/0RY8mCruaBS4PvRvLY/YLRHgetKMtjAbDbZt0qRvm4ATquthmjKPK6ZOA0Sus
h6GoaQIp4Ft8tlnM8KHoBjuIt+zA+4DyMemrXeuvW1BlQYliPK2hKL2NjVnbDTFhq8BXhLQgzHQK
J+i10DUUAgk7c6856Az4YlrotIyjzhbDeuEQZM5h7yw7bcqZ0TAEH8vhJEEetvqNMVe5tPpNLwTp
TBizR5PUktckTk1z+Txl5Vz3f8ixkxSBsO0IGPhTsvXfA+8XBx6ejFWK9Z/7w09fhfw/L1mPtTz7
4dz76yf/1SJ6v7HgQNDJE4iFDJL4f597vvkbguGAlSCSTw7E73tE/TdQINiJIGig6UNL+D/HoPcb
/ZzLKQnEwwZcG/yTHtH9CAC1V9DDhRcOAxSMLafqDwrfhIiIss6T9CgqT12RmuNYTJVacYVgEUSg
jQpug1qDNszQADqSJKJnUxaVujEeiD3Q8m0cK2/X06g8QqOGGGaVwUvmy3Kfws7cWJkK8JZNLC+V
W0mi7DDZHVlMegSF5ipeuIHsETi175R0OtCHoiGYCwY91XToYvtU+4Vi5kXaIYWen7DUEgFIfaeP
w8DNCWUcX6BfxUTfEgz5vMhhgcxLEGA2rCnWdq7uARIaLEjWyIapFlhMYq0cwkWLuweHNAmG/9Ro
Ua+jIWwb7T6L21xE5JaMh97qmvMyzvVmEpb+aaEfvsotfX6K29nazb1I78xAwEkOlvWdl8RGbM3K
zaLMyNmEe85QU6DM1WOSOs6OPJ02zOEYRp7eGVeBkT03KP02CRvzs2/PO9aUMtQ6QBEJ+nwYVZkt
HwuOyzsOFus+RrtBKoTb28aOCo13XPraEgUqZl/lDfbWbNmbueTiRvzNBSe1tENsNwRPIKjcxJP1
SaHCP5CIee3Z5PwZKr1N/GWQkblKliJvSOlGnNFmg5Qs9rXUepKCRO1KuGSLJG1RHpBRyWcb3ydM
rGwxttpg4gTOV+tlL2j3A1a214uPVzzXP2eEDUSK97LFcfwS1+xnWJU/z8VshwGE0S/9KljABuuR
FO2nkVPM28QgqKLMk+SBJY4F2s5ryrOfV90NsruKj5ou1sPv2ri3iRIueYpaHGmpN3yO+9i8nzs2
2U7iTtdQQb9K00pm8kUWd7tmQtwtoC5OU1DiPXVZ/CIzuy7dIt6Uhgv5q9bie8OSr4loCD6SXnFM
AU4mV6PUy+F+IoSje+tRJXzRx059QzVg3LtVy4Il6axHkiR5+jq1unaE6NxQMmQABEaOyxkBzZdx
stWN1tIom6P+1a6rL944NiKsnLo7Mh+nO88s/XYuPUNEVT/DLcMy+rRoiikD3Imt28UlxX6lVHXQ
beXkO6I4yE0t63H8kjKO1xm6oJDbCg2/7abIe3Jp+Ja3jier7f9n70yW60aybPsvb1xIg6PH4E1w
L27LnhRJaQKjJAp952gdX/8WGBH1JEolWVZNa5ZpmRHgBRwOP+fsvXZadaN+i0oYg7We6BcNcZ3m
ZqZNczs2xg1dg49L53+ksKcFCpVEujoQGN9JG5rubtJKCGqsGD02nCfGUA9x1LzqxhDRIXCLJpT4
Ig52MY7edVJYRJL4WDtIIzMOMXvOHf+GOHDNLrnq2vTMAXE6zoIRJosZ88tmiEGEXHZ+t8R7L5pl
zBGn+VimWjPcyV65/EnIJ7UhuhmHqg5kmzckMJvjthudmZauv1eWmRzzfBnbW3AMXnkYIlECDR1U
ds5NPeMz31FQBLNe25cdilsUh3VyxH8jwrZZi3lUyVsBBf/JkiVxmv1yrnSMgMhXkj2yuRj3M8gI
O1L4FnU17eAQgsmYi/x5tk0FB7idzl6KGKrqcWMDgxgCr7P4npMidpvUZR6SFjcGDsceMq1za5PR
gzhlublsaz71+9FaRUWijC8nAmq5A9myPLSFbh/t3pOXJG9qj1O8haR3pkCPt2XBiSVIYwIxGQ0Q
a9ScCSF5NiJm0TXTGqSI0RLa/L/Qtun1JeO8luARtCuSPLzW0Lc24bLuMXdoijiubG+xdZsPeCKg
rDqMRxJbJIxum0XtI43wKyzPef5xyXxK99mdznhUsFzL8RPqOyyj9H3mwHYJSzTQyAfzMl4VS6y+
Ea438r+6Lh2fmNreTZthP0fdF4sotC0pLEjYEpRQqCz04Rgxxd/UdSQv0mL4xIeFfkNPolm1tBNv
aVRrC63AaXI2ZZn2X4yKr03oWm53wQjM342xuI9dxzuYWqmfU91FClZ52b5wOY8mC7TnxtMDLBhe
WLnriAdl08HgrHjUFSkPkY/Bw5msOcR3o5+dfkKjW0tv1zW6cTFQrZwZGqXhbBR3kbOojdvF7n5q
GBDT2Ei/Daka6kC5yFvKhr2XdmGxBTnfAusTiIGzOG+3iJFupKg36PERiqDCU5dJgwcz1Wdvkxcw
J+Ct+1sip8WJ0NUI2WN7nsuypfxAwWvXcmbs20wh5OAGRZIZk6BoJUe5+J89vy+PsS2/toh/wyGf
PuP1HUJdKBEOA58bIZMjhpb4MEyFuS0j7wrV0V3fVeaVWSIv8YbRvgUEggZB665ild0NeqfdTkl2
M3NfT9FsG7yNxVXsvtmOchLIZsoIHXVF5+zspZNbC7EwuWTj0G9QmaoPVs6kf0L0Yd21Aw6X05L1
akCpoMc1/aKFHD0jRfsdwF9QaCqsqaa94lTeQuB65DfLfZnqvvZMa3VW25TO+rJNbVApOod1uKBz
LorCCl0EjOrQivg+z2mkbZdx4SjT5YV1NZLVx7KyhRlgCUMFpCPbeSVCdWZ2OyzttUEDM9mSKLY8
mc0wP5WIjk9un4nzgNZt3yptAihUQkja0BYfT4yLJ7b+gtHmPCb9AdD1EoqSHRMToPOiMkSGlLXZ
CcUNTQ3bcMs7bxngpuj4A5klhK7rTxA8vfhrC05gT+iIfdMpr91NXit2puxhQmA6VEHemtwgZLzz
jm5N/GipCAQpphqkcTnMAR956WFluCPlX+whmOpB0NmCOT0RSNWYZ9kMZQK9STbo4Qxsft6qd9N3
dse3LfCQJUNhdYGILHmRnFQnqpi82G6Eyp6o4VwkuXbU2tZZ23Irrogq378WNsmzm7pf2hTYKDqN
2vMXuU3MwdnmFDsfOztLBIWYnt16iWzvMh8ZS+A7SM3qNSC7S6N5Jz2UxKhs5zFo83lEcIResgtc
qfon2JX+FmciJM/MK214R7N6XszU2jmdvTf7aGiZZ/eDCrxqQuGTI4nranM8xKk2jYGWdnFozlp5
ZanV480JiGzpkmico5Va+hPRC+ixGlKWNvFgevmuUVY1slxA36QQKp7ZvJfQ5Cada198ttwc4TmU
xTLgiSKvLXJdzUxE8wQk64DNUA62semhOpH75STlNTnUniAPJEFeayeXWJsb2mhlfzEhTjg6iYeo
uyJM5xZt+ZCjq6+QL1UwZ30eGpLxrmXgh/vg6xx5ySefM/cHQznuOSK9xEFqNrqUlhzNtlEsYv8S
VwRkDuU+96VJjmi02rtj29oV2hIjSCAzURqMsTegZp2PZmONE9yNBv6M6bIPFIZ/WWRKvRowQGF7
p+KF/TQ9pZMmQtVazjNIc+SnIEjcaKe1aeJte31Bc8Lgdaeq3rwbRG2GtoPInmDaPMytlBSAGYE/
yT3jeXHH6UoBTrrDWCAJ0J7mTQZrmIzLJnlRLYT5wKhrayfSmq56IxoZtsYIIghDFyqrvg016EU7
Y9TdrwzR54umS5crr12a+2YCfwn5q86+1b3oHvxKL55joRcxapLMP8FyYZoL8OukN2T/uazXs97G
zi2ChGkz0bw9Gmv7U6PLD5vcakJVoYmXJtndth0NSIZ6lO15UVa7yWnsPYSP6jjrnMUbv5geCAU2
d5ouQxRbGT0VSYc9K8erDMvPmU1i3PIC8rK4o8GBhZ3PzCWZHlrbILbMHEhp2AEIB1FtUJcd77q0
snOTckYBIt1ygOqLL0nuIEtB9zOFaTs438a+nr46KK+8TQMz7XI0DOLLJ2nVu7ei9n/r/z/V/7Zu
UHT/1/X/46ss66r/vuNp/vXP/FP5i3/hRaa3SCFvOFidxH9W/syNLYgIlPAWkw8MZlzpnwYoXc43
76mBvMWz3kbKfzdAobm6hs/ZxCIlBVeV5f47lf87fxtRYMRJYqY16UmQCfbebeqJcVhSVOkHzyOe
p0zA+KxlTPDdPfmF83t1r30/gfaw+fMbLTyR2P1w0/3YXYgGbF4mzKUDbHOC6/gcQguao/rTOu25
QWdOFuPS5nJL0775+Ptrr8/rp4vjcwUcwG1zudk/XhwbOJLe3PMPseUD13NlN23HGcc7A7H8LhNG
/YIFqfGpcFNQ0ItKX2etr0AJSsfcFqvBWQ1Zuu9Hr9iYLXnZeBCTa5xYlQbmB7dMryT1FurZy6Fz
ozuY09P2v/EjgHf4IOx1XLTOuzuoSz4HWIT8A+EoRjjTHt2VWmkdU3dSH1pTR2EjctcMtZJBJT77
5iM6GG9r15i0UFb7+PvZLm/qDg6XPoLz8n0GOqOXF8fZH3N6DuDRynTo2cYXRD7Y/tI/OP7eWxzX
RUAYCwh+/NS03N+5DjsETYNCv8nHppnosyzUYaNUyHL+RBlam1Xvlxv8HUwq1CkriufHJ26PAkaa
4Eoj4PkDp2cenuO1J9mb7a1ug4r7/dN59xJZ6y9bEcqWwRJnkrCuwC8vd2kVd//3/4j/MERXVaVW
cL04lbfsKGD5B+gkv7/KL+6fpQv4r/DCPHqI7+6fLxmHFJNGJA+Urr3HXWtMn2Svznv4/YXeqDPv
7p9tYApnis++8NOmkMWIGibW4MHAx3Zc3M4IE581oxQPTpUmOe0iYYBb131+B6jFu2hon2AjoIhI
0OKdS9tubyU06JSCwO74kKcI1kam4Ie4QFRVFwTJp6zNDyN5zfhZ8OxoAc53oGZvodxzYxmh8Ahb
B8DfPU3Okh5+/yP/IjH98CuZIQEBsV0DDAl4nFU2891Ti0BIUpWio4cshs6cFN6jG0cdp1yZ7+oc
pSPx4d8YoGo0pBDcsnizQ1Fmw24UTb9D1yuvmjyd0Kgh6WudSn8SRp5e2b6y6OqU5ZPdOiFEBuNe
+CXxXNhwxEaSBvVg6DlmtiWttv2YzB+SuDK2VZyqPcMLkY3xJ7az/OD0tk1zyyBqOiVLha9Lciib
iMly7KQHMlMUxUxaholhiT0pKN6DjOzsmGlg9irRktvMIOcLUkXKZKbsR6tZxuumEFMbjItrXUA6
LPaQgQgGHA2SaywswM5AhvWmF3F9yGWdP1ITboqWlklVKu3a9hv1FcV2F3hFgoov7829HVlZR6VB
zxCmvbPV3MWCYm/qD4S3l09unOTfGpFA5851X6kNXikYiVONHh+6z/zselW+dUtDHlbg6RE64nzB
AN65dugobHsvRV1glinC7b5qP6NcJ2yi7UJtxkmRRPmrlmvepVYVGnC1NA41V55KQvY2hSPaMDf8
4zxq1VUdgUU05oog5FhKLdDcas9M/2K9n9satd7G9D0tQDbfBaI0P9qrkNuaE/0Y52V5YdHp/aAV
OYoUQZF3JQYNAKmiUUoERAFIuJzMvVH73nHAT/ciI6e74SDdVUfcLrgtcCA+5BbpeA0rYiQ6emhN
86UGVbrLE3wNZjN7jMqMSn6oVMdZM58nHs2Mlmiu48OkBryPTNEiTtLsbeOxL2ryvnGheoFMjK8m
A8GtdEQD57e4TAG1bih/SAOOC7B/EWftpOzhCev6qTGog/CCWhjU5viepv9lFDufklnph6Tv9btI
LNCepYNzJn8xyqrakvGXbbQVrtrT9KMsleLCnYcJ6UzuB/W4kMSh04AYslYL+lGPAtfXEraoYdqI
sspoDNfzWfNABecdYfJK86KPWpMo/pg52iUGfbAkXyVAUm9HFtc4uVs+Q/kujWFIbiFipFucBsae
AZh2tpe6pild6xuJBOOFilK/xTPrenR4cYkEupE11zRCeUKiE+1ZKWEdk2ouDsJM9YNb87o4mqp1
wLKtgYiaXixwsYT+JnEqSYSYOqu+yNGKn7NIDF8dt1PP5iinU+l54zEf/T4Y48a6kLpG4EWfk/tA
dsZxELxfmsobJB0K4yU6C7cTxyr13dV+2GIyLfUYu4y2zB+sUa92pm4kR9p4TWgVNb1ABZ7ON4cU
I0hbXaRrBHiFXTCwa/5rVg05fixnbk8+acZbpx7UXnMIfGk7Hd9+NioKAjnVV7qKoTw2HAqWUemI
KYx822Bx36YxXw6xRF5Al60J9ZGESX6xPKHZMcIJSzryFF2dURp1TwvpbdcGL+qVSlGYbOndI+Si
ThpfRSanrY8L78AAQH5JXBCiTk3cfJL21UVlu9gIdc4XZEQl1wi/OJ2MHPlwA9Ahiv2Mv47wnDYY
BDoZpOv5XRFb7XOWmfk21xfSWjXOhdjnFX48YR4nlES7JvaHx7oHsEPKcff1TQFfZBZ7j+RHAi1e
Lp0Cn/WC9uiglNlcmQlCdLeTfLkmkO0bRCf5FmRYE/py5JfnxL36ejnRAzWNsO0XA92gFV8vMFQZ
d1kL/4zhF91TDD+OZrTJX5IPqOtGsqM3Eam0cdAzWaZWzjM7NP3EvhZsDBssAum+6Y3lAJIYF547
RCfOKtiKI8cPOEdKcNmsV0G27DfOwONjivc8NHGRnDJVjLAuoDbthV62+6jS4DHKWrtTXCDZagVf
XigfYIBtldifpsjGcxU5SX9Ho5P/lMe0y3WjXVWL4lkHbNAhmNy7Y1vvu2zNS+C8aJ7tWd+j5x42
Qg4mCqbW2jVJOx/L3ADEXWTJrsbWFBIN/yAizdhMfU/jOJ9oWqU6FvPKH4OcQNy9bKDH7rn9bv6F
AUCbXMiubJHLKbsP+rmiN0N7QN9KJHfRhQ8fHdfyTBeAVGrDSq7mvzikb5/3/y1Y/1CwrnUhB8P/
umC9fEmr1+/L1b//ib/LVcf5l0/StEWqBiIb1Mycdf9JGBH/ooiCL/OmyPFWlfM/1ar7L4vEToMx
tY4HxtAR2fxTrcJzs0kJRv4s3gbV/1a1+tMRmH4oBCr9rZB0KCh/PLIpsgvNXq1ItChUfmgrJoLX
392NX5SqP18Cat1aWVMVU4KLd5eAibO63RDmjpGJ7gZqMWNfz+GW/uc9/29cZf0rvjt7ysifZwjd
9HKqT532qZ5fe/sPRcmffsi7ib6b1hZeZC5B4J6r35Jh3S6ff/8rCMf9qdQi14NqzjUMVoYQ7yl6
XaE1WTySEWFrlfwCVlinNaXzWaHQWw42LNM7Uy+xgxRsgSYyzR0jdAYrWDj3ah6nfcox+hFxoSk2
+JKyrezdW8MuR3uLuW668KWTYndk+zD7edwJMnrvwdWv6uJyyB7UygZwMzc7d84IL6TG/eyBWqWb
ERa1GGk4yA3hxImOtU7QlNbc5LJoCB3NW2Y0Tgrw1pED/ia9cM+6tzgftdKlRZGwt17qreZgSCnU
ZtEhPSSaPZ77uBw4ys4903XCFS8Gv1w+EGBZgFnnCJy57RfHKF3gSaUZehrt2w7p0d4ymE3lRv9h
rpR1O0WD2GuY8MOakxu+LY4ixSCsXZd7beDOjbj0sCyHmWnNAO7n8c5kersHQt5fuAvk85rROoHq
tOkvo4iqCsw/Yvx6SG45BkxfmP+o2xGMMuZVQrg27phxvXR5nSoneibnSaLUgn7yAdqSbW6nRbxK
Oa9Y8M7qv2ktB9/NnBX9o2+kXgJXrrduR3quG3e9wYz8Lmt8x/SL+rLZOAqxBufonhk6xu0gJVY6
jOyKqRt/X44HnRzRocg0qOLWa99pFvypfviaraegxXj1K9/+OBvgPq1BS9HJoXnVFSQLTrat2FeT
9bpa/HwkFO1yyFoarhm0IsaMqJaBCPPvK2f+jmx281Pp291jqil3wwHDPZfeQNO9nCJ6+FLsh25K
bqfCyI5xxdzYl43cTQaC8hodFS53ByGXH6mI9A2lY2QovJiMd8tgOuFwAWNxNm2b9Xs0q/khs7Px
Hg/DcN83Ef9n6a/zdi+1b4tYMVwqovxEJW8FllYP4QgK69rzuZ18fkXEbL/BIsDeedVPfkbVZjgo
yooW8D6UXBFx3MDeZQ1RDG0o1e/X0x+d5im1rwkwzvZJHOt7Ycnoc+Taps8q0aIrY/KBZuSJ6zKd
FdWApD6yrgnCNbYqVs5mBgd9Uo1sL1ptdWsi5T86fuPcRJrJ9KlJzBuX2fPFZNmPUdli+CJEdcLG
PuoHKEOOcWwleuthmIt5w+kp+tzPQxH4zYTS2dSYYNUMkr5ZWe59w6+Pphw2/FkyMf2cgMAN46G1
BBofTw+1rvcBXPjr/Yj03NmKZf5aAJ9hDDXOBSh24Esc39Wh9Hzjoohj6wEz5BJGiqYlF7PF3nMr
uUenMj17RjR+qih7bjky6dTLRuFsrWHGp+imI+QJbDFfRN71p7YcyqsB98cLx7nqsqJPc00ArPmA
qxG5Y9fhmZ1bFMMTqOobE4XxLm6kRw6HrF44b030Ncg0n7Okv5oReFyIGX9gR5rLOW+wlYrWJoVd
9c492iDq10UtByyD5BrTNuYCrVg3r8KI+lu56G4VkMORu0HFCXML0KxGPTjp36zUQT+QFHVy38ox
+2ovTncQI5tQTnb3nqUBjYluM/OqpiNDborRXTdpt+WrYoWDbrXngqYJA/m6TR4WLGyEISIrWs3D
ibPNfDeCuQPFh782fjDIZj2hxmnPwFDUprCJf0AYWekZcv3MP3qcGHaE3DkgjmL/aHc+pk/MkWGj
x9peJjkUeqT0rAmwB/h2fb0PmeHJ41822aT11C4iMzjEPbRGQ+qFvxmjnvsw1wtweQSaN0C5288o
GHu2sTG/pRyC4JHpatOzC3xKU38Ja+QDh97IxldXZ+RqxBxt30ygU50Sie1BjXvp8lp87t1qFbhi
RvzW4bB4VHC0r32h4+BdPaNG5dj3ZYLZU80wnoLFdldbL4jWN/MKTVH8dazhhbvbe1uL4A1QM+sl
gRlhUsJWPm4GheQrMIuVFJD33ZM7990WM9/qJZKmFr7lrr/5k40uNu7AXODls5L6cUxLUv/WdHks
xlGIeEoPMk0vNxOMf/wHq3uxHl483+yPtFO9PIiHzN56Ua4fUIZiAFJyvPLpK2C/TXCkSOGnlw6D
00uh9bEfgP+ZDzWwEoPEAIonaZiIyPDSl6esE5gb3drphxX6gfGIVFLs6TPZx36aO/di7vTnfkVP
pdZqNX/j09qNR7rxtHbzlmbgsuRdRqeZ6XBA7YD5Z837blIH45KGQCX0TJKAaxdf91CYydc3i2u+
2m9L6djnSBDlEDurH6CN0fu3kebtOY3Ko9kQZjX5TAyrqnXufVKbQ9uS6Hd6rNLEnWCIXz92TIO7
QMswh0+r1csUeEFrH75Mgkn+xpTKehH028KqYYE7kYWfiBW9gUrZhwBxqteMb/gRkFX30OXO8shC
im9I8oiv+2zw6YjApSG9AWuvbKq9hwz4uWey0QdDakTEYFex+svKakTafNP3hEkvmj6+jlWkfSip
HTdLj2hg62nO388p7+fom0JIROfexDdlNeIK44aGfipnkzFXVApJPqFmz+nHaiCzxK/HmWniYD+R
Gmo9jVKznjLq4Su+VEi620TbqjTVtpilgSIg275cYk3e1UlZhShZylDLTUTL613vbVBja+P/2sj1
nV5VNR++LjvbEihUW5PPXA3LRKCP0HezTYqtCxQmrPysP5aqN8OmLQX+dx1lYuT66jRgDL6OPBEf
YZjhDnxby4snwBZqlse5wrPOi5fOV25XrYJpMmaF1Y8tqbJVfq23WXlEouQ8+1E07nsyp+3AS/kY
6ovF418gMOddvVyKFh9ePPnkeUJeTNgC8fElGgy3XM1XbArqaDRRde3KBSFIjYkLY3SjHvW5tu2g
QuIXLoPqoAjkPoYgrHgDoS/XJllUO8p98BNDiWZvImxekHwSkjQ1X9Oo49PtJlW/d9tag1K8lC5N
ESGjNPBE4od8m8YjiTiU0ZHVQfTpC3TlxMzXD2SqVruBDYczEISbs7CM/rqFg7CRgzOCecaRribR
nFqgeDv4xZpCsFBpDx0p6nLjlSMnZsvsgmLEEKnHHa9mbzdZsLzBZr2RuVzbEDeOtRpCPuyIsGzo
cDAFEJ/f6G5WCbHLmiaC1X0PRziwf5OsC5ydCRisMGXkeCLNabmVueuekOKo0GN4dfSUgYfGVCPk
v9J3CPwg44mdrsJreKs78F0CjHQopSL+y4OltXEf+FjVLwaSwDZE3Vg39NCRzBNbEB06kVl7AlmW
Y+ZFzn5i/LL+oms3mekR+3ZyJZaUUPshLe+NOZeoRmAwLQ2hI71d95LmhzI+qUohKDOq9t4cTeif
eaqdQQDdDA1KwNoCrDJl2qvX9u5OWNWzOcD2QbwQXfAzcoTJNTunHXdy53lyCmt85fsoAoRTcS7B
mmATU1u0uhtyQkwg79jlpk/UjYG5epN3TvnFrbQvQAyuZ6Mzd8Y8leu5rT16iWsE7pI+TEQbbqSn
xWRJtHtuxDp3s6ptDJgMsI/3rFVgvPtsbWumXRttcWHEQY6mZ6t7PdAwu7HCwm34vVVD+CwWK8di
x4Z51ESXTZXEiAGIg3LSAlQtkpZhvyxZ8ilGm3XIZwG7UA3zGM7eUt83gL7Ji4/1FjqgkRA55jQ3
2BqaZ4KxKuybqvwImhK60Og6966Q1rwtsE4eh1EtJyP1871VJMNBS3Ib0lHcWjeWJ5ebLHbkPbK0
PARp5gI0mgnQcRbHCWcX5XUkk2Rf+Eu2G9ucklwv0lOcoT8NRN9+9uVSnoWvmYAqCtuX26mOsUTu
vGHO83NXfeZ4Lz7OSLwuhT+guJGGXd+ObUZ/3qB3fBMtiqxgBTYj05Ju1+ME2RolaZ/AWDSkpFLy
FLdzZH+2EqudNmOyqGtL9NltZROXhA5PfnQk56tgFolxpdDFfUTd5J6QpVRPkXLpVBPQYT7q6xfS
EWUDw8NLDnNVDeck9azLpOz6J3Qt9mHu2+lU2PF4nmjxfkFRDjstETzceuhRpLpN+bXsXCKbHGGR
9prVBq9I455EbtAp7uGDOADQoTeMlUWt2yHIU1pvfTArl2CryBaAOcYxuao19ZqPrvds1G4VErLn
Yekplh30yQwJcKkCzngLn8KkBEE1aPO0dZRkJ8uK7JA19A4bvOU8Xr62J0VVARfXXPAse9u4a5Zt
l5YPWgFoh+g1/NpZH9C48bZMkyiKRfOE79rc5oyw0wCIP31fm5Pxvvad8qHOSxrvS2EcJRrrivN8
CfDNBALVeIN2MLtJKw+US472qnCcNsEk7SP2X++x11ok8A2UJqqYCRlWGn0A79Bf8FEsbjgqZi+z
MOsPWZu3z83QzO6+0WyoOyl67Xw/1nZkB3nOkcZiNH9rmWKq0HkBXcilY4zBgIL8NBrDK75YoES0
dy5m36vOJifbL1WjOxsVrSZKLb9a6rGog44QrH0PQ3Ez8agu8rHBEeujAb6yUONd4dN1gswqsi70
PLuFYOigK5OZccf7/7WvdBzNfNP8YHCxZCNMWk5+3Q03OWZ+5lBF8jjLzuTD5YoQhXN02zVm/dnU
mk8My6ZPYB7vF8xj1s4FJLHF4yX2WbuwszeaicJwKO5J0UFsCPBS3tl60ZUbRko7sg313TKuUXas
+APputY+SRz3wsgdqBG5HFzEzD61aWbEn2FqMD9gJwxsU4uhaM3uA6UO3xP0Dp+i0tW39NSfrNma
znojjD3/FgMKeNvfI4776ha4fse6V2D6o3E34jhNuW8qu/RJftyPtJcDv8YsTnoMamLN56aYkfuE
fcB6SAkOgxKV8sJKPwkIsR9Bnzr+ztZs0vgS44Ya5JENOb+em8U5oSwETj31TtgUVfRS+/myKeTk
HbTWzK6cOYJMZqNKC7Dvz4e5s1tIAlN1Vy1dzAlXuy3Lsj/2nipvo1RzbtxWj7cOUYtXIhnNbyKu
qk2dTUjU0Z6eoioZrit7Ti4KO7fvrQZWI2jWJdKGj6g6wPDk3b5kuw3HxmwwXs/6Lf4W50CAIMM5
yAV7hOfFfc+OGwzzOlDwR30vi+EhHpYomF3dOZlxrfb9JD8lfuUe8NbwxeIgeGIj1Q6l6Y8XHOVc
8vag0HVxm3P+ratvA453fDV989mEZvyx8/oBrBlWtfxzrWeZfhbNEJ09kmu2dEsmFltnPAyGNquN
5sOauEoLGRubumrbOTBl3di7tpqZ0KG/hBfGePChKpHrlrby9wnyyG1DC+vBMbrXeYaaqi8cVWRr
yhNzmC9YV8qTXRglk2abIqkFkbYIeEBl6ouQcuKgQdo78f7bgA2cxxJE4MaKGFlyKkT0nHpfOgMr
dq2rCG4b31diyQ/D7Ly4lCBztlzYUr/lDIURz6VNpA2e+EIw1nS2atsMndakkZJX8jqOxGH0tehb
whDnxtY147ab/W/tbGmPMa/eB5JYZbK1uxp5O0zCaIvu0g3wJNZ74gYZ8aVttXX6mDwfKMt/IK//
3AUlkQTvqE/cDaqE98EEzlwY1ah58jAx/whGjWZcit8Rtfaeerz8d4U03no1ckvx0NKSWskh3zeP
3dmeOSe58qDqGOUy4OcgRZQcFnFTbH/f4f2picyl8My62K4Mm5HTOyWN3jkN7UfBD0u8+GHOLD4Z
2Sgu9Z4Mxd9f6j2lBDgJlyKHxCKRgCu+61eL3NZVgcj5UEnMM3nRI4CQGUdOFi9Chrnc44VS/26T
nIsawhQmfTgbIP27i2LtFAbZpN1B5dxFA7hm4EhadtSk1h9+3/tcgvX38UJ72I1x+VnvFVz4k5ql
aTTSlFViriYGLWNz87JjbtDRLGh/3DRK0EEsluRyKOb5D9dfV8WPcheubyLyI1pnndG8WzUqtpqE
UXN38EqNBnzFD3Ta6cPvH+K6Ht5fhKA5hor4s3XGAj8uzVnwueh9tBx9T+vWnRJOEbFrRleFwbB4
UcYcjAP5oLXkkPz7S/9q/ZiGYxuIB9+clD9e2retWcSGSRj3hH2sMe0+pq9CI9jV9KINgAfagUr6
KPz9ZX/16qPF4mzOkyVLjNHX9y+j2flO7aZc1m2z4iTK8YMDQu8QO6xa32X9/v5yv3ohTfYYsjpI
mSY86cfLxbLVBYBDLtf19kNrtHuK/zlsI1f/wy4jVj3ZT8+S1DD0XzYbjf5eb7Ysfz9LZxkIQ31b
myoavmLKJkCxKwQAeEffOxg0XpJobSZNtOJ//3N/tWgR3jioNk1CdX56aVyzX6ZYl4DGY1RFA9T5
JmaL/f1VfnVTeYTr+Ap1qvE+LsgCsj9YJVvP2y4wZms2qI+uX1jogn5/qV/9IAsSGppeuvKkrvz4
/PJ5qEZVTGyoE/5M1BWfHK/+9D+7xrtNLbV7w+FDLQ/C6C8XR+4tr/zLD/4DZOp7qNQvFwfrD90j
S9F2f1ocfuZN0ujloeHsekmkpHEyapR8yzilz4nGDgNzUb+OJWOWBhXmkUSSP+1oP796pq7bjFB4
/xDGvp89WiQzm1rto43H1xP0OAawWuXtRUGM7RFYcrX9d+8r13M9HCcG8kj3/bvXUlZ5EILaQ1nN
HFAcdYvAwv3DUeLntYjoB6yFTWvXwHn67gX38b0uMi/aQ0pQ56ZrapwyzXjhwmH4w1L8xZX4EZ7t
4jy30aG/WyZ+l6aLUl5NKqAHhlFbvd7uQyOzx9/ftl88JuwSBj52ez0doVf/YYd0mjLHUwj2YEn1
UBYvGjLqLK9WguQf0hSNn7+xa7Lo/7/Uu+MKPSpnRdGTfYDcaGtVVhyUk9uT9+OPZEyMQHuUzXnM
Zv4hQS/Q3dclkD2HkjVE/tOHGdPfPVSP1Xxr0gAvLQiWtpc1px4b0TGekuUyKqgDrRbc2Rthlbqq
DwsDkMfJHYv5CusVHWyM2cWGNhvBmk66/OGHWpgG3u3NfMGZ6+m8AEhYV8nH91+dolg00ydalEyR
pH/yywpGxOjdKcdJX8plcE9Dgcjw/7F3Xk11M+m+/yqnzr2mJLXixbnYK7EAY4IBhxsVNray1Eqt
8On3r8GzxywY1vFc76oJ5de8KHU//YR/QCHya4t5F2QXXInzyTv1wKClLpNZq5HoAg13ZURhBK4L
3fLyRo7BxRLRWCrrvNl2uSZUwQyC1JgJSD5jDQFf2f6ZAQl3DQbd2TPbHjd9H9hA8fJsQwvP/5A7
YBmyPARHR7zehPG4Xvx42jg8YbgNYjh2EOU787sfjdWRQ+uNtYa0lAWCgzOLlP9grUWlasg+Zt5L
ZnQflBWKU776tI8zBEnwVBHjERjx64RHCET1gIWh1adt9F5+CETWlRphoe/DoHdO6beW2wab0A+e
kP1JFMT9h4TW6y00qPhZg+jfhuA3ti/ZHM6l2PigIni4fdt4VkYyeBV2KPP8RXmj9a1h3nOLYk72
8/0d/MZDAvAgGtHr4L+HqSNzUerNeaj2pWqZisAVbWnXDsjgZlV76nV5Gqw7BuzwO22a9u9f/I3n
JK/SchqIeJJBHyx1Hzgbbaeq2nfaQrYZq9tYm1cF2dz+dRoAvp79hCMR5ZV7KAVED6iLccLR1r3B
53muxo0dTBDhCyH+epmSbgCYAhhF9WEeukrJrq6HWA0FuIJh3CwejVeRXY6jiwBb7j3+7Qt0TK0i
YltQcIBzHCzROC1k5RQNj+WWYo8/Edx5xCisdVeI/JhF3+sNyMVIbUgNXAbah8dXAzYk8YaSJzOc
20QYn/HbeMwmcRuP3pEcRO/ll/kpl6Is9Xg0Yv6TvdQfGKpSJOlcGQAxhMRmh15pWLsQywu1rBZt
T4Bu2JEF8vYVQ1LRELGUV56LhiP9oNZXbCyFE7x8qGfrVrQ5QFZYRqtksP+W8gGYj8QbkyyyDq6o
3/Yfj+h21B195Od7YxjOwIXucb69TD3zyGVeJ6X6MpSG8HPIPg4bCiowpzTlV++VYWuHq8o5lRMn
4vvr8HUU4SoWgltEZtMjb3z5MEj+T1WWWbmWU9H2mAEiucMvv/KuswY47RAsazHXR6Kk/fqk5KoE
DiQfoU55h1stQn0jpOzL96GL9NZYAKHF/BjduClkSr9UDLG7OUQ3HQeQPFn7C1r2VWf6J/3UxKcF
c2SkDv3bZXabG5SFsUuTkuRApwVNjao6sDjvLrRxrUMj4rfO3L+N8W9+GJwMWXEWJgiHHwZIQlIw
2Sj2dKerbTaH2Zkx0ed8/8O8jrC8InCVtJSQon2VcpYOVNIqrot91fsFIG21N3PrNvD/2uxar+bQ
I7clDnmvdGhdvxCVhEuytycpALJEyenkmdPu/ad5KwJBqKQNF2g61iFGdMlMe8LhOgc8hBSr8jmm
cDRBC7ArvqvM+fssmprRRTOJDw2h6LBCxczLUwCucmrH6FG/uzb1rss2+vz+U721eQJ2uw8kl8Lg
cBlPXV5ZS83mKVI3uMq1rogVuY8MW+pdG7vBj7HAMpRuYXfkqHor5oGIdcir6ZS9KnponZqJcFS+
j2P7sq8MJOHjnczuZbZ8IlwfudpbC56yx2axU1m+apLh7gaEFC+mvYwliqae61+PNjYz77/MJzWr
w6ODl+jbHEcCmPNBXA0HexpcWu77YBjN+zQx650BdXUVZUIVzOb88S6zgno91D1adXOVf3QLX5wk
AZjOZZYeg+VMwujANAvBefAYw5Adq261DvWr8y3wqbDZmQJy8EG8bKPOdGGRcdpMDmOCvnmwerSG
QZV10D6Dz8NEd8KXCUOMSqT3sCy60yisvyUgOhZP28mMEETpIoWIQRlyFSY8x/sv8o29xkybFBQC
Mc3FQ6Jl4XMP6US6PVbLo1ysfmdKwJRRAX5lfnj/Wm+8DpTQ2NiubtSSdb88PmxrNk0n6EntI+vR
pOGwgb/70M1FtffDKtvSKu+PZBhvbDrLYmJHRsOJ9SrFxrd+RoWo5vEy90uSxtgLgtphjtEuK4Hd
zF3Tjs0GNIba//2zYroc6o4UCeLhUekYIXDDoKv31GofMS1p6UoX13TjY1S44/s5cOMjqc1bX5JX
SxvAhmJMKDt4ux7Txs5p6r1hxs16RuAagyXRX4+4uO1Lj0L6/Sd848zhAcmhBAcbyeLBDiyj1kkg
Ndb7ScVMLhz4RCZ6RBsBIvY/uVSInVfgkTAGh4eo9J20LytKNCusqyu3aLCf8XvvPB0s60j4emuN
CjaU5iHoTv/BGlVA4qqFzsC+K4dbbAp/woO9LTq+Xxo31wEuXX9dHBHAIF3YcMIZnxxuQGti1mZ3
S7Vf7AWMnz/etEO7kfQBjlzojcCMOCHqIYLOMzx0/T3/yETlgv2IGVECFrH7OZ6mk2Bpbo8sCfE6
4L24xsGaCI0MCXWHawDot7TauTzr3M69sQcPV8wCZmYam3g9jK1EZDiL72oEQwELMatFoDqn+TeA
hqxSJr3OBAIOLcbtiJsMhPMeeWbHSa7tMJ7W1YzlBPS46qTsAGdR3SLApOLoNHEDhhTmhPuKpe1Z
M8b3N0tYAraqLAwCtS7HiYl4fUgBNcWXWWGSHdba7SpP28tk8pMTq+3m08IFoqlEUl4opLFQAwpv
UxjFa95wvkNmBcxPAlBwDzgR1ue4yG00JC5gYTTSa0ekyL5DM37/9b61NjnFfYt1gnDpYfz0mq7p
Z4+1CUz4oZn6hyCRl44wdqKscQka6/9g25Fzk+zRvmcgdLAX3GSuGlT3qn3fJLrn9HG089Oxr44k
r69bfg69UgZb5Ca06cKDyzjoSIp2Cqs9IPJrKdMWzGDwo8nvGEJfAEhZI8jzLW6rIyWTePu6dGl5
oxTXhwlZKPH1laNLT6Sely/JZMISah3jGqKLWSC4FlLjNG6JwVquGiR8AAni0kcgb2x16oLyd7PR
OBXmYOys3qnWEcBQFpw8Yd7JBDvMvruWolCfgALisRlvwt7y6L34yya2ok9QZrt1sLgN+vQZ+nL9
gt9Ixv3gZSd/wvmwrrKgWE4wcm52MLr45+XirpOuz7Y+Zmz3jXCPfYq3YrqHzoePewWBQos2/xkj
UrNzyypX1R5H5Jlx6GoeTTToe3VkZb0Vi/64zmFipKQqixoByj1aoea6ot+wRrhk+/52eetA9LAf
Z67AvM0L9E38EfDMxpZ1gw/tnqFTsJ61B4tpf67zBEx9Nx8hnb15MfqV1Cwh7LbDIsJrCUYVIr7g
77ySSnRBB1DuQICCpYZ1+f6TvRUIEIClg6Epe6+SX6jJwstAUWEi0V7bnY+YWTR/rov2Z5+CWUi8
I2/Semtd6Jk3BSwQAv9wTrN0qEMEDnlaNhXYIy62dRYs7Xhq04vf1MJI9o5ssLCSobhJkeLazzGk
hrhOq4sgRpMrrJ35zocSBD0jivHgff99vHl7BETaSPRvX6l3jKgQGnlCmjM28qcI4/vEVp+eZBL/
g+sgEgLRBdDGq+SgU8acSPB4eypRSTenf6gQlEP2sT1ykL6VttKcArSBk3zIf14uXTGGMDjAXu57
OCNJB8R1rK7b2j3DRuWyqJvbsgiPtFneWsB/XPIwYc0WpwCjZ5Z7Y5xO4qH+GToF4HbvrK3VkZrj
lZ0N6jF4riPRBuWUifDh9u/HACGLyUf+FIuqb30if2FyrinLVoCoHA7x2vBsXRKREcnSXAPD0sjM
FtAfRjWfHZoqn6MGm97BhrEAqw2eUdK3n+IlrDdBhZpDGXXBDnHL4D5wiZo49HYApoxu2iy5bm3W
9i9zRMLVx+Btkua3rB4+AsWR256UL0W9ABlbkW6HcrY/SUDXHPa2e2TVvrWLQ83UpcXBuj0cwCL6
2HXo1pP5yeV06RcL3UTnM25Y5/RMP/fpPB654FufWDOzAMr4NFsPX7vMrHhuSIb2aYOJmpJos+6e
7NYEavHIA2tM+vsb5gk7cVCmg5hB3Npmu1BmHlTAsYEMLjL75d4rl3CdIB75yUkshWAeFi1JXRT3
T6oGmQNy8okuECR4y5UDzg89kL4TY8Qr/MhreOO9k2xoCnQIMfBVyYt0YVAiJ1zskbd0tgkiNxdV
Qto4Z3X3GbFdvHkwCzryIt5oYoJKoOujozaaPPbLHR1P7iIjxY7ulggoq4idHYBUseuitjsJfU+s
WCkgJ1183RGeW8/MZGBeONbm/RvRZg+HPQnNC9eKZZQ5zmF73wQagXp3WsJbzgSjEc1rSAVefmCr
K/ecN+Of9hloZChW2C4XNJEto2SOikGiuhrFaO7mOcI/zyHxtvvF/EJaXJ1gQ/TEmMp3gPrcEyD5
P2fA2IRstXW8LNmCFXY2rVH1+8Rr/O2UDP4miM/tOkdxWVTTJdsWEtrMRvicBEN4Vpj+VxOX4yOF
+VvPzwQMDrqvJ/SHjSPabVmBrD/PX+TTpwRY2n7ypvRzahnJ7v13/dalAF6DNYCNzrFxkIAwdGqa
Uh9LYS0QJW0CzeabZH4WJkX8+f1rPX23w52mu7/IPdFlBMb4coFVhlcMY5lSHCgUXlZoXs+QvRaE
UrCkUZvKL6xzC0WVq36yx4+2bcTXdm+gCS0KeSIrzKGebuh/5RuOyDcIeBoE3v+REtg89A//B1Oi
tJ8/PpQ//9//vesfkj/VG37/C/+0VzFD5BZMPaN9Slz1ovmt3oCs/z+oUqjc6dhp0A6B7Z/yDbit
aJOVJ0mH37oNwsdmRU+eGIe6eibg/o3K4FO2/Mf64tCgY4ckLPAqmgev9k3d1GlSz8F8EVaYTuE9
PuJausPjIrxHmlic5hPUXlytYnneuU73aM1zejKhdXM1N1W7b5sR/StZT1fZMITbMrWmm2Se3Stk
3jo4FZh2YzwJEH80B0hU6D850Xhj+POEl8iA00ro3CXRFKLMO5Q2pmzxqBq0bABhXoalA8a5Jhlm
dA1GrA5+CenP6bCHG29O6jT2ByuNTiN/MrKz0A8a9UkqXvIno6p9ewsBD4MitMva5Zx36YjLIMe4
BdknyI0x1AP8CuwY3KyzzP1NWzo4t4xF+jEqy+Sk8e0FdyxY+aCyMW2C6C7Q+LLqTbEMxndUwtPb
IHPaZi3LJLuG2vaxn9rmdHHTeJfU0fAQWmaK5H6J9VWqBUU9E2Mk2IMcndhvL1g+nyHQQP2NPnQ+
oh0IO0w15zaiBJSkmfZGSeIcV5RprMd5k+dGPH8ymC9goGLGOc3+yJEoF58gzpwMaFI9ma5YJoBs
nKdKitt8uvEKTJQv5IRgPl+hJHso1f9GhOd9fSQisJBIe/59QPivAk4zrfTnX3b6iODg07/xz4hg
h/+gqkHgTo92qSyJ7M8RwfLtf6DtZyGLSUOdTUmZ8Dsg+HhT4ghCjECUiFxHIyF+xwWXv3IxtwuE
hhKboLX/Ji5o8dM/8gl9Oxb9ZnAJGtFqvqpFsauYS0yOnZ+JucjsV1EukTA3I8l104Mrgrd2nxVx
2u+6GTTWuutm1/0xRSAaPlg1qlj2ThpIFKPmgcsrTslhRP2IOB12hnetWRrgb1HOhLAGkWiKlbFW
QjWwt0UxzIvY0GXr7EuaZtLHVsSUxniX9JqizmQ61tTvOUxtRMEGoG0noovTxoVTmcFlWxfjhIrZ
rlIZvHuELhJ0mo70XA9Alg7OLlSj9B74L3HjFS617jzw1HAQf8puVLhVlLGfaFiXA2P4IozdkEtO
VlqVvxoP17Zbmvsht2YnQ8vzVNYYT3d/rK2r54j9J+7zKcv/VyDnllDgIfMBXeXiSENj5GWi4Gf2
VNZdGz9aeBLkF9JJY23XODQIXiWGl2JdVPppgidAnkAKw3+ClMVfZSa+8w/11M0N+iaDSyTFwrgz
k+0SxfhSLcXEp9j2/ZIs9wkaiRqivuSN93FZcosfK0MHzg+6dd3gh0dSep1J/fFMGLPqNRhyKKKF
S7lxkF1D9plSIy+qnybUPu+TW6VGfYOZYL1cvf/2dOH98kJUDrpgoyfKyzuskmfQBOECl+mR8QFj
HxL2KHfMlW2ywyfhZ87l2EF7SVaz5xZGv5ZW7KubPHWrYwqpL5NLNIe5EeasCBwF9LheDcktGrOw
YjLvUXVB6310cSoFJdmWBjrgZzEuj6535CXrhfHy2QkmDoA7FiGj1MPRiJ1WRS5T134EpY+hzU9I
5H6SnEZyYC3gqKIfu8DZkOP9/Zd+0H7Sz0rDGxsnqAG8+vCwUs5qxuajssvHrnDc0t+nYVTd0YNn
M697FD9jeTmFS2SWH2o0Pjxz66okX+6zzpcS5ZCCyBEh5YcZ5zUSGD7Wbomq7ALOYNwG834YHads
j9QZr5aky/yIwIsqnR7+HuI7DSs28LvxxY9iQCNy3jSzNGDcKNw5jxb2r6/Fwqe0JDmkS/8KY4+a
a9eGWd79mNC0D7CngPinbiI4miyJ97/Fq0UA8RJJMTpFT7bGh+WTBS3anmyz+lHNfcvLbY0wz34p
TNPcL3Vd4vC7AcJZ99GR6z6pdr1YfVo2mdQ6QISbieph2Ipg3k6ydY3vi2tY9oIiH6Zx3doPZNKa
WLwXdldgc+PkPhovRTzVm6Zt21Cu4crY6jYtl7GFwBpMS/89rqws3InKs+dzt5ydLtgceUsHblwO
HlyYQj19eGj6AUq8bKY/ms9uPMq2HNr6exKk1OOrDFPd5arzppbvs8wm2M+TsJOd99EQEW7gm65y
HA6DyptngmWYO/H8g29ZZr88xAX4DSkyGEgWKMtBN/g5AKNpSnRxJ4Q1v3RxGCLXoxA74KMjFANf
dVW1vccxXCGwwRfBJEeHaKMDXzDjFDUVwXWUyH76CjaKFGLVYDXDu8Bag8oVHmHqNdnOdhqXFdtA
BJquJN5I5U9vJJ+2Vng3dMsVCzp0vzCzY8e1S51xj5ZmYwJvqQbrC0oQEm2AAYbdcr+gtahuVdt4
6qajl8zPJlXGnljBga35ZnbCtAMFA5CBWJ1m6IkQVCLm6DyMJk8m8W7GNqFyV92Y2fykR2LPj6Qo
fJbeiaumpL/uR7/kMJubiSb5ukOFP0YONQ65NHzLkB9fxKivRqIsvY8izNPma4Psk9pHjmrSi8Kp
gvlktFA6PU8aYx7OhmmYWEtTEOm9nKrUms8D1SUclmbU6zOzCSKbICKRM8DRpHZAqEHifX4AN+sT
HrUCtuplG9OMDF6oi7X8fN6BdCJgFlB5DYDHXeTxf6kvsQuEOoD30z9/RyMbo90KhGHTZM2Sq0fI
oQnjI6CLIp259AR2OzubRc0zxc9v1UG5kzfnBnLgB8YR+4MzZHoGdMJQwtBXFIZP1jajaslrkTOS
GfOG0KWXSx32nFoiRz+y22aRl5U3lWYt+ruM0RHLRaI1xJ5SVYhvDtbIbcE3E5PJLwSmaEX+ro/7
PBBnhjOl84+mnBTvsJ5UpnXKiPdMwYICxB8eL/6AMvZphMd4nq7jpdK5W2ZNzDk2M3rL+iEyZK6m
i0ZEqoq3tYGQDBJytiIKbNtFKB6mtiO9fkEnOvwpDkQj1FnYKRpQm3pGcaLfDBkgA+y94t4nGrd2
3XNLM0/PPxyHTN+LEwKX8taMDdmCOLnkrBSBYIKzVwCRuL2sTAOdt0XKRCy6o83mfkkHhz+sQwgY
3FbmhPodNwrp3F8DJsm8ziXw9ZorSAGdfdYz9/d3sannOGudWqtbNHr438YKCjawn/XEBlLHhSzD
GVP2+dzOWPauliQnEcsa0eotjSA+vxRpF4sv4XbkjdWqRzNI3fppbvMWktqX3bxXk9llDLPpKPIL
m7ZruT9cUAe9qkWKU8pG5lj4IJMQFO7UbjLzNkzcNFQbTQjRkQkgI9JQnol5Fp1TKXZ9DiURa75k
KTDGVKZcrlyUtVj+QaeRfduwxL+v4ugba+8jko1KqxibPaIdiNplIr2srSRFp5VcXX9hHKRn09qB
+mLScpp2aFEgldA2OBfigtx1xnieY/HKPUZGx7dpnADVmIeKxjUPU0XZHNef0OmOHNSiuzrEhskz
UzwEtwRiws22F3E2QzuXQx1C/Cdvx7AmAqCLo7nIwJPFKyp/J/d+LCNmhokOtjPPHOLKumA62GKx
nsQf8A4YYA31U9jpxZNmOqT4/Tg3cpfPqPnRlximjjUUibTJ4/N6QVVF7pgbD631cXEFobJrAK6i
tZPzPbBeMg1raD52o2cTcrOqGfhKFfIznAX1XI78rhA7QV7SwMtn5Zopcn1qZ/aYpogtJUzD3/Wo
ihGXclOV03XYZzojTJwhJjxJBzjweN4nBtFB8RbZC5bddywo1bSgdk/5+g1N+WCOWelB0S3ceDIZ
A5d2LKT45I5wyXGkZulzypcR5C2mm06hD9kejjvLcfLctDY4lNuZ+DAHieFcTuiIIWpLiHKdPVNC
lBe2Qd3W7WopbZ2tmAZ0zx9ImVON/K5DiPr65Yw17HEUp1uiariNk2wUxqn2U2sxdQ1EvGngn0Rb
x8TI51PUTDx8WnP4z1s1jz537DOh5y3VGA2ysbFLJ53eBxhZ8gZ/L2t0yfXfzU4tWLhLOunE2asR
J5frDqLTco/Ij8k7Fn4btghfzCgGsD8N7In6tRNENPxXIywy+dFOCbubLszb3kBgxpq9b+hCFO0n
s5yKW4gRYcYaahEIPPMqiWWDV6tB/qAv1BjnbVwazkXEnQqo/zJFMY2Yu+xydImKRycrlvYGq8Sy
fUDrsRgvl9AozNVoFH19DlV2lKAXMnQY5bpxhNMNO7gIgfrYNnTNkMnEr8r6IAqO1W0U9MpaN3wj
bKPqCesd2tKVah3syKYcfyC05dsRvR7Hn/ETWsnWmPuvQEsH55NX9LMTY3nn5JP2ybTnCNfikOeP
WKdRjIBDwklWgMIuRlSdwrRYzHYXoVlcn09sjmHl9TmO36Yldyr0Y7FxSdCW2zizk5qDz+v9s26e
h2AlnN62wLER4WbafX0Xboza9pFVYjALRsQt4j2okn7T1Oa4nEe4BSGnOCITs4skpoQoF/sFKitJ
JFzjSuZ16dxhxgSL6MSkOygb2AYAhW4hw4r+AjHDyrhxUFpa7nuY1cXKbT2vvVt8FHzqVdF7fitP
gsmNYQWbaMV4G3pzRX4SpX027RbE7sp6Fea1sIGgt0vXBN8tDK+qx4Sup5rQY+nn5meYuXhorAdf
1v7KxoG5R8I5qho32Ay56RbeSVQaOaJjlm/kqKZ4krQ2+ZkEIPlCa40i0mDXG8vtZ4wwPdGjCvIR
Pyj8iq5+Z99Q8CPPukFOsEZ7HGiTPlBlKbC3vBtnV0pnI6OxjRT5FN1BUM8KiYibLsIKU+5aVDNZ
/5XRZmRQrcDeg2MFiRm9uaG667OWA5ztkDiejnAgOHWGiV5nZEU7lK9HjGV5MIho50sTG6SkbtIo
jh6E9TJOmb5yY3s5mX1IfdFucGud/THs0pWDn1koeq9n2rlFeDI0Zep9cZncciuWNPxcT4J7eg1y
aFzCpNt1ZPbaqE3aJw7yo96X0SR3M7AkpTuNoE6Q6kMDaFQ0coaXnWtulVV5i9iHjo28zr6CEkZM
QVHS5EHJSyAlrV0X204CIjAvzugR8iqpyTiHPS9IVr4+OQOMrrjTNk58rj34i18vn5TjNvxdjTQw
v8zM6oi91OHzx/13YabjZO74mFSv7cwKuaMqkp3VPoRtqPPVMFJEG7sfWu873OKq3nl25lcf4jpT
HIu9lDqXqqSvU5YEgVjeEWa4Xm/9GoxuxmoQdwooSXqQS99ghYwdylKYXLYur58YPusU6and49Ft
5pT6fYI5Vs17zGtTdyyw9NR3b4nI4EXK2MlCpFLSkqKjGJAkHAkzmb6DoUNqCvz17zexNGyh1SDF
QkbqVyAwbuuy97Aezi10wBDHwquXV5aa5AE3bonm0xeceeg9PX9GDkzLuqf8G/rboIkmnlhklcU3
GjrlW+3Hih73mFyhCmdG4VeV+26W73FjiMvxFICZp25pless1mLSSvOpRdgwTU7B5eikwuyzlBR8
tGddEwcetmFfSvp11rRORxM06QZtX7KU2I50Nq9qRI3dvSnjTgVXCOzbdfrBg6LP/cyLo/eBEFgd
IBWSk2SCEHX0FsEJVDe8qqzhByLl6ETNKiiN08bSC0xEQ9rYJ43tI8W2iZ9P10SpmENzqEcS1bUQ
kizQE63ON3tPr0fYqhmZtckbyH7ht1zxB/65/mmyEjS+xiLwOS6thPuyURzydWqYewPyNRtLSH23
z9sj712+C4PCmo/adgS+8oOYkM76ptA2S9GAtvwcOBEKrHqZpjM5QbZzWkev3aKyw+qiHK0Yn+G4
QJ1lOOMXlIKkdqxnvu1gIHzUbaul5RFMqVLdgwHKmG1CVVPyxX6Ytg8KAR9Mhrt8kD3BZR4d8cEZ
rR6Vs8i1WWelaesiMJMuFZtpTfqDdE5IeknhyXfuZ3eZz8VoUz956BlO6mSyYSQ9qAQ4LVnXc+bT
xaYi1+jqoOVp0ynMSQx+V8TBUoUkBhMSvFRfFX5Z/CmmZmmR9IL7/gOxtma5Mg1lmmuBLjTliEra
uDP2gSfFcOsthRgMLDos3r+B96nO2XEoIgtrUVth3+GgqhP5WCL8dhsBe+Kr9SUN3Xoz4fYc4k6o
3IocJXTr5Z63riPuYjWUjKeNDym/0/UDy8lzuTytvWjRoVISk7299FGQSfA+nVj6e8A2CaVKHpBH
PW+9ShU6tSoMhIIYqjd10QFzV6rTC6MadVvMiMSslyTIz7G6NJ2JSRsvBFpyQsRH10xz8X29xamW
Y3nheblD8jqPWXwS4cUxXHuTv3SnaMFZxT7obGoKDjbDIT8QU68Infi/1Pya0OlbYlXWVDoTxfSP
KM7E7KlqhNuMCvFpgyQNQYqEf/DWHQ05W+MglK4CnwuLIlr0TSM2O87xml02p/iMBgsVr6OCjIVO
kWSy+qFZVXzSFEtsbn2A54+WNXOvqO9xnKmc/MKXNEf4QWggy9Vs5zpg9XxGA8XsHEp9hcxbCkwD
rxdR5Q+innSFPj9HjnAChButSgvboGP6OYctXXpG4FGAnjPQ8SEkHfSMgqmGpIty0vcp6nWdqRKj
AFNsOBiB4202tDzvkbbaYedQX5Ly1NHtPOishz3dWVZVYPZe/931Rj29eV4auJHrXuX7PbHXl2I+
TY6rFRFonh86yNnIQS+K7sT31Il0fMIxWiiSQoI1sev9az11A//sFsK8oPEKTgpGJE5Lh23KzsRJ
fixy8X0S5UAhM4DfYiW6vZOwDZO2BNOyXbyaoDFUjtvRRFFFg6yB7G3qbroQerIBTkN3eLAU0rH2
9+yjQjlUp0g+SlXpBx8FHv70/u2/elWarUJii5gg5fgroZ+pxZ89Hn33oWdMzn1wQOmykMOVEur9
S71ac4J+N9pQHpOgN+RZSKNSG+yIfAiTQAzzHm3ubLy3Fl9vES8CiX1syR2OUCw+DN5xgGLoj8NJ
Z5z5Z2e0bToRxMwKHhi76xjVT2y2qyElst/EoPvZylFIvk8yMfPnn4Xtm+0l0a50nwfS/5/cTKYY
UI/BUuipKtvNOlyRY4UfwRjG4hs9CUrHOYGO/COoMLA4Bjk7fMs2Og88LTQwrkZz7GDmlpMYQqPJ
rG+4nvv5RS8LXZqnGZXaHgcqnTW+/1lfYtz0ozEGC0B4QTbUUUWvsD/az32GpGiAzPS3FqljVlAr
Ih3mCIoz3zVqm2LCISGNUeZc46OacDK+fwNP4KY/dyCpFiRr6N2+D/bpFWedKjEpLIk5Bs4NMyKo
zLIW3HGbKgmzk+e0RbWJTo2RR9Px+3dT3HBBQopt6fUV58L4/HLKzNUtHlr/s96IQFWoFtD2rzgS
ELmog24TiN5AODK18p5o7Y+uPiwVNt6q3iSRycaH8MUMPdv0/kDzyBrbCWkrldOiwywgT+3+NGW0
jCd1nRt6v3eq02mX0dq+1sFPG32cezIlt8EMTB/xUraS2/KfG/QdqT1RM89tnTRlQf+U8dlQ/uQ6
ykpErVYovY28/wAxCzqTtpqUbrJUOW3Z91//qwWHhopmtcI6tyHJHC7tgcoiMcxl/lonjSBnjWWv
S6Bw6XUG8Ltl/f4l9b598cEJtUDfmdEEYAH8Q+0FZk7YNHbB+DWMPd1jHID05hcA4+zc+Gh2Jnew
copwoIiarEgnhUaBNuuxQdHhkwsBR4zIiUsl/xMcglwr+DEj3zL5mmMFXp6lZduXd3Y+2u0Hu+uP
IJkPAzUid64v6BR5sNK0/tzLbYauQZwmsuu+qQY27b2b+XpZZJnUmdX7r9c+2NL8dg3aBBYGg5Ki
1DzIDuJxMouiUvZd1fWoveI/ghbiLqaNSqWbZiOnA24MS8n/+TRsWJcT+lX3FGtuG6wkbV1aMJQ8
en4vR6T+6SPAqCLDhhYJOdInCPxI6izRba3J0G2AoMcSLDlVgafbxHnJdORWGZbg4Yzc5SyKY0NP
iixV6nhNQZBPzalhEEeLXVUjaH3x/ks4eN+8A4gp6BuAb4Qr9GoQ7LpxH5beMN0NZaZPZhhCestB
faJyfv9S4mA9629K8IJhDFtb+ygdxOyxlvRULSe6DZz66VqDS+tUo6X00USoJwQ9z94LQDq8hWqq
dJf0959ahUZySoFg8nJdx9f9TGpBSaSzyw4u3KmRZ4OxfOjYqriypYgsjSezGCiYtnkVUR6nC0FN
7X4P/pgW6SGSgXQRe2cJzIW/UzVe9WK1uBlXQR2adNh/LsiVRQe03xhuor9kZj3pnfuKwF9v+jbV
jeXfIzR2JGs3Y+bBuRfh0M0vnK1ypAXy/isNXn4+LZsIagBJERNpFnCJ5sESbngCFZgy+lEo4X/J
2sq1dzbj0b2XB9Khx5/0u9iZwvM5SItoI50IcpadF/e4suI+WkG/ZGiKLV9ozKg+YJjW3CFKJrqr
YupUsk4CZe/TMLsuGbX9UNLpJLRbI5nXzHK8S4Cx9Xlipt0FJ1KyUK0n6IwbXSY+L8yR1VmEBrG7
wofbdDZ0DfN7YzGQWO6LKcFlPWyvHE6lfOcUhrjw51Ztejk3W2bixX0CNOGsKGymBJnsaefV+cgI
r7eKb+AA3HPIhpgvDEtjWlhFtv6tzfn8IJPachFn8hJaGHHXndi4K9+OvhjuUyEScFCmgSC5Qd/u
K7Z13SNmTe0nnA060qJogI4zZDvGBLNcV8yLpvWE+YKxQgpPnRVVvcWYBipDkGTZ5yHwPLrmEQLc
/djWt0s20BJzQD3T7TOcNcjTa6efze/23HffLH8Bbzm4wzqZvPI897t066RzeoR08mpBkH5pdBqZ
ipZfPEzTB+1Dkjtt+dhUFfUcUOR82pXCAg/2/tJ7+k3/Op1YetRTqEmRDoUW59RhbTXZmOIp4CqP
FnaImM/YRNEVGpZWukGhw7+pMFi5SbsIlr2J0rncCCVTvFVTnJGmogcNBYbNu2y9NjyrjMa/4xjq
SB+wCgD/yplu9xV4d7u3nGtTZdWvchDBh4qu5bWyZ/tzmFG+razaMuU6zuNLUSJjgodp6dHUyBlR
WWNIv6kN58esjns67EO7s2L48ebUi/VCXfVXKcLTG3l6+6RpULr8QyhTTevNb9y4emSvTFehHVX5
FvdFnKO91vTu3n//L4Pp88VQSgIMB9PlNfU/WhzS6jasHj3TL8FnTeatVdHbXqGOcKEcMVB7x3V5
zXjWz4/kwgcgPC6u0wDSIBaA4Iw+TAksw+8mJ5iXR5jJrLIkFcmJqFGJQpf2obLC4qswwmkzYBdU
rJrW8PYONqTHtAddHd1eLEFExnRVBxgQ4BiCmC+TBSuPSsYHiI8jMF38N3vntpw2soXhV8kLoJLQ
uWrXXGDs2BM7RyeT5IbCNhECHUAHQH76+VotHCRs59CpXapdWzMXM7HTqJvV6/z/a0k6LYPVHpSf
D6F7dF+MN1a8O3dj5jGNwsEqptqTxucQpPtXm5WzKUaM4Ri8uTcC69y8Z6KdzQi6rzHTOm1I6gZX
MCm5l5VZvUzM2LwmBxq9SQdikIVDYQxWx2JH2QWEywTCCd99j9u4Sc+2Vvitchbha9NdhS+XZIrP
wyBdvYntIirG6SQvbyqGCnwETbR8N0g8DISzM8Tki2Jbwk0dBteCj4cxvmudDcx3BrMxC8juqV+v
FxRCsIkfLHvgXYZzZqAYZLUnI4oO9o+oNsTZdc/WEnRxGCn6ZLsAxZKUMN+7O7lbh5b9WjCOf1qF
ZkU39FoQ622JJX6gUYx24ytS5RJm0XVLPxL8lbTGdb5OfRhlMaZztlgtrL9Jmw3i0aSsBq9IVC7O
KEQUaHo7yO5Wph59CqEYvGQGkv5usPHNs+dv17GE8y4+bVk0R0FycZQ5MofU2mDlX84EkNsd+cwj
u6GPoKIulSQzvHb37j4vJxdOMripNottQn/iZhX/xpHAS4xjBhmzL/BF7SOhFycHj+9GMygcq3Ls
5PPqLdSz8+gyjByYRe43/vUabuizyplPTlf+ZPdl7mWb1fk8vzeuf3Amj4gEFK1kLxFOgZoYtl/m
Pi63mxRKw1ng6s6HtWPk74fRYDB2SR0yVSAuX5fRGooVK4kvop1pXBVMfCGJGxW7t6E792h5Tbab
y3BQmt/ozV4z44ZBBh+ef8saANcWXIIElC/AYZce6i7XUbaN7dyD2n4WQBETkXFJJ1/T7J6RAuu4
skdrfbgkNxVDyDIqbLK848XcsTmvIByT4fL9E0rVDAfKUsf9HBbMnSVpT/EjGeTzq6UDLfbaZIqQ
U86DiwAEgTVKQcVtIcwymJcMtiEGAiZ4cjxQkquXAwT6bLEsBle+Ywjww9YdXNZfY7Xb4ogs7HB1
BoNmsQanGS4vYwr0xAJmzPAN+OkSmoG2zDbcUK7+BB9DdYoXmX8ooA1jqEFkZtB20OiEDqHQd+KQ
r33L5BvY+l1aPHfUoqkIFgzjDhgM4a6utis/z0dpuHLoiPaGqXFBW9EW/gYnGP7DPN3wc8k0cCat
DUOSdJD+/ihlaRyZLYEeN22uuGDWOgqjN/Gkiv21Vc7Ieq+Dj1g3Oz8hk1iNylzfvB5CHEVNKb93
vLGX2em3OfPgloz2Ha62L003zT/ZfhRc6u52+XGYWSUVEqzAGUCViMsQLNwTa025V17D/yOvrqsV
+KnpHSi2cZgTpNwWh6gJeoQxuU/jLPZ/50X67cVJGpXxTdhCXci/36AuXKbo0o0Hg5XnQGYl0FN7
HJbramCtmN5BFE6WgTTLA+zC9DSGQNKH7pMUoC3K4Ud7OJaneQIMwA9JywCKdX4FdnEE9yP2tXWG
pNARTaMx6YC2dqsY1YQ22OnMEUpP4uBbhG+wqyYXC49BMBArxKH+d65PTv1J+dlYDkYLMx8fHN5b
qaMOgQR++3LQbs8rmLDAmaR9gITVl+cgx5hCVbbyvEA/T7NKfz2xPlf+6jLfLE+T+CxYDnGkC2bP
+KsgIe/DPKRVwAjroZWcbodfrA29NvMx/nFwpd8PRmHqnRU+bUqu8Xo9hyzGsjeijXQ82ARiYvkt
dDD8EjNbErzm5ddFPjwV/1lZDOcMq4/5PRW+GCLAwWll++dWCmUJjoZzudY3CQMv9CItR4MsN82x
vizB3yZQMNH/h0wA//RoOA1G1tB8FZRbl7zsPaEQsaPHTMLQG1zZ9oJ+lMLMYdS9tAblu2ielKe7
hFkmA7945/hfDJgI88Cd3tOldhovmJDpMFTHcamk+kwkmp+WaTTe7GLmiC3f7waT68V6m50u8/h0
U6y+ljDTvgyj8m2Qu68WRnJzD3F0sVieQBwVvaTU6I22zKcdmUlyG+8sKDloJx5V+vYWfuRx4JT5
ZZJv7VFEcLFycj6MQYdL800Qg6Wvv/X/GeXSbESgLk9r0OW7cpZV72c5rm7+139kbUD89C3kE8V1
+nu/9PxCDZLrB+pKkLnik7T0Vf1S9Rs/t0ZE3YfpuuhCywHmVQe0EBeKByc1ShNC0frHA9/SiDVM
4DHykw5O56n9P781eZDP/07r1W/TMinEFxCEaXKorYeiYvAzm++s8H3zpq/Zor4gnLz6MTubB0lL
oZGAAI0sHvmB//0zeNJiif4SvrGfOYXOGgenYGukcU3BJC53Sd74UARcXzMov5DdceQpYZL4wB6d
AvUwC+uqdgqGJnPwJP3rp3sRfI26G7kHQrb6wZj16xTgtqVSqnYIrgYdpoNPgmkWT+cQKIprDqBR
AkRDnkLfDgEkzJBbrHQKlq7BtyvYiZuncwq4b0D3cN9AW/RTFMAyKlsGPFEq+zaV3+ZCYAAO1YIP
dBjKTwcQoTyF3qkFlKNI46jJggtAmoIRY3bkLrlih6fA2aA3RFayuRDyCvZIOZK2dFRNhDXUfMhd
wRQP5ZXoGErX1hx+Ag17Yyh7JwvQ0YvMiJIswIfBtSIyoyVwf+8PZcH1NKE0YFBvZEHapB7Jgsgd
Y92VTgFZgIKXCJRcdP10ZME3caogwTYA89dP72SBO6tqIsyhRmhOyUlvDGXnEDxHg+hcXJfGW+if
WjAYzaAoCuIUANnRnNPoxo5y9PAWsMc6ZZOeigKFK19ZFvCf6eDnSshNdp0mH7VBAyFjoxq10TtZ
IAcjKu1qasHSiJN81GzjFB3Lgov7jJPKSYhHHnuPlCNfj/TpOyH+r0TThmZTJ4b4tJGFrufIhTEF
mlskAznuHu2eW6psGkTykoZZSuRtJ4lUqEsGHBeicQ96993TIis6HJVuANqQDoQhNFePR5CeiStJ
qsGioNTPG0C9zVO2CXAN4f645L6bpy0LWEbkn+q131wReew9ugnASUSrlpIs1HEyllEXbSSHPiKT
CzTRUy7krRYC6Zr3aPuUA9TjBZN4gZ43QO+PCgHXTYPRkCbO3m2fVJIojit9+ybbB4YhSEYebvqh
EHgiwYAaEOMd6qd3LrKktVQ7BFHJ8hgAJmRdPB1byJQ1TXQtkkHonS3ke1HVAJaleaKnAt5E+R3j
W7RkwMYVgEKUbrKeyoABTaTqReAQEAKdKuOjhyBySDAzCXZTKSP9c4voRZf+uppXSMrUpI1M7rKb
SfM1+H1EXrmvp4A729R/FE4B7lEa+PiH+354E+AgdKBlokm6SbH1TghIcYrpq0rq0CKRiL0DT9FE
gZ0qizSJOJD7fGvvLCOx8lF7xC+XG8mWct0pOT5ecfMIkOhxgJeu0Yr9i5UBD0gB/f2rYNpkh7ju
cF8+qhbxkQX7n+VYjcLonYXEsTFVI4Whp9nkA2h+7ISLCAGxKCTBImkinv5t3wGBqqgQCJYB/KD1
KSPVDwseqkWf+gvdmBjPxnbKxG2PIgXKKwIWpqQWOQXSqKIE/0TQrFNwhHCSJll5Sj2UBXS26imQ
IiRvwo0/9hIFqJp5W00g1btoWcRLqkKArwzImhr+PkPatY0U2bA9JFaaGk6PLoHhq7ceWFqNawDD
Is1Bd/uGgYcEco28xF5TcOn6dAhcAWUh0DXw4wiB/b2qfqgPKSaQnxLl5n21ob50PToFRqN6yrEC
nPtkjw3GLz7ou8NTAPmGwsRoQqLft/2Lip+iInRoNyNJ6urDRgjYZGv79lCjkxpopZgs1q9LQKFd
2Scy0YRDwW9w4Pm19q87Gk3kmEOvd/EBo0M8aZ0VPGNdYxIo1WO+X/m0v3/fIKEgSEDohK6f3l0C
Mp4CeK3kFIl2Cx/6BaADcpcdr4BkAelTLgopdPkLfbsLBvzFqrKAVwAIiLzIvtesewpMM3EoJ4J9
6V3GAF1gKEsBBpGLTkm1cX07aSOX7VN6h+dFykD/ulPpHFa2CJZNLCy8n4Mw6FAjOr7GaAQwFEDD
66d3GmGoM7hBXSPQdkntkJzx3gU8PAWmdcDejufQ1HB75BVBo6ocKtOHTTGNzs7vrl9r9zY9eB5s
T8yRrp8e6gNS/aoyYGowAGEY980FCFXrFETzAYeEypAyIhM0PRIFYjgxTU7JNtKzD5MGpm/frX5k
FRysAu3qDBjY35Se+Ymic0zxFCzuO4BFf997KzpXurIAfkwXUWP9SAXUI1lAqR9NOfvVbLKQBZQi
Mt/0EnQsJPVVYSKhCBMwup+Vgp84pAcc0Mk8jO5qBFA4yx8DCj31C3sAzPHPG/CLmOIkEC6tXxSA
IPnZsxqaJP7/rxawo84KHPxwnyWoP6f5680Gjz+69Vn7Xe3/8DycZdPsdg7DpRhF17ymnEjHAKqb
aTw9ROfgsyBz39/kCHb5oAV+sPDjk60etv+b62YhwPX2C9eJHOUXzpbQxU/z/dbrYVx1IVV15ZNp
FH5LGV3femsJ+lBeO43SbHqXHr61bAFQXxnk+W0R3pZFa/G610518fEsmm6n2exwZeluKK/coIN/
gPRVlMIzTj28a32fTWFF9f1fztIsaEtK0+KmuvI5Jx6Ghyfe9EupLnxxN523BLCJIZXXZeprkobt
GynzlcpLJ3fhtKNFZAud8srpti0WsnFfddlXx7pJVrKUF2aB8nZZteRCFLP3f/AolPWnTMBlWob5
0THLXJPqa19Nw6SlPZqIVX3drIqmyd1+97Uxlw226kvn+fR2XuazomjJdBNmKq8f3sLaOW0jbWU/
lPrS2II8LVqS3YCY1dfO85B/V6uWbgIIJ1AOf2L1tMy6SwuMnfLSaVJ0dEhTR1Bd+fXsJuvOBSVx
KtqZ1JfeTNt2qwnt1Bfevjifxqt8HrbNOuuLAPpPrP/3LMtnLU3VZOv+xOJXs1142zJjTVngTyz+
Jc2W+zOoVYqE9ikvnWbF/MXJNEuxlO3LKeHlf+YDxtNl9+5LgKbq8m/mYfvEZaOS8rLLCI+kHdU0
eCHlpbNZ0CUzqLuuVRd+O0uSvIo2006Y0MCiVZd/P0/vZi8u8iPbJlMaqst/SMsnBLHpyv4zH3As
iE0Tg+ry15z+DObMlksBs45oGFNfe9eOKhvSA9V1nxomrxjafJplMZZtv2+hrZomUtUX/hQS2XTE
u0H3qi79zxS7w2DA9tVsuj+VF5/lxYtHX162USmvH+a3KYOMWp5bg+xTXrtKocwKWt+mrHM+v/Jj
maaHxpXj/NOeG+axv9ZOronfuI1m0+yvfwEAAP//</cx:binary>
              </cx:geoCache>
            </cx:geography>
          </cx:layoutPr>
          <cx:valueColors>
            <cx:minColor>
              <a:srgbClr val="F1EEF6"/>
            </cx:minColor>
            <cx:midColor>
              <a:srgbClr val="BDC9E1"/>
            </cx:midColor>
            <cx:maxColor>
              <a:srgbClr val="045A8D"/>
            </cx:maxColor>
          </cx:valueColors>
          <cx:valueColorPositions count="3"/>
        </cx:series>
      </cx:plotAreaRegion>
    </cx:plotArea>
    <cx:legend pos="r" align="min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FC8EC217-5843-40FB-8543-DB5062F76E03}">
          <cx:tx>
            <cx:txData>
              <cx:f>_xlchart.v5.2</cx:f>
              <cx:v>Federal Funding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1H1pc9tGFu1fcfnzg4Je0T01maoAJCVZmy3ZSuIvKFpSsO87fv07EClbRBhLU6NXr6iZikokm7jd
p+927u32v+/6f93FD+vyXZ/EafWvu/7X935d5//65Zfqzn9I1tVREtyVWZX9VR/dZckv2V9/BXcP
v9yX6y5IvV+oSfgvd/66rB/69//5N77Ne8jOs7t1HWTpp+ahHK4fqiauq5+8t/etd+v7JEgXQVWX
wV1Nfn1/EaTpQ5XV6/fvHtI6qIfPQ/7w6/udj71/98v8y/724HcxZKube4zl8ohxTTjTynz8Ie/f
xVnqbd82ND8iWjGTUfr00Mt1goGvkuVRkvX9fflQVZjN4++doTui453L9+/usiatpzXzsHy/vv+S
BvXD/bubel0/VO/fBVXmbD7gZJP8X24eJ/zL7qr/59+zF7AEs1eeATNfr5fe+hsuzjoO/srKNHhD
YJh1RAWXUhO9FxhC9JEkFrUIJ/rxZxef18m0H6DnY2cIOb8dJEKfH/o1ds9baQ0jR1wyxRUhe8HR
+ogxRrVl0Q026unZG+V5UZz9uGyHzSD5/MdBQnIRVFXWlMHTyvzvtoypIyYtoUy+RQUma8eW0SNu
WUwyoTaoyKdnP5m0lyXaD8yPucywubg6SGwuH7p3f2Zl9LQ+/zs2nB5ppimHVmw0hu1iY4kjiXeE
JHwvNq+RaD82P0bOsLn88yCw+bk/fG7Rdj75X8YBTB8JkwmLM2svPrBoJlHQHb3Fhz/tjY3uzNz0
P4u1H6TZ8J2ZHEYMcBuUXvDWEYAgVGnYtO9O5Lk5s9SRRNTGmdoGAGIXktdItB+NHyNnKnN7mN7/
NL0P1ulbBmf6CHGZtrS5QUbrXWum5BFVRJlSi402zbTlFQLtR+b7wBkwp4cZOJ9m3RuiAh9jWlzC
iPH9NozBxpmmJOb2/Zn/f0maf4DkcQ5zPA5TUS6zsvbfOesyi4M31RdxJJhmlmBbhbF29cXSR0QJ
pqSUG+RmyLxerv0YzcfP0Lp0DiIS2JEadMDHhzSthrhdv6nb4eaR0sg7t3yAaZIZVtaRYkoht9li
OcttXivVfqR2R+/MGBM+TK26fSiTLK2fvPMbBNMchk5Q/G8eRdMjKanUUrGNY5qHBC9Lsh+W71OY
IXL7+SA15/R+7WdvigdT2rToExUDlXgeqRHCj6SA/VPmDJAXBdkPx3bYDIzTxUGCMSXP0//z/C25
AHpkUVNZSvxDhAb2TCDj5HSbj848ziuF2g/PzuAZSBc3BwnSl3rtv53CINtklFmWpNv4eMbUEEKO
pKUopXKGy0ty7AdkM2qGxJfDtF1XUQzjlbxh3MwQnSnGETlvgq+5x9cW4mbUAExrm4gi29kk+Jvc
/zUS7cflx8gZNldnB6klvz9U9bsf2fNzFmRngv8tOYNMn9OJnNlPNysTpQBmMW1u30dY8BygV4u1
H6XZ8J2Z/Pr+99vDhCqo7rK0CtKnpXqTsAz8mBZMPtECu2GA0kcWigICkcD3/HQHpteI9A8Q/Rg6
h+f0IOE5fsjAp72lkUNozBVVKHZuFn+W1ih2xDnYT25uE5+ZDr1CoP3QfB84A+b4MJOZm6z5f0MR
sCNtgl2mTyW1WWoDG6c0wEFosInoZoHB6+XaD9N8/AytG+cg1Wgqfnx4KKuH4Q3NnHlE4Gpg5/aX
2SwkO4i70RaxDb3507M34cLrZNqP0vOxM4QuPxwkQr/F62/rN43mkPlIhAtwQt+9zPNkFNy04uZU
h9vWpmfR3CsE2o/N94EzYH47P0hgLoI7P/DWbxsfKItb2noq2MxoAiUQH5ioKky1helnZuJeI9F+
aH6MnGFzcZjRwcU6SB+erMobBG4CTVDQGcG2bMGMnpb6iBJUplFd2AAzs2gvivMPqGxmMYdkeZDq
8lsZrdPqTZtsODw+aGhGtqjM1EWjnYNpIgQ6Ph5/ZtzaayTaD8yPkTNsfrs+SGzOsyao3rgCah5p
Bf8v5ZOX3811NAF4BAyO2uZCM5V5lUj70Xk2dAbP+WGG1E4WZ+X6/g0JaXRCQXOEAL25N9khJigf
bk39HE9WdBObvUaU/aj8GDkDxTncFqiTdZJXflC+pathR1Khy0mzLdk2S3MsciQmXhTx9Qa5Wdvt
FAC/Sqz9KM2Gz6C6PDlI83b58K1cV9EbkgUcKKCzdmKov6PwPIZGNxSM39Tcud/1vEaifwLoaS5z
bA4zLLjygze0a6hNczh8dKzv71JTyH1MqJaiP7zSc4btJWn2Y7IZNcPj6jB15fc1DFrq1dlb5jUW
UCFoHlTb+sAsfCbUPBIC7NtTYy6ot+eovE6m/dg8HztD6PfDjAY+o6sDxyUe3tDpoMCjOIwVl9vG
51kkDUqAcUa55FtzN4sKXiXSfnyeDZ3B8/kwW9bO3jrLUUdccbgS9NM8/kA5dlwNmtoVWm/RnLvJ
PaFcz5XnZXn2A/M0bobK2c1BhgAX63KI1+n909r875zAFEIjBsCq7+JhSbgYQtHMvuUCZrryGkn2
I/Jj5AyTi8VBYnKGbdrcRW/IPONM1AQJDNXcgAn020KBUMPeS9C8RpT9oPwYOQPl7M+DBOX3IcOZ
Qu/t9GQ62AGmksp/YGkQJsP5E86R72yweXr2JuN8hUD7kfk+cAbM74cJzKb+tFhHb3u8k4MjA3OJ
nPK793juXcDgHFFmoigqZwTNa+XZD87u6BlCN4dpz05jNEVnQfW0f/93H4N0hqBnkIOo2aAzN2to
i+ZqOq/21MX29OyN7rxGov34/Bg5w+b0QIs16K990xMe3DpCjUwQjYaAxx+4+V3FQQMhx/kcyWaK
c/GyKPsx+T5wBsnF54P0NJue+zc3aMg1cfQWfQDbDudZeDYZNAQBOK6+nwF4rVT7IdodPcPp8jDN
2lX54L0pG4BGDpzkgNnaxmJzhB7ZAPRxsBkN8LIg+0F5GjeD4+owazXXPu41eHdavW02A0JTUoXe
sy0BoGeeZqKdicKBNb71NLOs5rVS7Udod/QMp+vTgzRvK9Rsgvv1k0P+34MBqo4EegMJZTOFAanJ
lcU4nVpwp58ZNq+QZD8s3wfOEFkdZgzwWxmM2ZueWuNHyPNRwnw6kz7nNacu9UljcJLgEZiZQXuF
QPuB+T5wBsxvXw9SVRYP8bpbv2UVDecHTBzukPSJFJupDG4TAEcg0S+9tXez1oDXSLQfmh8jZ9gs
DrM+42Rgm+/q4K6p386UTeUzSxCBAPpRL+YHCiyUaRh6cQmd4fJKafZDszN4ho5zoDE0qr0XD31w
94Y1NAZKgKK0SZ6R/buZjTwiOO6hEWM/bYkfjZsvS7MfnKnw/DR2hs3lxUFatYt1Va3v/KZ6qOu3
5AToEW51Qh86WgGfnMpzeBCpSRNXdTA1KwS8Wp79AM2GzzC6+O0gMbp8aNdvGaNN59ZQyESj4H7C
hhCJY4U4yG4hlp5+/qZBL8mzH5ynecxQufz/dPTmn69S+37V3GJdr5ePd9Q9u03t5+8+Th1X582G
bqtdewPsTSHs9P7X94jSJIKA73ffTV+yUyebt2Q8G/Swrupf3xsaXaDgqbngGvEc7l7D93U40IW3
cGPEkSlQoMPB6ukcL9xWOl2VgPvzGCIRnGVUEgwrut4Jenar6YgE3jK/3wb4MYsHJNnf57/9+13a
JB+zIK0rTECh0yfffG6SDSfuQJmDOGfodWBSQDC8f7e+BnuPj5P/E7PGMAfXb89ZMurWvxijEucl
I5vxIhzS89YK+JAnp0Hr+g9+Y6jCjoKo+yxUKU+rsXZv4kS5o51C/IuShPKKlpU870Pc0mTXsZE7
tIr91qasNFbpGDR/8CpJLktlFeGipbpZ6VoFl7RXzIlE6dV23o50mRO/csQg2GXtJcJxLbNYma1K
PkaRmX6su6651qmkoR0MXnRbDl33gRulauy+lOkfZtG5t43pG9QuVKavY18l1yWtb6WKxtNKkf7Y
Ipb3URZivDZJXF73HnNXTEP80a37pdGx+kOU69HpOxY5rST9kvvcquwgKuLPTRD2a8tKihNcJOh6
Nh9l/7Eo8uqjtKT/e5FEzeCYWZgvmNfSlfYtcmOJwr8WvQyXrclbzzbMtD8vvY6eq6L6ksRB7dmE
UKu0ecuoY7J8/IzKV+SYpP8W9X1Z2ayNqhPTaIPzIkjDyE5zUX0N0rHz7QIYfomjMLlUXeuvjNof
P5QJJ9T2B+Yt4lZZTphGStmhawQfqa7CEyP2rrooDFdW2EeL0RehU4FsOTG7rDvv/bQ5Tw0SXPok
kcquk264GeqiWUW9jpxaRvRKlX11MtAivbAKszvnVTqcKCLZOuQs+xBqUt9IRePeSSIjWqY0ryO7
9Kk6TXLeXIykMFcFsYxF6sbpJ6M22U098PpPXPAV/zXQyvxM2yZYyKhPr5JKGJcssFaeMOs/sFb5
4BR9qj8WlUr+YGXQrojK00VaU3PZpdF43JnCWBqs7O+LrqquSJ1n52Ff945mbVDYITaOZ2tD6zvG
wqZ0ipIUvm2MLI2dPvajJZep/ymtWjOypS7q5eAmo52YWbtSlT/aOEa0bmmrztKmDY45E/klL4nn
NKmZOAYdG8evvH7VE0P3y9bQ4Xk+cn4Se7k6MVsZP4SpF340c51iT3njVSTCPLdD4Rp3KmMqsV2v
ItouOhn3trJEc5YG0oL98v0PQVTGNkvccBEasfgjIIn5e9mH/bnUkbn0edVcBFYuejvLi/ZTaXjj
n0WcU2Ebcd6f5SLwPmseiStVcLtUuXfctlb6MTCr+pq2Pl1GgtWD3bRjlGBPppYtsqIZbb/uxUJW
tRXZVZcanR0o6Z6yMHRPqSblqRjCKrZVQfhou33RN7Ys3eQWZiT/OKTxeJJ6hblsm0QsAyM3Lyyf
pN1x0+a5YxWBWpb+UFwlXuJdlT6nC1lI9jUOYh3Z0O3+98r1Lc/uVTPcSBkxz8nT2FiOIfFPhHST
D83YpqmdGFbnOq1RiHaV5oN5FbqMEMcQaZRcGpHybi2SFrltyczNHV4ULixJkI+LMcnuYxC/ym5k
0l+w0UoGQCOCaBEOrXHrtVWllyEKlK4TG16/YAEJM2cM04Ku+r4YEztXef+Jxib5vazctHG8nJZ5
sYplJsz+ggil+gDAeUnT01XZ5l6iHa8bpPKWvdlU5o1bDXSQXzwryevrmvlNe5IVCbT9w5jTyhid
WoVJny94S6Pupgx7T91xL3L91PGt2OzEl6QNu8JaqlwY0cpomjq8H6w8J9ExGqnLcv38ntMdf3KX
5UMZeP72gtnvf/7nc5bg/48Xn/54cbqf9sdfOBiyudj2p5/CEcYpA6jmH5rigO/f9eOK1cn3fr9v
debNN1fh/oOr/+mbO3HA3fNLYp+ylEeXPrnJf44CZvfMPYsfpnHbQEDKI20x+NypQRp345rw6ZtA
AJE5eFI05+JWNoEIQYFG3QYCiMsZWqrRUb3Na7dRAEEfCaMoJGm4CJSTqPXfRAUMXN+zoGB6Irrp
NE57UwtVDuTQs6CAhGVKukg8KOLWjV7SnOdG7Jh5G4y3QjR5tIZKimqVFkM18EVNe+H3jpG55jcv
LXlqOBntI+uD9sXQLCJtpMVJp5O4uohFkhuDnUW9yL+JqA77bGFIGYfM8SyLkwerz4YGLru34rVS
InfvWMIKeenJoMiZnZCggig8F2Vy5ROz7tKFF4syyu2sE0lyTqyhgMhekpDhjCYsDf8yqjbDmGeQ
7gmdkAjtrBF6p+kUw/HpGiMs1yxwskgSNL701YPbZWlYnNQJj2HfeVuV1slYeXXQOWOQ407f2HQD
6q5+/niyG7ghbsQlo1OXCkMSjcvG9PT+s8BtDJmqpCmD+5BELAqcOmOC+bbW1CjCVdl3XlkvSr/2
ONwaN8Y8/dhxNlTUgX2WHftQSz+tIjvLClaSS5D6Bd77uZDYws/XCCElYygt43JBkJvTttyVsfcD
g/olM+6lUbYmXXij5VkwiIrXzLTTspbyayRMtz79+XNn2EzP5Rrtbrj4g+Je6flz82bIrMxg6t4b
sOek3Zp5XP3hc5emnt2FQRNcpS5u565t388Q7to/fzxC+Nm0LVzai3PgmqNJGDq0O21PtIFh9j67
N6zYKpgjOlOKNRTJqE+zMbDiy8AgGblgUTE0N1FlmqNvo6M2xqL8t5IgSUTDJQ4vPZ57Nncl8S3f
jcPBLO+57KByq4HIkUQrUXZNxZeBcrn8WjZYgsKukHvIr5k5tKVetkFm5t0LqCB/2V0WQdGei4NU
0504uFVqthtqGZjhEKXunavHVJTHWZEn7rA03KTSw/GAcBJb5OfzJzNLZplC4+7KR0XF5Unocdxd
AE+PodB5bXzDAQwrMU762p8UIukzH3eAN13IR+4ECfxubveaMiyECEy/uUlyGQ4OIuAyvdGJn5Tp
ohBZSa+TNkirbz8Xc7KnP5IwbqFMia4yE5V+EJrQlpktaTpXlWYx9t/6si6xCcwmMoGPiexDGMhp
WGvc5DQqJqWpu2z6FeRe8wI+f1ssEAu42ZDhQknFGYdp210sVdCqHiqZfUtjYcCGh7BeY2e3g1kP
4oy5Ana/8hqc0UtCkcKilnlSEnGijNBoI7vwYW0nyz/4GJUGY9ye8T7Ks+QFs0LmCobT+bivlE6X
9wBhOTXqPbd9PetSBM4j+1a5VBrJMqyrPG4+FmMd5KnTFUMB4QwrafFeNhRJNiyQ+Q3GTZfn7mml
yzj0nGQczeEs8Yu0du1Um9KtnUaYRnwtE+2NiYMaWg+TSI1wIOkHc9QxvjUK3K4oXlBTAsZmZwOg
sQ3X4WlposEdd3iJmcXAzkyLNm3zr5bIRCic3MTR98J23Ubr0iGjZcC0u8PGesYNx3vNoznJiavw
Vt/VTBarpmMv6xCfW3F0nyAYERrpJxiIv22LqI+qxPWz/GteQouKJasixS8o8dlwxqpmwHJot43H
28Tvh8GyG7/sCt+Bwe/ktVeMrnGCXDQcb0ujqeSlCuQUIPS8TWJ9HDVigiermMYWGlpLtNd5GUbj
7RjLqItsM44npxVg9QFQlmofLzLEquOtSvoe2DERDvhVjaZXqwWSYlatpNVM2EW9FyDAKB4fr5Vn
DJ2tsj7EV2QIHiB5YKRTbFDnIonWfSWRG6x0W5L2BknsWJ+XZeSWdhwnJUVe57lJf+JxONc/U5W6
/LY1W4JNZikPcUZbpBlClJ/bhrnVxOpbuBMJ1yJzS+I2hNnWYO6QekTn8deRJFWJBIiaVl7ZXRZm
8SlrkN3y5c+fOLdGdLralBL4bbD3+m9PrEqz8ruEdX+ysZk2Y9fwyfzRyorgvGVbCPnVDdmITdjR
pq68CwuGBfv052JMZZodpWC4YYBa8BW45YFyRMm7Wj6ytikMLZPbhKdJzew6a4TxkBV+AWvkR1VK
lqVrZcHHtlIeLE7ui8xbeqqmbYaU2eri1q6pV5zFrpI3PStjNSBzJbK9rpVhBg7onz47wyYyfTs0
uRvkNnclMt4Ppm9iH2atj+ji1A2jetL8FoztFW4Ts/LBZlHJ+vb45zOe2zUFvt2cbiOjj4cmkRPs
zjiSyOS6orK+tKAREMSKsqQIYttx2rccQRY/8UnXY9v2kWb45dWPka0h82lLsybsqHvj9nLa0rQI
xqQ8CXLKJhNZjJVJVkXc5lVwPIohgta5XTLF1GRQCbTTIgXU6OdTojPLBnpRKbhNWDUgiFtXZqa6
YGkyZmFKv6jaZ9CtOvcmAWqDNZPqPuoxjpcOkM31+0nFYSsnk4LMGY7G8AnCeNKL6aWsiHBAL9ah
xU+CLp7WoRi6TF66RY9PBT6bpjh4iaxWkWGVbJWrsmWVM8BfYLovTG0WZWJqmqBhgkBVQOQi3ttF
q+4jYsVNNnwByzdZqrossLXGeAyyu9pUEU3toc6K8dai6eQfEyMjAKSXSewNyzGRpPZWmhlNB/6v
KrEcnRUy7D7WjrAmaQDqqD3mXZxP1q2B2TwJaN7BrNWISPDAoHZN/IUci2ApEo9jKera8o3aEXET
QiV8TUP8tVmfyRRO5xu/J7YfNzHKcwJ5pqMK4QKiK4sKhbTT/FuoS7qRy0EWxuc2sTJYh014S33V
t5GDzNL30pfMwswdTY8EnWZSE24JrUTzxMsMM0SteW99rhqCHVIPqJwFx/D9WB8e5jwTS7czsr6y
ZcwGLHjcuilCFhg9rFJX9nH90ZKVcsOVW3MFYwCFbK9L1MfgARIDil/3KRzVFjav6MCx2n2sUugK
tGiCw4v6CQgjDAh+6SHU7bWZJRkkEVEE3xTJespTf77aXLNdm4jJT04ARgK3fSIKmmc2CAcrwzP7
4bPvDzJ2bTDELHfcznTDS0lHXg7Lwi9lrmxNqQ59uyyLoPhgxg3rhZ0j2jHOSi8x+IWb+BZzii7r
vTsziM2Tzm24XERWmsX3PIzH8jrJZIJ/nmgkcXfFW2L240KFqRa5UyB+rJpV1wnVXpaF7/aZLRMz
IefMLIlepGmpiQO+tSldO+tVMYa2n7Yl7x2vj1ooQzuW3RDbvSFCHq40JQ2/kTEIYM8xe9J0zXGu
O5+4iN9crz6tfQuRmWONcTeOSGuxFfPTPhrcxi6qPJSrVlseW4jE6MfPncxocNvw2HMXjNeUOAPy
02ywpVdXeqED2kWOJ2LvBDXSelFkZjeeuTo1zWPSEZ+uPKNSvrnMoyzhXwbRepHxRWdm338Gg8zq
C6OqU+MaHsNq7kUpZflltFovzew8y1C5+KT7MY6O3QDsxmrMuEoyW0cZo75jlWNVqG8kCVV679M8
a/sFtspQPOgGZQ3TieKuIuFJ7aaFUAvkASKWx25iRPJSgyyPouNWgguMUY1RKauxyj1hquQXI8ta
bOmRlFXuf8LtcbU0l2nK89w6bbQb+PF5Kvqo8JZh69Vde94J1wuClcuTrhHXbkpZcSpD7ntqhb0i
WTSVYky49bhSQadtz+CyqBe+W47hcNp5leEHx12QwNs4ke44DGybB434IzMaKapTbI7OcJ2OIWwh
l02OqEvb9cBUL69ialn4VW9eNIIgxns4c8vxuDGrePFtbApN2w+hLHOPnpDeMCzLGUIRNdZxn4Yk
iW3B28kvgugPMB2PCTiVde8OuLPICYWvhXc1dHmXWx9R9Ai7eGVFzKD5KaozWrVXMmQiAMOu9cRJ
WGUt/OjW8lzXGM84jyuslDEUMNkXsNqFL84M5pZWfE6CIiDxxzDsQuUuuxCGwFtmAVqJSwcmaxIJ
fHFs0qXp+UNQLMw8CkuF2oQJFvoP6tEUz0vCWOsvjaeKwimRemNlqWoCeBCHSH/6EsiPkMUuCj3F
9NyvMHsnB2fO5Cr0u2nFWFxH+JVVfm3cpIk1mXze1h6qPbqrM2yAMUW8cVzrMsHn8s1U/VqMWL4i
tPADX1K5eFrsEySZKQkmeEjOfSp+J3E/rXPKdQguyWiMElAYKCP5/KEokNAUqzIIEGk5nSKDVTiB
8kVjAEHeFM1tHaZNkGK9DH/Mjv1m5KS/UKE1iRwA6XxEfSjo8ASGt4pvrtFPG0yWxoS8GAy8Futk
Wpq2JfgoXKwqOsjQ4spFzHE7n7JkrPgGws3Ha6LPM3kTCe5q5vBOgwCyc1QasBbb3eOOFeo5Cys0
psm59fC4GA12TelsY1wtRjH9xSoRXTAzKI2b7VIbm48/LfLmc2AKaHRh0TyBACQ1/PZbFMg8KI+D
lA2YdEFH/KtwtkeZF5g3SMC9TNtiA1Q2tjW2GjLvpvROU6IHV9gk8ttBXumkybBKLU1ifITm4NhK
BzSH22o7Mocp6EV5lOLF2PLM4pverGCWQ4Ng1zZz8mmAHM3Js1R25GRo1JSdmxtoN9tDulGM9ZE8
wIilsOJp8r0cfOxTj5TTY3zuS7w4ZIVp+V9GI+BN/QEzZdPybjbS2AwNpMQkp28hQVlhHM5zM+yu
qvYn0TcLaozdiD+ymGXcWhomSjPh6YibSfv82DNBIqGEFzQZdFqH3sR8VB3wDVqLFt+I9FJsn0og
YsXkyxbB7lUFLnv6QtpOv1BdVfgVp+akDskoJvnTRnp+96WJvdgLVqmn8L1+wYjHTqJqsEh9xjZ7
JQgrXVvH2yXXYVtCnD5gEb4EHiDDw8M8iODnW1KM0vyCyC1U7SIvjDoNHLPyXDxchD7+JbdFHefg
NmMQBqBsAJPfnFqZN6lzA/+K16KhkaFaRQgW++ED01XcZyc1z8wkcWLN46S13coDbUg0afB5vy4q
/ELQKOLLpGjw3yHpwNsJsyOgigpw+fFlG9UuSIGuDPF04ntZeytTt0cW4A7jtPc7HOIGSdyzgsLC
qNKPG7WME7jYZNkbqaurU6Hhqvo/TdmHsDdenGVRdLKlk8M69stw1fgx8t27gVf4B5lO8tDHchyz
R50pMhVjwSq3i9zxlvkq6+ovBev8Tp7Um6n32quwRCzvxwgziryuEks5mgRWri75tHykz6ddA75q
2uIb/lRVUYcVIA2d5lsHAcWvEhscn0cRUeCvIB7BK+MSyCjVKDgHg0wuWI7qV7qQA5ly2FY0FfbV
hmQZiYhLd9WkRenSU88tRnzHuKHeXKTlYA0LwSNQlC6JkPomCXKn1KljEBPiLInkpE817wKQ8F6k
aphKJt0BPq8aYGnCFTLbafGagE1UAW1UBC4+jFMPw3HgGLP8s0N45hofOrcqy+BSs3AiKbMG7u7C
ilwm608cNNbgLns3NAZ/JbtcxNUC1AWO3NkWSCD5lXuMICWHM9QAfzT4iFnJNJncRiLcabuVtCTY
fJuVDOsMTDQLzIC1H7pRJK71KRqbzrgpEUyDVRjzQsuvsLfYX0aXj1iBkJvTHNw8NWD8kV5OLFUc
IF5FZK2TrMu/Sj34BfnG+1jGl1IW+eCuOM2q2virQ8W0d5fwaCwWdhWD/zYcFROrvAUj2UX1Z9Mr
Qs9zXDEwv7/uLMQ2xb1ug7agf1auAjVxXEZNi7opSuxVdDvyhvLMbuAdeiT7hGSIKS1L6IY02OUJ
2lCcFi8aVmtbHSpT/WI7kw2WRR6CIHbQbDVM03o0N3HcTvZPD95kTRD9T8obVMn0CXSwYM3ckE6v
CWIa+MTgDdMHXQZ2IkF5O51qG0Hs5lBlD9GieznWA8mXIRR10kqdTO9styxiSlgijZOVeGtDwU/m
1PCcsh9KZtmElqb62KD03WV2Z6Yg7PkwupqedkU6ablnjBMdWKFOhF8cYVl9Wowm9jc3UX+4BG85
SR4FqDR+3T5IlBourcBWMW42GVsahKMV2WGaN/xTtDFY0YZoLHBJDXaDERcTCVmVsuR8gTJ9kbm2
X8jGuGkCkWPOdYcqXvshoN4Uxvm8xzOsNp7Eah4Vzsgi+BHbFc2k5DmdyoyLtOunPWm5I40CW/hV
miRLP4yhjavNgoAHnoxepHAvMsx7RYzwzKcsttQLxNcsoQeXA/uAHUxh3CT5G63s1/jXGMFX0xs/
yySktjyvhzZ0GcxsYfBJg+IWxItvo4Vkkv2F7G43t5sej0Z/3I8+HdDA82f0e9n0mdFVFqiqjWkM
wQFDCuQB0KSfP2pGoEObTPSZ4VmgrPBfOaX1z4qHnYoK5SKUfNojZtRnmVPkLudX6ECbdreW/gQq
ep2AcMZLDsi2xvHnsuxSCOjdxv5RaONGcxvDXUiM7sritoyCvg29G5yShBkLBJni8arCaZXlmCF0
fmmd//5A3FIC4gD3lFCQi9MFmM8nH/kler4S071GBxEchRfB459aQwQzt9Xsn0+QTLTdj/LONENw
t+jsw7+zRtHkNycy+zjkXlrH8nprMTp/nEj7QbJBiFXPK9Wuwtwdy09Nx4ZwkTTpZM9ZCdNgVCOH
P3pBot2dDomQSk035zFLo+cP1cHdJRi0aXTWwIrreKNUHeI66HjfRC7seqDaABD4vBmgmZrBOSC0
MPxJkDBn6AVy2gKZ/UokDK0tdg/TMjgw9QU+Dv1wyWUwMOSTTvd/2Tu35rh168t/IqbAO/lKsu9S
W7IkW/ILyrJ9QAAkAYIECPLTz2rb/8k5J1PJ5HVqUqnKQ9zqC0Fg77V+a/OXn6V/bbP//kv8/TLi
wmHCLME4TUiyIXIaf/0OOHfHOfKBu7aTvO1M289CSE/pYB/XoLAJAkj/91IXKEm8X0pwIW//uT1D
6q/vl3tUIxhEaK+/jz3P2lFURGFnVZWZMOX1v3s/SP63sBxuDDDayb9sB/FCoUQ7LnDc3KpgFMm3
q5HLDvfFMI23A+Pfv+Ftf/nTMsWCgP10e3YpeJQEiubf9Mxl3Tw3WyqP+RAYmdZ53+fxl8zghvlP
t+C/vhUuXQEHDxOD0GT+favradSvlmXs+KsUcSnUEayjaOzxP//+W/1GMf70xaAV4q1KADIExHuB
1Ohfrxwh8GVy3k4Hs0WknXZR6m80gsVgQ6v+mLYBHnqtJgZttax6uqFbrOaUzWF/wWkNBIfVSmoo
P3dRAu2BPPQ0ZUwdV9QGqbpSz2Xo15pGsJzephHEFtsZESXDuOs7u0UzYFCSTX1TmBRS213sQxVn
D+UvP09maEbiD3Tow9HfS9a6EsiMdRkH/0cEUI0jGo2c900XCI1L8btAyQO8rK3kr7ICFXqBwyL7
uY39ajXkQrB1L20fYetGa3grAxYXBShoVVSgTxgii3+AEiuz+TWeulsxF/yqbTTMUdztRBfhxis5
zX0IyHcyYOWaTOedsNX/SB4jjs22+l3I/FyqcNYW/L7bWNwO8Xx0UJbQW8gMYG+h8Ja9RFfhzgRu
BWd153s8uOcAPb8T3UuMsreMr9k6l4k+iYwENzFgcgY66/qrDyuXdYrHppW2h+wKBSaHy1CJdi4U
rQOr2EL6asTjxdLooRxLnS87NuLmHp/TtXSbeobfcHO0UAOSKLuqeYKJ8Mw11GbWAEICTrBvzRiG
ou5DFJ1/rGg9p+KcZn6JvoSpX+fiCtmM6sehLIWMdmKYAoJOGBuHn2sw3fDSd4NacW2bxUebWSsS
QJlwNUozgID1mqx0uZPlNE9bBTt64eimy8LAF+UtmQ4J6eblPSO9XNuGJii4gTbmQ29eBygvga0A
2t4st9970Qg/nGV3RY99W+yHtssiiyr6Z50F4ftWJ67DfDt0fi2N7mc1OOSdRMtmShAxunKGZH2I
nYypHB8jkjKqFhm48hmbuCqe9FAG3b7nKUurlrHlKV15KpqVL/TAAS0fOYm3U2+8O0LJUB9zk0W1
L9P2mvO5I9CMnXmmWNTHhKVqqnD3te/C6O6VEa4aX4YUvWgXzwc0u5CUoiG9FJp8URK347Do7C5b
uG7ypG1xdUlg9iL3yU4obj9sopvJDlX5vCtWEndYsVn/rdX2KQoTfTFJwC69m+ZdOkGCBvvCjk7Z
smnLpXjMdTvC19f8O59G2nStZtWaDEOT0nI8F1vU71c6wAUGcJ3gTxfrUCdiyPcL/uSpQD/2bryy
B3AP9PtYyu4gfdht1VqKdN8Kop50Am2+6iDRTFUQK/ay+K342gVDilbe9s9LEfEdiWZyTkjZ8koF
QXyXQKbbm3nCHDeR00eIhxy80hyX30NYPehnQh1+dJFo+V6vQ7ALp37+OLkEggO2gmZavT3Hk1ll
lfZLAYa+pG3xygHdrycQCPbbFCUi3CmrZ7Q5vG/XymFIyI9iTvO+CWhgzn0JHKFJwlk8egcQPoVX
f0mnORxrWrTqKxGTvvMYbnGZsvC2Qml681CZW84e5ew9yaU7Qf0OgCzHbdQU2P2+h8sSD9W2FWGL
tlkHb4selx9jEPg64uH2dZqEikAUaOCD2zZh5bad7ioQU8Y2elukP2eWjawioebXNcyxEaOlqt0S
d/EZ8wE7fTZ+NPtI2+iSdr2voPR+Spf1G7GUXpMQt4+b7NxAWiS8Yr53eZOuKt4l+TxcdZuYt1V7
1GQE9jabKivBQMg65yzVVWBjkN92VFUcdcNBQSioItLPjz4c5OPUrrOs5TyzlxE486vxukcKwVtf
09BoUQl8PjiuIKclbjzfbnXii+WhjKa2q4fNia+i11sFk6f/hDkxY6W1Cx9LmAgn0MRFbQ2h54QP
ydepyPydgN7vYDskFm9K54raYERHatldVgSKV10oy68mQFHTFKjPRJWKaXzIlkzusdFnWV3yLT/O
oWofwOmA7Vha8xKpQR+c9eFBaJd9NTF9WdAnv2xjvxWHUSdrJcae/VjxgxzaObd2hzJwfZpNmdLK
JCMcW4koB2mdO4FJ14cRdWhYsXwqX8phLt9jr+NnYah6d5vbflgs8MblKrpPABYcCE6KZvTj/IT6
MqjSZXB3gZnkl42o4RB3IQWZBTn52q4kwVnmsSMRwQvoQanMjpjgRWs9DeIgU2tewHbF+PwuOodk
iPcii6c36HLjQzm05hiuXfnU92a7sEmMO59jy0Ub3PPrkJD5bGyyPAwTNc+mKJJvsQS1XUXj6q7J
2uPmgab1IYxne/EmX0588bGCblMMB5r1SYP2GIQlZI/ytAWG3lHamsctKtqXAtLJ27gV8zMOfHbE
zZYjERHMYJgyvu9Kmt7B4Q7jeu7Lrim2dYix3s2w31igkIIp2gfmgffXIEPI3ixifNOzTRia6227
M2ViLwCVJNSBXj2zeCt77Nm938W5LI4hPL/aIY/woXAshjJvgu8BjcCg3a1psvGyXnuPWrfJLSTt
4g55AJfPO4JnuXdz1ZWa3i2BZg9QWbprkKzDp242X/EaBqGXh5+mHhWMsLm4+lIAv0x1yM+l0tEX
G1C71F27kHugPvaFR86Nhzbq4qQu2zC/JFSZYl+SfijPfVvoBj4u4gQOfndTlFufV2KbS1f1MR2u
KoDff1mDMcdvnZFlNndj6WD0hN6Ey2lIxv5D7JPgMR9KruvMm1bt2lKbj4Jx1+9g+a7tpedS8SYw
QwoIkdIwOORA/bePazEY2x5upQdpytFjvjaiQFotTJ4lenLT1WGOyqVOe0vdPdQSMdWxDdnzkm9q
rRXpsjvgejRslhAl4mVGIz5/Sjm6P4N9xOg5zVA4sQFY0dHNWX5OI08G8bzFK41ctfqRlPYcYbMj
pyKBI3AYu3UwTeum1D6VAZMCBA7rSlOZgLJO1kFS+iceg5qpojbpHtUaBsjCoNEUNcnHiNwtpfBD
HRno+Pd5h+20ASC3NQrK1llEM6+zMJfnOVj9JD50a5CVW4yffyC+b6DT9PJGaSFL0n+Y50QUc7Nm
IusiCOyTwv1QwN6sbbhG/S4JbdfeyRbubNUPkHnrbfbjgODKCuMnt0IeB56kasdgFN5LDpm0EZ77
Y8ySsGiygrQ5JDFhwpNkRsOOtGm+VtEC9zubo/kapKXP617QZKryRMaQ4qDZfQp1YL67EqVJbPQa
HZSiYbxjCLbYqEYJ1waqhjcPFG2p8jb7uAaJylGY2WLlXY2ddMY/UCTgSExjExqLbNfqTlcpG0Nf
7mSP7Fi705FXaXofBi6zLzBze3oUY5F8Zc592baWvbBWf2GlTkWFNqF/WsB27GhBzYHg8CDYJDID
+yvfLt0adVcTc7t3rSlrPertFk+Jia76Pu2fzNBljTEZEjkFT7C/urn/NjO67XPVwcZjnt7DYSxI
HfppGZsNh03yUE5tjNCZMabhDloP1gMWTAUebvkeKi0f9ThMxW7Kc3Y3qUE92XGa2c565ugJqjHL
q6D35alXYmyiYez2cqQpulAS7sq5VRdJ0+A+kj65RBqmpWITzOsSbVETRRRPE7a5PWw+iroKT5nt
+oaUbpwQ7MvUFfzgMp+0WWhVTgvx9SiZqJNscroqw56CIQUQaU9Thi+3WyFyP20Uc1IofO/xIOCv
NQY35VJtqzRXnPI4/Hkmu4YL1Bf4CPQjTh2+t3mZIZCl20+Cs/ALlDcEsmRYHhQp+32uc/EQCGJq
12ftKxn6l06ABGNo3PZ5RMWbWqJZVWms1FtMqDnbKKa+oohaFTWHOHqmOsKXZgQKN/euRrMbfxBo
S85uCfk32cb5F0lZ+CrDeLlzcG6bVI/qFEMy/gTxPZK3Pc3rKhZkvM8ojVG3YnO8LcLkWyJvzfA6
9LdT20fTu3JFwHddxmGEQkxW2WlIB67qyXA/w2vaFMTCfBFhHXfYR6os4CK97/QUvbdti/Bd1OEz
VKLL26KW+Ls15C+siXbV6anPbJQ3cwuQ06DWkuzcazV/1uja2lrqOCZfcPAuBpk5RAyPwSyzZtYi
OPIxjV5u3MA+3Jy0SGQG+kOaevFuXaFxPKDz3CtLQUMpmsZ3sO7MRa+ASirDUNLc+cnqdxnNntcT
ZEZXcdf5b/O84l7BTYk+zWqomN8dXCtXwZFzu0G4+AyRmgGZ4n5DMQ9s9AdCro7u+7ydL8mK/q1C
GJfOTUfHIN0FYw/ml2wu/TRPXfeWa+drOcVT05FgJFe7IKQJd60oQQWhhquyeWm7w4Ki6ozdb1h2
fmxbgVKuROkJiiNQ17hdwqC29EbirT1J9c5oh4QBiBQsojpp+1Yk0u2Zy2Cl9LIWEkWa2d3aWFfT
deQRaup4oNvrMNlBfohUuEwNugoqsaWVmdp0bULLuvUQkEgMyYfMxrSoZDjy+GsHbDQYkHUrvKB7
GGbSk3vZqkyVNbptn+jKbm0/2TrHgZuuTQv/qugqC5o7WZvBIdIoL2tBo5jUk0UDph86B3Uorjww
b2RzjdUjf2VMJoo1C24V2ChI48SDqZwfVTbvGWq14WRbG/R/TOPkXbprwT/1wy4d4bU9URLBezlo
gFLz0Jg1CYh4EFZLXIckAC5lBUhmeAAOmDu+/o8+KHOC33ESw9qUuvXpawqXqX36JdYG+mY4zF15
k0ajkHp9wdDDm3UPXuDmg+A+3PLvLKHEZwdw1RvutzGcSv5m9dIGbTUUELoCdLZULBmOCGzH8yfb
QlAo7mYUlP5KREnWpLZssqM8bHC3cLVw5Akl3uPCDq5v0m6263CJLb7eVnEFymKqAb0glPkUz6nm
2S4DqMrjM7F2XBU4JD6jxkHvwMa91oXAfhzMqpGgkO4jwFwo3XWJHXMtOYqoIjnwGQHEVUOFdVBS
eQ2kynZLsmODT3i30wuImxLawaCKuw2lX7GjQZdRuGCOltpWYTKWyS5ftzg5wPfrP+nCdi8B6Jq5
ihTCZ1Vice/sQJv038kgUWWBfm+N3KlsKtvGGXAqvtqiEebjltn1J2V/LjlzDxBL3RE6ML9ThCK4
HWX2XoTr2u903APWciWMYB10T6L0S34aUcLlVYw4ZlL5YZHDwcwEFKMv9DIgnOPkd70RKrG1Jj2t
Mpyjtpnjbf048WDxKBCCbocKFB0iFTpNDyZL5r6hfeHfg436VVchW8bwY4FsetosfBi+GTwCy1ST
cGgNhi1w6EYMoqI7lBNmOto2le47C/xNcUFFHQ31Jlu2R07L0WDf27AAnBON5VBTkii1S1YyHcNJ
5W+d65JwqnMaMVVDUOQpOtR8na59kRHbRCS18yvQB2ATldGg7GowHaNDgRRG4Iogbl0ZOu++SkbU
4fcehpuvkDLPd7nMunPAJgWU3aYIV4Ct0z3QjWi1U1MMaQlLCtHuA3ILuDC5Z0EVg607jrobRW0h
mL1vABawNmj5iFy/wvfc9D4LtX9YcbGbpKQFMqxgK34EgJcgHgrN7gJsw9MXNJdL+5iL3tyqrjji
R1Qw2dkkecrfsUXG6yF2ifiolpjeA5Nk35kJ8csXy+aBq1ELZWTbuK80J8tL4VP7sBhE/68aMTa4
w3mvsJvmPcIKMi0/hpAP86YUajmFEC14s4CN+bzECXKEqZyS45AIATzRpE8jZWo/RwN5zcwUVmUO
DrE13QZCf9rWCpGj9YpMZcSbyE4Ooa5uACBfcle6E8sM6LRp2ICDMrogSr2U3Q2NQDeMAHG+Rns4
RPBZ8YAoPjXM3UL2qHwoVJhZ58ALYzYhGM6GdbqPrbZ3LApd0ZCU6XwPEEI/Lz6fQR3PA74laID8
S2LaglU9CvAPY3CreKciKYYKNfXKq0zSEjiKHHnb4EAXIK8glzxsPRSAasu0znbSAbBrYtLz3TZ6
vIalwOmAjfS6cbH+Y5naYRfRydfLnK5vOXYLd/HzYHTTja74OKVmtni7NB3REHCoQH2k7uOORpei
7WQOTIiufWVCWl6CoI3e147Lsw8wvwCsnqjBgEVfkYqxA3yGvFxrnk7C1PmS8LWxyyqmqjPFTHe2
5UWH/dfE3UWE0Zru52xJPwW01f4K5UrGEAMUYtSd7sM3XoJ4qHqAGFcFwoTs8iVd0RSUEVINIyVp
v+tD0T7L1JulxrmJqg71edPGZixuv1v2YYkXyNBxpOi16Pr4dQRlwSpnu7d46tWrmZWq8GAKaI8g
KgFKMYcl35k3FiyEobbyQR2g8rg3FvGeCbrLl4HZ4GQEburGcJl/mO2sznM6IuthcnkHXSA/BpQU
n6AY8xzLgGXvOtrinU/I9NGZNTrJSc1RLVyx3Ko10gOdGSDx5NNUHKe4HbJmKwMUTj0v/WFII9d9
RFqWNwbiVmOw1JN6jFO7Q/kSXoZVtWADl/C1pat/LekcVnqyBNHJVO76oqN/ACsmDeaLzC8Fyv1D
mNDwXYFAfyV4CTL+Hj8ckP9XZG6Kew+T/6DdjLuusF8BKM8P2mJYRFXMioS4D7aHkgUSFU2Y9Aec
B2ZAmzHFDUYOXKCiBXfLGJnPAmJHU3g0KiMmjWyVb0P1KSi65Em0cdLXCVT9k9ZDCCsMpKWM42+r
hfpvdlJDDzLvOKBk7xp44EgxvaKjVb3+aJJJJemHWbQjdvmpKG5skhmRfwYk4FfRj/AaYDiqD8kK
lGY9LBGyGlETK+Ln9kRs24vtBJB7nV8o90v6LR0SJY9CFf2c1DQxZA6awqXJYrB5SdAs8LTAR2A2
Bc9IA/Au3FA2FmTltZGZIf5kVw8Vs8oin+6TZFiKL9kwzNhURi0732EfS1uSNqjzwCk0wZoxBqAl
AWMFHBllPKiqFVlo3DTA2JMUKGir1Q8yBms+NTA0AertJr2ssoVjyZkELaQZvUHkWIMjbBAm2EbG
RxcXM1oYHvvMmE+qWKgTDYxYDFvZIzLEvbgKoSarmmnBkLpwR3Rsp/Hdys2Fa4W/ovlaLypBSVZt
usXOcKTIM4uyhmJ9+yZJxkjZHVrmXT5+tpgSgQkRnBYS/x9Y+Dzzl2Ce0DBfxDrRLqs9KYvc7f+D
PffXgAjMPwSoS2Rlb4Ooygzgw1/NuYGg5xBel9+IQIrkt+uNCTQp7CcT9wy051K4oa9Jn5gor3LT
IYhUdfBRpnqOB5+/iJ9G17//XH91l/Gx8Bz0DHFVPIAW5iG8or9+LJ6uiCYxnn+XSt+Mlv4X+NHL
ssNCDBTssv9gVP7Vk7+9I2Lc+DVu2WFYvn+fxAPRsJgJ8hI/+l/v6H5RNXE6GFjzU94mGFMyO+ID
RD64gFn561L8nqP0O8zxazrQn+cp/Hm8wv/L0xz+Mtbqz9McQmjPf1oc/zLU6Z8PavznJIdfr/k9
ygGPXId7iLD97eE3EWx0rOHfM51KPKY4RLAzQ0gGyee0hBP+e5ZDnP0jvaGLuOQkQqTlNu8JXvJt
qFOMeU9AGtISLG9eIkBV/DfjHJA5/6uzj9gV/gtUAkFjAE7/kuBEAiRKdGSTU9oVsBBSQBNmmN1h
Q+Tq3LExPW6BQtxZLcv6Hd5cfpfKBG1uEYbLR6UsMKBJB1+7vEODiclW1w3o2XMmIKtUmc4wgWFK
8mvbuenjKhx/xrgemGDW8VPPsvCL0hR4qcjFuYiyHSLG47ubhDj6oDC84mLxqNSt3r6BlA9qThmM
Q+pl9ASqQp5xmg4XmsfdwcYYgoRC516lEa/LjmIDFn17Dt0EtZf3gGb7IIubKGD5GXQsXCPa+Q9K
F91Bd0V5t07MCWhrPnr0gS1hTEpyH64cajQAQFc5FY/7KA+7Q6gi9hqWvLyGgXwIPRocGoXPqLxV
E2YoC4cRwkZFEJ/7I15XVJT9mtVF6IaoNr2ZYe6HSRUKsBpIWqP4NB23h7Qj+jvsr3EfG+QrRm66
w2CVfBkTkSHU1yXioHsvjvCFQekmC2SzfA3rOYzsZ1VwivqkXR5nxbdv5bqsr+gJ40cGR/IIhddc
s1j4xzTDjwMik+8h2NkL+uDxvY+tbyBN5HvtOnfIQ4mvwbyvEjl0wOkXeFQysd+DMq64Sdc6LvUF
wxJOCaD8nUU8CLy5Gpoppfe9xDywoAhOKCVlg5N8+wxndzyMo0v/YKjo0XXNHGp3shwA1WM4EOLz
D8gwbxiFFQh5bnGcBLt4E/YCK0l8Yisv3/IxQ0gR1DxEtWx50m4Zn0ua8PuNZOR+mQgUAguV9DMy
W9OdsKR7SlSiDyhyorJakOE5pr7LRSW7OH7c1pzfM5Zs+zXPIZIGusg/IjMfog+bx6LhU+xudjJ5
KA3WimJzRmuxJd03C8znSjGQ5Aj/NL5ks+4Ovc4gHxQ5fx2Rv7gOTKePKMW2o29XyAWBiy/Rkt6Y
TsU+gN6ensUWlzWwhu7UB/akB3qTOoe0uEajjt6GMszuR5bIE4Ik+ihEh3awh/S3X5I2/dDp5RK1
S4LlOJpjQGYU2mz+2lrUKTAFZLiLNM2/wnr6kY6+P7FVwxBZ+/SkRprs80IXzZoP0ac4kd/WJdas
DlgSveXF8KxcvH2aJr2iiRzIo2qzbEA1B/YYyTKIn7cRCtfWhWlYL0B8v8L5Eg85w9SzCpB3+Q31
QXsYHF7ENt69FBzTrlwcmB1xsr8Ihou4xDE/ZRaidQGA/SmPpxmyCTLV1SzDZzwz7sSiJTsr1K4D
OLcabEuPIVidkI8IkHYfU9ods3WZzxndhhPKRpQ42kqUpWX8NquSn3KwynuIaGOTTzME2cGLj3oi
yY8NolQdS9HWWwvfG1qBfAV44l/yQQePOupVjQuaA4RuJRxGNMYPgfH7pcvGy2jQjdVluU9n0R8o
dOl7FKQdLJdHR6l7DTDnBVGtOHwUBKmBAaHQqe4W4q4DceZbPKMnpwlpoGfnB+h4fue60AY7pOyK
1xlDaTTwkK3jqCBXBZB4ZR+2SclD4GcQNuua5rVxPruVZyB9GQZj2GGb0BMqa4umLN0L29ZEVJ0s
0ecZBlU+mDBOqrP9dlHoM+/XgSJ3EQavIpKmqBhDm4LxWXmFHYDUpRmyugv4Z4jv5NQRNGCKiLGK
hFTvHSD2C1Vt+ZhCxjhNU+r7Clbj/MjnQIKJGeoUTfXXDMjFQZC0eCAALOZaQ6K+ukKRusB4tK5C
+iDbwbQtP5U4Na4bWI3Ppkj4Xb+5LyUimkeciFuNFtJdJ5ZwLKVF3E0iA0+/BuVdbxPzMAs63guy
jOgkeQe3oNc7FU5sH5aQIbeo1bt0GuPPcumjYzbjWxpaqH3rRfQDA2bs/YKRH1+TeLwdLrCJX1uM
13tBDNB1VcZluY9FyQ6QRiF1rWypg5C2D2HIb2w2KnbHRv+EcVxTNbTp1qzrrHeTj4pLcSufG9+p
9kOciwULLVzAVSUpTHpit8PKYnsYoMWfZLnpl86Ciwm12CGluD1IFyc77TCJBqFgskGuCYYEnpLf
Z6Ny19Cx6FyGTH5BvyWbBeRc5UIctxy3+AVjLvQRvCBSlnI05ZvMMt70w0JeO2roETtTe6Jz1KxR
lj5sVgTfNDjGs0bMfQ8nZ/oQ8qE7pUmAQAAI8cduXYoXthR0H5KRPLWOQw50OYyXFY7fPm5zczXr
+D5AX/lGNovt35p5Q9/vE3bA+I2w2YAtVphJdkkHEkFdG2BCgPO+zWAKqnCwACt6yckjKl2Ds18I
9mxTFCKVsDAx6yEu58eRjd1RtbilK69zKattMhAEc1qMfyAeJk+ua6MK0xaCOw5DEYZs/+DcII9z
at+gCmPyorqJMwXiou9yzt7grX4l1P6Rd9sbxjx8HEL0+Ygbabzf2J8M9J4d8rDP0cj0Wbd5/uy0
jD5JsQzfMGXJfzYUL3RDFmCp83U28qwZvoU963Ea3XzoMgx6y+5RakEIgDaKeOaOR2pOIPfy9s4j
xASFxNviYZzHNXudMvqHBQtbIIS84MKBFYr0PgD0UFNFDkhM6e3Qo0O853oM1JvGBoraq3TIvlC5
HyXC7OcikAZdnohgwMbyErJ1OFvD8zcMyBy/kJxikCD1bXfJ2zQ0z9D8WnroNtltQw1HEIov5gSk
4nvR+il4SUfq013YIhQNzgje92nMedwMGAMKIEUNe5dNnyfEDSrjWdcgmQ8ljCWf0XYsx4xrpDD7
2V7xL/2+BINfw+U9c5Pc2TKC7EUClVYSxMEn6P7BEbXIy7C13a7F0IMzThDErgLOAA11Yc2GcL26
lo1Xg6t53mbkaFq+fL2Fbc6mzIJqSgJ7CAe/Qj69lVsYOmERjIzNhfOTpHsw20idKjofAY4lNah2
fpjg89UrTR77rZ0aMQbstCWIEIP9oRiKGfHzTIDHhB0GmoGhumtpBhcbzPkXG2ddDeVyPfDRcah7
GPgHEIfuDO/UbqGJxkjFVuIgoxq2Py7z0RIdYc5p1B8wxor8kViIEbWWGuZxBbEj/J4VQ1Z8nogd
8umbTfJRpi90hJ8y13zsOOJzP1uT/9/E/YfRvCkeKfLvmrj6KyatwQPjoLD/2cb9etXvNi4Mk3+E
cQHI+zae6tas/e82Dg/Q+keCgdi3eQM/56KgYfyf2bwRejUAwrfnzmK4GpDtf7ZxmOMX4w/mBSmA
2gO4/2/auL8NCfoJoIcRkkzISRDMnUhuksWfQhs46AD8WOuvwxJjRNcCmbVSMfK0tcwX95gF6XoW
HvvjjhA5o1RK3ItMJmzLUzmMn//06/0fBj+Ef5Urfn6aBFPnbkIJQY2d3XSdP32aZFi1LDGhEiXt
EF6ZREtY2VzBLfYOVVrllsS+5U4HvDJ9MY81EjPQGZG+zRNIs/n/Yu/MduPGsm37K/cDDhPsG+Di
PpDBaKVQL9l+2ZAtm5t9z03y6++gK6sq03VOJc57PVQBiUxboQgGufZcc45ZfQTDoN/xd0i2JkVh
vKyO5huHxXXEd4Pw7/wXSpP5i+n8p4EffAKpD2JOum/+YuC3U/bepNOGK/H2JNm5hPRfJptv6Z7x
jLvWtMxGtkt5/LBccdHdl1y3DiUir4HfoB4+uH/2RgS71Nnhc6pZtZVSx4jZOTm51zqT9/mIbYnt
Wb/DcRe89rK9EOh35jjtNfc27eRUHv795/CvHwNCle7xQbhcG7A4/vwxeIvGdqwp+isUq+C1TnyY
v3bOjBQ21Tjfc7QOnhphFJ/+/Y/9szzmcGP0mDc8WLxci/zf9rL+8OnjpEjspk+qa+WvxpW48njF
HU4AXMjXf/+TNqHtD+b9nz8JgQRlDBUT+PUv11lTEXdrMW5d8QLb7/AqODOLwV/MMG9krLckaSNL
X/w6wuWpyr+6aH7N7vBbmrrpwFm0XYCYv/540hIpmhx2wO3ODfdsdN5zSnuKAxn6Pma7VIcLqGd5
UEX78xRde99ZT4M/CBb7ZnZZMEeWyrCOZdi3X7AkmdZO+svyvdGmZqdreNoiB39nd3Qsdx3/QlQ0
/vWDIhnDbYNMBxIUWtOfPyjdHZ3KgSp8a4yifE/ZysCZ1vKB4RPdokrOSqb5VxLTGHnXlmQpinEa
MSt7PwZvXetokYmHvp9N31PyiB+Tw9x0/vcfMYGjXz9k9C8uoq3LCxKH423Ykz9cTm7HQZJwsXWb
2YTQAn83BHI9bLCNYD9M40gastUfpnJxRpCNkqOSUR16s2sOBcIW0Iy2fGxAi86hV6jkTWVlfVrQ
UMLGaZsXTJj+ThCXjMYazQpujsXeTWR9dVWN1rOl4wyRJEaQAYAmhxFBQS6BCg/Fo5kl98xb1sw5
y2uvg2ifB7PUrJ07mbyR6WJyb7DHdQ115Wc3hXT8z0LHGiRd37hZ0daDSOmSFQnXfIps0rF5U4u/
7gzlaLs1m781PUbXkazmJiIN3l707YjuYprPrQTCehAeGO6Q04r4GjBM44+pWu3LWGLSbvD2nAgj
NyejDYqPdGpcvvdWmT+lgZi9cGIxce5EN0ZMig2rIjO4w4wGzFx17d4wZmOKC1RD3KAKEkU0mVLE
ZW91WG6CO1SBRN+RqR2OPGpMFZGod1kcecWnudTlxeyC5glUtHMYg0wzSWuW67vv1l2MWpOt+yn3
k73GxuYd35b6Qb6mcSLSMDrqWWJOyX4eAChbSql4SabR33e1kLtisMpjxX9KAtHuat5o7Nlhhl6o
sXRXLABqZ15DeyhEZA1aVeIGyONky6o9KMuw0XY6ohgZV9KwtwYV9BxYPNjYbKcLQcKuHcoyxOqH
k/JDCmma6+deafO2mQ46buX1N3Mps8HqMMqMY6Nfh3wgsILzoV0PZHMGQcghxeeemUX9pHuadcoW
yxqjkc9A4PbTA7bzEuMsZHPB83AoctXGwOwSPeqKwRB3stVdbOv54im5W+YiGG7cfrC4opTgpKui
kWfh3tVkJu44N1puErWoOlxwFiy+fVWkXRCy0WGfH89Y3yJNBCjW4SIICJNkEiihMgAribThFWXc
C6aCPWeWco381eGOWZnIfVEpO63AC78k/T1WC4K3dZL6P7QR7L++02tzINnhj/7VwV4qzpXlDR6Y
+Gru23U59jp3N5yQifTITvfT2u6Drq/S/VK45XLU+75sIsdkuxx5DNXFoYOcokV8rOab1pSrscNr
lJcQ3ktdu8N7p2G1H6rqLSvLoDxZXTAUcU4q93EdBwvnNj4N4yKV7D0OidKUw0F0U1M98TC2zqzN
zHw/NryCuB6KZI19Y16RU7KlUbelTzgj1viqdMR+jPHcgV4udomwknHnEbNrwtTrmU8qwLrrdzaY
AfoVL6DcwZCS7cnQU/vIPih3I5IxrbVL61Ts1lHkrFxV1wRAZlRmRxbJYDjxBB61iy4Ke280Anu6
JwOviQ3ImPVJpoZK4jywJcw6/rtw05krLp+ExOSsUhxFmOG0Lx3L4AWcAd8j82qsADXT0J9szXpe
CmWOV7cJUKMrlqa3zljxSEpYjPEHAhxa1h7ij1F9xmZXyXMLBWXe98pZ0wvQseHZZtf27swCt41v
cPFCPyBEFffumvLiiQ0RNrOgrUXsHeMU4s3nQikmiyzJpid2gupr00kL251KROyD8MUA7Av+Hqeo
YR5V3WRcMTZa9kM/OMazMWBfCxXHah8te/HQxswyS48d/lCUew9DzF2qecFrpbfbxZllbX/wil72
9/NiD36kt4rPRqqKF1Zj6DcuPMGCV8RKru6Su2S3841grk8c2YR5n3VENh5Nvwrs02xnarwd5mEb
PtFr751cc+e4RjxSp7peV5xnZjmspA687ZffXrri/sTrwrVwtZ2K32JskRxDmdf5GgX5xFenKRAG
HiqAQDhyR6aChH/HPdUcKnnXGvbCIt1qpM7HDXJsvC01iSkFKaHFg6pDMI6XqSWkxT/jmOY34gaC
A2+bk4eqfMWTF5yJ4aZ+CFMn57rA2vyuKgxm4dxly6M1zHp/SRhzs0vdEA598nlaHPpKN65tkLSf
baJt7cZtSc1z7SfBeIHhiSFi6bwW5yzp30Nj8rZuvvDlW17kzv089niGWhDA+Ztyy6Q/4sUtf8AM
2e4hHFfljnOAj6pI1KnfN3BS3zRdlPtSNQneJJvb3NIp+ZgSqbtgeMycnWN2JjCDwrF5HEkzeO1g
xSZxYVZ8TVZNWMHJrmqj/V5yQ17OvsElFROj4BrJHNx7e/x8U8xDRrUXoxtNNxJBMUw8aa1JZ/Ru
sy9dQEZNWxjTz2swdMYHmamlhxRueBORDJO/ai6NLWmjiJyeGj4WRD/cALC5pmm4nRcPp9rUt6Hv
9Ue7ZGN+XNWWoMPs3K+sjvK6vq3c2b6hpcImQtBW5XRJgEvJyHf6Uj4zifQf+lYkgIyW9lOYy17h
QVKT3/IUWNontmxG+smo0c2mkKRHvrw0A0Z9/jI0dlRiTBhnTTTqq0zYKAD06V32A0R2H1BtxHro
MGincbqOXKSpOWTW/YzC41xLt9lc4M2ku7e2IYm3LUw3fawwrSPG+xU7OlwsJfeOvi9iY7bmbjcV
pD0OK1w2Xqo9J95uETjcInQNt33Dl2M8Z7LjWuNJF7xyrZf9fRVUoKNHswlAmpQS9/w8fk6WzqFm
xS024R6buNopgrM2OZ4Csl4r+gC7a8IVHTepxafJwWGZb1JryOsbr2ukdU/koXBPAOQwM6bzrCW3
eac1alf2eEfR9stxuC1Y9XGMBBKz76WfSzKVun5aWpvv/eKSjYXbKT0awMh7/0dJ+QslhQF8a/36
RzT+X/bhp1r9SUT5/Q/8rqIE+m8GuBJwmH9baf99EU5nlc3dAZlvwxYSdfmngmJti3BOkzhtePj7
m/Ph90U43eUWOVYABXQSbPxb93+joOCY+uWcEVAWyLjEup0jpcdj8M/nDJTLYaq81D/rbYm9hfji
TuVm/jhbTv5RVtN6UuwXvQgEFvUwCPf51bLK7nOWuX0TCq/X7qFT4CWTzTLd28BdXvPVFPal5dL9
Joc0S1jCWa2I6P+wtKjFnL4fMdrFguXk6+IM6mHsGvbYnAMKcZaZX3xM0+LcTO3ov8q5zrpwxV1X
hgMneUza9VziclEnGdjpaXKmIsZx1VKtAocxDavScj+IAhffK907JUWxXjOgoW9D2tqPudDGdTdO
jfiBmba8S7SfKSUJlhTcy+cV3/q7LZLpbU7wu5lLL39oFtvCMEgcHO3d7N2T7AjK3bxY/X3GruJ2
9ToDMl1nLz/wVmsPNB8oBJCpTK6TZhIcsRvPDZPe58Siasu+MWWWEz0iphiEsxrl+9ok1RGfch87
VEp9ZvhI5oi+G//Qew4+zKB0i6fFkPJudMaTU7NSPZKESw7JGvgEpOzpoNdMFvS1lO5TKVlDHlYC
zx4rNGmiz7Iqp6omr4xkhxks+FgMfW4i6PKeHuFQGC9u0AGZFXl7ZnjL4qyHiY8jumY71s7BpSPF
QEpyYcWpB41Pzo/9xF6QVnucPCqfkkUyuWt6/1Vqwh8IUJZFHeGQbp7agq0lWuHP9gvenKAgLqdR
U3NneFRYhX6yZnepu9RUwzje9KnAiRe6IwPOxZA15z+5LuzkReIFZ2vjke+SUmVx0VfdXUVKL0JV
bmEPkybY2WqWdain/XBmX4lhzpVzcu8PzQ/aiZbxqA9rS6rNt+ofBNYKTvsKdibcvXX4VnWWqx2F
8ItXMc7ZabIgFYAJyixW1e70DnXLJyPaTTsmC4elvYUnOLNaa2/UgUWIiAH2bkVJyF5bPRfz9LBq
flrzcFm1YcBdMKWPavHkfUnW2Cg++HRNZUeShwnv7WxXUutvdELxdXrlIFQKHNFtsCsxXWBbH6bP
ylHuyV8M8yXx+RmciHcASZ/QMpkNKsuAEGZgtTiKymCbUosyZGR0owmV7LwMdr7vS7bRWrZFwuou
YodD1Ksy6NYKeHxDcC2ZsgwBRjFfQs0bzDidg5E8isXcmxsXE67mLf5IVqe1DeczOLLodW7WhmAp
bQoA4XS6rtgF8b5vhoEynMjz7yq/4woE+6CTTasXd9f3oxVZnQj24JWGs1l2ZZxmi3ey5kDdjNaK
7Zm2sEPrjOMQ1uXaXlxO/2czG8tHoPM2e/HadQ5uVg2PWtA/rJIvZl5nPwDIvGw5Zrfw8w+/q+1d
5hImrNOsf9ZGfJoFtuSor9iOpbNjPHV2zl3LL6uCyJUNV8LNMNOjE2LXTHwO/vaAjza/t+zqNbCJ
NiYrX2xsbsdsSB4xCci4rOEhoKJUUZbqmArnvvCP3eqW0Zy727tdq2fdsuROn5YAzp29xmbhTgcm
VPPRbbCwc3vK48XuHDb4dhm7gPDnMAEke+sEFFe1W4UVNob1zSps+5NXsm1l2wIkdiu98sbBewbt
hWnkZycWjCTuKd7Prqx0q83SgXk3fPMp09pCKcgk7MXWrWorTxr/WG/1W+NWxEVoh06uZKvnEiZF
XcNW2QV9LiEFn7fXEt/SwUOzvuSd+c6+muAdcdE9p6U1xIM/oJBsrWDWVhCmtqow8bM1zE0K3m3z
Z5uYvxWLpenWMeZbW98YW+E5QlCpbsgL9HdZ76uPCcJGzMGcDeBAbZm+FZhltkfspqfUDISef099
C01nCR//J2hQWNVH7erkFKIZWzXaAlHg2dzq0ijhGT6j49hPHjmZh7aVSbxsBWtFY4+30zr4p0y3
ySIXWxUbBjJa2SyZjk/pVtXmy956t7b6Nstq6X7bKt18o+kxaDnGXQ8EM5oHqt/6rQQu+dkHV27V
cOQ8hhscPhOhrkIc9a1Cbsr6fEdanVsm/XLGVjSXbpVzWj56BJe2Irpkq6SzssFkvNuK6gjs43ne
yutSsxAv8mejXQnH/8uSmmTdSG+kN+ZWftebAoLCSiMeK8g8WreSPGuyzKgRGWmP4meLntf2L+1W
rMcaVN2sqqZtD7xlxvXWykfHHY0nM6GWDyx5s1uQg0AXLYN8a9rNAL9V+VENQqsfNyZafbaqP4n9
5dmSNv1/o0sVIA4ujk2mvaLpgsHEbv8wjAt52aSzjGH4pLfED034TgrAyCcU+qI61rPXpW+2Y4pq
oKvHHXkS5bqf3a21nDg9W2MZj4bb7hZrmpmWgS1/+MPkxiIHNwEVkFswVmsMTN2Wm4QsOx6UDjqC
6rEDjYxEN5NUnPgoi91YVcWD1SzDzqm885hoDV6XLv0bjPo/8/Ffzseewdz4b+bjj3f5jyrlrS7M
sH/+iX+sGY3fdNYJfFhsbvAYs9H4fUjmRPqbafH8Qogl+4uW//cl41ZFToUPZ/YNUccw/M8R2fgt
CGBT6SaK1bbYsv43IzJD9S8j8vY3sOekAwaxlIXHL1uy3BAtOWvhXh1pa+Awq7m94JtYzJjt3OJs
FXxmmVvVGTs4oxoVV07w1TC977JenScbxrITgTd6Zpsyv+Well4Y62ZCOXiDBEspl9k2WPuA2i9r
XXisFVQ0ACdQqn3Rq1ZoIWpcYZWXPEj7wzThHYHELsk+qbbw9ynhlxO1QVbk4SSJymWb88rCRqfm
Bom0ZkLjCcaHvEEKCHERiZvCapqbfkTMXNypPUPAUR/oYl/scvA/bJIoiFu1d9CbtPnSlbke2U7p
nsBEvFtExvh9fbngGjU7eVkXOR91cBt48H3tWmWamHFHTXsJ4q4TURdwayEq04xGOe2dnphgaKYq
u9OkNN9YMN7Yo9XsjJSRtAf087j0pFWGsa0II+hvBUDqlxm+0N1czZs+E7zNM/nzSYcuZU3lg51p
7REfuHntYFacRuIUDNcp/qqJIBU4gfQWSM97MDBR8F5jlGrc/MKIERyKWpu+9rknTgCGrT0DcoHm
knY0KPrGd9Ch6P9+39XHwEy/j6PZxYFK50+O4WPJSTjYoDH46NBl4X8xzZGniAdefvbrtzIt36DD
pbd0p7AHkWr6LEgfxeRECc7lKfutZrP4AeCcsBCVEygQKw2wBq6z7YZCl81puyJf2ql391TO4cQi
TgaHzBzbNMSmg/GmhtFCi8IEHWSyMH00BceJ0M2N5NHOjfyegMh6J5RkyF/t9kZauOOQ22aHn2LV
MW1q9gGqPSAmtjfpk3L74sYpm+UGjr51y0M027s8L+5ZjHT7qu9JIGNfrEIsN9QC5VrzIwBMM4aJ
so0DpG11060iPc5O1d8Mwl9rXHYqAeleaFHB9oKijoEoMAYf72I0AbM6gU4dZXHRqcUM8Mp1lalX
EcBv0Op+P75a8zIqsFVE0ih0axfyFh6RNnhggAFMJ8oBd2UMiWZwmUpMwuTT7JH4b1t3+0AhqrS8
KGy0zRnXVv+SdOwbw4kR70c9rnUM8Cs4Ynh2b1BsPtwVbp9FoJmVF37rkHpetpecVsvIQiCjE1YP
3tIJE+XUeZdGVOk9Cw25Lyhg/TphntnD6nG/wQRYz7CtJxm5k3QPqtMcokSD+sRG0+KhLzwczPjM
iFUFSVTlarnUSrOHyPcFgwdLkWaHyCjjZTTXe8bCmswbYrjrzuCTZ8s89ZgZHwud1KdfqPHVoeTl
IU0raEWZyDVS0kl60RprgXIU+CXOAn4llpg+wGXWsFHpqTZcu2nhcDJlrBQxVqbKX18IMM+YFFpj
Lx3dhwQFObYbbHELV7+7B1y7g6rbPaeoxY9Amo5dZa13atRJ58+QOka+1kTpzfmUilIdfToH7rPS
BMOkjJ6YYeMvTzh6m1uGRfPZNNEpU91o6TrM8UmoTnG+SaU4VeRUn+aspUSiBh8y04taelqsV7V6
SEhO3SxZk0XcPPVrT1A6qp2KRGmZWtwUODMlFmbOtTU+WCe618Zuq5NpTOaJ1LcbpiChormiOWz7
kEkBs16j5OZZ84DyhotpDU9rIJfvpU4F66p5y5HMlf2AV3VT27CIsaChs8BInfzgjfSOpoIbuW6u
A10r4/xSFbq9b5sqiUDYubf6XGnUCXIjCmBt70Qe+J+JaskjCxjquFhzxZ2NzXOXsUH4zENwPdpB
oH038GghDkgrWlx7/AGsv0Z2T+vHHodu1OCNpkVFf0/WkqgVtq2diWx78Kde42gnWvnZXBOKmsri
sSercJYBblKr6zCwF8lwT9VcvVezv97rRhrc9SSc23AYxRrbhEPxj9esu4nR7lgST7uRmM13Fr5T
rLz5G9a2Kcq5ZxIkyJUE1O9oN1KzW5p1HfXWzEEa2UazPrrESkks1y42ccl3gyP6biVrfzLSfL7l
7K5xw8JSp5zU/pIXU4XU3KZXQ1QVRuzaeFcgvXY4gV8EAf/IVIt5dCaXg6WuQd1IU2Pe4R72T9CA
Hkk+nZgeQLQybhIX1aHPhxUx1p2XTg+qyZM3bXbKiENkzxBaSWDT/VKFGlPxq5647ZnuIO+c+LL5
masMjtw3tagf9Juebebjuo73DJNE3gq9uNDmBaSAa+8Zyn15FkCl+Erg3A2M6sZdE3kKfO0xXwIu
NQUnLrQskUQ2iPVjSmxiTx9TEfeMt5Hui5ssb/IDAfPxJPTMZ9umcwRuSpIpoyn3Y1kTgBtgAphz
AYwJU/FN4nTcvpVQ7zLVm4OGzn1Zp977RvlO8bUjl3J1+u6B6L3ztPr2C9H9/poHor1hTPdO3QAA
xwdGErdILi+I9SMcv/IdntVwkpmXYLJM68M0LhC61wL1Cgm6B2IsSGSmif2IyaW+X1sHVgdPronF
8oORYOLXVKVuAp7KMrQMMb0Zaaodi3Vybsomzc7kwveYs1rOCZicXPt11nD0635ZxJQCCNjCU/FM
I1lzGAe/vWv8gSaPvrH2eiu++zm1OQDr5cHvgyZk41kc+7pYb6RtKwqc8+TTFPQpGdOpBolWIAe5
zvrD4ZgiSw7oZp55T7ngJQxGPkS8PnSmzLqduKvGRBi+iN7WwrK25V1GL3ahtOV2hia2CMN+Kdq8
OrcZdmVb66YDpiXkizkXXzqykQfcId0XGPGofAENVfVkTieYI+O+cPsvyuC+EuilsU9QD3I7KeMC
zU8bgU90CzQTz8/Wc8CJ2suTgszyBcOYjWGpLgFqFXUSSV+vI6l7xUumudUTQ1V+qVqfR71jCC9M
Vc6Rqa4H40DfS3MtEntfulZz8Ge9uyU9Dk96drQD3I1yr0szufEorIk7BJVjIrIUk5fK3PvWaeYT
fCRjTyqWFUIGIJO0zZceu3ZU4+dqDqw717sGaE9ELb1xrgnG7h1fze+jj24WsgBnSIEyiNmV1Q6w
FbYRO6de528VyKMv7jJFOmPue5kEYscL+VGOZbvP4FphqYGvij1F94EX5doxWcmeUoGdlxnyV17d
NsAXcZfbbqymkiY9zU4+xNBRAsLRmEea2w0IEfr8mOfZHXNvNKQ62RHTXfe6aHiCwpw6r9wHAMkw
bUrf14/C0vQflIU64bDQizYOpBkAeCQUNZRdyOiBa6PIHxxvJbXdAxi4CAHRp63M7KTzUX/ZHPhH
cxYi9qqRVWay9Pm568c+SpDzdq0CiAN+RnifWql3wd4YPeKkqw5ekQcSnpckuxpqML5h9S7u1hld
W5/MIrJQofaiWovKePJnMWZiJybggt/SsZxcG3QUHSDP3gxWBOCO428grdkP6me1TLxr2PLohllI
1zAph1nnGisKJUz5KarUtn8MiHXvMDFVOw3KNCpXsszf8cnIDxXwCpkRnE/8mfoLRjpSJebUnMQi
SKQR8593Ot03Z0A27W3b8F/XtGOSNU/pf1s6Wr997TYPgnY3JoCmUs9pSG40c/XRCR0BMZ39E649
cE6KfcfVG93nVeLMazvH/bAB84iQVFRzEU6gYodOjMeubK0wc8vurJVN+aArKXeuRUoB37Eaj3Yx
+NvdAM9zW5vILIwwpupLsh5pfoRIBvADiutFr3r73OkdI4DDptmnTXnnuEtJKp0i4ItOJ+fLnE72
Ww8RZg77tAGs1hss8lodihi0m+xRAUuHcjQsqLHiLsl83la9COanWQXJboKgJqhkWInOAbuJ8EoT
Zoc7hNkUNtqIiN34dz5P4WxDxYwnZHZm5L6pyvNcZtlz4hdYVBk9OTMRBlmqNXlC+uv3/vZmg83I
DlowcPpyiI9dNTGRoMdyPsUulpwTAZL2SYhSH/Bh8J+Oa+AQxO+qxyGBhsautX3tZGd8Mhq//VTV
yaug3eLGpj4NK1Wla0fLbICkUPsJJGfSLx5U/qcJgydUWGCr3u04S/uhku27t3YF7LEV3HOoSR0D
jdJ57KdrYiveEKgEebEUb5neZC/gHAR6JzmOaBkN88BRaHjJuxGtT4Pl15h2cunLpGGtk1T7rMv4
Es4defrOheQQcvRg1tnSmjshHfUVUqDOxK85rIvqeblvvW33WQVF+tglAZNYu0I5mrLRjHtfIxbm
rcFJ5SyK5LpmNw65jlNpBd6VOlcOsLPLxaRrXwu/Xl+owd1i7qyOtjZNbhq6ky9kg3yWrsZEEdWa
eeudttTrrhgbcRg2bgE+OH9nrVxX3YpgjMCYnAXYfnJAJsHNNKiPVSYo/uJYRhlWtQ2yhtPdUK9Q
oMeSm+cOlsQBRDS2HX1Kwv9TPSi/vDPyrLfigmWuddsaPAUIv7HqjajY7nUVIomsHxp0BXVvkCE8
urIu+QsnbXkbqrmZn1dFw5MdagMH3uF+1HvLM+Nx9EwPpJjVzerCWwLCcV8nrXQjqzdqImX/VdpT
L23AMlesegehee0zVZ/zX1hYjV/tjf5mHcdQ7jGVoe5su88/2hubdlZZYRnqSrGYs6PeSIYGgD+P
8J6GTUwkX8zSOkyZebZyZ0/TwN6RRux7gN3GNYYvEfOrHugy3uVteviDNvXfGLl/NYj+fG2uqRu2
u/kvfzUQlwatpbow1bVpuqvXMCuKYzr9Rd/Af/dDaKfcnPBsXr1f3wAnG8AYgGZE4aUbg/+5oIQr
r/6bW/c/kuRfSJJIhlsa4H+WJJ+/z+/9H4MPv/+Jv+/stw08Lm5Mgi6GfsAU/5QkdRb3lmlimDfo
Ut+i6H8XJS33N9gN/CvTtckAmAFS4u97e9P5zUeOZJev6wwVWyL+//1fQAPJ9/pPHIJ//vP/qcby
HnbI0G96qfUvCXYTTZRUgGkbuAr5WX/+BsHx0Hjk1fqJeFz3Nmm4ifpi+fYTSYKbpo2lZvThXNb5
o6f8WxKu0yd3ytqnpqboRO/687iwH2sBLt7+hJUstOqIw7SZ9mn+0d5Hz6Okz6119DVfcHdyHDPB
9OJRRfNg22lulqFWMVecIO7ixwtszm0v8AhNTitavtbIdfnQNLd+0+lMjfoEF2kOiXINpU2Rc57Z
+3VNdA9ar+q69oU6yYFnLyJNYXBmnV0evqYIhtiTbGr2suBhdR7sJAWumdG5pm98/GUJ4hToiXH2
6sV8tTFutixIaqNmJWqL2efp4y3OaUwB8goMDKmXPYtFw9EZwvWcgKbXTv2eVcL/SNwM389q9hjQ
Ygz2OuOU32P8fIICw2pk4CX0B4pBzItP8KqPRjeQF5GhowAe8px+P+lZNtHRkS3+zq+zY5nUzee5
SocSBJM1HDP4WrHSfefzAoOFTVgij2mfPuFTYICcx4xitKo+ZqZ6heJtHbJBMQFTvn1knyHXEMaw
fGPnzXJj4VHm+fMtPnkcoOP41icllsmCjU05S2ybE+ekKXG/DbMguTaqz/T69JHZBnRAW8CT8ldi
KTgfAgMKgW9/TVJ8ysyeI4fGkajnqpXE8cxXDdEydLwGK50nvb1vVgeqBR6nNX0Fc/qjZsV0IbeL
CSJPrqxjAZCOw+e67M9IsNUxHzZEOXm6eYX73C+Ne2kaSmm7dr0HwEt+08xfG+Ciu7HTamCi03c3
rdzb0l3FvQpql9l7xsI5jlS+WmJHQVh+sCfbQJub7ky6uOjCA/CTAEvHzzbJG5TS7tYflBmjnuns
Xel0rObVCSG6kIPuW/9rOpoTORY4Xr5sZ9DcyxI3raM9sly0WZ0n34Ul6jtHG56cIZ2f6IwqkMMR
gTC0pceKuCk9MDoqYb1AZamccT/4jn3iviD3XWcGe1ro7MiRWnCYXPW9dvKSxk7wdoJ7B2lAagAB
OqRfcYTU0eTgBksSoE+cFPtdXVtl2Fds4ZxVgxWsY3ExSDaHvjk/G6RLQSfkr1ohTuta0efWN23o
DNqbg9mZMXzOzrJ16INq7PQHFUzdl3H1oswYwixXdh72U8shAnM4MCfwlBfXHfjGj/C/dpa9aj/q
wQWtPPk01IQ1j69k12XTumwEZO1IvnNkDz8p76mw8+aeJQw6dguL9NoQidpbdQp2jzNPHxngf59x
wLPc0401OaRAzM/VmHQlfjxO+Gw72PSGQg2oSq0V6WKa7iltNqJp4rJIAtLioT/Pywd8bV2PE89e
zuOQVkdzUIsKDrjQ0zkCOLTxUnm1NJj3avhhtC0jLUcXOG/zOMofjMYB3zUVtJjk9bZRVxOP4uce
CBLHMPyg696YSv0iq6CkvtNvItlq5kEH+g0DQp28JQOcSAPSezYrExBuosWONQFCa1ZOAE1rxQL5
+gB8MyXvvX6a8Ye9einIryLT3vlKvZkwE8MK12RctthTtNa+ZkAUd12BWbXSALn2Plhas0lfS9hb
VMc2TnprdstkYD5e8fYYpXHfluKlhZFKlW1gBTcN+sDZCPD0e7AbWH83j/i/tCcSbt67WTrpLsmD
lkKEoAMpmUi+xgp7cSy2oOpSLDqAVYL38DzBvA3DcMVeXFPXlVb7+mf2dfvW5vR/kxudsE+3pLY0
LK/4kKf7Qtp4L5f/z955LceNnV37Vv4bgAvY2Einjc7NJptBTCcoihKR80a8+v8BNZ9Ho7Gt8rl9
4FKNAkk0sPGGtZ7V7geDqQJra7r/2p1dFPd2ge1gegHjYe0lyWTvjWhvCSZA3A0ADUyiq55t5qos
I3RtI8z+wNzBJeDDMIk0Nyr1EZSSGANNaaepsyIaoM5YF/rsbaoSF+kU4qIIpMF54E7XjK7Tm1nT
+/MUY1cpps5Zx8XI6B5qPrw00W2UFOEOudiIJUW4PvNwVkFGs2MP3XAGq7PXcWrBmKZpFoRk6qQd
H1SK8x3Jj7UKQb50hB6sUrfEIC/BofOzeft6HHfkoXoHiJmBXxoj0xzby9/pHfqNri1bEkNjzNmm
iHXykl2f54r2wYsTb2266bSuZebhm6sPnuYhSWWjMtbOF6hqDCy8odvqbRX7wwQeQJOLyLYYGQh2
+XjU0vpbn87nTAUdUeCoXecBtF0mnOJGUJlckZ0IUUGfku0QK8bhFOB7zXLIdkUYvYLUFfsuGqiV
hu1q1aUJnII85byrbVDNSLAK1zHAlqpXQU7fyaqCgEh0lDKBOUyrakqMK+6BdtfGMvKHNP3o7Mzb
jtX8GsIEg3oIQ2SVTKBRMG8EgoaMox8U8ldYd4Ovw0a/MOMI/Kg32utBEvYUZaJa2Xr4UhrWR+XV
36WKs21mUTD0o3zK4Y778EDqx8zln5ob2ayqblQf0Ohptdskhf/Gcsdph+hCOFly64mSHZor5iuy
H7kMTvra5QEWjp6ni1Oqf3KnkheGMpklMx7vw7FbJawWETTE2VdRQLDLxVQeOpmTLts7OPQ9rdi2
yZxfCUMMGzXNEtLH9LWFMrfqyWSDlsD3MDCX2ehe7T62LAYuqdmSs1zQjtss7jpQ40Na8e33Kk1e
eOxTdVZD4T7UMDxWA769+6ZDNsgyz9cyL7ztcApdLAY1L05i31u2zbolC6+lKNu92bmh6Y9RsvAf
Ai50FEfyi2elgz9adgNXwd3IOQAeVONf55Puh2lNZsG0ilmyYTcvxTerGAtrPfE5r0RllDe9Mas9
yiFnj0XFfR1StsGdPr4Tx6VuZt3Ukk3fR/0+Qax9w1q4Z40EQJ2TtVI9aXWT74neYxS4BHlVen5X
QxRD/AZeA7JvD+YGdAPYcdki0mnwCi8Pashn6ug6zkGnsXdVZVg8MoWtIMi0HoKkjv0BjnTzHoQb
8F7m8rTlCTABT/9ahPUxG6JgXidlxDo2NL8xeQXMbcfi3QgTLfdnifyEHMhuPFTYJREfpVHSrbHg
jO965mbrquzaewil9SHg8Dz3kZbtvMK+zDagpRKPz7rndTDuYccn3M5273xDk4ilSLTOjaes+MmC
6oejMLbWBAtnGysmhLwiqhaKYo0ZqGQVcteYEs3JxKW4huXkQroPMNk6quqAeMCPzNf92E43hRvj
XDHIEw2cQW0NUtQ25NC1O9XY2i6xkiAnPiKLnzjN0idecd0z2jb9Pk0UkqPEiQ+6NVDxBrV9rGmT
k1WstbBkUd9kj6FAbndiTLBoDqLm6Gl4tlaRPqTo0TPvKOqmR5c4Gp+yxAqzWUhmss4+Qc2jetLd
mYDvauj3blt6J8yD6kaGUfOlNK0m5fkrE8I+a1LTc4u5HtXV/Ii6FGY67UM7PGApFJ5Pn0TUzOxV
pr1i6jf1aAB5Hk6k9OG4ckHrfRnYINvPYarF85qxI29W8ss8HsSGhdvU2OgeJfNgAE9p9ILrBjRC
6XT3EB7wJqOI0M5ZMcYvQW4VW2AoxCHk85gdWBjq68RNQmC/MtXcFQqu/EkPxuC254/uR/bIIBG8
e4yHYEqLuvta5AXKjMhhHa7m8ARe2KaY72uF2bnPHwzsVytTd8SOqU16BYGw3qKqhmUKy8OvtDlr
V1ZTWdvBKIbbTAKgX1szAk2wYOmmT4zuKi/mbiWhWe87ELYXUYGEvHOdpClvmLGN1toLRxRUqY+x
VVAs5BW72dZdoUkQuCwoN2O3Q5zt1IO8L1VoM4WnwCtdB7Bv4kU5OKhk6gHrj1Lz7ZaMm2yuiE0w
2f2tqtHNUAlDuN2ryLaehBvn3XoewLnum5Rn8SvKnABfbhKEV3G/aPe4hZtkA9xiWGMK6Ss28Q7L
8ohUpKteadW+az3jbqwVvYBRa7sZHQZyjkk7gq+tDg335BoDW3xVJVZMSljnfOQoNt9/QJdRdin2
0nn10LK1il+gFGDMk95wVjyPmDbm2VrbwDG/l24V7u0upwQ3FAu7Gk3Y4wz8cIOmeJYb0oNRvop2
ftMprE/DhIcyQwpaOpUOkUh2x0+Yc4XO5TkaZX7HjgPqRhUPvshltWbmZEJSjnLMsCmU6E+2s44L
bDemveE3TcJeVtY44vgev7RUkRs1jp4/F0ayCXnXUZzX02YUDcSqzDmgfEZBTOPOUDb2tk2qizdL
jnKfpw1i+pSTKYPNtnIY4e7i0ITqX1rulRnn9gJrjYavmaf1u0xIUjwiD0h1c9PznbCmhx5dCTHt
WQfXlFLE3aS0tCNOOjkwNyPDsPKgnNRTSn/DTUlgcBJHIDzyaONlvMZJQ05fW2r6Vek5+V6LA5Nk
WN4kxWAXeK4y1fqark0EPeFqKwOW0IXnaDefVGpA4vsO9815TNnIW2GBV/STUZ1NUfQdhK88BwGZ
9uuqJtql1Hh2Ww7+juXSlBHzw0SZ8JFU9bx0huk2Urp33Y9hSoxYbO9TO7ZQzgLj0tlnH1ENXFxW
j6sWUUrpd1X4hv8xYYS8UOoro3avU60mrzvX042RBRJVAqCskAwtNN8tbuY8jvIX6L4vtQk4M+rd
nbRGgwiKqv+mj7xYMV/PhylHaWvQeMar3kK2NBZh5k+pyfTBCe21PWdvgJKjTc+ntRLF+Fy5NBEh
qLG5/lYk2fMnazsTnV5ucHGmCGJMcwM2QxAQ7AXHJG6xzrcjnqJQt31qZkP3NdBdGes53nmhHOur
EqUzd0vr7AzseL5oQEdl8OfRZbZEGIHK7txNX+nQoxT1dsIGaV0v45/RbauDV9cZy69+3rOu0L8P
BS1aopJ+n0tFHLBWi9tEOUwEquZdRaM64ooiwdFNnSNzrXVEEMLBrWwCTISWHoWTI2xfqOBhXH+l
X6MUwzgxreWc5Ad2YH3qh3hnn3oVkGbWD2cTd94jpdRDrNW17zTKOUW2OSwuEArHEkbTMKNfRQ3Q
QN/vXj2jPrMyNVdRIh5JVIYR0EuJr46cp8Ey3adoNPIVHKtiDa+990UXWA9Eolora04FrODoKtaK
F4hm7R73xj3Lrw9optR/5MfgscYaG5XixYyM7GD2hfyGTLdZ66hU15WWP46Oa35UFYz8bQiITa2Y
elB8QyQHTWvndy6gKhZPYWKsVeUGr73epZgl+75hQDENd7WxrHQyFyPBjgHEgN5NTjHFf27Q44wW
BEjTu2PuZ+HDNy0MFkkfOETX4fSHNMUzYOtpcwQzvxpA4Y60OsGaj6pyzjgHqxu2fxTWRqqVKzGn
sbEiRC0rNj2J0e2mQzV2DRHDPfALfist3A8RijuZlBwebhwdvUpPj5PFy9Uwh/cgrbp6h/o53KBK
IDPbwUpqZeORRGdyc3TjkSVx4WeGYiEkllngomuZvA7DuWGDhrRgKJNeZ+2ERSX8A+FOolA/gBvu
9k5fv4bufBy54f0sZkWVhtoZzDW1TmbVmwTBBXtQtf2T9A7IflzVHq67glIfvtoI9RLpWhP2t16C
nTDHg92BdN54i6Rbog5nMOMcCvAeP3HgnTnXbgYhn2JDticVIPYdGpso8swsdpFehZu4zI39mNCc
NVbXHgoV6kwuSDbRU+vbn6x4/MuxH5XTaxpC1hVqMrdOCkItUebXwOqN+8FFBGGP09AgLQEhb7VO
f8/Zh/3PthA9wuI4ssI6u2S4+0agyTNGJo05CyHtm0YnAh1lzhnjPj5DUgmgvsSD120cFOXYS/Qo
Pda8Hw1vLrdpPFVv7GjKFwubWb5OtXl+R8oWjL4xpdpbyYr0xtEzbZ/wwmtWpuOMe5es4CsnpUWC
qZpE6zEOjw27841JkMJX6iwerbACgpEY7s0nxn5WUfeuxfZH+Imy91hkH2vG0LcIEwPfilEs+n/i
7IWI5HzdIHlkofsnzt5T7NjnGTvpD6a9nULar0Rc4NeZCXCIK9Y9Ug+0ayNurP4H3T4O+ocptL78
CbgP60nteQ6mzSflfvDcxwF93KqKCnEfopH3SfS5cY02eMsRWvlJHrj+D+x9RpOunQZBUXP1yb6v
VU+ulfTUuP0E4DeANbujBEM5r2zFpnL3NxZ+mtvGCl4amk5zQN3kO4AcHhsUZae6dvGsYlDywMAR
eb6bqgQfDOfCi12OZHUObJkfCNExsMwTDvzUpSr7N/R8h7sHTUw1qB355TGWGtZOa15Y3ko1XUjF
BPmR5ZjKFa/5pRLilHn5CaufdonaV+gDVj+z9UMt633pmuO91VWK4RMrbhvNAcK+SmjeYyba8JsV
QcVeF2EQjmtmatPdlPYjQgseNESHC2jfaWm8R8ErmhL0Z9o+K4LbCUQuhDobrl4KMcyqumHHEry+
JTJJPAHxLFiySw7subGMS1uXeOBgNLh/8Pg5y8pLhpfh6QeTn/DgbpVjajs3k6ae0krTr3UMFjtB
5qpH89qat6zSnbt/SetXrdvfC2EyDB0FMDh24xyrq9xyC0HNiGzg79B+s/HQYDDhJ4nlb9D+psrJ
p1JNCOEwbS9z2MKatKdKbEzGUA86YMUj5pTUL7Jo+vgE+gdGS6E228pdM+loriOPcBDI4zE0cXsR
3Wm8dUOkmLzsWXTT7BByScrertIGFryMRk8NlJJDP4A4rbA7X1WESLZU9oZ+Vc7l8EVhfBlX9hjn
6wj5lG838jNJBZZnWlfX1jS4+zwyIKr3M5IdEKCoV6GOEK42qLO7RAQwvSXiqByqB5367qop6wEx
KtU/40yHKY0W3U1RQnbTEhYwssvww6rNz53y3rXeMDYcTgHrZkutP5MDvJ5Hw0xEtIlr81BGhnsp
UE4dhsnqj7bmzMPKDrK1VHQdHRUjQlbVHFtgHOfPQAEAVF8LdzQ2PX7rbeJObyF4CV8gkyZSM2Gs
aAQ5s7JmetRik/BcZJibagkc0Fzp7qIe8Fz/Z+pAmRaAkDxwMhGhwmsbwPhKWSW1LPa6lziTk0+r
MO+nZsTk6Bhtd3EdNFsUeugofwojmBDXrRPgJynzrD69YhOOk5v1zZ+pBEbqziuvnDEgzfx3PUBz
h1J9UAVz4D599FrxbC4OOksrNviK5oVu8+YVqAWIGEDmN0Th+jO8AF1AuRVGKvcDoQMyTO5mt6JV
kBY5xZ0+L+jSG+xJ5ipL6if4OMnFDjtCEsWewkrt+ln2r//MOTB1Q9/qMxUycQU/hR3kXlLfDl19
25UiI3+3xBy5MpZGMMq0G9ck2AKHeXRg/S2uZK99k5rTnYmCIU2P8x/L1hKGgGPwWQ2o6UlPvOor
dGNN9gdL7X9r69+srWGW2Wya//3a+i4qv33/f4c2eyu+/by9/uMv/rG9dox/GDC6oJ8BWv8rfp3f
cj1GwDQ7tO3OT4YaqH2CNtW1cUdLgH/81h+7a8k/BwMQXg6mB+u/2Vvjm/mrmYawccB/mH34HliC
ozn569q6bsKO8QqyGM1pSV7DOnyPM0zFG4BbWEGF9TzkfX/OtIo6q6uekddrB31wrkWJAcKHYJky
UZf5rUcE4yXr9Ecr0MN4tQT+bEs5uBBo4A81aGF9OWkk0kzjwPnvXFcZVlsxGhe2OM2bZ+Zn5mFn
UxuAp1XBWjXszLohZ0IAeQmRf/zR6V18nS+RebVTkQJSECenazzzoyUwDutQhj39YhutifB4eCP4
dlxZKXgHiUugUfFHC8J5nZvhtHFK99oxR9ZLDnPBsPjwUDUORn8HepRaiKhDKdJzN80XyXhOD/lT
YEHgUMdvU8XasKznd0ulR/Lq3kvHJuel3bJRyECrR+YT+Mx93DC7HnQAndCOSCbX3GtDmc9pn705
+mxs9XC405v0vFwBlQNQlmn2kVTUTW3IgNzMIOeYOQGpXciuvx96QlKHO5ez3GexF/KQe+8DCvYd
RI19GE6ntBPlYcZh6GsDpBDcWtiE4qOICJUc0/HBjqa7oYI1bKbHcMzeAJO8YYi6diKTA9CW7Uby
Aw0sKUs1XWTGZ8VecFt7vME1mR5nycaXVBPmDCJE/1xyoUTUBEyWUXt65NZvQBezZNH68qQYDG9C
bbmWUf7WGRNKtGlOV4g6MTPytViGTmyv5gvvxIsSww4o7MlwcXegnz5VTqn5fRp9mBl/zDLiMwHH
J8GHs3dLokNp1VG4y+lxDlSwypRNsqJnauu05Qv1sYstF/kDPpLkWE7zYyNr2DjW+EAEHqyAgiFK
RKwJSvE38M4erJfxHcnZqRdh7IMVia/T2nmOR/2rW5s3uIwMH6ck0ku1n62uYdPUP8xkEsDYItaw
MfchmX4rTXczMo5BDXfdfLJJbsWHyefpmYZ59BzuhHFWaNYFKseq1R+L0Hj3TIrJHIUdBNvsiCb0
oW66BzlmH7meTL5ul2rNhunBDAyysGJVbTNRepsZ8pYPEJqMgeW6G4V9TfLDc1kXTEWldV0Bs9mq
5e/xc66i0eFWNO3n2GkWUzi3I/DKa+rO6hUvg4dRLUL+jITxFuNSuc7GkOq5lhbdJSOg2pn6Y11a
/aHN6WbHXtNu0mjKNvVc5TeFVk0ImbOeNNyarkzLzHdl4IztG/vKcFOyY/CoQ3tYN0vS6tpDQLp2
0nl4C5ySPh2lembvYKEVj0zIHllq20w7JXl4BFTFLFPIwy7S18ZEr0zwy2aM7IndYLyu1NRsaknQ
z7qxbZup+tiER7dUVIVOfZ1p0aUoWdNh5nkkoDP0286yWKdab2MxNe9FAai30JJoA1sdswMGumpp
kfCK0fcRiHcxFGOBsOD2Z8nwjoKlQlSdY+DudZJ6hcGel4003wV2mZnbsA4MfT0K6d5I3el2o+Cm
m1Ln2dHs607UwyHomw9IXCdpp7/hEy7yvJ8QlJzigAM8114wp45Fu//XUzxOsKWwqi/Z72qoJbta
UauN16C5z3NAOP1Pr7jfC/I+v5rHC81ErkHQrf2LAZMJZlfY8Pv38DrAexlMorKF70CA0W++0i+y
xOUrwUNhuSkwlhKr+MtXGmiazQTBOBKD9M1b4qKX4zgxBvIf2lVbHviV/kOi9xdt189arl8ILD++
JiIkG5QmC2Dnl2sZmoUXuW1Q7CdlRezx+oeSibyvmRSDmkUEOj8vnIBT03K6/ecL+0l3+eVzhDAN
/tlxCDBw5HI9fqJMIogfZrRKxb7NGYElZe5e2N9Hy3FxItwx3UPuex8IsdymQ98fE4Z768ZDHtJE
03tk47ou5lMXEv82m9be83K6cHTzwh1Og83x7dqC5QARvXWZwItqtrnV3415+KhbEZi7UV53LvbA
sSy9nWWhlQrZVNO2cjz855/0F7nl50VGKCcsg4rfEr+SbgUD17wkxnbPxm4rS/2CFeGSzwzcf/N1
Fl7Or1cUk/BSWjGHsX5NSfIGmPT8JvcqU/VDO46XyYjlBiqbuSpsL1mz8T0reqjbrJ8ubDLz2yjk
HSrn8KPuOZeXUiVJKSAMMZ5Qx6IaGLoH8quvTbwnkctxT5pm7och7sJ6FONzCFFwRyxUtRnjKT51
aPvuSD59HBte+7jy5FHFLuAr1qknWcQfuGBs8vZIZFsmN7tRSxBczI9u2G1nRewWLJl9NOHXjJAJ
AEgMELqMJ4zLGfNWLIkTinwYkcYWm9MreMjJdwxqrP98If/FCWMijvXobF1HWL+armcaolqiEII7
hg2IcmLkZLMqYcMWNPf/+WtRYf/tM4O3JPm0HNBKvwp+G4EokMaw2BOBeSfb+Iho8jcH5ueT9Mt9
sVBnEfzy/3Dfl+/hpyctjmpGQLoO9oCGedvGjDZlML8vJ32M8oTdbnBMhdyzj70mrDLCU0L05Rg8
gfn86tr44wTcZdYwCZDBhJd45HE6VVN+NozwY7YHc+MEWB4ykLmrxDIHBlNze5WRu0ro8BdX8Z/Z
mZFfM5GCljEoWBkGEpXaq6stRDqGXF4tdngaFz9j/GEV3IJ1nJ4ZCBHuHk6+aycUqOy0oKcQH1BE
sd/r6o6k14ieeD795jP5F08snwU5aNg9dXLhxF8vWCEqNZZTXuwNaD+A8nIcBiAuViwi+JkjrgCz
w2SdTe51btmVH7SNvkImRXge93KQFhvsUt12CBhAKNso112kPw8JnCRXd2a4G/Z10DmkYQcWcxqR
rK2Gk4gw+3LtJNOjLoZ3NiwwMOP70aQ69Aiv9Rtt3KWR/jhRiK0qGLA7Mxt2XjXchWA0MNtwf8pq
USraPYJITSZ4eTNvmZA/elXT/wCy/dtXx794SHhnLP8zTPBdxi/XaAiRAagB7A9QuzUlDuLZgW9H
wpMNqvA3n4hhLGDpX+5hl7cwx5qB+f1vz2QtzckUOKz3CLqKjWG35ZqowWPAm8oz+HwYUCG9BeWL
GoZjCgDRcxxmZ/y9JOmWgc1Izqv8OO/rjWfP6L8ydqrF5GLCN6603r3B19SCaaXaHwtGNmbVviPt
vRuz6ZQ7y8uY2yw00zc0g1SpaPES3DZ1ByQGTa5PubrpVeJuFR/pZ3s5yxEsqcUf9JqUYRSangTt
wrYKOvALzLoPoztePpsgqA7legDCh0RxeIixYKzxHHb+XNPqWfPw0LAkWE2AgjyzfxApajwtPprL
uNFwOhRn6LmWX+BSqlcBRlXIgV2/NWTTbpbHqB0t1s7Dgx0uDQTETZ6nCmN8TbWkBwmxlBCZnYo/
jWH8uWbb48Mvr68AAr03S/RVxwVOsvgcm/Qs3kgpLjP5nEQ9viSJf4PlH5mAR61PjnO+wMpCHmCl
siNN8S4PeLOQU8yNydNhMwrMDOs1aofimBrWdd9ibEZt6C+NEUOemFF0UxLvYl1nSj6Lhh3ff368
7X/xeFPrwOfQLdTrpv5L5ZGBZKwB+uf71pnei7a/a3Xeez1tFsKhZL3UX5+tdgl4aqs8Kr3PZ76I
1HYaWqgACX+tzhEoqiLZeKm3dvvGdIAlh8QDC7dgR9RNexZjGg1amtdgleJNXWThe42u6lw1JDrP
Ie9FlIveVcFz4M+OeS00zphETY+9SbmlN8h4bD2GRBqyW85cKuuQxpD3YYSIzE9CymywGw8KUPSq
EequAZHLyC479113J60u3pVEpGziJjXX9TCf8mh4QMDDgBgt0Qom1rvdkkjcVOrOoTvYp7F93fMS
ocnsHkzQO0s1r9iK/3i//m/C9rsJG3Uux+S/n7Cd45axVxP/Zbr24y/9MV0j3FBf3kwota3PMdn/
AR2tf1A+/Mqp0Yk7NAwbuKJrcnguX/yPsRpuER2TiE5FQJFjIm76b0ZrbLv/ejzznnSEIeE+LNEa
JoiGv74xG8NOapDJ0RGSBa7DLAttTmGZBALNpi37F52xARw2q7yLq6m4ngcCZGo31w2kjV2yMRan
Q6LSeUJ/MKY3kauSFF9SkZAw3eyw9ptHRWj3KgcOXa8tdyTwiOBiufh+B6Y3kRWdesgxV9hj0Vow
ZL6q8MpfFiTZLte9CHJ74OwYPIG7CHMtWLddau/mOGoOqTTtc9fCjJvnFimP2RE2tMoHV5ymTNhP
KPaBBDq5SPyRfB9YXV2/g7GuOPXK4I5iEfPhko1+6PSvKe6TNyfN3DPe3eCzzlUb/gCsPAzfWwB9
JCfjDcHra3sZgBSihw44teUewJn2vkgEP5wKNoKZFO4Bml7zPRwhbSGMq4xLHFXdTplmQ60oh2OS
YnGj8SYReNmDfE90wr9Q6c3MJCuTWRac4utQLzA6VrP2XtghIxKjKsU1MN/iMMU11vWxvksGYVNc
uP2XqFLq3mNXiWtEm5uvMnDC50ZLUwaUlsS4bodsyuYCPiwZqSSXwWleCT1uDhHYOEQiwmjeauae
HWuU4ckWtuBKF9lXrBpq780xokIZx++z3mVXsd7caHNoHdNGVaDx5xm4CbvDwnLarYOKRDDuiMlz
1CcQOHyoYfrsxVRDK65Sx7+Wa+1WtGZ2mmA6+k2Z2/ygI1Ls1gi6K1AZrKQtPdqNdZA9lIWMntDt
R6k/FBVSmoneb5PbFpIKuA54TyMB0R1H3Jge6gZUG6q/xWlTEvS0YnUVbKNZY40YoqIEUVeAx5/N
xRTrjcNHnLD586vRZAFTZAuoOImKS2wjK5D15FyFDeZNCxjkSgAUPVdKS66EZhqTn+YD/n8mfA7Y
lLLCHUs4I2saRDhf8SrKapVWFi6AjAlSWen5fkb7jyrUkeG6dIl7mXPLuyWjDlmLq0EUyFFRTv3a
bqxrZJX9e+GY6UFvkDUM6A5Qw7XdtIP7OJ5mQuDabeKp4otXJsGzhthLOwa1qHmvFY7xrWaqS8iD
PsDbnIcy2AChMV4UaP2CwKi6uzVYxr42ExIwKlHjLW3oFP1+UtNdOzggCaWZgl7mzVTu4VQDYc5N
tjmQ5oh07wLDfDR7wgtqQhm+dnatg/iR3LTIdeZsz6zafU0cHQWKNU76YeRV+8A+jIp4ShxkjJJR
HLqusC23blTkb1YYeV+aWH7VdEg2dtWYyGLt6TsC2QkrNOEJxSZwg+I5CTuyY7IGARIfVtG8KEdS
pUxOguYoYA6Za32H+5ca4ioSI6nQqrk1WrYb9CWuQj+B5B2KqcTNXc2ItXlpzj1QxVFW8VqyYET5
pOpjWhrQafR2UfhDl+U6kClKhCDHGkM+x9eQxez6TMZ3otesXRnr6YgjVQXgHpxGfxFpxAAULRZV
rQ57EI13nOxQ7WbkTJr1NeONDoZkaS4v/1hyYZ08eUrjBDBpzQh+4EQLoHuEY+EuUYbVK2LyqtlL
zW1Bi3vMKy19am9k22jvpeUAH2iNpL9MNXrJJKU6wfCc4OFmpdJvNSS1rzaagO84MYaXSRbGGft9
QB0zYIdYmRbzQR8KR30TTV4Ao0NUTFqiIThEAqKRb+jVPWLGivLWG07NQsHLMxwKNmA8uRDycAdk
twT2ZOt+4edhGgoJG5T1DgHAQ4jVaUcmXbCKP9F7LWJNB7cfRD5Gt/amXih9s7kA+3oDYlC5UPz0
T6BftrD9Rt1YiLMyq22of7IZqvhp/sQBTg5jV/3ZnVIbNU/0gxvYfUIEUedqK+El9o2BnXwLqay5
s/NMv7MNJ7xwLI47fODzoYfmYsmiuKuxbd51CEPESo+T4BH5T/Fsao3LBNYpBvJWw/SRGDLBITXw
WLlxVVz0bswv9KL1Ficd5sE4ldcemG+/7GcIalYTcmzzykNXOMUMWL1ui3myTlDR5jmQYV09d3aq
bY0WRg5eTK3iUcddvDKa1r6qDb59FNTibFkF/VDDBPdeuo19SGAVPoSd5sJ8AwD83Zw1NOBa2OU7
jELl1UQ4PeFyVXWPgQ6kMT/4e0XyBhv2xgLfBIZyDOr5NZV0QfQrGmI/I5u2iWQRPhoKzgs2kU2K
nx6aT2zMJ6Fmh8yFqPSB6V7qrGtWVi3Mm6DMUGVORhrcDXNwQHoozs1YhqVfzCCgJ7crL+Hs0B1w
PR8w4BtXXjI3e44LZ5fUDWP6FB7ZhggD6zZDXg6jQ8ZAb7SB5PJ6rPg6upqOE6z9WyBWtKqT5x16
o2sfm6AkytCw+v3iOMIw0ZWImCooBHxEYQ+jANHxGvkDpHpEdOyxF5UK7QyxsssUaRNZsb5P6kze
dGkewGX2xgNwt5jVIFbuwnPf9TL23lnWCeyMrVU/x8CMXsHhpYe21KpdYUboweOeo4bbb9ljyAxy
HytOZxv3SXoJvHJ4rRxnoOcw7BeB1e1GTFj3VLQcmoOXCcjLA5kSGyyAorwvJu85JjOYEzsCLXSq
IdkasCRcEFJ9PngvsRak9xZI0PqCxCnG0OF4kJ9mm7B3SCjQBK6ErWLeY6CFdHTXKorhUhUeV74U
M1aROlyjN3InEiptoowxM/tRUSzRveFwOxuiTE6qydp83yktYn5mWvGbYJpUELCQEtXYDHMTYki0
x3q2GSWNeEJ35Y+ER25ZQdvs/Eh/hGv2Qu07PqWpVrwn/SgePdU5D8aSHFkTIVkvWZL5kioJb7Ty
na7PgZGMdzbRkxyAH5IoykTZL043dF9NZPLs6pbEytYiFe0TYeC42QX98gYNhHbFh4NuZ8m8LFJV
f5izxQxMVTU+laE23SXINM72DZrfW1KuGEJ2nYzIHUXSEz64NlPofBbzbTRT74DLGpYUzs++4H8t
1G9bKPm7FqoovsNg+AsTn9Zk+Vt/9lCIz0wGAJJ15KI3+Ke/3luIn4tBnkUPkyZarH/666X3DwxB
puUwDiRjzXJocf5Po2BivfdMi0kY9mmPf/m/aaaYZ/0yyNfpUFBiw6fA8cfiwPhlFWRGqZcrWegn
2ChlVHc+uAhtPRoFMAhljNWGjgXF6GT2Fdwbikik3Viivo9g7YnamOMCh9rUkqURSA9tnpnMT+Tr
SfmI0sgk0LY1CBkT4Zd87Bw/DnFeIHVWZwgiINpozYJtXIKYh3OjOedw4Dd9mhcP4BeQ7j0WieLk
JOO8z0cO2wZJKnqwAO1AW4P9kbZQV33iyeKLmTLnvGrnetaxh9sMklaS9PNvyTw1rNZbqNeY/Fde
Um2hJFKtsNRem41u+pFjdi8gg4ZoRH2XQ/YxYwsTepM7FUGjlnUfBlnO7AnPOvahLIi/GBFFHqy7
YvYbPD32AQxX+81BZHbPyhB2oaOinRiTb1ntgR3kePZbvUZz3vdC7BIRPyCwTy+kKgf/n70zW24b
Wbf0q5wXQAUSSEw3HdGcSVGURA22fIOQPGAeMjHj6c8Hu/busmvvqnOi41x0RN+VywMpEEz8w1rf
Sg/8EfuWepBUe8CHyaHFQo8USTr2thXG20hOxwobWDEcNZi25Vy0t4oGfVyDS+o3c+wph8rNaK7C
zJ3bnlnaluehJ44diCJEA3MQvsyF7z3WnhMy4Zss/6hDQkgA8tVOfsPjkILd02H6sR8IdjJsy1tn
ACO4BnW/Urj5Tm5Q5cgPgC2j68Z4bLnEdMAZmIabtmshiRsRqXxe4s5XVTKDMvdhVOhDJlCytpox
PG5mKIPDXG48fwIbKUOULP4UhgcJ2vJjzXYABWVjzE+Ey4Ktb6PBS6ge2f6/IProSpDwICxM1HXS
Go3tsITtNXsoDLRIxzhafJFFCkhVvEUNpz2fHMZqsp6CbdFIgAC1vMxOOGxHMyy3Lpkmx6Sfrz4p
sNsAJBi4v2pI1wkFEFgychFiF9KO7hBcMkMFHcoJjh0yn8N+zUKpZsntPWW4lgrHOqL2uXUmH5ko
QltsLRepZtwE4BPlWIQnLyt3JXalZ1qih9FmaKB5mV1EocSUYXoV5jDvPC8JiRuYHs08bWgK4xg9
gkrPqjDMI8qDjIGvIivaKFtMMijhG2LCVgVctpPsclSXfgUQM5/mo6n4alpQC56DyfpUtr5cK9Ir
Vukiv0eh2O+q0mvhV9t2emyS4V2Ta3iimYlulMtwd54Lc6vraV8hYmgY9O/kzH4Tt8kmKQy6MWUw
UqkFceug6r46s/rokaC5CkJ2+XRWqAWlzghvkv6wCbopOpcO1skGbfeekKzHFqPeatFM02o4IeVx
Ku559+lN6kyGXsGaJNfOtruvTBamjR/bXBy+bAeFVjDzajaM0dweKqWO5eA8Kju/ovs/zyLcB7pj
KGHNT4nL8x2V0Ik84yuih2NJVclKBPVMytWPSGcjUeu5UWrvT+Ntahkj8cLdyIQyZ7xOWClJ7PLF
hdS/Gsqi2Ygi/5pLU+OAGVxCCWIQ6ga0dCUELYHbrFTrcAgm/q2saW3SAkuvSTAsTnlLPphdXG4X
PQoK9X7g3qobgSyM1abVUHobdHEHX+efqRgTlCxmcMLTD8FbAwwcQztlddOmB6i/JOB4iXiIYvUA
cB1tKD/UXJWXkW7vLV9Os6wLQR/5KQnddW3Ja2Lhj6zqNl7zgeldPdbBq6fij4Su9bjExm9xi0uA
rPAOMLEiKF34EBnIlQOcAmy04Vh/oLurV9HsBkf4gtfQ1Q9D3+Il4LmCN9IYCBxAGf2BcwWNB3Hi
oE7sNr0wpujJW8jaPWAxZ2dWqrs4kRNfbdxjlNzmddZGu5Fp8dpEFkuLoLubRmLuwNivxrT2GP40
1wZfFleI6VtnprvUzmzeXiXfcOZfMjvm6UDqypiJAPRC+5QDrdhZbHMfMXXd1t8NUqJNnz0jfXYi
1C+50b81c/DRjayj1bEirkVX74occ2BsDbtm0EtHsGdVxl4/hWBgiUhhekTaQuz21tFzczCx+tSh
l3EDZxUzbmYDNw7ziwtGumtHoiaIgRf6O+JF8pm+kGEWJ+3WNYJP+PugvaIBypaztDb8e7+xcZin
4xVTGYOGmhj6Nceo/ykLI/ExB6q2YeLPV81AYGB5/S26oW2vqFh9q905vbJob2n4VU+7REhWFa+z
Kff3+djNx5gMx7ZOT30SZns2s2y6A4PIu97Y8TDDkRYGHswISf9RyU5+lgafF3UksrppNuVDXDAv
mj2tbvOOCL9p6Kstbsb4vR5duR6s7kwyCc+EIX8Wsj+UYXUbQNGA8h8EW0u3j/3UXFTiFZ/7sTwE
/vSR2OJ82/PzuCOiY7R0XnLTT/ZRaOiRMg59i4wUZ76MjgRX6ISq3nRzLG6cxIl2kwHvt+ki+zWs
uvqKAjgDb6pbgNc+9Trthl3eI58h8KDS4L5anmvYHBGdVGxbGGDXO/xb3dmKyARNsJUekB0n+P2N
Z3Tmy+N5YNDlBhADnMuA2/UF9E95Z0Z1P27klEPlWU1z2l0BgPvHoMkw/vT2sxzN+h1mpoHrryg7
Ehe9ASGNnQvgdTANpv7Ac9ZibRd8ZtxzL2IvAdsztNfGKe8Rs+HpzIyHYoq7u2xMPmAY17tudKsT
7coHv5H505ggBzJEuxX8eBurzAmAlz7aGea5ME2F3kLr0+SLGDTxVR/v3dzFTOzXiElpNddkk73S
MjTgEmAXRv0AjSZoWd72jf/N7Zxo0yE7wNhu5284aqdHbwDKknWQfDOWdIVfeC+eR26JEbrm2vLi
9KmMYLSMTO1AcubY1WxWi+Av+BLxgaUre7QJssdiyPeatxfphsS+9Euts/eJ0NNrEJT9B7uBIRF0
8YXpLvb8hYXCYEyAc040bs0Zu/mqNnV+gxsWYBDNDzVCGd0KKz+0WYiBC2TPtuuC6goxQUUct3H3
YNA5HYhyVh+MOTiguxyf+gZi6JK3iLYPT9m5bNsv7CI/czrniDHdYNPpsHvGInQDFyagFdXTxhmM
ZBvWLg+IhFjI1rIZdzoLvRtLiHUpbTtZV5ajzilxcayymulcyCE4DFAyNl6sPpOfJtbdmCfivq5x
UnFANuPW7uwcAG87xDmz0QilTiEzHl4Nnj7lBfZN5E7OLqcWfDEHhnfrys/9EbXoZBN8ZIv3Mnfc
dwkLe6VmuIfEGzJ/FzkFQ8c1t0jWXs2sTyiA+5PXzURJduamtK07lo7EEzCTBr5wioN8U1B5wF5N
epBBRSiKIb7RHUsO+ETRI/k/rRa3FFprIrJegJcfXWv4worb3TdCvQcyUKuircdtB8/xGJYVfIPR
IaFUmns+uZOTAgsMEuKO8woPzSi7T33LUsSaFwRjjfWW2EhiFAn3IJevOsSyrCGrLKIDX+QHu2Ws
FIPlOcH/24bavqRxaj8nEnxzXrs+MOqiuknRzhKEHjxOM5jyXumrjnu5N8U7vTVFUxpWWzxTzwLf
Cb4cEIuGJMY3rutN4yA16dPwpN2p3HoqP2Bpxjerx2aFNFCsK6Nkky/7Dd5xxZECRxZlOWMv1a98
LKKfhiXBlSJ/BzEAsG5QP48V8HuPBKmVkxTIw9gpYzsrNrQrKbeIIfMVsmeei3lFCqW8BkMh925k
f87L7rmqJ+fOcOcHUAJwzJll7caBZFf2pptasp2wa0djKEGppmfDeskH3azavCiexxbkt2Wl+IEn
AyuwYIJvQ/5IYwfpopVW1Tkr5udC1eOuaqjrkipMvmRabMTozQ9zwp0+5u5qMnE8uwCYnz2Rn1Xc
yYvGT0ZcZfmNAhiTTtxsRUo+dGwwwBxlfzfGTbyb86541jJNNrnsYCtL6LuSQTeFt08+rZHmtxma
1NU0ZMUuYKZ9wW3/bjY62gTZ6O7jIRsfWF4Yu6AB/j3lHpUP/Pw7TGuXEkztxQIQXODiWc8NCIZY
mtPFSoOTITBezm5FLgSALLDw3nBmcfiloufIhfEKqegtqtlp4IE50+pOXIyMeNz5GPoZEDPD2Ofk
n+FfWyH1MM+iSeuDyvS9SuwbUDQckbGCR9kn5q6uaXF7S9t7u+33SLXFyk7TG1+QX+an5snM/GcH
4TcpB/Pb6HWfwy56r6qM+6eyH7r21qvCZ+asSJlxWX8yDKtfdzI/Mvua15HtnXGFffTrCvFhUEFg
w0ttRX59gXkCa46Ez7OU9UM6UKEZTWouGFZ4WfiezEsWgiaLZuOe1UZP3k4xzgvqGmQL0HSOB9Mg
a2fy/eaouYM/TZoJbMa80g5B3cT24qUcoMxi93OKV7Jci2oLfLy48NiSOAEqO6fIq7S3sWIN+Khd
NpLGiKMvdbN9moAYWteWNuN1BQzv1RoEGuOBsCiQyup5QP547MGpHKmss2PgxeVeBiW2zAnUxGB2
7k6X3dOkAU2pKrgL/C69LxNDfHOSpruZ48Q91bavD/h5shMam2nnDFI/SYJyNz5hTfTx6W1WkoEZ
RuYduD0WQ00VnW3CbcETWc4tdEGJshqWkY3udJPCx9mx1jIQXXj+RuNfC22Y7D2hr5sIreCqUOhz
SFmLNsw3YJ/Z5l0kO3/t1imj3zgP71zRugcvx2FadMGKofWbF+VcMQrb27Ij+ken09HRPVPwob+I
oqK0aIgwJ5TjU2DCP2eujhq1YIxu1E5JKaRnUgn555uA6S/fnQhRObdrMWCbSJdYBLBc45ju4srM
j9SOR9I1yAggWWPHceVsOdEnPnqn3OZZsk/j+o6GihVBasg97TBTF3tMX3vIxVTT0sxueVzzJBro
GC5TE9yUDQiEGmLhxgqBHjNhxjZAC0K2nrrxAFevyLpKDk0mFyoEhN+sRUHbZsC+msr+pubudgpy
vVr6C1hgF8Hpjjo/KpZg3hsM7FgMsMFAK8jB/gwG9u0qaWGb+rhYZXqfWAtAqSpuI9d7qXwSvKmx
icCtlw3GSLywMPfRwMwjR0O8rqHw7Los4Z/yO2uVJO3Xuaof0PaDJkZ3rpcte2RvmTTQa1l2uS4M
KG4D0BIrzBnZ2M3ajEdOZZCJh7jKiUTJQGdgbjsNfFPRzAGzMruWM9IRekMR+N576Tu456Mv1f3Y
VoRANBNbZ6VuOKJfauK2d7Ibt7Rb3MkEHq/bHhUP3wbzMovOAlc+MEoBl4PdHftOLa5Tahz9lCVe
DwZAKVGCtIvn8oOScAFWwzD4OysXT5ydV2uK4BpFfbvN3IHuyx/WkaYlbA0kgcCmWTTSqIYJmx9f
UMvJ8r0kfuMhjYADUdHu1aAgAY/2/OwLeQ80uN2MtbBY7Zi7tnE8JtWaOD2KZWPj5uyIaXLSp4Jt
jS/UpZmtm8x33xB/7Or8rRWAE1v/GxEbNa0uhpLFRbxuimCjMNSLFFfCrPpv7DOzdQ51A9xcjLMA
5kODJCwjeZHBCio6b04BSwPrEqtYYITk1PqEKvtexxzQ2Au0O65rU3p3RddbJ4O6vl6NEXRMIOkN
QOxJLx4Emqk+g/YDqG5bNuPi9mPjOij3pi7EDVvUNcl3BcVYlnc7JjnRiUcWEPdZ4HhMxaS6swHs
fS8bKydeDgTBMclVeO9zqoFEaYR2CspjFfvYDfG+PhnSLZpd4TfGtEO1gDneFjHjNpc+gbAZZXUJ
y6lAKIgMXCMnrJk7dMZknjvPl4gBRy9rzyFrEaYW/zMz+/3X6vJWfG2+Z+N+prjgnIvbH1G5//xl
88/o3CUQ9qdfbMs2aaeH7querl+bLuev/hB1Ln/yv/qb//H1+7/yd9N4xucINf+9oOnydfiP10pn
Pwmafvyl/2MX9FFFgaWV/3QF/q5p8oLfPLRLjIu9HzlbuBf+kcDl/Aaq2ofj7HrC9t3FyvePYbz5
fzOM/5NUcFEIEnWKpMnBc/Kr/UP0PLhNM6qOvW9gCs7KyLmz2RxfiO/0/06X+LOGSvq8FsMnNOfo
CIT4Vb7fNyaiHF+UR88eEHX0k7ikrBtfJq7AWSkQhH/4KP6FteUXzdbyegsoGJiwJ1k0+L9sGfQy
UQYbw+sVgjj2wayJmGaqLy7tKG3IFKFrb2GMiycKZuvpr1/8l2Cz5cVxfrikG/PpcbD9IhhTRLYC
u9HlcUZh+qXIC7BROZD/8yRmpi7hHJC6bv7dj/wn0TKvytVClIrzhMk0t80flfBt06Z68L3iyFxj
vM/yuP2CcJUM7yDR431kAvT96x/zTy/oCm5SXg7KmwmDefn9P0jvUxOAC2VccCCetrrxCCIi/aBl
+u3bxicbre7rX7+e+NN19RwTB4jlBIQ3B3/S+k+NMOeIENhDVyHrXXVk+1rUXsqkNxok/KGJNfzF
z0t59JDyXBUA2Jeyrr2B2Xo2Ey7mNd6VbQSOMd07HVPDOm7OYgzGj4wS/+YucLx/8X5ZgPHdR4yI
jFzKny9QSUxUlBZtd3A8O5JPRsHw+aaJcqQQUaUY46lIDCdR4cFjXds64onv4ET8ak7hacaue0oa
3z4WU+28RXajAR26OfcS+ovqpph9cRlpSONTb1ogbjjzxaVgVkDkbObMYtOBoqCK18mSiWHN/q4G
xnQBDmDobeeZ1U1tTOOVmnK8D+EmAbvUfeW8+73NENzFmd4z41KAVLXtjPcup4S7SXyKuYWGZHxg
JB2EV6UtzS0Xpsomd60B/bkwdGJB0BtLbapczI3peNvKoJcPGPaGc4nJMFmjTMPhifQG6tNyEJBS
zfd07Jvx3hja8T7IFGwiBBj1a5da9evMqPnowpykOuv7+tUv7P7eRHKKaFsxXyHDLA22dKHOm68J
LGHBQEVS9GENlagdr4YyxBO0KX+TzInzRr6hVR4REoyQRVoqBFeKCida6IzXTmp+0jpD+FigpFco
k5LwhSaODPjOH5y3vOM6+nPPddNSPHUBHxoJ98HLoGbnzTXc8ZpE2ESVDVtpR/ZwCxx1NOD2NX04
Xn/cq3Ea2d06tpOhuyW6qfmSpxUCPDa0dDMT9IV9M/Q5lCQ9ZSCGMKEUx0wZClyJCz79O301/hBj
e30BaQCcr82g3G2LSXKfIC2Qb1Xj169xVPPlV0VwDiYdvNR5Qb4ebqXFC5BRFclorChWJj7+Bb8B
sHiqh03vfs9asBoo2yOYJYiW2ax2faf5kAKGzscuThPgNIyqrgnT3JzI6Uofvl9/ObbIOzpfQjr1
vA1uprgh3iUwL9//TBuirysmM+XcmOODwc/6EHttvxmiINh1agGJxcvXw22zoT6QhReGN6LpzZoW
a+go3kc/YBLrCQ3WFlN8x0CCdeWlVS7bxRW0QGt8rN3SZLEWVmPY7/IU9iozV/5CyWgMtrtovZ5E
YJZL8alp2A/tJxPn5UZFxhRea8Koczg0jsPWLe7a8GwRWv3qBgyj+slQYMnTZk7uh8mwhg8Nlz/e
N2XZ7xsrhhw9m/TRht+Tzm1mycpweofr3DzBH4wXLxm9UBlMu8DO1wpM9nGwFZ2pn9oXx0eMy0z4
EAbk4rQRPBS36Bh91IAaYRROF+mQ4AMwXHyEgqo2NaGCK8aNgiFO3F4HrLvRqg1751Mrs4AkbLsZ
bEbwyXjTe0Z/kH4VFasO6Ga+MiFs+KBwvqiGY9OFj3sqk9i91GYZLFZYOZ1BKxZ84KPRVFTJEVlc
9dx+CXBdDQA2iO7acHMHJxlC9t0Esm8CXBte+GKXDegXYchn+hLyOrR6K4XHgoZ4PXlQaIwWSrzN
TafNnltqythmx4JfgL/qxiuPOe5lEmzj5OAaIU/pxTwxNXT6jmiDl2VwTc4INgMIZX0/Xmf8xS/M
TgTJdKJ+nSh2c3Ylw9tY+dFL6rgcmJWVPaWGmX5IEWDO62BybLLBmoQ4HdsGxxYAwguCsNzwGK2e
XKfYzglNMGk1MtoJu/Cdk5PPZvBhbmrxqdCGMR/nmBb9aBd6hr4m6mbc2ZokqZNr2fY7nZPjbnWJ
zzSow/Ng1NG9btL4CJPhyYtjqLutfoP/vZz+iXihk+k2acd1QubLOe/UIjmhULM+dUbYDWuEieZt
HcAIt1xQcpukJ4nTxqe/sQfFVjAW3o0MK+3vgtIq78bOGrEeSuuliP16U40Ng5UeowSLBUuhLgSa
2a8KOywvcFLkey5s/nzNE0s/O1i3wvfAHxK9UqoOq93MtheccZR1cp01mXEm0rPj0hW0GXPrRB8n
z0cHK0v/joEUiBd+JGZgTN+RRIXNK0MQapG6XbiLA5udTPR8rAo80Ba/ElxqVuKRvmi/mY6YWPyL
MU48FiCcFhsD8OwXttTB2QFSsMiqZm4a1XGnNBHkJeYny63URciWo7gSF9sKOEuVa3Gmp4jhXnpQ
GHuA7MG5GfhoGGEEnINFl/KekAcgca8l/yPOSm7B0Y4Chqy4QTeRlXHe614fprjnHOydCA0AzGH/
HNT42lK/4pVTHiaI1IkNuK9tXt51BpXvvYnneAWvYm+Hs3ybSb3vwENzTHpxF+qtZ0TLrT+YeXy/
oIohYdSDPJM5YCKIdmYCmFuj+VJCYgUnY2vuCAtawRtzlfG+SaDFIgVI4OxNqsrRa7eOR8Uw0aLs
f7wtUeK926s4pZIIDYPHl4fs8EblWh/6qRvv257at4DgDms4L6eThVQeLFI3seS/FSwsYXbroHod
EDPEd5bT866TouZnBX3IS5YYmLyrVHXekMzjtggrVnkcKVjVcJd6jwTuUbqnLmuIp0uUMz2SuOi8
urHgYJ00KvGh1pDH6ZBTlpSdiJ4Gb4YswbjJPcvZ9hvORU88EikLDKuLjW+tVsE+7oYABCffYrFJ
DC94sUakk5g4F76jIszpydaKx1OkxzLbaU9mTDvHZLmiquITx6bJY72rfYQrheaoegyXTzRNbT6m
ruCOyxs+RkNAhl+11mxqc+MwQ0i2uQ8W5UUYk3QW1j+l5aNrJ0b3iIQox5yWgB6K/Wue+QH4A6KB
Z0CnfqSmZDdlDC3Fc+pTLUf7cWhBFAvKjdysnG1iSnZLqH4SgGEMgQaXmK/CwKK/IpLYPGVSxxe7
aPt1YsQAN5ADsfpyglOezvUtH7+6VpDojhmI5Y+jESQno0UATeYQj57JLw6RBXVtGhl3593g8HPA
EiaNB/uBF9zIqQnJ27UfIMAnaJRwLAszgseA7xMz86iOVd8C3GpzcS0lRwyBGSiGgAYnUBOpSFq3
yL4ZiXRgylch5oUKDWmroArwDRxYaJTfSrwfiEXuglEOR+5rCoNOmUCeaxPcNRLa3izWbjMVh7ED
Y0htHD6ObofelofoJlUxQhopQTK08hYQWfnAp81zuRzzE08+4E6Q6YAVYr31C3eLS/y2A9i/srlU
dybJYc81QIpXXVn2peoLEPZ2hFu9IdM8D/ISHvO9XYgrlV+5Rc9tfnPc0MGH2GPoYNQapChRSw8l
mH8w0vmro1w+EEnyBbtXxx7iTdGZAJ+pCMD2kv9G/vDECJ8TJDY5IXhecRq2aXXTKcs4uvak6tsm
g9+4KmJOm8TV3JFzvwwAwzGPm/spG1KcwJTdf9OKL13Hz25TPPT4mBgsCEYQv7b9c88SgydezYb4
e9Hfj4BT9VL4/nW79qfuByIRVmdmGbT9ksbt5+4nCOO2S6u2PuSly2HcgUp4Umjx85UcxTK1WlqX
78fhX7/un1p/XhfCBMR2OlNig37pumjJczutxvoA8NV9aw1EYUUz5iOs+pjzqyrK6eq6MWex6pcq
969f/c/UCVgXFl0xX3DexK8EjwkfaD4ItzqwHacBmVkWPPnLqZt6Dad9C8h/ybbQtCVL5W3BZKj/
Z2Zxt8lnXTXVt/bXYRwTtX/O4v7X/0MTO2GaiE3//cDuf+dv72/FT+LZH3/lH9pZCcKLUZ10GVD9
rJ31/d8k8BLbE4BZAMMv86vfx3U24zqTL1Tg4+B2XdZ9/xzX2eZvliXtgHIALqlJ6NV/Rzv76/d2
KSqY1wnLtBbD468jtFTUlmxsaYAywP++Ajc/H7pANk9/uCb/YnL261RweRlW/gvFDMWvtaRw/XGq
M4uGdJS5Nw7NTG/LbgRtTWf6d8XQG8WPO/W/7LPntQKOCFuiOmZe5ixa4T9MkPgsiJBh33OYBEs4
08XIv8y4TnI2qaToSP4WzCL+/ON5DB4YXDGWY0tqLl78P7wkxElHCZSnhwQ/D/2hqtpzReVYYQYq
yLbyAxpq03dta2cCYFkEA3k67d1qIJ9JOTjX6Td4KrNPhQCYJvoQVCPH2xRoIhPGRJ8V8/W9CqNg
/71pKXiSr8sQReukFzpJBrYgR0H0zOClPAW9rndGWCSXcGqTC4RCp9zY1LH7SZnFkTHChM2kKR4s
Q85fA8rVl5ha4MWro1sTvdwWIxrpVHVuHmYMfrfMU1x/jWihe7Carvg223N1R2+SPuNjJMWFZ9HO
UTHbEnABuP/K4WBWYbVBPcquqCcpQqtp2Ip4rNEO2M2NJ9rqomsf2EOe2W9mHpE97A6KYAUDgSRr
c8YJYxBCMzOs6nPjFwVZzcX4AL8x7lamGnwiWHy5MxsLTmRmgNfYjLH2GrUC0RoNzSujGGdqznFZ
pzuv9MhkH0AfGKzKKnyLpl2U75326te0i/wPyzrvGkSYXtcIgYIvKThuorwC7ZU8ponbWBlpgqqy
J2CJJZEdv2dsHMkXLWV+Z+YwOxj1RNV5cUuQglMOL/40o8UNE72xwB+dZAqRFHJc6twltrjGI3qi
cEyna4xoZ8sIUr8WgC131Wi2VDsuMfQjkOAvuijifVzGnydNpFlEpulNxJiGyn2GybNtuDhxGea3
Ki/mD9K2jAfclPPZnEOfuRO5EEe37E3QZxirzJVBmJwEz05uhikP/VA2W3tKsrOJu+9L1LjteyYm
gOYzIkmIHG0SnLgEzQZx8WfV5usBIdiF1HSaGS//Ytr43N1M3oQGlNMsi56R/iTcpHW+N0Dcrsgk
G9cNyg/URdLE5pa4K69ub1JDSxtYHJgS1/TTN9gVJMkaHuPdzibhzQXCj+rpGg65dXapWpxxGEiX
8j3Jrc23B6Jff2tDSmY0138dCZzfOUgwbzOrnN8XEMmaT9ZB3Jdldwld6yYDrXZVDrphZMRXpYJk
2znzR6NDjMNc0dpa09xAoZjn7RC4w2OJxZqMsqAnHEI+MK74wFihsg5J5iPt53nbQ1QisgTpSAg6
oNq4XUZhsJr8Zcc7NykK36jInC2BCxOtKga6+ewP+TQe88AEmbqmnzHNFf1TNL9kzSB7xpRWh3mK
C1ERyDv1TfqEpNinPAb+P/r98OThKNoGgnCYjTMtseYYkpDyOIpos6D12fvTQLkelbqM/B3Dass5
0oc15ibJjcknDQdprGQ+1bq7KBvm6NrDivF3do1w6uLClsMmXOhyuI9cI/Lh0LmqiW+CEJAXuvFw
cF6tOu40zPkyZAk66DGwXtIO8NVOjYHjfSHmmA8qJjvNOGWUx51+xN5VFmrPfjB7NZw6ewQFmey1
yVCIF/PgYJht/uIR8qfXoW2h9Bg61z45Y490aJj7gehshMV7Bw/3acDWzWR9dA4WcnKPYSN8HLJC
AvFkxZDeUTQt/9sL3fBxmrrhs2uRqwAXuqx3MmMeU+UMt1cdiotN1oF8Ap1VnpKRXhXK4swEURF1
yJRtoKGVcrET9J7YoaiBe6eTcuugNlyXjbno2CYEW0YYBp9GzX+p1igf5wY6yMopja4m524oUMnL
+qt0pU9PESao+S3JhHwKinnTIUKIt3gKqqNPMPEdmn/3LS8U788GHLkLG694gPkLszjzC96b4db8
nmO0xTcLlfWLbdKx51nqzoini+oxKvCbEbNQYfofESmQCADK9/tz/P+7qP5mb2s79lLy//syEPNG
lJTJT3Xg73/pH3tb5zc2s/w7RIEuOaSLv+r3va1v/+Z6nvRk4MGDwA/1h0Iw+E2iZqSkpNdxMTbR
Gvy+t4VIwb/GFtJjH2hZlvvfCillC0yR8lMLx8sDmuef5F2YdFc/FzE8daqKqG5x8H3Sw9ijVP5a
w9bAqjOpcwKzaizDT1PpM8Umyip+NgnzWNOjVSgYo+5iV0h1A034nOOFItxqoGv3mHdrhN3lAhOY
SoLJpH9UYfsUsrPwWa2pNxPktU7QLunomUaufLGW3VFdDDS4vWXoLw6KzBvCooKznEbnDWslc9bR
Io7DroFVr4hxDF5atzK+okUYnzO7KsavgRcEXsqqSw4X0O9bjT/Bj8b0xkyz2t+7fVg+DbYEprqK
DNSBXQtuF1VYZaCIcJBuznHZbxmfR8iAEOo1xQKp9Cx7vAg9khMF++ETZRfEi6btfS5LZVkHyGrR
GeEveSCZi/qforvCP4/LdCeUidm8yd4l3+WbaOCr6viz3DhaZh91CqLJEaHcGJ7rrHOS215QQU5X
ikcBBaxZyDR1UeNqnU1vP4axPJpjb7y2TU4UJ6Ki59hs4uUxj+dIzb3yXuom6Vsw+MxttrOeaQhH
agC1C4OFYOfNsrXuEAeygDEcVzxp5cu3riZfceXmQ/0qIw6tpdB+GodlpA5EaRllVhy1QebQ3E+o
456ipGUYmqNhqletvVQGumrFpbFtZmZe25CTatcle0Tf6Wlc/Rg/PssnxQBtwDR8I3TOOPD7f+Yi
5XNFpszMDUoUf44Dlr/j2GAyzzUx2ThaZ6alTktMSSp9umynY8DW9pJSmQkhc7sI3e4LwX/04Wzj
gxfRMbGiUuyrnluT1sMSzvcRbY8v2qu6GUt2YB9Z5jlv9ZirZi9bn/kT0tn5JiCdip+zYK5gRYJp
X4qBqEGbyUWxwF3g1s0YWJ7I5eMNDEIRc+VFYJ/W3zeE+VAw6ItC9Dw8r7WdbnzKJrmBYO5alxD2
SrhrWnjIx7bumR9GpHF9SdnXrZNs5tcSCWzCFVeMW3Oiu9Si4wX+tHJJ9mGn55f88/gX+G9/hqO2
mq2MK6iHpXOYlWejDSvkcRxjPpZ52XJAIWc3Z9T8EGFnmfcIpl3mk7wifqls3PWGax+HXHBv/phi
pEO0+PEzVo2YPUBoyMHq573WQr6Z09T4PzZ9rsnkQVmCUahyRn2IqHPlA9iTYJvZKq6OiZ3Aygrd
jiG5sgDjriI758eaCt8/85RyP+DnmoyX7+/Sz+cuOuQTynC0SA5v1qld7jLDssUl0FhjVnnWsBhu
4Oh1azTean5s4ZtmQJaXjxRc6HJNFkfdpZ2C6ibg+X0zaZxUl2BalpTQ8pl7I5RK9rAxuCHgzjJJ
G3JOKIw44B4KU0y7hBn0N/KruCNT11juKQT7/8nemTQ3bqTd+q/cuHs4kJixuBvOpESJ1FCSaoOQ
VVUJIDEmZvz674Hcg13+2n173xEd3ba7ZIokgMx8zznPoezUNYIcKEXPLsEXJEJR0tQI6Ua1w6YN
rZlTrge/eWBy36cTQxmuNIbeLMyE8MBuCJJlxGvaoFtTVQEHwrWQ/1ZUgYTbLi9oCZzISN55ph/d
fAoNfJl0cpHQFQ/AeFtmzRoRtXW6BsR+ijBJJIP+4SHId/BVrLXZS/faJW3zkRpkXUFhcVswkRwf
A88g6G1pLmxLD5o3wwdw65mOwbujVdKmjdktmnU76IxjaliwB+Ijo5No2eCR0wj9j7pKfRuscBks
rsSB2ZuFl/IoZeocOX7w+U6LcKZ9nydIV5c9L5gP94NwgXT00pIcLWyilCBxMZxqpyLvQX1ymQVx
vNasGNdCVMVD1pcUiPUKCXvlq5gYYDn7OxC503fHz+1ThAhySPtAfMtc/5OIOfo7pFGyhjBwvtuQ
YJ6A+k7HKif2z7mG2s/EeIbUrb/ETD02BZRHzHthgAgo8MqSx8zYXaK1ZlTW4IXPMQNKc/6eQKDg
Dhiy5iZwB5+ATerTPEw8y34DJdTctHhPUfStJaw6g+0mTOkSuxgWrXhsLW+dRLN/68r6Tns6/w4k
JXa2TPH6bDVO9XSiJiK4ywbjQeSGNW6ZANqaXV/fiNuMPoP6Ojt2fOzNcA+2Y9xR8Nrj1lTVGdYu
ncxGF12KXvM0maCzJEbVPdBEQZvBANi4DRv6fCmKtW8rhCjrOUJN+kJoQz9mg3OJiV49gBfAziQb
8RAJ4T8Sq4xX+BHa4L52AvMAcLOi+gIko7SGETUweJoZ/b90uEb35eiWeu8ORRlyf5B1PPScC7jx
hwMhPayKlXVpGkYhHk14aARmbN4OJafjKapb89pQ1bsdsVxts1SLBRGhibD1bVxts8Gk/y+O4uFr
VI15Rqi7c9OdmXddfpjqLOvWhnCIYdl1uQ44OT9ZFI2/JVZoNiyFWJ271KGkBNP4sfdQj9eDnX5F
4Khuhqzr7lrL/DrQpHyumnkCFzKMlbf2i6i9bbw53fS4hR4nsJA305iKKxng9kfvjPrrFGK0eR9b
Dv5XRuyRhNqAH1xmirqdWr9ymIyucSyov4amSJZHUL3QCvTBhi2N7+lT19jGvdYtR38L4DwYnfw7
bMjxtkYc3kbuRNNX0vZvQeJFG/b13iWsQhftdSD/qooYQJ5JYujO5wR4NsnTFpuYapuro0p34zsd
qkae+ave8cYTdSDF16RrKbguq+eoq9B9TP2lZUncUtzlbrDgvwlLHlPsB7fG5Dqvw0APBvccllQR
NWLLYS/GYuTIexsrwbnz9SHoBvK7vgV9wxQgNP2yGlEZ49bhHQZibcWOneE1tjqqZibjDjuptTeT
+BZIGMDmTLxEqeOvZOahBVmlQ3Fdu7QzUeshKjryGqtCvB3JsEk7pC1UOjUYXI8lfBc6tjmuSL3Z
10A63iUICeiV0KdY6AvEIbTwdq3mcWf4bX/Ga+mS7ZfPnlmLm0LT5IEiXcFiIpwUtnn+SNU1sIqU
7cfOKkQCpJvk8rZaesy71nMBedBHcyH2au8Uja9Pptb9zdTY5gtZOR5QnizPPIF60ClQQTZtHl7t
1uz3VdHF/K3lVDd2PtcPRBIgdU1FM2wZkXGUiwlYnTon7a5J4pkbHXlHIG7Bbank9Gw2GQxON+++
xF38SqqeQidXBGwoxl4+97TuYowaSTrUjX3yqnw8jKa0Vg546p3XoZqSV08Hb5WDcpvXgd/Bc8bz
43In5K0Cu+XWO5oMWB1xXCF7+3m2RygOyNPxxvtq1I9RWvo7tKwo3bIcDgfSuLj9s1Ct6ExbmaNm
kEV/NLCqNHY28ySbGzKijHbMeOpuRu2Q5ras0d7xM+PZp+g+WPs8b75BvvN+BBgP6ATw3PlALDj7
gNVSH0IdRtts2VpVeaNXUJfhq1NKVK6xGHlbiukqWgb7ZB10QXceFtd3NGXteurrJVTtY+1O8/5u
xqRkP7O+QW8uoI/36zyEF5S2iU3G1y0foOZL74F+RnsmhhsuBb8p24JicBiBWabcUfVFr1tvshdU
nlD3kkVW9tl4S9lZs6XVHm5B2gSUyLANOFsZfsBVMdny1c9B3AHYTtljOeGb7ET5MEdDiiQn412t
uukWno17VxcxiVMq/4wN1dvdiZRTezOKetoHRTJehNs2T/GQnzC731TBPG5gJdT3eVM2DDV8GFht
rU+id6O9lsEXNmrDzm/0pve1c037iZZpt1dK7XCL0x3QxJCZd0k4z8xXHDIP1BIXZNlyy5sfOpvc
56hy/II88oirosVj3CqouiswGdyqThsUZfdjczHCab7H2K+pAKkSt/s1aKsnkiWFIo6edE606Ms8
3I5A+/AI2P5DKbKXys7G+Iawpx/d2oX53g5hdR5dNnIJ2eTuqAZ6qLACTQpvYBr7D4CYXPMlyfkr
Paw06P9LWVHVijFhhda3xqXwgkmmXDu2DqR/kVZVX1j9joTAcybIvzvJ/y/ixc+W1MWHCvFR4HFA
x0GE++PBWIL0nizJvtbX2sFXxUnUTWLraZ785luoRbL/69dz/yQnULkiAheVB5gyWwUmBb+XEyBS
TSg/TXkoch3eMk2r3rDnUz/J7IfUR9l9xBkU5jvZBx3xC+1RQbvGURTnZ1CGiJKUJ4dbry4cfZ9/
GjgJ44ELtASelcVMS96bDaAzFxHbtnyxwUjTDjnQO+2MDchA0axHpQ9J17HNJCn9TsHD0D42tM40
cMeFIP5dLFLp15nzBB6DYOTAJiPMT4ktOYsonhhPOYLwG1PP5tuSBfmBubF4tEPJjr79NOR5llm9
mdhCxlvJ2chYnp0mByxhRNfZaLpmhzahm/2nnjvxB/W9U1Y4UXQswLQ2IijfPs/CuVeLu7/+EpZp
x++nISHym+cwqQnoMWA489OXTqTQirzGLA/utJyXXUxb2NdExnHtr19o+Rf96YUQlNkGANmxfr66
As0JrsaucaBala+4QuvYtkXN9/Np8GmSRcvFs8chZGaV/Tf25z+/OgpjgPUZMZ2Wup/t1ph1hW+C
dSTlVVlPHjmdTVInE/vHxWY0Gryq1yKrkHPKObb99VsXiy72x/cemNiY0bYFAtqf3vuQQmgoI10e
GkGrLz02snPOPvbgpyJtODY7goAr25gJ/MtvGjcBu6XpWfrZQaL4P33+Qv8db/6b8aYFt+kvVe7L
d5rrpqx//2nE+bcf/PuI0/kFt2ogSJ+gXC8zzn+OOM1fXMFghC/Z8sKlmuofWrdj/cI/8gJKPGwR
Ehz53YiTQItwLQ9tXCCwQgL4T7Tu31wov7/eUIic5ZRsWkjelKv+NOKk1qGZ88qc8M4vCHDW5kSg
xQ6oQNFIcw64DLbpFP3pfDe0Xh1ystX6iL+Vjra51pB1ePISO66bNnM3MfeTscKB0RF1/ago0r0f
PA/8+UTXC5urUawAFhGvZU1s0KomdknwbKqVYfO03vrUa7YrWkGpjGcLNe8NEHBfdDPp04Q16U5w
z+Lnm+fnCO4pE5/MRzAgGpZu4zKvAUPiRDuYlAIExJ9N/31Oba/AA1nCLSipG6NWqQrptOrGCKB+
wTluTr4bVBB8DGBZzyM/8+pOZdptQkxht3GeoV4Iv8H8zO3KYQWggrUtjcG9EDrIbno7TO/pT27P
/dAYexGlDOzMiCx42fbjNoDOt6NtmTpClw9lPcK0JSkAVYZoN9Y67Krmqs9c+znQfMzCgKGx6hYj
Gpjdblsg5h8s6AdbK+STdxJHnIY5zC+tYXs7KhHyqzln5SXtAn0PYQOTf2+q4uT61JakwRyt1RD7
cAMss11riLHgWKW5nXyPzne60Un1FewqsBK3t13pvDaubB9FQ1h0H+gIioDFJIhtWheoPWQB+8uY
KWtHjiDY55VM4VTNUXR2SpVsJtsESFEWM3zIvnmgazRIt96nt2txeTWL38vB+OX3l3zxgSHw1XsH
a5hDP3VJAhm/mGCBexOLh0zn9niP3kd7ICYzownatfvpO1scaPbiRQsXV1pYpcXVXZxqKJ8v+OO9
jVpcbNPiZysWZ9vU4XFDO84PA7Y3sxScg1SaPkQdnrhuccdFi09OeqSyUzvYQnkgxELj9Sb69NaF
i80uDSN31y3Wu3AYPkQUGjS1Le68eDHqcZHjK17Me81i45upPt2ylYGyaFsOWFL3WnK1Uewa3tC/
TqPnYgnEqv8650iV82IVjBfToLvYB4fFSCg7LIWiw5ScLTZDx/flsVqshy6b6jOWyBBETEO4cbEo
ajH26+zTttjXXDefXsbR42xZTTHrM9buTfrpeqyggWyDxQpJI6u7go7qYJD0nByF45ky3THZUXs/
YKR0xewglqW/mSyH3yyXk4HM/mhh1B0e3cbDYI7OqmLxRThcC0xo0uTG06Z/bUFvxS+jM2NY7DhD
2rsiXCIXcEsmXr9P7sDFWC8hOQiTPkgB7FdHFG9tiYYY7is8yCI9DqXFOpeVM/GVMTVnp9jrktPl
Y58kzvDYqqTD2yqlgZufM2ifvinFzKHYwPYt6MeIXZpgpopI7qZvrJEnW5dI+ZaLhBL0NBYJ349R
5lgPaVgzt+M0C0lVZzIuPtJhQlDOYGcHW9yarZJ0GwXO22LjaD98FQrl4Y+fQ5JNWdfS6N4WRHdW
RaRam//xQHJC0aY1k1EAqYanQkEQXps1e5211Wor4sYS428xsf+u1P9upcZkxNL5r4XIhYi//Keq
kj9kSH/7ub+b0oJfBOVcDuYz9+/Uxr9pkaH4hW3vskBzKvmHG+2foqP5C/euT4+JxVnQQ8L7T1Zk
KJE/7wCZdbItCFAdaZk0fz7qwBSsXVU16oh5dj77Us07w2oQj1ingw2l5eahrdHAVpZoGSxzPlZM
mGg5vaW9bXoGVUp7RikbC/Si8jRoZzGVzE4ja7zoxFEbfzLIeSExzhbDxYTuvSjxJ1abZukGFu18
Dn1pHvgtMclOsTOqux7p77ufBouZM0nmnY5ZDFepY3sPtUEYXqfRuEfUGy8zVXW7yo6nvd870al0
F+nFK8bill/TLVYR2PR3OyzmHcU5alMsZZdTN6UQA2IHKAsqx6dJQkRzZ5yCT/fEBCvQ/9ZLW3q7
IfTBo5h9JJNtTpcF1gsVG+5bbIYEwOiaCtv4pmxthVljAIoyXGrLx8VBhmWQdzPtwMGuVJOQD4M0
vZ2ZqRwDSCJzkzh+A/yMRzOH36Nwlj8pRRziHmGpLPbw7zyU0cVf4n16TWhL5jEhhgD//JpHgpCc
xXMvQp1egUr8NWf+c9/7U7ktWaWxi9A8hU1J1sHrzCTZIFY/jNuhqP19h2Oh5e9WpdnrDzet+zs/
SCHEK1Pa+MBsAcjFouAlivpXDd46CLN9rnPzDFA82wfhjnKeIF33dPPdaLASNWGBSx0riwum8s1V
uyyyBkDta+9NKMKVq16ZSakVtrZ4bbtknwBGu9+NYkwfggb3Ug3Tf1OwC9rFjACPLc1zbymbmNUQ
x+Um8YndYiRqySRlB4Ti7CGmLPTaj21BPtGQPuPLmu3b4EGQKMCuT08+yUm9MsKw+dUtRfSQq9jf
jKCWjkp6ULaHNr/xzazZNpWDHWhOMpAq6B0kCuM9Jt7ww5MKkJ2OdHpBmKvfZY8pGorEZKJiBRAG
2lQYp4JEJxx2JuVXNKFpP5B7/mJbGaGkynrzPIlGTz3zR8Kq+8Vb4rQOuvcOSzhHf7SzlVePRC3t
4XsUNcH7DIJuG7JWTbQ4yfZdz2xcZwyJFLo4YPWHm96J3XsEuGxn9zNjYk9GnB6lo45ow945Kn3x
hpUpuBPAu5l+D+0xTFV2LJyJRgSnbJ6armSSPLjlQdm5fTPE03iXofodclm5V9Kz4q7rq/SVEVn6
xjea7cexs286RIMDwnB1p2aHeaFsISdHWvqnRNvzBXtXDxlnScAmlejpVKJ8fEpbRlkGY76dgch0
DtBhr2joFEIy5DYP2aihlVdBkix7UPueqWJz22s7eRkbBPaVTZDmXKk+Obexqp861Q2PDGurk60k
DrkxCd8YeaZfdO+1NzRXh8Z2JGp1Mmd/tnYij/OLa4bRsZrHYd/OptyYaRjsNCHiH26v2RT63vQy
ppbaQLQ7FqrKj60bnZkHFJuIEqzV8MlBLeTRCqubyTVpfQ5xZimn+4bPkCGBKrKDKeE0Fi7IHUGm
cY9TiX1wbI6befTqX6vI7W7wTCY7etMIyRbOcE1L2EWxCiayRJ19jaZheu1IsXxgMO+vfCDR/VhW
3QsoR7HGmppvuE/aDdaK9DBkMPlJNtGMSYxQPVcJUi5fO3eLMdS70FfVN9sAXTkHOQiqMTKxjniU
GNS5bi++6AsLxN3kgbjs41UAj+nHbMWwOE0v6riUoeEwMHjCvtef4yi/sOcMaRS25KsVcP/Pbljv
RptMxMqcEvOMDc88h60K79jiWNdp7EnxiWYKb0uGj3tUz/usxsy6Etyop46SCBpEQ4wEFFNBPlFC
nqqSSJ4MPDrDOrs4dzW8L9/mUQM278YgVXyyakc8ehPC3tpsjWjd1B6diukwAhwyFsdAR/XboZma
+leQs9BZU3ViLQm3eIGtrymhjWPWuOSmSH48CfweD9Jv6UkmZbkyunrmIDSp+rkpuhBmoD+fe5JB
71XZwfpl2vaQJSVYOO4e/7YYhunbBLqNIgxJz2xRuMPJkHm/R6vp7/pW2ycrs4pdkNT1l8F1m8vo
ApGZHKR7OxnjKysbZoCwKxnfFv4PLKCYDL2WkGcYym8grNKtk8wA2WiUHcoAS+vYoCsJzlVGuRga
Q6MB9yIU21V0iv69ygGdrXtrIHzqzUZ6ymKn/hJ1Rbst/QqDm5sn6Bdeqn4UjoDZH/b1SyCZIG7Z
lee/2lIG+6Ieo3MnouCmDwpjlVFtdYzDALahsrBWWqxvINna7K5llHWfBnlzxq7abruggTBY4v+M
WiLWqaOAHmY+OKK+6F4CBzimVQEIhAFrAFtu7KG70oAR3M5Ms7+bdpd1VIckLNchn/FNNrTGUxy7
3ludlDx62Dg7K1hjabE8tCumcBwDt60ZlPcAce27BBAvj6UeR2GQTWKVRm5AKAfKGtfEgOBAarBe
5wKA/1j6wbsyaZAyE/sd9b48G3Q0PAYQDVfCHO3boQ0dHoOTRaHEbDJQpXeaL/BUZ7bYzy0x3qlI
NmFaW+cOregoLRR7HRflpZSW/ewHbY931oAFWJfu3vBSSHQhUIoAjOcGmlKzMUq7OgLFbK6+K52P
NtYZ0mdbYUgc+vARewxwybrBqB5rsu0R0s46NyrnoqKa85zVj+E1k4W/H2IW2cG0b4NID3ztuUO7
mwlnbxEdw9YKtgK55jsRJURCY4InGLW1f4BgWq2brJmwr0/NpZqz6oJVtD6kMQaq0YYgNbskOQeO
/vM+Etp/YS9gPY3MHiYGErb/I8iN7i0vA3cXqerVrTN/a6SIbhYxWN6f2bLvGILmYPHIk6u0TeMT
iUDyUfCzcT45SLYs2nR0J5VGSaWPYzhZ3bhBHx1uJjhkXJoOTJxUuZeIvelOJCzW1EU4KXhi7VMi
Uc/sP0Yewne27Gq0eP2FZHh+32MPpkwO5uie9a7Y9U6nyFDC1jES4R8ISBNkFf7IquAnb2zQPJCB
KW7SeooOXZVGoIhVaDEC13i33UyKNVd2dhnKCti0dsaUfB9Gki1GoGmr4PU8eFrHGGXt4eiZU3Hf
qhrKLcWSmosj9GHjzTQ+OsraK5PHCgR1NtMjO1X4/JY5PPaY75+JlmfPjsUekET5jFIc1fV9pdrw
ZlYeuxXpRkfTr4CRSzO1AWaXrGCroI+OSdeD+xqlnZ7SFk43TFaRdGwxqa/Ja0s23+089Rs0Q9VO
IqhWdh3ckiTHro/RiuhzXF89FCMyBnq6C2tIfqFKcC3IejwRe5+3ko3/6wwmMXW8J+lxlO2s5K5I
GKtltnPKlS++Jj7DII3ota4jmNgrP/decSNZx8nAwd8PMXVuzD+2lT2/YzCBfWVcg4rgchj3Hp1E
IsY5jCW/bIthb9oGYWS6fEeOCDdJJnKsCfKZr8XedRMU6rAhUU2VZETYObkny2efG9d5Ew1k27Fv
Ozw1KtsoFQCTyzM+GNojGIFNnLVtDtyl7xQn0MdMCrpgFyNEnzBiUQBDptrWRabwMgCgML1C74QP
UHg2RuZsCm88KVYgTk6+JxQMESBJ8Z9gGIFcB9kaMMie2Y1/P3oUNoEqUOeCy++duc+Wcr/oKW8b
71AZ0XRyrcY8M+5LNrSwOGucKCxzTZwck8oPdiTi53UFtWI9YSVYVWUr7wojY2WnNuveNXlzaZBt
k5nxlFdXuoUmB6r7d6fW/0V0+5MwwUgaihAjX5txMudDDo6/i9TEkTMRBQ+SY4oQzBaOHrGTngOe
0i7eykfHLOqPir1UwZLNEOyvX/xPAhwvTopxCURhsRXhTy9OHYD2prlKjmIsNbWvuritkiy+D1So
Hv76pf6kM8EwoiWbyTenXzKUP70UYkvqjXHOS1VWXWy5R6YMJVmW3//6dZYB+x+1Fl5osRhz6DcJ
ov2sM6lyAuKhGK51FeDBmCqmo9eN1jYrkvaCxVWFt30Yg1aenPy98rFp8VSR8b0RxcvhGjhr8dsM
518Gtf78FftQlBwGrsAt/8wW6kxmZy2njGM9Mkk1cz3t7RRWLYPuEPQIhiP9MXY937Ogb/fz4/jv
/OjfzY8WcNXvrpwFcfY3dNnCUPt///deZe+oB38wslu//dDfhkeh8wvytPDdv8s1XNJ/Gx4J0ya3
SF6RmbtpoWfyf/19huQv/w9XoLfc2P+cJ2F9Fy6ud48XWX7uP5on4Xj541WOP56QocVIid8Awf7n
PKPuVVCMnqhPTmuMGxsqcouZbEfIPbi6BKnKoxtKRpUtjgh3q7TXwcxuXSou/E+uA4pnteRA8jCJ
9gbzGv3UYTW7CaCdpBfCdfor+XT/zSUhdYoFokg7pBb6CRyE2kyS/GSNqCCeCvtN26cFbvDaKN+K
uCrP0BGqeY84BP1x7teS4BHI9n7Q4VsPYSE4BCa8RSLbk/faD2MXXCZaVTZ+iW0qtcrW2dreUgaE
gh4k731LR1D3WRdUaixDu2rpZ7xtae9r5c7IctNZ82RM4nFF00VgD3dsyhHudgH++equJCjSrOKx
0T6etyl1ogPLA+a7LXRa08hPheu4QbaqrQgmJ2kZmBx3gcXAbVhFGZ8nS/2UdwOsdmpjWZR7kjJr
gZhlfgw4JVm5VUybL5uFonFn4OppCYwg7/RsUIrYFRh46VbCjYoDm7HKKg5mzlgb9p/OTG1HL2EW
awxksY/fKOXwn36bIzzHrlq37JBdlq4ycQAZOL3cW2qM9J2ft8bRHAp9MVOcUmyvGIv1DkyBJi6O
sWH0ewke/FER2k9W4CIhlwCjuYoMg74XVtO7X6VqizkQd6Ka4k1C8dGuh/1zi28Mh2rj5NCO226v
ip4zYl2UMNj6rDsG/UiHEpzmPMf9g1lX3rsWmcM+zsYN0UC1cVrXxkUs0bopMrkytspfosJgr6oi
4KUzCf/7LPWeycbKqy3r5gIh1L9mDB/e4jwYmQ8IVsAqHq9cD+VuIpP1JWvG6JJZ5fQCzcOw1lA+
+nXkM3KH1enfhaGKvsQ0LB7G2DPuKSinqYOMRbjDJmTfkpIiqZcaybwhvKqmL9UCOfaxYz/Xnige
m4lh0ApuphzXTOnskTZo7Y/rcprnY6EJpBA7A4dOO197HDiu7YdMyS8oHfZNOPsoGqJyhyfgkc20
CipwXptO6eyHQLrCX+TPqAiyLIotEM2ZJjPLZWRL2Zke3Ke09jHydZjJHOi3t4tOxlY+ASiyinTX
33dSWjckwcoDaX1YTbjH7VWXNfoaZ16BiDpCwY386tfBil9EjeoCzik48U1jBa6Ah09NReHolI1X
bB7xCeiufpLCnl87m5DBLhxG6yMttXljzAWO37q2/dOQjeHOSavvfVhHBybuNRZFhdkFvuhjqILu
lcFS9jJh33+xhzZx124dqJfaKEKIuNxhlFrrPYwpaxv6Q7tLKu9mKEGV5kGS7VNtUyUXFu5pGEHn
sglQuMb4WYMmvYSubndOyX9RcHwponQ8jQYmvTX1XzZXMbPx2A3AEyVQMDY4SqZtOXSU2kWIn3wu
7cr3s6V9wVxXbjOcSjMkEjy51hcHvMV9a+jnZNaPaWX43zD0Emw0Q9TVlTuQFlpbiKdPvk6dmxyo
1y0aJA0paRNt/EQeQ6fxz9Og4XmUXfM4M8oj1WKWHx4J71U1zOXFJrfya700tTKEoaIizIfqRqbS
eZYxJRJeDZ55GWDDhZ1DeXYs0b210FspepbsfHPQ2EoIAhgj3tmkku+NHSffM4ob1k1f31odhTiu
N4ybuO/sVxT15GAbvgXjlFnJrTUuU09gs/iOWsvgjnNi8464hrHTJa4paKtBecXHjc2lakW4/USx
9U2C44eaJBOadD6k48GKQb6Vg0PsQcnBfkTvD35VQ44BvqPx1l4HGUHCKIqnB8eI8HH2hfveuXoJ
IEQYaaZW8JzrTHu8SJqpIN0GMQ03Awfnz0wJJvTmzpdhN61kRxOlsF0oxE0SH8s8oFSvYnN4u3gE
7lCAFJeoyxzbHD8oACgemD1PR2lExJziRq5lGjVHlBUc47Uz3lKmTmMA098Pp9Tuj9JwviVVbd0K
v29wT9b5tIJdtK0xx3OTG+o8YNY8h7ZSt7FJkcgqnT9i06pX9cIjwbD1XJr6EYKsuQ6EjjnLk0VJ
Oi/eJUK4GH3n8FoLXW4Nz4rttdMMzUEa9COoXoIWTqKNLrR4Qfxx9ql0zR33+0c6F4RzLdAuMVj5
JwnniR5xXZ2GVOVbDU0kOzNLl7gLCoy9hSkPxkBZDc5yho2OEOWVKzeHQBMOlwQZ6Fs9NkCFrUpk
bHvwtkovck78htPGGipiyW6FrJopN7/kESHWjKj3URQUz5tMfzdTYya3BgNmJJ2i3Lfd2G0ctIw3
iyP3JgtKjpa++to24te0xgQ3szzekvqU3cprhvjiBHW+KpqSs24eo8/aY/ND2L3admLqHlPTc7dM
VoGHyEDt8JgEQHKM6JETdLNkP9r9ENo1v0Wi73uZ2oJBfEiiwLFymmR0bBwJm6NxxWu3oPzIdLKv
RB66nRwC9Y2eLLFlzMP3GgRf4yD7rpn+HG1AjWvTV2pTu/wVp8VwNbmud+iT1jyapMc2fQIYGbCV
uJ0rI/0IU3LubRYb+5Zc68ppouyatkTaLdS0XdWm9RFUIeUVmHwPNgPKnT+y8zIG5k/KivubJC9R
1rKREmp6wIyNOc0tKgbuc9tvio/WHRIqlrKnpGPY0U2xdxgw9NNgdZ4dSH0FCJ7FxmLtSuF+1GZ1
7ahRJuUAMpxU/Z5HtEGvm/EqEqD4cewlO+JT7DAy09sqs7zzK331TfBaTU3fYw49IFfDxoyLh8Bo
1QnZUe4KWARoQKTavKTAGBnD75szucPacrZzw3gIibHvM68LD0z7JfZeormquEAijndtTvfKTDZr
7WXTNew7QfhAZXsSV+WmnatiAxogALrciX3RYziWhm/fk5mHqBwa/lPrWMkBWnS5Dl3xnQGGsXWn
NF8lOfMWK6lcFjIFwL8AvzBg4fxI8qnGF8Tlx1jy4I19wQgFWn7YIgr1bkdrZVh1xxHz6CEtpLGS
yRycchDIWeJ+pZ/6+b9nqf8/mLO3OBr/tRZ/B4ct/j/rd11mSfHHExVTBX707745l5Avpx8qCzi2
WJyQ/nGiCpxfbIhKjglaZPG//T4aTP4XGBIjCiycv+V//xENtn/hjwp8lVg6TUy59n+i0vsm57M/
zg6EA7+OdLKHp8+0/Z+QKr4akW6yJj0wtFu2deEiZs6NBNho9Toct21fQfkgqhxToALg3TnCCgyp
GZipMl9bA9DynT2PudqWbinrg5GVsCRgnRe5SVzAbr5hDwJlvARbmTeJu9Ilnd86lB4w+U/rN4pS
7COPJhbQIc1YcVXGBIzkP8g8CuHfigVLWsG90FsaxfCSDgWLpSDn9f4bwjZcKt/KQrJp7UorqPYW
bjq9bdRidoYWgx6k0mS6WDUkyI7zL3zbaskRtk0wPnzmSvNEjA86tQA8qiXaaVejr0kGFKpE+tdl
ABMfR3gTYH3OCNOBqY0LYy2KxUBcEV6+sN1cEovdgsiqQoc9gWVJfTA5yT7h14DCZ43jpSyN7mD3
sf08LxHCwgbuR9yE45qXN+JOWjXvnwkNKVgv419NnyuWah+6Y7OHDdd8S/USsSwcxuZJk5E/jBaa
8Whr/tgnJotYsfs+yYVmx0ZaH1wxLAEw6nkupi2tpzRiRLDuOMeQBg5H3rWjeM1A2dUb2FPee/iJ
EuwG0ybaQ0NMEfug5BTwPabCgqqIhLahKOmPdhlSCrsQHZm5L58nZRBLAnfM0Wq4rvknv32hOKs5
Q8uE1K7VLd/wJ0yQr7RpXr2pnEawfhFjoVFRJbFBdlLJFfgxb6GcOMNwLcX8d9BkZGBdTnAJOFWD
RGpMqg/03eQY7to3fHCjdZvTXFypPDZfcCc69g56ikElyjD/iKNuQWn1RfhlyoaHdm7c3YTG7hDK
htc7s+pd8XpQa06VjrGm4wmvMu64/2HvTJrjSK4t/Vfa3j7KwiM8JrPuXuSMxDwSwCYMJMiYR4/5
1/fnSVWLBEvFp7fWQipVqYhMxOB+/d5zvvNywoRWTsGDnpEQFO44sfCTllBb62CE8d1ibU7udPkX
u7rNhT2Jp4GpBXc2sDs8lSd6qC8FKugcmSLlaKR4+AwLLGI4aI2YN9bdO10+Yr6Zc4irmHn/uCE+
mRtcwSbHY33ytnJ0oK9cAraBwR6QrbGFwszzJngtLyqih+WBqE77zEgHCtcZY9y0S5Ye23GRQRO2
TaLFyEMreGJC0av3CeFgtC2Z7UVIOHlOgBwDUda8R9/uwEk7jBR9gZ1t3dEHAWZpBVsa3VgrhyHY
1lLUL9hOwqfTI3zCK84ZrlxO00Db9UMauhBXMfRySUYrmm8mZto3pAJX5zJO8YufbP7fEZxdVWMk
rnNfs5M1c/o7DO70SvQQNvdo77h4JzweOhY8CSJpXhbsG4fGqbFQYJASD3KswicjNQcEAHjGqlXa
RAUR9xyACfQAbL5YOEPz2BmH1ZgU/DpmIknKmLihzYltjKSZB8yweclVhnidcCcs5oOmgs4mec6U
avClvbgKcDzmwcXSaDl7l8z8BHwM2CRyZsek8ngqtm/QweCwNlqO3dsuWoKNmdfeweUohXBHU0o5
sGyAApItCd6D58eeWlw/i5p7sDC8FIgt2oIvhEJnuiusaozvZjXVlycjdjLjcLZn3uUsYHn2S6BJ
20Lk/JyTTZwwcPJkOpYM0wzFQ+fUPVcQb8ZdzYNOUir6h5cMr+GB43y0DzsMMJ7G7ruZNrL7cdou
9wpqmQS1yBJpIw29AMDDE2UExIdvclSAD6FJwscxqjwYmTYuo/hYhCkZLyZO7F5aeOxph7WHPAnl
m0oslmYRzjxTqH15wGd34ba2Cp+ESYA3eO4SK37Tz+KBzM2RCSxSWohNiCcY2imMLpXGBowMfzHC
uXhEEjQqDwX0/pbEmlpnfQeufhOJeJmBNNF7W1tRqN5xRUPwjR2ebsbvD8BBoMYyckrPZd23h154
kBROz7y0JH/I7PT5z2JuSlCP5yJgSYbgifYlwGH7ZEcfRtF0twNqt4npr2J9a1Xnb/LY1s9joL30
tF+CJ6Qq3MjvS1qqAGptam/kUXJCqMpngKmIHG9Ox4ZaGOJGurxdeZ4F6bofubw4rWgN8c+KwZdP
I8ZiJEPU+vHutLJWFc4ZRrd+8yQSkoKexiias0+c8lkncqlXKTGMyV7SE30L9HE27ZviVsS9tWZe
/17GU3DW1rXeDBj2sjkjTWPEzAjtalwcFrKc+gEgbeXXUGhi1FQgXud4PrD82AVn2qinhNBtn0qs
3WoJzguozsyVvRBgcauSIL9d0vxraia5568ZnUZPbKXtoezgeR6JeNbmIo1Kr3gnSUdhiQGLPVpO
urab1n2vyuKpikR7DMKpN0eQTCOgERqbD1ARkSjpjUhpHgmm7vqcPca/EaVnhry7kEvaBp19I0R3
5WiuCWEh0XrQrJPEa8CeQDB5bTpra1hVc6E0G6Xt9HkKfRPwtu/esw4bmor7mkTPoC3CG1P71IKg
+1Q2cJC1i82A93dTy2GVYnALT1a3GTCwwT5Roag74yBbsKqmvOGwATlsmL21qQmb2GCuoDntQfWP
0G3JdF1XVnEQpLrHq0TWHAuhHO2y0hrIfkG5aPYE9TgkUMOK8sZ5WFllTdrQ7EJYOwTsxu06Uj1t
OJIQg/POlsu1P3XeUaUB21wyNXhaDTwKxSgepRiQKzCVvE6WzD/SZOTpFcBQ3divtpGf1vBOag41
aeZxLp0GuhrQUO2VMpzpLZdV+jh7xaNMCai7gLQhb9FTa8qYGsFILG0A98wevuF+CD7HPoIUNTII
X3jItg3pmhu/nXGwMug/mANmz3nqCGL064kMZpmS22Cr9NJv43S+5Hq57ylArN3SjyH7eGJuo2R8
DHRqdoaYb++F4ysAGu3q8j4zaZ4x586gxcnV29kZ7T4y69pbxQSK8qd0t85UTF/S3nowiLpGXKDU
pZ/Eyy2iR2ddeX2xq4ir24fBAKkkSOSW/u1DE/RABVqXymiriqa67OhfMxYuqE9G7O0RdcOxL1rB
Ubo1UKBW6iwLenlR2bRVuGglPr3GgVdLxNDUNP7WIPMR8jSeE56Q7EY2KcMB/2jQHLtmE5gp+Uhu
iohUOMtpJt5GxMnZNNoPlqHava93CHsmfXiix3SgOcTUO5mNFxUifkzrNrhcUo2NIGIYXaN5l7Xa
jIy99tGaLONiLuqcgEbf48/hIXU/d0MeUJdY1nKE1N4whe6q51SPi9GFFTSs0gI4utVCt/VG27gy
EZWu2Xk9lDJy13vEAqb0a85G/HdvRlYALtOQZ0EM53poW4WBm8cGczxDBJoG/d7kHLx2/AzUQp5w
CkcfQT533J3RaHuv40huLXSla1GbuV6txNlMT/UtbAlT2oSVmp6piLdU1y2VYGKWmzkzsy39Mfch
bFhRWPnbYptUArp+YnkHU032nlTceaOsmTRhyCjjRdwbnljVdp/Sdlau33LtmLncEUWaC4QSeTtT
izcLytIkFBNxfGkh84O3qCF6Z/GPdpjuAR36oibCcWDIEcUh45EqssN958YGC1ObuAcfqeGTkSma
mLMbWi7dNRFv2rrjBBJz/HfbCik470Vid+MTMZL52YJSF8rNnO2WpVu2qAf529RLdq6Vm49jNPk8
4nZRSeOYOLrwYyEtkuBLENjRBWkOV0zK1Ced4nxetP6ly+BmzeYV3hfAYp5J/HXbFRmlYXfMGtjT
n5Rb9+ZZkZEwfjQasVikP9tpsLMDu29G/E4GlROhhXZ4HXYBk6J6AMMzOUnlv4RNzqIepulYzyzf
MyJJjBgA7/ceQJqFlnNOaPoqon830s10zN5+8eOCXVdHpcOFZKIV7bwxdIrzxmz553hhAACZDpM+
nh4LArzTU4PGbUy1VY6KQsQdJHtTAtVlPppiwRqiGUagvnPAbyNlOYLp33kcfxlyC7J/pc90k3Ag
jtH6//9Bx9BDt0nqLkkPYYWLZ1NUlT19WuTSq2fJHAUTfhFQjVRkQ5ArN2KF/o2b+NfBv/aVCqYs
0sNfaltagfDDNxhjV1SL1UUHZ8LFRUqEAsfdM02ytAcpjig2w3oPoicGZFGHS7mtXRVeRWUnHnyz
F1dYnqgqf2iE/HfkHXwh8hYwM7j0NX7JFaKXFeJSk9GhNCj9UP7BTpoSktqpyMIcebZF5dMXC8WR
MUS/c72egMk/GgG5GHy8q/9DCS7khySncvYyJHsL12TOOQql+AoQiKrGL1JuSDw7xEXbo28/ZF5o
nAldfoP6BEswIDW3rqU7D8x9zKyL4kOnT9B1E5XpNzQznGFKm4X27y/XX9xEkoCEo12ygIGFp9Ud
P9zEIYgSwzb8nGzqgWB2gjx6pfOHaoomYmeadQnlZutOqnkjhXe+azp6FU3MWT6ppvauKJv1b76R
7vn8fAk1fVhi3JCeLdiGf/5GhtMYS0/dgHPYoGw8BdR0tKSeFC0egmdPOQTwH9Q7ChD7rB44X5SM
gPK9QKmVrJWq9RmMK/v3X8z+qy/mYgtD4iIwZn2EZXtkurRF28SH2o2oUKOKsxcKT2g83kRVZKvy
vobeKs/mirIVTX6lsuMgreGulwNGj3jQsF5z5rSMVJ66WHQcY0+W+kgulO9JBKcpD9HlQRaj10MI
DW+2waCU0tRrJ+IjaQy+fz+UJsVI+A9oLhahuZ4gZmhA0pAu042u496SEuFNCbAiY9jm1ZyA/v5y
WB+J6YjuPQtRI25RWojBRyN7LAz83MS07O3YYQ1k1Eo6jd/ro0458e1PMT4EVQ3GfWnpCBOGFXyt
GavM/RS4XK3IxnexdhbACwwI+J9cLP4bmNkcbU/tIdvSAPKRpNDpoh9JcDlUER2wdeKRA7+NBoha
y6xTwxwLPsfGzcCbrpBeFe+nX/Y/qp7fqHpAQ2qpzb/uRH9K1JeqZGL5oyfsH3/qT0+Y+4dvIs3B
b40OzQ/MfzahA+sPGs0EQAX0n08Knv8v65HIethVNPYawy30SL7Gn7mCFrmCECwwQdPn0BD0f6cJ
rXVw/1xuJIgCh1RB02LBYfyLefnn5QYyZpz1TuyeA19qD6c0OkeU+rli3L7uWnCQP1ygv9ih/uoD
PVSACOYc0Nziw7aJpcqqrbpwzm3Hwl+tT8V4IIksI+XiEBEb9xvgxM899u+/IK8p14t6C/P8hy0p
gOOqAl7kc6+K3bc04ANIZRYPyhl+VxL8XJOcPopbzb1msmeCGPnwq7XxCK8zE/I8KwgeS7yUDnC3
cI534Rxedczgn7wsFVf/jfyGv/gteZIcngZWRnyEH27j2GTDbBqtPFcWtLjSr1mhDafEtIPgp/jN
2icYqXx8aHgCgQ44LH+oSD/8olOVq8KbEonKwuWDGAXSRRpTk+1n6DxamaXNsfVYTBPrGWHSA0WZ
0LE3U44E3dS90r9/qH799V3IqqRiakgCouQP1WCKPoqWQijPv8e1nbCDJi67/f/ws7RMT0tLBQ/O
hweKiTEZQIg+z21Fm66XpP54XcFmlFq/q6f0dfz55XSZT2GlcJgd+b+6ODvk9W7Vy/MhjL99xxgC
aP7N3fyra8cihPWUD2OV+nAzcT1Lr+NYgCadxnHqD9TqvkvanFh0N/Tvb5TQV+fjr6Qrdov6hkv4
UUjoh7YYFkPY56mVoCmwBz5ThAaNxBN70ScN8Y0ykJc0CThIxPTAo4GG+m++xq9PMOxFlj1Tv6ry
l+CE0AJDE2rI+uR3Fq6zUtD+C5l61Vhw1maDj2mbZRa1yrzQB2XezMsLM5OeaqDaw99/m7+6AwA0
AsYb3GnP/PBEETLgMsKreXl14iDI4pExGxRXSe9g++9/FPwg4BjQ4uxfEEgodlpi2hv7PHG4vNiS
eGVRDrHU+xrm+fcf9vNSz/ItcQwRSUSOAR/3y+Nbx12VN01tHEMCBOlXowF9KW1mEqf521Dq5uzf
f6L4eQnWH8lhzDPZgnmaJbk5P29n1HnIYXFaH82QDDpYrhSTCtXaHZMhwg8V88it7VAkxn5KDa8r
zoKk7nMP1/C4gQvYHJaG7e+0gpDKx5xmXiwqrJD8Q/KrRPW7i+Sctth/vhIOG7+O8OBBBIgFxvpj
xk/pT6mcCjwXKjeLnbnEy65KXAPfsMp6zLzFPEVkoKUtoeNVWs/uFuWve9tC7DrxN/UsqeA4jOwk
6t4XNKTvE5MBVITxwnulx5rxxmxh+tMK0ANJEQXyjajq6Q6nL2PSlD/W6nmOB7CyRR/InGHU0+Fu
8CokutI+tikXkOS/dL7BoEwmqcvI6AlhhAG6JQgbcRAoSEFYMPwl6SzgCMXIJwltJFeJ7e7zsuEz
fK40qsD5hq4bmH5JwYuKDlvpFbhKnpDTOGuuvA5mC8G7Lv4i3S3uIjrScysosE9JuVmaNy9eXVr1
ERTDfAflhiBSq8O5iCM9Sl7FHHDLvMV2qf5H+ClPCJ949rrMfcsSPQ6REBrfZuj57+qESHKHwXkr
QPt/qRktHobGa+5aFyMGXFJo9UlEW9nCXudo4ygbqpgZXxh2w0s6wdolD8xY2xNTndM4E8tJsg9t
xu+nYYRRYbvsTmeVAKLpHdjO5ckaSFH8PqwuXE5GYmrVe1ZEFmIZmxHLokJgLj5t26e+1ocmDCb2
GYmHXOUiZTSz6Dml7E3UdaddrmSnRqzs5jZs5bhND4CcaPfOnseTLRm1Ejtezot3jHVhQscVuZyO
GjVTi+FVNUP+gsHD9Ngpc3HVJA1PDVAMhueunjbNaVp3a+DlM/JbMyS9rtbrpTF40J2VHMjQo53J
l7EdT8vK0Eu+u1XM+1eRzBBtCx2BGxuFjsA7NZPCytcj1lnq2V0WMh0Upc2zPKQGh10mYgDKOiJg
JxzGN7Xw2Yu6DsnEbs7Zl1dd6TAUqu1ouVy8fIl0SIrzNlRk7rlxT4tblS3wGWcWLSetxTosC5TP
jRW58rUchvLBX5L5Mm+GfNOQAI3B0MiFjyfNbI9JXg1wR5HOrlQ+TYC0l6pnNh66D4zBE9yZLoO+
leek8xUWDPO8kHEF4iYLAgRWyl5PDl6nuVzmhywwHbiUcV2DB0VTV/JMEuFhqvK2qxWKqzTsi6/M
kLtvvlyQ0QMauApcB3kHeFR66X3GyrReQP1sR07gXARjrp9d2nxqp5zZ/TItntgQiwe6QZGiusN8
4404L2uInGmFXLfqq6sgHejgch6OXyObFBSPrK/L2Y2hCZYzia1z5zV7X43uC0GKHaP5enl1o7E6
2hJROHpPubwCGsy2jmMta/yw3EY/dAZAOGP5mkIu7jblAJcTBqq318Uo3dqJud2mbQsDAWRMWGhv
FbvCx7bIwsQUHJDNXZ/heC2zpj5L21jtZqefv4a0FraIDoxbINPFc5INqATmsoOfiFw3JQAVhmr7
5nWS9yNZDFrlRbzGMCd2BabYtPWNKwmdm+WfdBE4vq0di41OGqsA9zQ4kB3GBx70O33n6/GCStc/
4MpA/F4S07mSYcgH4ZYJ0SVG8ZkPJJGRGSB4jGLG1iqq/rEGRE/Gbal2vZNhuozNL7mnqmc66NYq
CcS0U0Zob/qc70Frt7hlV2LKsLC8X7iywf4VmdxR/EDpRUWMzg2jzvoGQTEPtUFnr3ubQ0b4hpXy
SijdANtWdUe+83edh2VPNBpYbbv3iNCPYs3ITzx8n46bHTPS1utp/fn95JhbbVbAmoH/gARRxvDL
2nIwT4RCEnSh5Ran8MtOBezHfu+QXotuGA3BKZXZFFOt9lnSsQSxGlOY1SQPGxPnKNJ+KeHcYWE4
X0te/T52moOcJKJeR2QIh0gw5qt5A42rLC/zF+Z7EfUckZArYVfYNpHyqLp4ZZbm19/mmhAYNXgd
rFKvU9sylePXwh8bpKmZ4XxC7suUNA7UgbEyM6RyivBEAriPPwPdeEtrx946EkLPOgSCrJ7zBafJ
PR6+yj74uDCvhpaUPjdPsm08jlhjwTfuZr+sH1FHFx7edDk+Dk5b3IF3+Gbly/NkSXGddVZ3YF31
cjzHbb+VfW29R10cvS9JMt5Hvced441H50s8LoStyBtxQMRJNq+aXHlH10kIOpnGvC7WCgokBvNe
ReOhQ15yLptqvoR7Zt+5y5QYq7bIejgm3AWEmPQTnoDTM7KaRJdfTm0rr2HY59cNzOa7IvEZ21dC
fZGDkW+rbrE/V4E7nHduDZbFCS2SgQglR6pCu54AmAXDZNHkLBcYGpnU+/I4j8PnsDbG+7GLsltB
nOllm0TOaza6oMZaILbslbA7cNLa0VUA6OCynRz7SDRUQMT5EKk3K0F1DpMy2OIe7c9pHhrhSuJg
aPeCJQ+0eNkzHBOWhZYZmeS0i/PSfqDJCtO6tJd78lcQv8/9cguXploFmCdf+rxr+q2plEyOUzJN
hH1VpkFsaIgM98qdzLHeB3GvDpxyjYuUINJHM2E8sTYYvpQry/DM7NDz8FyN7PDfxNCoy76uhz1k
//kcDGKRb2okbmoFRcQ+i1nc9lgJBIoyKgtjHQ3ecBtZw0gKNdZznQaety/Z1OELn3PnYkosllHb
nAmuadDbodgr2j5cg3+1LjtvXhxSxhrhb/3ckyyIYvxaWS76JVzryw56iDyTsgGVk7tw7XsvuVOF
aB6RMKsn/O5yO0wL0udUB656rlxJE/L1alpSb2PXo0f3NFzid7Po2Ic6c8aeYgxJDh0Pdc+wcE4p
c4Q5sKnD5Noyye8w29G4dJLOjlaJjUnWx4PlrUrCs3eN8pyRMKkkUPueZ/dbmMfTpxoB0heCEb33
0e2Q/5qgvzD75wILb1rlXrsKfbv6xkisIWYkXub+4HX1NyeeohuVFja7XKI60FgTGqCqKpsN8VzN
vJLohQglLttrIx/TrQWdotsEETV7tKCjQbZYefgxetn551mP0tqQ3vAco1Uj+iJa0mvw/R4ZT+Rf
XJdIsLpVCWH+NqaPv2bPVgKnf42lpH+aYgYg8vsJ9j+90N/0QvWkjYPpv+6FXgMm+LEN+o8/8Gcb
VIMqZQCMEgCsVs5yIv+HuxEtLm0bWg8c3Ug+kbpD+g93oxR/oI4FY2nT1+EvCG7/bIPa/h8oZ03a
7wDP+ON0Ev7v//7JI6s+/P3/KvvipkrKTv2f//olapDcGuIiOX7TcBX0XT90QYhbYFsqHTjek1mD
VkuXDBhRHR4dKYc1jh4Fay6FSoWVagdkKTz6eVe/BBgaHumzEeyCceeTCQ3/UzSZ1m+O7R+OtZJv
x3uAuI/yirPtx6FQ0ENSFGMgz9JBVm9OzMbdILW/KE9krCbJ531Qm8Na1RUcrx/u4l80bJll/tSz
IVbJth2fIYfuavruSSv945AMozIy4T5pzsIofCbKCy3W2CfBZRa0lbtxa8e7oFFdulwm1zufZJA8
CrSyr9NSLu9er5CV1MtsH6M8UtvM7fN9l7d9tiXf2b312PnnNXQf4vPGorsQtU2omFnL1cJ6uoKz
HYi1HFRxHVuzWa/h3CDE95mUr0Ys0Ju+X3DZ+MRNNyu7cyfOD671Eun6vEJ+uGIExPGeNPUtcvL+
Li5ViapElggMOxuDSNQExBMSgIvQKZEaPt8a4LK9hx7nXY6CpuHA5bl1eQUmgoiNWE/f28oeDjOj
qXVmLPgPUVHMYITHoSGYxo3XNZbYdQEx8LkEqOKsDJiIF86Yhhu3nbtPnEgx9icmSQwrk/hGgEg4
eZnyZ/OOBAl3TwAcfRlpYa1ittDcacnLramSRGxSEu5e8sp0mW17JlU40rHt2NttshvsidATgBju
3RSSykRgZoMjcEF19iA4g2zLzhv7M839ijYIybu7Ken9eC3sUbE1u8BYkfDpYLewQ5KMJw4t3FZG
i31eTi1dqShKrBFUGhINZImS25oa8uAMlgVXBv7HanScZy+d/S2cl/ImK1vK4Kix0Dc4DPFk26Ul
qItJ7Mw0bXdtBwF1RsC4RxIavTexNewyMyE+YBg2vKnBGUj24m6x5sGmfO3T45L6xP04nfcWs9cc
lsJctkFed4c5aatlR6EWce5PLZQMiPkmzqtNqY+RqSBN0Yef4ovwyU61omKMNc/Dc+KvcjSHa1GJ
yVkBeCq+0vPNKp3ebq8aJykLSEFIulcErWI1db3WTbXN5T4+YSP77wxJggTINxRtkUyE/Hgl4Swh
8vAIa11YkrFYd9l7mTKk9HV+wN4yq/EdaSiRNUMWF+Ca6rJG2aWaoMWCnOTEfQQl7ZFrpfDoL/1i
n+WmnQ7P7gQD5GJ2rOptMWzINSHDk5a3ojG6L2XYp2RoBV0Tr92uksm269vS2FahP2OTFiU4cwxQ
YtsPyAPuZxt4wQHGP34/gzhB9JFlW0QbAguj+hUxNICIzCg1wWd2SjRtY0ZyKaI4toKuvGDekdS4
s+3qTVWMovX8mUd9MqszNMjZHT10vRiiVVzh3Cyv06WHzNRXDUWaFfBprf7d4Is69224iBE9mqIe
iwepPnWJm0rQ9wPffoq85dBU03JIqrFGVuUQcj9YjJQDZ0B2FY+8yFuFKI9kCXPqP5tpSxkL4twB
6RaifV4zcareELgGzgaN5bI7LeUBvzkqN/RnW+IhaC/AgR+uKOwWDMC2AYYnG22a4uSCWRyaNuwE
Yn5z+h7h0xHjoMlfqPcDTJu0CiJifiuxjMNzGTHmIFeJyvStn7uCR6ddyHBoF/eqoRglPb0aKmM3
9uhXVpKu6L7xrfwaPfwwIZFOLE58ZFMiGYvQRFQVL1YS+vl16+RNscZrQRqJjxr1DPBRh6OUVJfi
osCCBn2Nb8CzW9QMgYTwhyvZtBPRmbYT9ptStd4r2qhxxvLbZsE6j5ZSbCrfnc0VOje/XcWNN75g
3qyuKLgC6GQuKUGhbwK1o7uzzUZVfVaieySj1D0bUP45e4EG6ban7ZRvDCroYe8jg5Ur4RNay1g8
CNfSScOdwDR/GdsDiQSGMZcXcT62DxaSU8JL49754gwlfsjBFvGuGrMtxnxjWVNsTheSpKLzMB7i
i95bWg25R5Q1NX4NiHZqxblt5LDwkMt5Kx4g4yFjnyG1yw7mjQxo/K1EU3jW2nWU8rVJhShR2h3l
vC9He2b1G9y0heNKC8mJHLmDM0Afs7DVp9M++p/C8TeFI1wUk2rqXxeOpJYT8sgY+evJHXb2Tnn2
/c/8s3ZEh864zfsOv9BmrT9rR+cPPUqmqPSYXZ+qwD9rR5sxy5+RjuYfdB1RaQDEQO3jW/9OqQhC
9EM9RMgh4wUcYEyvJTNQPc/5QTQUWFXp073MD7YfvYwZJIhOZdXW9czn0nDvW/K4S7Nvnv1CPM8j
ASG9NxP4MhzJkfK3i9FYZ/ZYIGfOg2UFv9M5g8WW71vKmw0ArXJNA6f9NocwlKrY83lBlXlhRHn9
alKi3RkWXObF6E6wJIhCUBZ3IczNbR95d+mQ+DfjkqAFBa5VjsnIT+vBAoxNs1WGZW1mRKZHs2vZ
IYvrWVnE+HSyW5FvcdYqb7nlHXI2lTd6NLnH/oFTYbaO5ik8ixM6tdIQt1CxnD1d+U9gn3EwgKXY
E3MTX3ZmIs5Te1zWplkmN8JViAUNt7lhZLOVSf7UT6DG7IlmcuM6h8Ib3shu0y/9MG5aWU+fkzKI
zjOajSs7WKoVwlh3j63e3LaStuLIxGg9ypxGtW2/dykROLIHykDaDRmQXv9mDfO4ZhE/4s+h1ZjQ
X8b8jMCgKyPQAAHYUa+8Kxq16/J5h7f0OtS5zL3RTIfahg0weZW4C2orf+4Gp/7kDOmuYHVbRFfc
ZbgGL5Lcbyl+fKy+a0bOly0N6HGLysdcN+SePfdLldxmdizPbGV0axvMuG71De19Y+NBpp3knKMj
Y6kyCqc9wNpsLsK4Tq4oTsdnkCAknzAoemIelOFDrfpx40K3u4iHgFhqYAdnTZ/7t944ZisSeFip
cgYJBzbA+sVDdQ380RvypzIrnXMgYAEDcJr5siTecrXgxqDepYl84TVoL2ois7l4gUW/Ke7h/Sqr
Lo+tCqHVLxUBvlqJhjXdLz2gJHnGAAh9dHJldgzBZrSRO2v00lfPAqO6mULAnY6Flysly++ezmtB
WFZS3YtM9wzdiUmJFqXhPkpf61o7IgLBXEW7iunbpgbmHJNG/4wsg9RQMKBY6CRhJAm9DPzF7QE9
LjMCJ4EI2DaEalJ45E/kFJuf257qw7DRDiO777iqbcW/w2aK5Y9kxgEvO0gyrKAPuCXK49TxIz0L
k9XGLHFEWUy0npw+nLODwwQWKMUczXcew5BkVVQmwxGXYSzyO2ZaNpvitvZzfqDo6C8QqkR88Qx2
E/BaUb/EvH/7hEkfIcqQZgDDJ4zgaNPmT7Uok6u5keo9aZZhL3q7/upM7XQT9lV9ffpmaZjW/g6n
Mz8+tyzvFpYN4ACndThbhbF/+33YpKOK8yKWsGTK/kHRJV1X7uwSh6d/8c4u5ru5d7pHbyr4Fwkf
sM4cBjdqQ79m3poBKNN0lOnr6UlLnY5PWyIM1isBGOc80bHNvgyq65EGGXFa+JxQqTX5ExWh9Wks
qYyIdZbebQvp8KzSvjYCWis6/Tj8raj35KGmJ7zryYM+GqT5EWQYjvUORkj33nkxlDnYB9foWeZz
sgqtuxCszN3YGMU25omkSR444WtgQbUYHcKXOY5M/KDB5xO9GQtSHsXGfbU0w36hPLlvOMKRcsjM
7HS3IMBU9wlKIh/3WFh26AwHn8Epb+/sSedC4JEIVwi742HjRvz4fpyjtZfrMgl5OdlJ/ovfyhnb
UYWcMl2uVBlfDc18A+ruYWiI3Buc6rWklCfjZwb/cGl1/TV66ptYoz3yLj4UafvNGYPzgPgpBjYk
+Fne3aRs2L4xavTlKWoVgzZz8i9ACbPQhUCTlLGy6pnIPaus7jr2sX5l2VW/F4lw72SdPlIU4gvj
tLXJhB8x0ahJe/BKuca5fpVMwFCmdKNChjalF94ISE3XYrLSnV9FM6Wh78Z7t8p0TOcgtzNGTZQ7
zH+HIa/XHfJ/NMGteKd85dhkfW0IfTtvyL4+p3CnGW8V4sy2nC+t6A6EFd8Se5yvM8Ag12RLhC9G
ZD0rw/8y9xX5BaUqdhB8sLjM5P0ahT1vUqz/GVY6awCi51b3vS3leojT5b0Y0KUTDLxyFmZAdTfd
l2lfHwHeAi7rsCY4CzeY8+luanRLYJyzi8wVj5StiI+C5iyb5uLM9C37MLIIb0y/r7dTSUagGfTH
OgIMalTVS2P2cjUxdoIibnrHlgd/j+bd3DhD+GKKgjAesJV0YL/h5rirE9/7il0hOcixMV8914AC
nGUPnVDp2wwWh5Q/1Jb0Uv212ZPWFir0+jIIZbMayANDADsQppMuNqkMFNDrpdpYQXjfFOqdrNFw
a5b+fDUxLq+3dgQngmRdi25nSdtjuwwW4zzhXgF8ym55rNotbVJxYy90hkeLdMp1QUvgkEE23kjF
4FsJq/4K8jfbLgV8xqLK8FHXb31eWZvGV8GG8f+zGcLHMit2e0LPNMe0/2JK84VAsb05N+HjKHAN
2HaGUMAes3UlHeOylc5jOJcmfONw4txQRs9EwBJTpWzAE6Z/Mfp9tKVI8N+l5wx3npOIx2xudA2B
7gE6rDsfx46U+9WAt2mis54+pl7PgE3J4quC8fO1a9v8iKuLfnQE/aYaDBoBrhx3meLPRoUNcqMz
rzyS826RTgNtihsqKz3IHOvWv6qHenwtzTl/BeSAc7rDGuZQYTHmA8JEFDJQ96JLem9Niw+yVlb4
wcqd0ugC1HgmjsrCUrKKiZe9IiOl3/kMxk1eieiJhpJx7QrMpARxTA03sTI1HNvAQ5T2F57TSp6Y
MsR4igVWZ3+NbIMTE9eKnudROgUOuMYptqFqwqegSbq7kcNwyni/gXHeBaVx1UW+c0alkDEuqZpt
MpGoCjmrIqixnb6VhWVdiyLqHsc2GQ917DWf3EYHrLIWbvCzxuvRGwHQyhrgh7ecZfjpz4thMI5m
xQKGErA5VKGj1jXtl3XKaAx5CYMJrCLNfpb5Z08ByuIoPl5nrsH4JwSQyay03TcWCX/9mIVraobL
qULDbxh7CIbuOveXl7Rtq3pDbCBIz7Fp14sAa5XEEMxh1nZrEiLlfiF9YEoA+ZO7wTbQh6SY52q4
WTJqvIy5IDvX/2PvzJrbRs4u/IswhcbetyRIkRS1UJJlyzcoyRpj33f8+u9paDIZO4mn8l1nUuWa
iS2DBLob3e97znMG724e6+yxTtpR1cC0F/QPt6Ko2t9pdLABceZuL1Gd7/ssUCE/EJsbrPg+zDOm
uGkSWOPhFEIff1e4WIMqhfpp9dGGmTVdTeMU+i1tptkxXXW8F5vO85KruRBXzhjT2RWwYoYy/B3D
2pXZ8cob6pL40zjpAU5P0ykeRLvt4TIdxzo4x2H9YAU24ObAS0D+OtN1kHhkLaooFSjvjrk8yJTV
VVy7vebEww4tZCaqK1ShCQwyJ6l9pnA7At4iwGaADq1pCEJCCntQ3SRqCaKEiXebjhP73+Vss1VJ
t0mYp/ZubhNaaV7FGRZe55QQzDD0fenn0LoRK1DDBp+deuNgoSIJSuOgeGhTbl00uFP7vJD9NgQ+
+hi4y7IT89Lehold7pPBtm46e/lSL2a8WyrnIZaltqWu2T2QLQ7jWNrJXe1W9htaiRnCeLG8CQoB
N2NO9Ewsht8b6Mq70TaGG28YTN8lM+pkwYli9Yvaezlmxnl0nfohZKuyMwKoq0Bkv1qeHmzqvE9e
6T/O2xgJKw23IDjlGr3LMNF1OvYtipMhnggxx+JaBQpc31loOz35JOG9bGx0fAsViQ0iqXfXoD5r
wdW4JV9ym5UWoX5G6wddLE9zCF5QBUax6Q/npnvTrRHbf2on53EsWvbxrXUwndg+Nol81Ide6hua
e0gM0qFLjxCqvZZNgjWfrbjRLnS3l89Zo2c3bZR/4wAa5rvSgIm+GbvFvsbVSsZBEX2r85y3vlbn
7+5AjNBmDLpu3yM12DdCb17Yvjg7g47+A9Hqy5Y90IMZJ/Yd7YYQfrUBFEinkIFUhnTfCTr9s0P9
/bquzOK8ZINXbeu5g8REBoQNLMmM3gBN6ziSkniioBvxKtBlo4C9sUc25Ugy87sX6iwcxFmLBwBB
3ueucZHlmXnxtkSlTjZcYFrElxcoE7Y96L+ngk3/jrga7zoou3LfsjASw7Mc4zkogJFxyIJyn97G
YT++iA6pnFO7JtYLkoMI9khUUYqL39Uhm5Kk9KgGF7HsnkwDyQrY77IuFhNUAO/BhW5ADMgx9c0W
6G9Tt8P3qM3zg2sSTN2AYT5MWvF7Oi2kYcwBaaJme04boD5V2HgPTq4P95gXqwc8c4ufjjW728TS
Nja0oB0ZQSQZSS8g4CH+xMEP1poE+6fRDD9mjhY2/2sXfpRp/qbqQ8PCosX3n6s+n18BHxdhV/7o
nfj4sT8KP2TJ/UY+qO0oZbtpI5X8s/BDj+43F5MU4ByD+ss/+oUSGqph0Wfkh9a4nT9rQJb9G2RN
gUlSibbx7Ij/pgikSjz/1GxaHjYoj9w9epWCBgwa7R9LQLzWFPi6dy75wCKwJVq2v0Dy6RykUnX7
9S835t904H7s/q0XoztJs5NKF70/2/jxYqE9WUB1Oose94yKUfFnZqXx+RDl4MSrXkLdtV7lgLDv
/3FpE8mx5zlU2H7W08ZaKpDHCuuyKC5JIYFc7iiygF9wFesDIobSyOkNqqU2WDgw//ryPyqI1TeH
M4oHBV8D7g3x8+UNMw4LSfjXJQOeRzqxRjyvgkIAu4hLdbkp51j362saP2vD14syVPDPCTrL5k+3
G0lE0IeQ0S62UUChwW55NHIHSynYZflcdQCVYJNz8V70pKhGXd+9O0oankHlM7c1FfwrmCmIoFoo
d8Fu4Y3x6nhKG4liThfXwwrciak/IU4GdaN8EQXklV9/jx8Nah/3jh0NUmDMRzgKf1KVeyNxFJMb
GYh6EFSmPeCnKWPPsPfaCZASIL/rKUWD+uur/lgb/eOqkumB4JsL/4z4ZgPpJpPdiAvnDSx8qwvV
LaLvejLVl1mZg22rErcA8ngFzKQYXP36+v86MV2T2CvPpSzMuPl5rtCSQE2YTgJ0m4PgW02YWdmL
MMv9nbNI/JuBggmEmeUpTSXlvx/nZTC7XaHrvbhYyqug0fRN9x8srVX7S46B9TrojpqdOjq4D+DI
KrxNiJv6m8f97764qVuslvTVQIn9NGoNSytlrQf6pe9qJomFzq88G0D0BrqaeCF/fZv/3STBdq3m
Jf9z/8U1IipIIpo5GJdV4VzMEapCi3yl616Bg3KYpsfV2wFEi1G+gkzyQSJkJ6VLQ/2XLCUJMKCJ
wtqmrZ7qhnfuUgArgp3FfRQN1G7BJzPLbMjT4wmEep/tf/0lfrIrr4PVpXVAbwEvimTE/vgAEyxD
vTdLcaHkidV9JRmt42at5SnlKgedkXVv5gaiJZPwLgjh2hKCUx+qWaHI4tRC+byMC4JYEejtu9dQ
Mfz15/w3qyAGQDQpHMapUP3sD9Emox8gbIqLvbjckPU2i6qpXoRCCtVZ83cjW71Bf3i94e9lVPPO
1ZVJT/x8xbxDlqqnc3tZBfg2YK/XQE7qFxN3V68KtY3pUNkE3gVMCA8R1RuYsPIxpiFOGkUxd+9m
SQV2RRAh3KteYkIJzgg5cBSoW9Ty1oCbFUfyjOSTgjLCnDOOZ+touHwh5GR/57TgG/z8tfgmPGes
a5aB7eJnkc9CzoCLaze8lLzrt7KaF3hFJKfc1WY2U9Ua8CirAnrS+ShkMwqqA+7jvYxCGrUZf7eO
KLuSW4OEpR3aO3eP113rDpHTQocsRDibyPTtYPF1E0kpUrZR+1RpHN593S1L9BHhTDQnlTOU0iil
mBkcAfsdrwAHfG6iGLBeVVz6gvw5r82TM0zS8nZIArf2PZCcnG2NDCYnPnsUC3P2TU9b4WeIc0H9
gD2o+HxD9D7byPnpNkWFH3e8v0+YSXPUDLjylG4IBt0UIaZVuUdUv1DgULJyXa167ossGX0zcN1H
QkeIyaqTEHwCNbsa6bAdNtTRgSo1qAsM7w1jCYWRIm+79LBMC63omppvczSgWBBVj6ToTDmYplE1
BCfkTfIRtalAxceht7loIwCBDeXnwib31wBBkiM7qO7dEI/AdpJWFPhegjMiRM7/XKWMEQIGmXKO
gojVeQQYjK0B/DDOG3w6xd5rpcU2ofDAJrEFpPA8VLwFoLHwYzN1DrAqiirmQVulFEisqHtG6pOC
5ApEJDhJLUWvu8SQkccy3zgmOCJtQjSyD+cyj9JNFU/e0Qpj6sGp7L55ReqUm5BIMNC8NJGlmYe3
jWEhbZExFSE8JyMssy/4vOOTMUAbx6NhvM2cpWDkYHCAuR/sDU4+X3PZ2l9KVdGqnSp6Z6BMv4d9
kHSbJQoLX+95PNso6EgwJc3Nz4U7UK4kcRA9Z1BMBDDNtNU3Xtm9W7Xu4ECIw+pJs704vR4Kr03p
FhSZzJ/cIQBSzQDIMNr4uZt7GgrSGamxQ0nOljBRUg6dkJ+qbWrFxOZtgNnMDlqAVMjqixYNjsnH
TZMCJ0c9595eQ5l0lYEdfyjTlDtdaFSO9ZB6LKu9RqfGG4HwtZlikuRhkH2atJYntgrc83lGnzFA
WaQOUsKsiGdG5SbyBC9Tq6j5O+gTIbRrWp6sI1Q3IU6oTeh64/mjhPijioY8+nQAhRdb4aV3PVC4
y+xYr4E9olqK0b/u4JSzGilj7oS16HklKLQLjTqgdSw8FuuQCzNklzdR3SLhiegf5KhYK5qVNh+O
E0d5zbYueO6pWPkpJdZryq/GU63b6g8pEF3XDazPLGcBZF6y0Ah2pAofb8Jl4jsNyuhE45v/g4BL
WnEeLpHXBkQXPQIKbi2JUyK57YuaJYbejKfgMfIs3XJ6oAvNSz3WWFHXNZI9HHk/Ni9RN6GETze6
fa+lupWyscRT2/ZK9aI+bd73gBHMGslgCefRQIoVz/fIPPjXFEhHc7dywMJwwMy6YDkYVCz8rAgu
g1gkhYlkflixa2aGZS5RCaAAu/EUzWr3OBvce5HPfCmmJFdKo4EOV8lgSNS/Dc2MgSEEcHDUUzxW
K8tbKmtUlSluoAzrF1wE7H7plM0P60ZhSTGlnChuOa+GcletHMOm5sNMhpe8W2aGJyt2TfNY1pp+
ixiLUkUZ6Lck2qTlmWHEszPUpy3KmhdPi7NdOSge9ES5pUoUSJQy8CfQweVtjusLQ1tgYIpzWkWJ
GyhRlce6VVzPgZ8BAVmOIBhqrcFpsW5werVVSZeke/84/Jhq6zOD98r9zKaourW0tE7orzgwJ0dS
mUkBty1UayagDl47fMDKmLC8eVqBCLrKRfCWaREXL9YpJAIbcuQwUe7wC948nd+MF88a2/dMOdg5
QXhs7vhPGQpewIVFs9cv1VEFOVl8JZQ9jWXAPFKGGW+p1btHvk55bQ4atb25n5FVk7WZ+0NPCCUM
D/zpaniu3i89xAsFzb3nb04GfGIWFf/+phpBjR9ymJvs0ugGwFyPKDftPP45G6iykOasjskVVzIN
sfuUpF6dgYKCXIlfkDGSRUAGwb5zT6cq5/uvi0CaUfyaY2CzW/Cj8uzMtnnEg8uEc9Tl8xH4EPwi
tmOdqF4S5cJceQVs9+sDglSeKqopwGm8yLkPI1tQWdCL1sjAvJ/m0HldvYeprmxU2DlpWIc2M75p
Wj7JOhLJABPt9QqkhEfIgiEaGgfsaeuQ8iUSsBEfkHpASW2xNBklyEYgY/KZitUkkScuBGEtDmEf
VLrwNKKLCPNHjK/268obMDSPMwARc7yaJk88jUDJkWUYsxg2rPMSp14siQ8MKyZ6Lcbpfv2GvInY
I7cOKxDO3fhqPfAuo0a1TtFtcfdjY2XpJtGSI+1TX/N/4ifisazt9AWpafaxY1xfm/OiM6KqTIMk
6UV898Wu4KQYnrZBB5cj/es5yai71lQDHcVkFCjfGvVxIicRT6kiSFZ9x3wtIoSIWVowrRD3Ukcz
F4K88AfA5G5DliNg3fEWqTWrY9Q2aCcjhnzPAKdhHMUB8Xkj5kGkmzY+Vlv2mf0wNaSMEPpqYdHU
GryH1qRWFv60fF6pKlnWW8eU7LZyJ6U3Zqd8cPjprI+M+lHoxsgQURTh7aLcU1Tw1dpHD1S7Al7I
Is9WJFRHcvIOqbTm+FHXG/CxFqmD+6Bc/OvCCqCeN846doNQwUmnrmoOkxvPbw2vocs6Pi1aGlcJ
hYCroait9MbtPYYIeKfmYNnpcIooM3t/DAhK8d73yh3SYZs3g7JgFvBu5sp+DZF8P62jwplSJkVK
Pwr+L0VVURdwXG1VbaA/jCQRZL6gb2QXrEQzBv0tUg6KEA3B6csG6x6nqpGg1g3ix2zbgMFvr2Y2
Qg3JJYa4FRZfgSEnnkB+lGAjs5CZ5YJpezBcUNV7CLDTfZ+U8plIXXEHVnu5fNiIdRIS+m2nMKLr
CmilHeavMnC52V2g+LWyS7hLpjsybdQLiPjckKBX8GQ4HQGxNUOwrzUPgljRq0+b9J3CeGIsMjHE
zNNDTpIWJjOOas9ymtn42SHfu5/p7mxGg+QhQiibCQoye6HlcUBhOB26fiiiO3qyqE5hNQHX0DFh
cWhUqoaQdE+Y9FhlmqfORiWyI3pZPusjLNuC/Ba+r0umASIi97H3pvyOXO9vkRZosH2T9oDcUt+4
DSs7runke2i25cY1amh/4OxTvLAmE3ji9ZjEFW+kmar1FqVRJ9mhzM4zZmnuc1zxQEt7XCZyjxJz
r9q+4NvqskPpOuXHuKqSG9Nqhdjy1syPnOynQyHADG+zqioI/sVkIycl3XEUxRo2DCOsaY3O28HX
6PRTrRb/UxKEFCIRbIjbnDhgTjAY7o6r9bigykbmdobJ4TFM6DRsm7zi11oqoclqh1+hA545IrOB
O0U8kcJK5WpLt/rE05Be+WoVhEDHnMHCc0gJ070eTclUlYSY0Ylr+HjB4lJsMoh89C30/CT3rS+T
IGLdXkDUpXhdFaY7lRUQVPUOFxr44sBT9Or1YBjCSK5OtHIUg6tjTSsdQuqINZmaw8r8jRVoF20K
yO4J8rMAdfluLLPnOyb6KM5gPNfCMXh/YvdjtOYhq9XixMbTykBb102ik4kZBxhDa1n5/VFJsaiv
jmYYfTDSgory1ThZ1ctKRC871r2mZgp1CoQcB1p60krSjUK1Mi9LyRuIs110MGwSVKzB0dtruwLy
xv4PkYKd1vKM6FntMPCM0xY0AfwVnnV0XaRZRw5sEx5Dzjc4GfrmquzanlRhw8CQqWhWOiKpJ1hC
lOxshZ6mzsMtcXFKZ5sggI97tWJ4nWF2niIq1v5C9+VY2dAXm0WRZD+2zLaef3cQ8m6okuX6npxq
9Ih0V409V46eoqafPk0RLccIn9+nqidfCWU3iieb0w6B7ZnRu3ghcp3UDavS7hWdhLbcIgtvZzbm
dDBCW/vWV6b9DsZx+T1jV/m9zKaW7faY0SN3ZtKFKtSMgk3ZVUZxBTCM7oCbxv8dbeq6SOodUu/6
ZJtTfAvnyvPDxIk/51UXPjrs8TFE55Aj09bWr2bPnm+lWQWfIs1Nv5UEfDW418EAs1NGSXi/FBon
Vgjoo9i6HQiETSMH52WtzvxP1/s3HR6qfwhpf9HhORbv8euP+Qx//Mwf7R2MX660EX9auoFsw6UK
9Q9Zrwf+CmCTY5orMsvgt/7R4hG/uVToofXhI1uzG/5s8Zjub4qeon6MqiQZbv+VJcxS3aW/VMHw
PbGD4lOg9DUNzuU/U4V6gw7WEk2UMsyF0Ls6y15RsqP16GPdYFODSodTbDtjiO81KkdpaIizEzX5
zUK5btoK1pRdoMcDJiiR3y3I2L5KCguUDCSYig0/lftTGXQ05pfia25jRKXhZNwh9HBQ5A6NeYNo
0yO3LeGov2sl1qDY8R5JFcseAOINd/rwmpcNuv02Sp87dEIvZRoP2nYZsmK5SvVqem0z6EQb0Ngz
CBZSCAJ/koU5YZZywxQmZZ2+RVpKGcHE+4E0HrAsXew5RlVFzg+hdLK/UfpfNnfohyzfbqCw7LLS
c3mPmDKBnOAl5lXNNiECTR1EZ5MSGgvC7MbIXIvMMXFJpeW3qq2ql7LTl9u+nSHWmll7Hcp2/Obl
Q/FiketF1rUXztfxmNIrqJLw1SC8mLXLKLEt9wgj82rrAE3lrIixl7dTeW+bc4mu15vqBuzF6PKW
itNbz8yni5URT1/NHVE/Jess/LxNnVJrKPpm41jz1WjE7j1qQFgRiZl/m9i68jrPvXvHFtUx6JLu
ke1L68dt2+6scTYPwULkEeWNtDjZHTCJBDjQNZGxcXBcWsIRhyWjSKSHZCFuYrumuKTnBkmq2pw9
m3nVP/ZWSmpeL/CHc4IUX2I3Db50WjUdq9GudwXBNedxQdwBGtHZlKi9tlgNl/MSiv5zpvKct7bM
m/MYNPV15HnDd9nIJdmEc6exVmdWRG5uke2qWhYJWEhZFxtYVsNNpk2NoHZHbm29qh9a6OVXISFC
ZOEkY/s1STJifkccYxQiazO8LzxZiAN10vghqlLzsxHm8UWqsDRcz27zKNCg7Ps6sq6FkQw6CuIy
OuBIQrIwIwsyuqE+jBxuHsIoVzHWyfSiFWFzMvVc/j42o9vsHT0PMYqYoxfvkKfLBwVrG7coy0vt
SxKazn1ksdFC3YO8fSPbJf1m4eWXnDvRuYX6kvvS7ohyzkXxxHNMEbC10b07Je1NK+bo5FK45Kxa
jvU5CgrL15w5zAnZTconz6z1u7DpSpRTNb8vytC6wTPWlzvqo9VtUpAP2RKexiz/MhUiwd6TfZh9
UqoQWH/khwOopOzbdZtJDnPiPLQlnv7sTFtoAlhhoAFfkOCobMdhAXdB/dOcT5EdJYd6dO6Fl6R+
ZbkLQnEitdn+yscpY/bs2qnPXoJAzhuRBSBK3N6S7TatjFLVW+3HvicYghOj6LadNdfo2mL91qry
iaBKZJ4grO1NW7YINFPYKzIgHYt2IEOR+fIQtBP65Bjd56cJe1R+dvpOT+7dGIWm9K1q6fVHa2kR
XWe87Qv71sBddhj75tnKopGEJk+SvdUQjW02w4kjqHNTVlVzlXcqDX3KlisiredLXXrGEUNavSFT
PDx6c5tdxsZsHrB9T1uLWJh9YMps51Y8SJzBRCKC9hB1dKsKA30Ovl7v4vOQnKox5m8ytfqq56yy
k7Hx4gSRvbET7ZQklLTqUt9AAWr5a7QRMH9rPUeWaR2Dtim3gtuy50jc3sW69QIYJfRxMBBiMA7a
TbKI4AA5btrOvf65ILF9g8uVOTDD7oGksHAPg06/Tohbn7ck9JAa0UafJpOGB76kZ8+d3SO89G+I
/jJQu8aDPjcSuVH2HJrNnTMmyX1XF19QjIGDn685PuKy1MvHITZz4lrcbjvqc77Rx3TwjSIbQK5D
6WKni3ppBqi/6Ye2RrwfOTd1LNpTY7bXHZv9/Sy94cowB8sX7ZzWGzCSOmKWNDpxcsX6h1dueYkm
mOpyGq29gxILtox17fC0z3rYYBzT+uJBn+rySkEUruAmM5rmcrmdyZQE519SmvBiu7rU8ywfzKVJ
I4JkuuySatN458jmHaaifiJXXFwvuax3Wjt69DnZdqplFkE30TZz+IRNNfQBZMJbmWxjBxYg90Mn
nG+zCQHfPIjm05KGeBBtq0WAGV/sRoMjZNISaIahvc2bNOfIkuWPQxYEtOUx9Vs9uzm71GdUQsO1
DPTRTw0zes2m4DVq9fpi0G69NyY5XcdNaz44sSwe+5HWR2c6p9bNC6RUDJ1E0z/bbVRvbI1fIuya
W+g7SHVT99s4De2Dp0l3u+Bc2ZvzIvf96Gbf4TgXt8u4a/ulP49waCDW9q11yxoDi6KLXTohUV4/
cC6DLuQW6bXpwowHyAG0Ymqjb1aWMbcg07dbug8PDMLsVpZ6dp/Ygb1xCsfdxc7SUj7W7110sn5n
JM0xX0zzPvNM6Wv9XN3Zo/hqD42zq4WWPlKR55zRucZnjJ/1vh2NVDAyIsjv7AucLRjrYj/HRoMS
CiAX/cP4WhscebLbcUbQHU9Hp+MVCQvOOYJCcoT/v33yalj7m30yKmf6kP9ZCEU6VvH7ty7+1nd/
tcB9/NgfO2WXTS/oWOFQhPnQPP25VXbN31y2ujQfXRRXypn2z62y8ZvOLtZQnn0+BP/y51bZ0n9j
i4ysClWVKwzSVv4bNZS1ok3/qYfiIpzUQRRQzUN9oCAPP3bSbRzXkvLZcCAKTPhGFGe7aCnk1u66
L7OTvnm0iEm8XzpqP5NkP+u0GGTm9ORRh0fR4z15g8eROuvSGxbS8+CRgOFq6LHrxuQEx/vfTQbJ
Im1NHJGLZW+Zue7XYUVZ0avlvqK6zMzt5Zae2qUKBh2TNtLExPLSnahBVIeCa2ohlIQEbTH9o1r3
k7T9QtrCEz2REqVnqVyiyZujVbqf5fzxVCCYLwe3OVZD80VQytwuNmb0ZLG1XR64z9qoPySmeBsI
MuZnqy9ZGX8vw84kSwhIC1ALQl4QjRoF38eppm6nN/UXRyRUjJUkc9T4evSvDPDQhe4PGjG9jXcE
Et8hGefWULLYhV1uomFMvxssvBvH4VaWXkMHGTMROcncAisNP/EVuA26d8zZsPrErmCs0/kMQ2Vp
uygwWrVtKg+U0Ko9+a8ZCk2H302tCwr+bqd+krRqbxPLHieM4eDUn7kFVWZ2O3ZZC7EX2UXO2bDL
Wi6JxxaLmYVJHhutsetrPpBZObgvlvBT2kroAxRDfVkW3+eiLg+12RisgHNKZO9sUC3Mwm9BpiHG
bpDx0uEguAgfSgsZgMIspA34Lx7suMFAPyrbJypE6RmlbLBdHdwVJK3D6HH3zJaLjrZ79IT2tA6S
uKYYNFt161Nt1X0xm8j0PHSounwaPTFsWRqpwer2ZYj5UGFC2cjUSEoRSd/6ZZhPJ1cSR4O5nFHU
8Wd16d7GrSDes2yNnYtrZesEsCYWg4HVZxxLctu+ZTx/n2RqbjhKeptsjN9gvPPsF/4LhhBoCqEV
/th5rPpDyc/k3KVWUOMw2APd6Gxht3jiv6zPOwdhQSQYw6obcayHEUPGlbz0yroGmoh/6aSL8DuT
nFENjm7jRYxOz2WolGouhHU3f8oi/tPxkjf4Kjx/Wtl0xFMMdtwu13KfOL90bL2ZJ5yPghNv7+UG
i2S1lW77xSX8eusAC2XCMZiIP8H6x82ADTdsR4xdN4jc3/JyNDjkuvUJmbW9g4RY0cRpMfYXUjzk
bVJtjWpEdtwAKTK7qtpjUDF2DbkSft5Y3FJ94DOEUYviQZuuQuSWZ7MOyN8Dmbij7U+xaTTP8Qg7
Aioqo6zgN6exSG88g4nKgUL3odZmO/Ya2U5nnujZEF+GyL5dpxc66uWgC2z+6Cg9vy+9aQNMotzo
OY+bxm96CiO9uJp0M90RXM40TL1yuz5bHEFK0lGcHdCsLCEMgYLD1Za8MNrjapTTyoXXWTXyqg2t
dDfnmdw7Ju/9UWM4rwNAjXCm+CW2luLKnFnG5MD8thbJ4UA95q4HM9VRlN2SwteRtCiC14oskYMN
MWK7kJ6xLXqhHZDfsHrZ8Rux9jwCkX4POasRcsfsQWMTb3OcE1ujINFcb/riTBrLdGtP9pU3Jm9a
GNP0c8fiHKQcn4iBirf9omuH0Gaekg0i8MdFcu86DLKCwK+z1kqujniAtTd/LVoWB7EUm3iyQG9l
oEm0ib9MjMPWak1HVdhMTIA23XOjbY6jQ0POLagjT3GuH3SCqnZaFrIohoLFjRRIn6qdvAp64xJR
0Lla4FNcVR2LSWUNw9au+drBwEcYe8EscqvyAD2QXyD5faxNhoRJsE7aIXbQQ4QaWeNddA/CTfcb
27oYczJfOaA/2BmV6rUzMpjqqdq3TszzKzPdj2q9OE+ONd32bvpd0rWhJ8MMWO81paHUTzmJ3PeC
52oVTroDK8KZEco+LX673riZFtwbgiOMU6IE84L6O/DQjYunYbeCwzhkTydLy+K9aJpvnq7Zu0Ij
bbms3WdCY8pdqkX32tjfwmTkbD164WmOqZpvtIyKBJl6s74z0pETTjHh2PLJEvia0jIbYJF4lrND
noJzcFma5M1IyslHmkeAFhWqJztMM79FwJbczGHbn+JR5xGaOgccDjkQ5Hao3gg4L+PuPgoth8qW
Q0fI3TeY1RP64p2+ow/T0NcE0kmuWF1rUD/7Vw0Byzs01G9WrJf9JjSn9LtXm9oCn01bFihhHDkO
XdGUe5mnk6w2bOiBdSYNcz6xBg0Dl8EeW3jBjRzpnOI3IkrmNjUizz0WJJ/nh47TiPZlDqEvRX04
ZNikpdlh/GFriuEhreNbe3CMeUdQaKA9FD3bh8h1nv6yFftb6fW6r7HAJcNccnUHPdxPqspMasZC
tDdos3jGxLRE36H6EShdeE89ECCGFbPOihnpv77uj5K/P65rCYIlHdJdTf2n/ZSEIAtZruoPYlwX
O+agGYOQGRHrTFX6/ddX+1Hu98fVXAcKuIWeVf6sgwSMqlkx0qdDNjNA1E5ApoFGswx52Hql/xXL
/+YQgJRN8Az/8yngsez/Q6bxHz/6j5OAh41B6K7jOGgzUVj/eRDwTCAXZMcAVndBdf2lZG7avwE6
F3Av4EsDrKAu/icZgyMC8mUyIGxHwBZjY/8TNe1XFDVbqvnw13MAtDbd1i0liXZM8S/jtgeuXNB1
Kw/T4EL0kVFqgp3F6nMVIWvaO4Vh9RBsEu8iYxMNmBFjih+hA/hDRj3Tb8ye0MkgNj+vnOjSMYrH
oXWwg1swnqvFxP0DodA+VI1qg3JkwrCO3Mx304JW1DilCNUwPidIyDgTmWcPVc1tKkrmDcu1eeox
stNikjGImGaeaQylvRNN/jIkxfc2V8INl9m3T7XWukOONd2nUWBttXIatJ1ea+apwQ2Lc9qxqbBq
ZmREIONaHFNILm8QEgV4qQ0K+T2aptOIPuYoJ0LRdnj5hhc950P5dR50v3MVyiuNxS4JkgQKHSBR
dRzxF2fzR2At5CgHUiIgp3QXa6N9iOmZuDtS7PLvMQ/8QK2A3IzCRggpljh4Xxy7rjmzjO3naiFO
jbfn1H62Krv9XIx6iitRp0GLHfNu7IPiCfxwede1zTBfU+kPbZ8+ONFmAcgRjhV5JvB9ClVZW6LK
u0wpnwttIjeS7UlAxcqM2RLBenUvIEmrryL0vHtE51i9IKfpwg8kQbU+aZfl3vXyFne3e0T0U92l
opb3FF3i6JxY0j603L/9gCrrnDkxafJRpPLgiKafogF1QWwXYCRE7V00JBG3aOfR0dD7O+SCYNk8
aMg/BXuHFY2nw3sWn0PvlndpU5O9s1j5DJklESerHUea4Glv+TGgvfawaHnHdxa48ou4fhuXvH5p
+tL4XOkzaGG51GAXQAK170LLsY51EfYeD5HzZaqgzxIBIR8NYKmXifYQRdYJc8yW0+FXI6DqtmHk
2ST+wYt79Uh2ZLco5LmqTBcf66yHmCOTIj6g7O2WY9/PxkxXudcQUqlW0mi4gOrhAxSECdJk6Y6R
ndpoGceqf3DhK6bnyJzkfeVpwtyIxnE+FWK2bqKPYDdzTXnzPiLfnDX/LZzWMDjtj2i4NSdu5szo
vdQqPk7rVJJcVKlUuRSFPh7Kj7g5z/W8fYjiBWhaUDZad4IuSz4dZH+y6oxKud5t/mnYnBNn5wah
hsy3aTlkBTeIQ4breOjazxE5eGypwnO2ZuMl4HIJyjM+YvOQsbqF7xrE6ZFVE5OYTOKersL2AhW7
p6sAvo7YjWO9hCOCKyP2NVx7N/D9gNqQ3UdLJfLjrDJgbSRsK1AhRtgk2dE4B6a39lSExADSKCMR
sCcfieO/Cgqks1STmkR4oNYZLTmCBZ/hMOu4uTbQqnt/7qbpWvP05Fj2uu3PsngoF4wKygsMUbsF
/lBOpxGd0Y48lGxnKfcw/eurUbO0d3thpckCSDvBcoXmC8+xch/PVefetvP0SHE59N1wVIA6+5nd
IVyuvu83Svt+N2JpFqu3Wbmc2YpTe7VwPlMCJZ9DuaFJnANPYRfXurJKJ7N7qy9G8FI36XjAhZY9
FspanSiT9azs1pYyXgtlwUY/Rd67smVbznIb1958lVlYtiNl3p6VjXvS+CmR4juOV5d3it8brY+9
JeH0bsEN3ilbeKUM4ulqFVem8WS1jysjuaMs5bT43+Bv1VeFspvHq/FcWdALZUYvlS0dNz3xuMqq
nijT+pyhjOnd8KtCoPmhwDqaKpO7IXvs7l3ZfB6TejzQNeo+JX3TMTBG/OiY5PvGQVYZJfOua1bh
qhF8NVObAvQUKIlvYuXspz1DP/bIntKDmVv2dUFO+15iaSPkPFSerR6RNK0mTLaa5l76CnxO/H/s
ncly3MiWbX/lWc2RhsYBBwY1iT6CPUWKkiYwKiWh7xw9vr6WB7ORyCyp8o3v6KZlXgkRCDj8+Dl7
r41yF1Ay+ubOFQVPhbfI6/ns3SepDh+/ry39wYu5H5u/ow3/UKni6yXwm89lhc53Bdc5+1ATvwkE
bQCbm9j+DtE8TIsFzXI9huZToJEC3cCEpgI2f11yzrmYG+Q4hVP4dw7/4arVKIIWJoFEFmwyimAi
GmlkgTrTC/ozycDVUAPgR/ANIo06yM/UAzrjEBBo9ywbobEIrgYkDDaoBCcMQWQW8aRWRo3eTIIK
3Mta0opTtIhUHfWrxuiN911ttk88cWB8kx7es8kcx9M8BnT/JolKWbnxO+40Jp1UkxvMyW7XkxWL
g81AeTW0wjgqzXpwNPWhLxTnpdhBsTSc0RBKUyJKeqLOOtXsCJDZ1mMV9wP2c8gSk2ZM1EHjXzah
/ckI+m+JBlGAjJ1WwOTMdSvcR0SwBmGwbba2NcJi0DCLRWMtIiX2k5N+CuFd+DZzz0UjMBYNw3CS
+cM8zMGm06AMKdVzU0ApGRwTIe0EotQCqxGFcsCdAQDEJojzMJz5G7ZGcTDnt4C2ewp6C6COEmIH
+q/ystAQj+LM87DPbI8xVnA+WqtYrpnVhgh+2y99Gj/M1YZSivoi0ZyQUSNDJN6ojRuadsPIk5dr
5qJHjzVmpBOKrim73DamBfJsQyMxbK/awPYyP8UaVVJpaImy1H0/WN9CaCa+Skh1NeRHMh1ol2rk
yaThJ8HMVLnWQBTpNB8rjUghhetEUyXk3VnXW8Y32caPBueQariKM9RHd0bJlHrWY6IBLDnPPB5u
oCyWaoO9rUEttZnuFTSZUwXDRWiYi6WxLjl8l16DXkhCFsxf+uodIJBhreeNGdklwGE4cg9b10MU
N2t0DACNgjOj/3sIVYYYZvgsjevc4O0hUhT2TAODxoZFU9hAaZIFPE2tQTW1Rtb0sGtkMULpsL4Q
/wfVpteAG6vUdIkavFMrarFNmpj+qEbiULHIe8uYow1IwnRnamyOrQE6CpKO4kevcrVPYvM6nlux
JkuQR1Tjd+Z4It1AI3kc2DxTBjQhnOJ+z7ASco/UEJ+eofg65XSO759vB+hHaOSP0QD/aaEAdWmy
18VmY5U3oByjtYAZBKryG+aNQ2MX+So2zJtwbG9wnaGd7lr6g3KVQsxXeVDCtp0exrYnHaO76Yzy
imoNc5qHgz7viI6YsctQA/badMcyd8/II9dJXFR5moQEm9a/9AqAc7GnGE5KWjfkBS+3tmJk9Z+D
3/9l+mM79IZ/dvC7/jr+v8NzUVPuqq/fD4D++JN/nvvM3zyAnZaH5fy7Q5+0f2OAQz8Zg/aLVOrv
6Y/7m4NayA0wvMEpPBO32Xm6+L//S9i/0bliooS8Sh8LTeffnPrEqzOfr1/LDm46MnuIn/O06+47
HKLAaBs1PoxWoHPx2uGduLK96P13N+UfGjFvWxRcJPD52Jhb+Z9XjZgOJlCN4ns59Bkvxkm2yyaW
g1zXmei2P7/UjxZm3Q0hsorbIl3slibarx+/T1WQ2436ZOEMm3SA73BQoZkln7yqC8YeScfBQxn7
aXHFKvDn6heXf3M7NdEAZ620LIsf7Y3nPV98d/SojtJyfLAL+eQn7b/tLulLcHiXcBIQtnmvuksK
QRJaLqs5uNb4QJrD+zawqnVvW5Kqu+Ep/auP8Q+/HFbo1w8ITj8A4K5OJAYcZ2of9XcPiBM1wpuC
toWk5TQnVKdWvWZGUbC1hcUpH8QjUuGmwKbQdCbT6SotCM4IqNWLjMhZNKhEkkgyFAMG9H52ZAYf
EGVeDUGznvKc12rbBkwH7Maqx1URBysmRvbRJoSAlui4j4a2+1YKjfhVnWm/n9ugXhvYwguwr6Vz
HTd9sHFoVWyIG5je87JUlwnpN0ji8KLGG4HU/8Fz8+gpmSX5FIVy7gipcW/wLmb3HkeZ1SBUAbCw
i67Ro1uA4ciOqXzoibRLGoRrC1wmP7rqU8hWDlQ+IfP7KhG/e4t/1ylUCaPwi1NtTp+iQYxcIvW2
Bm3sVcH0YpPVC+kUwKjXCl6v26bjV2JQmqNM4xvywIwNtB61FXbRb8dq9K6nycnY9b3wZEfOe2kw
D0hBNmOzlEiBh+ErMpngYSLYdDNbaUqt2kQPnYdtiS4qw66BY0lFk3gaw+GwJHlIo3iKr8pW7+MI
vcFJjxduZNINHzkRzpCh5yg4dn7aE+OLYvihQQG4iX3XWtt+Iqk00tS8KGsrtHagxJX3KEppPMXZ
gP0MzhnqpGmyHyorGy4gKvYH02Ev4ujRIU9r3PiCWkZd0a53tzaFya4YAx6Roklvm0rjiMbSAkvR
29jvc/M9wdrM/4ZmWhtxYvcfkWs2NNzN2bo0Fhk9JHGzkFVC5lPoFYIJAMJijkNWcFzo31xSEqu7
einVbaHaSzRYzsdm8bsH0TvZoTFi68qaHO9QoBBbNejKd31XTnsmJh/jTLnzCiJ4tEPaPh1EmwR3
phele8PhzIRXuLrtUS/bbT9f4RhDzhfUublTnGs+Vp4bIRv0kL2DIk/2KhD9RRIC+iTpw7tNZLsL
Q4e6KOwkUj4r+pT2WXzkjz1NA+2EImw22PLu6jl7xMoUrQyStPaiKFExMSKFzDVgZ+sjBFzhaKEc
SsyDZdacdwsKd7dum4uZSKZc6xerm2Jm3+CJpj/N/Csy76CZz8+tUZlM94zyckDWf9ExrNvThog3
Hs2OkoMSIvosbCRDvYarRZwNWS+G4ZAuMoW7sI7x9Rl++NHPunINoz7YR2E4XkwpU18J7XTtkRW/
bwkYY+0XABEFICMR9hMD1izAeJGPp8WOrcsJ7f4uTEGlVlWVrossKQEixs9O6DwF1sJYoOvM+4Sm
x8GmJSP5XYn5jt4xdkRyKLnTTrKcOAehVAoRZS7C6DbhCHWo8S3o6Ut6ZbRNfZc2Yb4pm+VLEvng
o2Nc8WTQRMMxNCKM24Z5N839rpuqiDghBudVUI/7JeOvJQigeVSWIQteT6OxqRvGIb1dOc/tQNlL
JJi3baddU0fOg4sLC/94pspjKYf2tjdq55n3tn9MihE4nxVzKB1iexvHPb8QCI3lOswzHNdOWM+P
leXnl7yQlqM1QbGtbfejqkZmZgG+rhFWMVaS0N60ZnzJuHEfswGsioG5K0R/uqg5+snrVgOQBvsx
K7B9c6Is15GvTkL5xmZZjHBDwp1/FYXZ13AK0vXStBBgbPHcm6L+nPbOcFMztQlWbs7a45Xg3SRz
Ol0GDJSOXmHjK8GJjDNvGT9UE9NOqiGubAbpTLHqsYBQCk/ptyA18ieL88wDhDJx5yypt3FyWqRW
XtDTrdzc2UsK4a1X8nxZkzd9KYrZuMExCksFUFimZPrejd3yQAZgla8blfdri0yqdSp4exAynO/7
RYrL3EnGZuUwy74pWt84MIthrtTI36XlRN1KW0U2TeimRx/a70PeTta+dBOC7WwxM76fk4OdCaaP
XhAf+gRDYjX1tGQ7173xEis7xEYUffLdbcHYdZ/PMbd/iKdHizfXxhYBruluzh8gSFtr17TqnA5c
Zr8Tjbf1xqJ46mjZfJoGL772lLc8taWzQdk9JhT/Sl33Vt3tsiLlyZtlehBZrlY5zZANm+e3Mmtt
oh8UhqEobI/sj+NxQKSyChpEKd5Fh13XzvEHtf1/pjv/J9iVbVkadPNXVbR57p7/oJlfPxdf//u/
rpLf4yR6/gF19ccf+tMLYf9GaiEMaiqz4Dy/+WuwE5i/CdqRgUsvHDAHGPO/a3z/NxwKpo3qy/HY
EzXh5M8a39I1/l+qMKrZf1PjW69qOBobNBuRkXm6HSEoG3+s4ZrJmDrCzCw2caEhTANy8OmgdIh2
iHjCK3ihYYm/THXz+DGZSrrw9RzXakWxRYYkSQ62tcEO65Bx4KLznmkYi1ykF5ENR2L1EmxJWgeG
xe/u9D/Un/qTfTeSwozAB/a5tQBgz/E5P35yv+1HerCLujhbaS1tFieJhQyNQZoIRGbepz+/oKNt
MK8uCVLG4ghNHe/xa+oS/7uC10hypzb6KkJrG1xWHYQRupzAzvapoMYF8tgYzcEiRuIjTXdW5boX
A9Rk5GtYJN0otqpjKBPK1WWQmqfghf2ytzvAOH6J731bIaK7jR2M/rltEZYqwpLk5lY7waOkZKxG
iovyVo1qaLAhTGZXjsaSe30m7uRLg+LIWtznrqwxbaeNrozJQhuirYKxWqCmAsu8Gj0DQzYQd7xt
Rdf2/S7EREJqJE46ZTk8BKODm1s5GM5nYeDrPEeSKp8XFSIPOCvbMQn0cEp/cjMWuFCbOLIfLIt2
14qChu/WKkqfs+E44v0F0MtO/Ik2Ki5cewCVirHfbuKbKS74RMSQOBA3Scx5VFSFAAAbw7Ye7DS2
2gu7EtK+XrIRIKUnZ6/+YKN4j0+dglAgoxbDr2FrQu2i8EwbTm7rjDNrMj45dsedS1pt8oXNMVVH
VWuz9oDNZlmHHs7XVV5rWyktYj4dfgfct9OCcmllUNnGtyGzAPwa4AE4LYwO35+GqPucjhoXgTTy
/dAr/ngwkhCzaRLvLqZRCia/BTW+Tc7EC090XfshHsuhPghGfMWW+wjEwT2jxoAo4WSd3K5Z3s1L
pfumcOKsC/iveD8pQu0HqW8OhFlcuWNNbG7QGARXJ3lnoF8ehvEqjsbljmEGeQXEyk0HJ0KAsAHQ
hBynVTOLkI2WT6k84P+barCZZ4QyAmjQAOm3x2l+APvSXRtuMMl1kYaoDxe3r56jtHOvZlz270mD
ta7Hoc5vUW9j3xkFPUkjFz72/FI+l1E2PNUOLDAagzyy8chAchgHPMhxyq63LjBvzyd78oi7dDlH
vCc9oO3uXhz77iB5bAalbdn49D11Y3YcXnctNuGSvqD2vgMUwHC+OFhzhGH/PhaaT5c4tRi/IQXq
64/8Y5F+q4HC3qNKYtbsaQREdSaIgHvr13GlgzRt/ctT6DY6d3fkt80gPBXbRYJ04c6wuGRasiiz
uhrDXWsadfvhjJjgXM9C4JjBDU5sBlL7s0/WtRmirpgLqgP8Y7y8Z46GcMjLBKIAW8IpNdqGEpir
vJjALVYbxIsp5b7QG6Fa6l1VXZRxZquHjJrMeG8QiNJcdrYy1O1M5Rfu8tnh9bsUTCkfE2EW2X2o
oYAT6TAwbgbstssgeEEsc8G9VF3HvSRLkal3cM4Cr01I+2Hu59NO8FaJT3WDJJkDFg9yNhn8cBWe
U0Xop14UnUI2winR4R16xhImPePItY9Q1vsw5X5v36RhwIuCKgcDmHRGIoCRI+L0zbVJ3cBWPR0Y
Gar0E13rMSJzikP0Fyf0u+xJ8YagFMf/5KqbqihLjiJTZIQQf/IIYgcqTv4mk8fphEOC37zTJKyU
FMzpye/DJvvqytKmW4RBBs8/JDRIygX7z9Ks7D6NvGMI+KCwoXt4pnmMbRwOK+hqxLQaSWR+SqaF
Myh1/3VJk++DOxDvWC3WOzlE07i2dArsrPNgM50My4PRrh2dFku5GoJQ0hGyhU6TtRwdLBvLwj3g
j/DGy0qkjZE8RbHo2x3Tea/k2FBrjmpeV8e69s33LSzpNQLnT4R/kvhbcl7IZgxFSTxO/sHK7Ohz
Djn768RYkwQRVd50uXfZj6qZt9SC0x2hEdEn1xnKLcJUQVQYFggfnecnS8TFzi7NKFzLpXBXZicV
pAkGfbLWWkJ7yfKrpI7yRzul1RyYbbcja4TyfCAIuVTRsh2KkbyCfCkuXTH0W+2IuOO1Xn9Kgz5+
N4j8dpTmxCQAG86umRsiHc85xEmVvINkkT+OhWijndKRxQEb2CbPmuWUGwFEHEckK9Bv4NRzKRN6
FU71wKZTfyjdoo5J8yC9zUd09hR7nr61RRKsfE+nJXuyn66hPSENhNq1YWbTfkuUVBuIEQyhljTa
wSC2r92olZz5Tbck1nimHNi0uMQumrao9n7ezIRbwuI5Srr7O/C4d2lY1Xu6H/1G8R0/pJmixzTZ
g3ckONkaEHzK/rrpRPguqGNvD9ko27lG4K2N1Fj83Uwuw7URd80FL+z5YJblfBwN3WroshGcM1mY
ndbENP2cHgin8x6GZFi+mGaeXqDgXy7UOcb65xXKm2JOSAkiEJ0AwYJ0VV91bJuqcPxUhxuekRYZ
KJe1OWoAEWFU/gbgDXlLrPLDz6/6qrFJIYZl16Vt4FHpSvG6hStoY8h4dIPTOYw9EQkvhpq5u/+v
SIju+ToYJTzKZRt+sA4f+r76GuKKoNIgCk+CFDLeqabinV2CL3UnDRn4+Zd61Zc+X0wSHcLtBFAX
vAbBIqJsjYgikDhI8IBVxbS5jb2cgV4f/KIx/LaQJYqI/im1uGlRz78uwaNA1qSreSfHm61rMnWT
vTsG+br1oX60svqXGkS+mq8VZlBQA9MTZBT8eB8teM1VmRfuacHV+/5lCyLnmh3DLVuqkRes2s9v
p37yfizW+XIMM9hUyBvF7PLjNWcMoV2gOnFSXkl1JQ1Ny+KFyg5cTjZ7IGpN9iOjAMyH/jhl+/j5
B3j7kPpaRIcGUjJWwcry4weoStGYU555p/4FjAQoZ7JAXvx/XIXRSwDYxcWX92oB5tCEmOC23okY
aQUBR0/e6an+4tn8p+/CgdJH2xfo6KtXV/GQUjeuwXcJGgSqXqIDrPEWbn7+Xf7hsXQD4ZgODX49
g3p1xzLasEkNuuRkh/CJEhWz5l4QwWe2U1dPw/KLI93b9xfvdN4mfC3h8E+vvhjk9HAeYZeB4Ai9
D1aPZHoxB0oR4i5Iofb1oPoF5fXzr/p2sYMVgEOMsBG305sVEdhjYi61a5+yntUdEhpA1DaNbrpU
v6IQ/8NX5OEAuUwNrpPL9BHzuyOkJB2PSxX2aVLI3eYC9MfSEjiLxRv0ij7BTfqp+fffT8/xLFph
MLdfT74GMymdmJbdKfeAypWF0KmTfrznoMOP+vNrvYKv6tc00ydmbHAXQK++XWmxr3yT98kJGhq+
lNQq0LdhdMvvIe6r6yrNkQ6EM7i5aaSuG6m1WmJ4BvrIAnEmh4vKfc4jErPIkIfw4i9lHt/6mVfn
v7gtb5/wwKT1YQe8kQgotl9tKKSaj2gLQ55wNJ3OOgmT+mOqFVJkzQqtiQgo639xd96u3cCUrCq2
Z2Bd4Ix//P2jnH4JKEYecd+g1p3A+tcr1GgdgFlwkij1Qv28p4l1TSJY83EYXKD7jgYRA9OkydlE
SF13VElIl2YLKtrPP+A/3RPelDwrEIfNN4Y/vEoY431WfbH4FN2mmyIARX/ZouRPVjRwf9XGebP2
gHro1UArh0eUeeKPN6RJWl30z8tpEKB4sIlpVoVG97Czcxr/+bf7p4vRN2J+7jFzfvNs+otNDAc8
xdMUwTRKNT/ZbH3deWdgkvziYm9+ao0r8TFvmsj5eJ29WupFZlh1G5rzyQtdDpYMmHmyWIicEn/+
rV5Bm1lyGEE9XTxA2WdLf10Z5U6cTB6+aCoIRSjHC9LLgDCUPYYG1MSLOh3ohIgIUm88xsXEiUQ6
imGs3gYrKGFxktEnMEYOS+vWWmA6aRTUme8b0PUCb0UoHcdzQBvLfrRJV+vKKmBo9fNv8vb3gf0S
uDRMAwShb0qhpJz9WhZte0KFBQUUW9hFMcbJPjJBw/78Um8edGgfPANI2mnYSuf19tZFpt0NxDSd
lAm0ybcZUKDwhCBp2IDBRDn9sn+od6/vaiDU+7wPz+oP6i+Qz69fN0vhWA3upZPXTOKr59nDSQkA
eOeGiCdbujrNkruPFSPTX7zp7NePCAN628Ptgu4AJg+VkPPjMhM5QSkCQevJsugkATJOgQu2+9lb
esdGXx/6n8lVyQQZtq3VXp8ZhaWjIsYhHYEnWB/T+d7sC7qIS6b7NY2S+mDRk5uOV47nSGGsTfc9
f/+t7GYMkUOFYuoQGBHRZFZGRt2dS1bYeyTHbHcGm8F+7pRVn15QorbXTrfuONEaa8OMvl9G44j0
6mYAyOJH2N6vXNPIFNi3rLgb6TZcK69DriES77aaLWPZVzjyV3Sxy2WFb9EmDwzIZ7lupdujMMAf
C4lcIJ+Xeb2Mm2puFg7QS4I9MtFR5LlLniaCYxgrkCcS6NjapjpWz0yrMCGscrjCy7qvrdz6Miof
ImlqpKyXgOkszdA5yuLbYZ74Z8I+l+qI6o2mNyCXMD54Q8apiHkj//XM8DoXn0MW0nkJcl3XNLVX
f4xLKKPf6JYT75lZkeLgPiusp8fIN6b7ekLReYu0GgJ8FjVDd9c6LT8ISARWd2UVdYaM2WS/UH1n
NTvLBJKcmRDYI4LZsntZW+2XqTX5FqOTugtygRKMqWos3Yoac37miajPZsdXd59dMteWdzXxrRBR
7VRc/oFMrRFak+7YkTjg1TOXpw9C56pbYhrhfjHDfxxIiQSo6sWh9XkZnfLYTGlvvJuqhEs3GTSd
TWCWghZOnDutfVOOg9vdW4kBPjvjccE3R7dZreFhjyg6NDx8GFDIZZseEu96IVSb/EybV7gLQaeG
gIyXBCfhiCRBDDgXj9Cd8pB91SJ1ssJaZiOt7lvU2jlnWNwpAV3GqDcn9WCVLuhWcBg8YGXse/a1
kSj2hnMdQM+ep2+JyCQBBl7RN8PK78wXIY0Q4NrLXE3fIKiFt/4CwfelBefmPR/GiQljEKntPidh
HKMd7lssLi/LyiN2mieUNTNKJ/WfmT9qkKMLVtBCWpsc6PbSm7c7KJRr5bk8RY3vcTIDssp9tVvd
M3fStv88k5w97KaEPvzLaMYiQDN0HV1I4FqlH1eRH1JYqe7EMrNGEa3ReZMFeG593v6k19NkjOld
yUtXMo9YZcjk013lZ6DuiiBimRa1waQhnwU3liBo4eyQ4UTJHaJhPoiFM1ftalzC9+ViNdMn0ikc
kuvIYM+yex9wTn/lTrn14KUpmYa9CpP5K3BqHtnUb2xxN1s13NZ4pjZ2WH+jLNiPGQPE1SqmXcGz
IpjmZKzgzpFPFOZZBwgSxI92qydDjUwnDJeC3ryRu+kpVy3d+jmnKYmEtVz8j4nAAH8qzDO7hw55
59MgW/A+jy87/n9ccL9wwdkCl9l32++bOemN+hpVP05JX/7IH1NSZmS/cRiC+M0870zC+GtKSln+
m4tV0+cYyun9hymp95vt6RkpM0Bpkv9DOfH3lBTMnG6Hnbd4QkP+zZSU48CPezfTWTZNiX1I7564
N19VqRlEmGzsg+Q2zYhKwCduwddZKSD6N0FYC3EnOFm1pJWa+CXgOzH1XY2Yl9dZyDY4XTeOZ+FA
I8Jk1Xa8PJ37GB9RPj25/mBkhDAiiFvVQ5kdiG43x9sOROmXwqxHc1zJlkzStYI3gYCjB2gVM5O1
MyhBVSCibRE36alIS+ubE5WsGUwL/mfD1gMAjwO0JMiCTni0rKcOcZoLOHgfkXO0AdFk3mRZUuH8
dzzsKQBnC0wNea1YHY4wHqVpfPYnL94UWgpXotK+9uIhQZi9pJekoCRHObj9pxHC8FaYdUCgQOnF
90r6AIXaappvEciFwaa2x0JtHeJ1DZADC4DTtslrtoA4JiiWGeaQROsuGr3PCTOjxxZ1RHrt2pNB
K6qWN4kykc7hncY3knuzuyZrFjsOwRUB+ZigpOZ30u06LGloZj6Ec1UyvdOxt8DtonccxsIA5hFv
ELhL8XBMQExdLOM0fRBJYrl7LOImYA5n2AZUROXatNLC2snOi+kxMmJ6YgdWa1L80nbty6E4GS05
tysQ/HWPS23xb3xmk/0KbxaPRLokYN7kROjkJnXblpEKgY4fu35u0Hopnqy1nQ3FhH8Od2Ji9gD0
dWBGYaTxN6lywiGjJDu0ieh3I6i0jdskPWyDWN41i5gYGtOH2diMM++wRKrTXBF6axaNdcf4btyW
Q+GdQiFnY6VIF/6icaqbiUVzLZkMwzZ8yTuIgExZu6Y06ktxjkQwX/IRkL6MPpQIGoG+jwO/ENAs
hrisbwWC++q4YPkR2iE4k+Mc+wny8r5oBdy6rLTgOZeW75OmYMHogjLL3bvr24jfarEG+a7AiDJu
JMEL9ftcDZjpXZ1TMdOZAHx7jq9wpkm27OxRW53SKlQgw7HkfSkaOdf072UmV7k/F8blgJK+RWg2
VdeE0wIT08kaXliOz/ZL5oaO35g5QM7H6ZzN0VZ2iRcm98z4ACgP3AC9AcCAnTVDmhvPcR8mSaW7
MkoSNlMijdZxAxCE6W9YsLJDXwIIrucEZHuqFW0EFg7D5bIkfbOxDYyFMLNIP6yHYrDW5plQmp5p
pXQ8IZeqoi/kFRXcSPgrkFOVyX4TRw7piKYlDPgPkhZebsjkmlDbfNgNZ3SqSxGnNoUmqtoYr/Zd
MDWIAs32fpm6dLkLeuN34wxqbc/QVt9NZ/e6q5x22XXAqrpd1M/Vh4lwCLHyNQ12WTAhIS2oVbnn
X9I5DwywNAfeRDM6pYAx+R+pBHnOmDM3YxDpMsX66oDD+IYD7tEFU3KJ36CF1pzZDLbHTGsbcNCS
hFEb1oXTtubVQkD1nShH1mMoIOhv04i3mdubJUOvJt0vk+OfUsMHHeOPxjRdnmti6bQldXmtsr3v
h+02t6KQrGx+qwqa9JJuMO47d0Y9myhue3gcXpDaF5UHc5vhB5NVI6n1tF7XX/Uikg1x4joaNBNR
+lk1Mn1OsYI8wusfPrbmNKitqoRgrYlp2BjE+m4LyzO6o4oisc4d4kG3XtxG6oL/gyBK2wBTs3Jt
Sl+oCj4FOQZUDKH08oR0a3OVzrkgypPil0LNQ+XoeioCpgN05mA0yqm2YVeMKNGAQlN8V2Xd+yuf
Uc0DJwjn/TAuT4JHmJngWbcQlKZ98AjauNPWqU3UhSSB2zEa4aCU5rYknWWLRjOEO6Fn32UIriwv
7J7gFCUL62pUVXWF49JL935TOR+abvpA72OAU4RtDJJYwlR4PQxmB0dmSKnVCk3bXmarvS/SKlXE
KhC0emdNdBBoiYl8Xmbca7KTbroWSEjDE/PA0b8GyGS9NDb+U0/9op6iPUwB8r/Lztac8NTzl+p7
W8nLn/mznjK1/5+5FW0Uz3IIU/y7njLJUqTBR/sDM8ILNOBvBK9pUd/QCQ5oFZ/9KH/UUw6BjXRI
aZgw6mPA+O/qKaHLpe9aIcyBfJ8R5bkfQln3utFvFnFthsZiXPhd2KQAmmiWzv0HNQSiVKfULHQ+
cEZ3LU73suVJdS8pV4pxiwBfuLJj5wBUzXswCP3MuSoN2i4eFJwuZjfDRovWvN33WdpN4T7jbJck
l240DgCWFv5tiOO5WbjWo+kO5IhGq6gv+im+tIbCBb6PtFYabG8gJyHp+WVxAnVMXwLmAfF6qyaE
QvaR7SQkDNnrVD2/S5uFfurWFxEL1Y+nPg5ukgT8URcIznrgbYxizTQbdn5OurExr9ihKUhQZDd+
/dJE+8+q+cWqcRxTnwD+92Xz8BUiX9t+/fr9uvnjT/0p10Rd6UpyxHzBDOOvRYNUk84ZKklWEkeK
83r6Y9GwMogMxR1F65pW79nX8+eiEcD4AJwyjaczSzP4X0E4hNQ9uu9WjRY76qWJBhFRKCvi1XhM
zsoxGLSXR2MAOlDvySOK0mEbGuOIZqdAa7rSpMER5RDq6wIRGqDICWE1oolDUyDBIMOsJSgFdOB1
i3nnAc9otvUSk8DxyMMFAsYVYbM3fSimqWk2s+M6z0FUWkeAXJhIAhfSAo2FrQzll76suyMZvdHe
xbO78bBkrq0QtueydP1+Hgi9ZrYsqhURo+3OBRSwzksfbCWg7A+ibuh7cFI/9lO07MzEI2JEyo0J
03I9pEl0Y6nQP5Rzkj/YsYNYBqcxx35ObtWH2OqbvT0YywnFvfbP2573mfqshlNd1HBpCzbvq0rN
3SOvAP+SPB7zHhGNTeSOvBt6K7hCr0ryWoGUOwexDWkrwxAj+2GTJdhfSQ1UeyST5WFMBNJzZ76r
6koeERiWO8/AKkD3wCKUPDhFZbYB8p/d4n7ADxrahGzNo7/NKWFhQTfuO2U6JSw2Ya7NRYjLIJ3a
I60oqF/GAr2CxMhT3pY1PbaGkpMKZKNDL64aD1XFFgknR69x7B+sBHerbbnyMgoLd0/YJnqfxnH5
W9vlrh7s9gppKS7f3n7wpmL6fQaAsm3HlJOSzNq7hV7japy9fOf10KRgU8/3Iknl5x5HKakUn0z4
guBDMUL3Q4T9ww7C99D1CBFPQ+8LtX42X4GzSK8il2Ni7tcTGq6pQ89Y5MMmgfJywDCtdo0HxmFm
o9kywLZXkd9BUYWd+9lX5fgNR1GwW8xy8qEnFOWWdcPhGRx3fjmn9WPcW+kjVf38bHjMVVbl4ppX
RoV9yDdoklYcieNVEsT1tsa3saKThh0JCscpNL3yxrGG6iofrUfaf3UHFV00B7+vsjtmHMbJ54x3
YxcquBBINScIiILyJgECIg+90SfzjiwyNHQBNO9Mo2HHEyXSLi1tqqVlUs4uFjUBVPiWNQzCLg5z
74M9WAI3wtBCXbsmSIF+KCHX9iZt6BxiDNfS16Ug3YtWuMvxPyYH7Ep59nOVNzK8JNhoii/oKT95
qJruSbvbgzWzjGOb9CK093mHB58s7GAsg98XFG/JNgrn5YZ+Y3vb9ujcfof6julblETw+F3/6NaT
c6v8ntSHbZ7JBxG26TZQvbWN8jI4jZW0C2TZLX4lhE01XWWjoBOWzEN0gFmdqUc7J6hn2rhmxqlq
A7S2kic8Yn5r0AlIbfOGFyX3vRjqZRd6aYlNHleZ+XGJm7Fbm7URXTezxOFoIhpq1Lals3lXTkEf
fknDpkX6ugQr3nCrmIOP2Jr4xnly3WzlB0WPSU4JGMnTkKMkNLsg/SyNcDYOfjmQBeNW+WiAyez7
bPMivtXmbLK4qAzeFzOS9AzhC08KrrDoaMWdOazKhpijspPiC/yXLtvDceHMImcIvpA5k4CcPMg3
CAxcnXG55JE+j0+ISB0aJQWAl5yZpKnDZV6aql3G0QwTju4zYgNJHSLggrK6QephVx4s0yZ2uoss
H11zU2FwXUVyktGWPDPvBuvHtHMFYwCkYNAXlcs9XntWOD/ko29fKMTZapVVqjHXsJdHpOWOdwU6
rTmSoMW6n9xw42a56NZ270jmLXa8x1vk76tYZbelnQOVp8+2UnCZLyeQ5BdhXctdNXakJKHYlfos
ktTNpgc9uOpSzz75Uu1dA7UiazXl/RV5yVZFhBbu4Iya7xiXpFvPbhcLPKJrrP6HvfNojhtLs+hf
mZg9KuDNYjZIb8gkkxIlcoOgKAnePNj38OvnIFVVXaWZrure90YdXRJNZgIPn7n3XFerqnsPC/zV
Hz33vncBIJGfYCqwL8FJQV0LC9Ea61za8a5vITdAsRsKPSy7Wb0jHPzCM6q9Zynsbidvae4grhOm
BLj1KQbbvZUspz46dtw92jQYPBwIvAFf113q3gcppyn9OFZ69A7M1HlArLfuPDc+cHRG+5Jv9Tn3
jHSNacl/GZlH12EPn3mfOUKevNmb72wWqgT1SBDtk8oALFjG0RH1eE8A6xa7PQmShBlkAA0ItyGt
wbI3GViFBxrNbJPkACGLqvmIZLg/KHccdsuQeedQOjL9MWARzR3d/FTUyQWxnJOtW2n6p9TiiEeI
4KwhXMGH5ec/SWrZ0CQqlajJKHmgo5xW45yAIsyCeOfyArYN0ShFaEx2wtE4258tS7Q8C52geRt9
s79D1Wp8A2lTs7Ohdc0xYu7dTlifQDg2GzOo4zVLH2yLKeyHtuqL+1yfxPPAfXgHaaV9cNiSnn0P
WxhEh+wMHCPdCSsZ73NsZyvHLNx9MY+vwrfTs7KT5FMEMec+ioyAb9K5VALlzNbMxz+I+lC/71D0
91AKHf/BIW1tF5hu++Z7FR5VcK4WVJFHdPsSU3DpuwfSMQPmWMl8MrK8/jJ1sQgbWeogP2uUu3r8
KWKkCOMBMEoBRiQkC9PaACMjfEs3NAD+kb6ZklrcySpQJ0vrUqrtNsYxiTNzbcMpyUJp9B81c+hB
hJJfxs6SdKpAm3AXj9INVsLREdLTf6QAe03MtFTrnhvquWvEfDd98mfL56Zux55YrNT5kV0obcAX
aBAzToK2zbGtViM4I+/JajM/5pGHjyZOPnSuatLHW9H6n/r+b+p70OTLWvuf1/ent6p76/5Y3P/6
Jb8W9wGbBHT6nrN41tFbGhiupm9d/z//rRlLw+xQwv+QSUFV+IcXi+b1t4J+6YIpo1kA4K+H2fBv
0bUN++etAiIgVA5YsNjHs5//2a8vot4vsli6p9LEsbIyXc9gr2lMCmQX+tOmF9jj54hnIkmadXRf
V8pwVi17cKIIZqgrxlNRCx3Hfde5VivxJ0gkBXs/GoBpDtbogHgVxdzc54nt+t6WfLrSnu57xJ64
RRQbUxvGq+b28bbvIGOfR1t07zle4t5OvWhlmJhM7MT1CK0KArXtBOcJ2ownzZ9n4zz30FmWuLFK
R3ofmBluJqMlBqqSRuFASNExpHptl3b7QuCaf8hoep9aEQUv2HYsYgA6MRirFqZ1c3Krlj0pGcCf
NWiHNT8CccJGoiQH4UQ+UBVaAPo2EI/8xRbqvgjYxvDC6uk1He3sYXbIba4H9gNoFdslZseUTNms
BEpsX2vNLp/L4pANRfJKqyM+m51F/oxRp8F7HfjvhVT3vg7jMBxzpsb8Ed2Ng2tdmB7oe3o8Y9Nn
FgG7cIn5N1YgHoesSibs50pf9xNLjNBuABjAICYRurAjBhKT4Yz7SqP+I0qwe+ZsjA5mq3ASz556
DDpTHTWiI4m4SVl3sMbU0n1SZOlXrgfnMcvHkWV6bWqXpKz8nWSUuGevYjBv76sPCQP23Ux9+1DP
trcaZZzUK9vvTZ5wo/lJq4vODl1hWpfajoc1jvR6VXqedyDLfj4VvaMo2wdosYZZDRvyf7GGaZHc
WhOMDGpjWa8Uc5JXTZUN4vxC24lUzAc7Med38m+8Q0IT+jTrKrofNFGfa5zT5c5munGRw+xijNvK
0e6X3OHf/hcrrD0md8xLG5Yn6Y85j/h16tN0mNmOhIXw7Fx7PwZDWGCuoPD8SQ/HqeimmSoqMvT3
/5yo/xLEBkYoAtV/fqLevbWqeKu+/vFMZcyxfNGvZ6rnMGjk7uPwsskqQFH++5nqBb8gBSXV0eEJ
upBJfj9SreCXhW1DED1jSMRxcGp+P2K9XxgNgi1nDGPf1rr/zuL2pwOWH8+BDr1Gh35LpXGLN/iD
2rbSh6wl33vew6Z2ZsJ67OocsxD6WDLPZqfnOKs/vD0PP4Yx/1UN5UOdVn0HceenEQ0/EP8F4FXE
35bPmcrf/+EH9owjenDJao+/q33UNXjXN6nmX/+Un0k2/BSeYwvVlUGuYf68je6dTh8RSMi96kWK
HE+KRzoGwFue3Wx0baJi7FqCGkWmXbvJkx//+sc7pEj8eRIVEFmBO5ne3MfTrv+sYh4G5aej8npy
pFwsZXJK5m3hJfp+xG9wliayOplJFuKKHFEjbCIrIgW7wfq66rA7PxEcZBAbCG/krkPf10Bgt4vQ
n6d8i0WPf1vUCqWLVWj047LJCC1gcrWsfn2FPgoT/RXhTL6eJeSghONuFXmuOJaAUj9HqVC7aCwX
sUtsEMFTC0sIRgWQjHTBVginQXPfTjkGU4lqB24ZhHy3a97whqYg5+pRfWcoNG9HYnueiwF6eZfd
iOggBFGv8KSe2CYSPaXXr0mqmhcj1vnCSRJx3IkFXQ6h8hqMHhzSsWvoWnmr0LLGBrUFS0vbtnbg
43iZurfEDrAyBhiH4NGTNA2OmCu8ZAFBMqigi7Dx0vaRhSBJbqNHf531nh921Mx3GOIAjerlhC0t
bRGvm+KxK/voOA9U3q4A0XBj7ePpHZ8Zqo/PIpvdJz4dwno63dxUJtFsgyvFu0JHtIo9UgDSqVIf
kz6qXwZ95pMRTaXv3QmkvTe10dHqK5ayKIn2xBWo79MApkJv+RKlt90nt4Y8FklyPEXcGx/wwnaf
sh40vazr4FyWPu8IzzuKcrskaSB0AdWTVl6A0GswK2GSNTe1MPNr40L7GehEV4TEte82kHCoI8zY
SXUw53ivSaY/lT0I4t24nX2gCzs3HYoD2VTNvfLQhxEDhHaos6q22uiAKw8NO+2wnyG/ezaBBNBz
8isJkuAU/ETcw4xyVgV6p2+5rmCyY6HcliR0c2gYNZ5BMT5HJJDfBWLkW1kwNptyAedLXnEwac19
xNN65WrCudzCSOyA1+LSyYV9gNJ/JLCrDFmlj9+MHHIED3z7Ett8EqDw/dCuGrUuGViRM94MvK95
3Lx5ReAQiBBl2bqXGiCUOomiq6tH4t0J9PmumhL1EW0FobfItdZFC0GHDLv+qw7N7wNGLBRjMRkT
hsZ728V8jlQ/vNXLJVpUcvymWl79fIvtEDOfhO3WamcbXP9tPiLSjL2I2WT+MmlQ5heyxyX2v+tD
wEwl1UoXhG1UmpQBzqtuKiqqKBqeEe7zF6aWpztTx7tk28UrduPxW297zX2TOVyU2OxWMuGDcj2t
30bCbi5NadmXoJ+cy0BH/6FKu+ZlABz4qqGCw59LGAM8zPrVYkNzyizNeZI+YuFQy/xg5bNkfot9
hDKr1EL6gOYyX99enJ9wExCYpl0laoAec0U2302+gqTcaflV1T1Q2THm/TGYAR0l0ekrd9LTfV+b
KEUlVOWdI9P2vUE5wMdU5oO3UiTTfEZGG5wzXWHbd01LMAYxY9/85Od4rd2Xsa6m/j1tB/slpXvN
4/1ozZW9T/tZqwAA69NwBwcU7wEij8G+WrlisUQq9kfDV8taacAkYTgSZz0ooi3XoaOHvWkiTa0l
ka2AQ++HOmDszxV2JJT+odc77ZGoqavmDPc2S9ytn3jO48yAKXQ8ad23TvzE/P++BNm/1j1uohjz
8qE084+dYxuboYgwfdrqS+rDm7LH4WuemOWBcL93NdjJIZld1CfG0Jzrcpw2hUNmaxfh6iXzVcAn
6E6QJHAqY+o4yjkP1oZqvRUqwHgdN3F6bzO9vNOCZlQryLdHN/OPWs4cKi0Egt0miMSB/gx+iQbU
RQArwmabjyREFsV3Fv89CQdwfHfkcakVa8Krqrx0Y5ZacMqSuAGjmk1bN+GGFeh3TqmK5GYI/Pgw
Kz5I0xj1A6KMkZQJwFJNb/kEqWnmqrF8bktyAHeJ7hFpopX6aXLSYD/ExhPmbEI/bK87G1VgFRuT
9/69a6YJfrQItDksZz7DMC76cW82qbeld3ut0K2ch84sVpWpD4d4QoFDXUAV7EAOWquoe7fqadiR
gs0zjwe4vx3xXIQJ7cqGYaq4IkVjk9PnHcqogT4tydkBBL4EO8PEEAyBPFUyJsOtyPOXQItqb+VK
V+0CBmnTynPRkRDPmqw8pJr03JZ4pDrztzbCXe/QcL4iuuEQYYidNyZJQNxXd0CEm9MEO3VTm7p5
wE9GIEuScFd1mzjORVjVXIFoZZxj47by44yCmACfciTImDVJsbZGrT4aMG3eIF85B1OV84cma+p4
ZXTBXs5OcCiHSD2kuTWvx2gQx7xs7JVrFiWXO1zXYiK2tLNZB3idDUcpUgYRFO0Ekbzxt0Ibyw0W
9TmcHLiiQKyzz0z90tDX1bS1o4UwHIzaViQFe5e4fCxgOK26VJ8OaWpJopTGcR1rcfBcYFrfQRM3
Nq5VJwcf49EGiz1SjKBmRZZP2rXspX9viFkdlQ/3NLSdILGBpLflNzgf9wlh2OdA0tkA9pzaOCwQ
Dq5LO8nvGqakhyYpPbFKgW+eijmyXobMUwBZnclbcAukoyZoxX1oo5n+rSnLsliT4eZKNPn6eJgF
MTQNvn5Gu4XzMhVDmiK5T7Mz+6/uHW6cq98ZnT2ytjbIqHReAlZt+ynJCVnUMYQDRJbIdb3EGb/U
Gfy/vpiWuqARj6xrlniosao3/limJw3KHhgyUEMel1+ZHFprbM+4Cmt71cI6ByZdO+leVghxVtD/
nYsyo3TPpLD5QoeqoWqCSrZ8Nnp4K5GyzOI5VBgz49YOF7gZORzODeYmgGcNODkT84sOxwjkBqfw
94qo6HWjtOja5N5yD+SUCV6kN9E6dkiv8ZK0ZOPYOJc5TbWrVjegVUhYTLZDngKkipn0rEqKPAQ/
rmy+yGaYm03i8CEZM09nNVAV/ii+RApRJDNU97XJvAxQigMUOzTKCJ24VAoEV9q4TzIXlGVLwVht
zJEUoywxiwP7jupctMQNIbya1kQjcRi3i1OJvHURrROn4+EelDV5JXEwPKemFV9iyGbrynGb+3i+
/RaB+GxpLmVpJMRyKM+l+t6DamWf5VGeBEIYDxyD1VercWu0SDHRNx1l4tGNF0pEuYQqqa5Ru8TQ
huck1fnsDKH5SBbLVu3i0lUn4th4/cM4sdDlWV5TbL3QV5erTi3lL1luL14vi4PZ8RIWUMgHv5Tq
u8+UEvBlVG+qDOe9kU6dCtUCK4ZgYBWH3GTc8ddNhPH/9RDLOpp+iREYJ9CfW6XWDPI6jrV+H2um
OEYBhyHl8DIpZiDySA4x5T105PXIB/PaKQzsFY6ECAuA83cNjfGzNWfpZ5bfhJ0/jm/C9v78uww1
/L0mE/3eTqn8ocQNzsVzkVbFPfFZyqYgTALeWVxD8sGLa7RsnWPt575+jaOKC7MCgNlZJC5UUyM+
D4NtX0ZGOh8nKu7t37xxNMd/kgEsvywR1ssIEqkOkoA//7Joa3Jv1Kxur6UWY5Gucp9Uw42GcDW5
aANXHY8iLjBj5IoHYuGvdZ5Tx7yS9VvWUDd7NkXQX/9St5bzj9oEPJ+OR0zg8kt59v9pfONBcI2g
ydyXpUUkEHiCaN0x8jvPkzbu2nZIYAQV80axwWAjPVBBZQ3Nq5cst6k95tdsssXRKlxQsJFTf21S
dvW+G7M1AY7DsrytRSh6R1v/9W/u/D8XoodCiuEFTbVFHtBPPbszsCooiDbYS8EzjXRr1l2iZNpZ
K8nplFbTOkgs7/toqnGf+hapAob55mfNp4n4gU2Kjm+jEdaxHpqyvhtb034Zm6a6A/2dn3SiQV5N
tvzyronhWJ/aJPEPEV6rtQ5kZZtC09qVHCX7OEidC0RA9jRgXa6yKIMzBeQMWBPHiZ1QzbdiwLe0
nDCsm7XryKLySXM89b30Y51VUsW+LLQ6zlj0X9S9U10QQcEBliD/pJHGpbKy45x/xMCQK6SNS07i
W60uq1k8VgXxEaERLGU7Es3PQckA2Uac8WRbOeskGTFJJlv9nA2CGtRg5BCPyfgczxorcbANxWtr
DRjT+2L2RpjukF8+TaBWeCR1PegfLFIEhDdwZbS9ZWWD1bJi6nH9rnlBlflcR7YRsr5q8oPnsohl
5zmm62he/kNEQR+t9Y65/CpKXcMfQ4eK+4SOt/tKdJhseBpT06Mkzqo1sE9ecVwF9UZyCLP6lJTy
Hs4XwPIU+bTT+p7umyOWSMpP2E7dlVkxXe8cDedRGTTz3c2i7bP0/6JAcm7bFMr6MFJd6VCDCA3v
aSjY6Q7PfVq8ei394yyN5sWfYBCuW5WyUVzeuyDHYHacZ958HjratcU0djB4cDzmCFt2SGY49Hyn
Lw6949dvgODrNxtrL/U+YBP4CHyeVu+3C43KPyuhs2+baPrdoiIApqSXkdIgYV5yGvVLb1cl0CNY
w5E3Ys+FJMu+mAbITHF5aDsIaWRgkx4Yp95jabXDs26g34eRVL85HU5/3abDagy65zWLTZ4AfW10
n8yMgZJAtn/fE//OHWxzmvRRRWaW39MZRbbdeyt2htwjnT7AypUGf8kiVbzfIB1EEEJypDsMHfLy
9lXCM1E0gqkc7vsghCPMI/QWEOkoMg3RsIrPk/L8szExZukIbThj9WqPoHpJ7WPaTmpXqXbIY51V
jTbgGV867f2kUsxcTIAC9ED3JfkWRHzRJvvEL3wHwAznJvUxICKefxil13zph552W3dQHC1ZnthN
l0xdvmmlLYXz8ltLO2CIhRSGC6Muls8AIeDBWG5ViNKol/J8WjcMS17ZMQ9b2UL5DTOd/MRhTJmM
LM1rirOuWifSFo9YRPhk6oxS5PYsbqoY5x2zHnXKsbOwDW4n5jqWy1u1DCVqDAQnPGjqTo5M126X
oSkZwXB5C30vB+BtdszEw+qUeLxNfCqLy6cE4IOygMkJQeps0FHoM9anoCp85NtD5DqYxBgPEK/H
22ALOlsGjrz1yyBvTn21zRsGQlOSfG/9Wd3N3G7VShK1HoUT/jroT0yv9EbmV9HYy0qX5Th9CiXZ
UHvyQQwjw7mq5yOOJ704yJlXpINEYIgzcwvWYNM+mJGbMP7LdWfVDFq9CTIuwYrBHV6GkjsmlqVz
MXPXeaLg0aEOumP3qc/AiHCG5eIzRhUGZU4/iXe0cCZmCuIxyeFjbmO2BUo5LgrLsTnW6Oij421S
w2ZJD31KjRbxTsp3Kk2GPWLmiLMMfvxtfnN7SMocm321wF8AlnzT9VuugbcE+RQlxZLo9Hz749JM
GV02eEgPYI+jq24U1bmpTaizUC7Oft+Jz7XBDI1dPDO1YRknTqWVXEabTmsV6z2HuwbyoC6C+lXG
FDutLoLz5HHO1lPCW5g4on3XkTCtpjxHzNPRPm06ROH7PuOeXq5n0S7HcBfV3YmIQSaSQepR8+Yt
X85DVCFCoOBLlqk3dcnyFKBBezV8Lgl7HgiuEFH9lhhRfPEGpD1Gu1w/2Hz2tDoMI11eTrRMv27l
rR8wIY1zQNkldN3tjNAfUK9hfrg9G0hrbI/wO9BAcOQzd2KIOpIDfvFizeFRMQVEfgSUIST+mR9u
GaJBSSSgW1MJ27TDRBdkCPhdC1TXwAeJYLk4KOxV5xn63xl3UHHAH1xvEsrDF0C8pN+2c01xPqE8
M+14fFYTZXKTM5/T6wIyYAlXI+Ic+1x3PlZbt4iOzC/c1W0kOPYMLX0TdhImqmmdScrPjtOE6FWt
w6LkS66QWlKc9DQ7JTf2rrcspqB1wU2hQCu9FqbGgHpiZkyCFq1CT+Fsudg2sTY3Gx72XIS3Y1Z6
vBtMjtQJ60H8ia5eNSxjy6Wf6CRTqNaSDy1Dm4/sPee9Nk+MLEYwsxdP53hLRu4jbGg8tdyxocez
uNY0PbrKiXmZWcgyPZCZIo5TUzBEXI5K2AFLNKuVXzB/IN5DUM3US+s2Fn4P2i5GJtyTLdNpZFLq
zgsMxE/CG755VSR3Pb86IqqcGzcNaEJYJDZfurKl5BBEfRyyipssbcgfM73qFWIF79rNEm76CbfK
mPMe9IVON4Ta+jNVSWaHg1REVxR6jVHOJKYZYqfOITsJyom6jqggiW9B4cUHrvx8vstNRuq3/3u7
MdVieAs1Y2jfnYlnasND5YAZQj5IU1PbMiGBg8QybuiUqjL2HA6ZEZfEhRXtjL0NCdpd4850ZJOn
trLLvw/2XLsbiCO8vmVQ7HXNq23SmU43UItEILSsvocdgwReMZaYIpv2g2+/zG2csI2nmO0ZqGzI
4OWHQYr2j33U1/8Rd/9LKF7EFgui4Z+vKk98m+E9V39cVf76Rf/QdqPEZg/5g8P7D3W3H/yC4nlR
hNyINTcJ92/q7uAXHvaBodMeQGRYfA+/byqxrEJqY71JBqR7E37/GxGLxs+bQ9I6DOTlTmDBQ/m/
Oz1MsQlP2Sg+jkaEItBiRfo4GWijranqd6lAazzqXzJtkodG2Bgis9oProQl9HuMPuPOEobYYYbU
9b9ZaTrmz+tG3+QtQTSjm65po5T5qUGS6DedHAjJYvds6ktA3uDFn11kKeg5kG0ai4DzJuVMiYTq
YysgdGrsVuVN8ulXlfHYkcuBErS5yULnRSGqbmJRGw3BS5kkPRpSEs/n7Ty6Gja4m8y0/KE5tcE8
+FjMIlKufkhSjR8CVcCwqFWTRbha/xCxBk4hrgyr0LYytbVKSJRIXv1F/FqTGbyRJDYjRFmkscHk
Ww+z4Q4fgxpK9wRTF+lvYRYx1XUmvpSq1K82YP5bCESTMc9DUxr6uSMNvHlmUhx7qy7yLYvQAlH7
wOCyIpo8n+JpizfkGfOptoOO0R5FnBm7YbC691RP2gtdlVy7WXcy4vrY1G73watS+WAEUmF2GfoT
vcsITp843RQOKFqSIHPvhW2pcxUnWy3NcoycGIGvmh286IAA4Fp2dc2UsEiWJUxD3MfgTHdaXGuP
GF4CufIIOYLaO8pz7M1P+hAXl1YNaJOxDnoh+Eoj3vq5Zn9Bks+suUkIpAIwCe6C3D73qvt5cx2h
SGF49csHZ5w9EuIs1kd3pLt31scsbhHfU5NeZsLxbBWZWxEU0wel6xLLKggIADXOrijKatt4fZKv
GBVD+sC2s5krz9hLgPdsQgP611kXG6mDzLTnHh6niN1H3nVxAlhCFp1X6MfYsIJjwJTkmBh6Ea+j
Si8+N73Rfai9OvsuJoOyOQe2/yS6dL63KhMQ66h7X2MvcRkW92JTCl49gMh+RThduzHTmhBI3nd7
y0gfH2+TN8lbzmWP5aCVWI6XLAEEKlfdG6f7ABnLySGiaUNBHexsRhsb9v5ElUypxQta/N192W5Z
oaKAbxHHs50rvWhLqdQpKPu2+5kcF/LBJJ7oyA+GDe5d482MswQCr1LfTNCmd6JM7DUJGu2eaCue
pFR67guiobll353gyhjdrAW+bylcF/1SVSAWWuzHGI8R1IrSM1cOUX01lt2AMK64IB3V7SLtgwMG
xAMLWfTEmLbGKWic2qFTpkwfPcBdIR1DcsbeXp1kMvHu2UM0w0gh+5o6BBaE6eAI9yP7vZzsySVN
Z2o/zFPDzLcIAt6+WcBrQRW8teogWsJClruLvZnNtgSGxG50C4tdD+mUjx7+WGfn5bV7yPv2Y5BM
8xdvnCVZ4p19CFwS3VNXgddvDK0m1dCbXsaEwXzY+C6FfIljHrFxigiTAXM1qbDuWu+1irxgwD3d
Siy8JDCN9xb7BqB/VFMh0lpm8cbYJ+VZkdC1IKh5rNexWzvrjkOkXGWRX1wcELIt6u7YvHSFPT26
LUDocK4SYOeq6ooLpscGAQY+NUblY61hITAaCoV2du9djoMTqTVEfBHuUD6j2RLXdLB6RhKFad1F
YhJnTUCFWnuW0C+pn9UfPNRexdoYUnut1/y9yzUabFpDJccRXu7dZCbJQ2pO+ceGdIcPjA2MVaxw
HZTNlG84njl8nS7P37MYKXPIEhgmjma17gNYx0L73KBpn1aYe4KrSSZ5uvGIXeRDaVq33dp6GXxr
mboeAdNNL7FPPMVInO3V6EexJ9dkPTPAbrHL1cleB5fNGFwk9ikJxmzrTWP75Fj1DI7DcJNHwzHN
TzVrhqunZGnsu7aLH6DGNVRiqs9hFnpJ91orndRd26g4HVqM2ZvIHfI3GDzCgNkrx7veL1kC0g/S
NqAtxz+Uq545p+w1nDdjx48r4n78zvkeXAP8UVvhud0rQTj8iJg1+dnmbN5mysoObW7KjZgcseFs
kIfMy6PPYz4a/MFFFzLvR3oP4TpULFKYssyJtgqQulWrzBHemWVLABNAmUke6p0hjqShp9Fh7MVw
6n3XvX1se81PTiXCxyQcLF7kaHgbyKHvmaVP68nHUJ8LaT0D524OGfX9Q4DMnJ9avpuiY6FLBKx1
wb5yRqLNkeMQAKL8CJlDfQi8AcmEo0mUJKW2hrKHDaaxs3sFQmpno3HkC2YJT4cb3Q6n1J/unWEh
DpiDuS4TRfBLyx+pr2uv2ZSLx9a05IlWgYQg2tjqhUXX+D5arKhyxr3rtiTydKlLvhTajfMsHGtl
MyHl6MjwHGxUEiVnBDNjgmfSAsXvC8nUwko8i7UfcRybQWnKXsN/CKytarW0Xst50J/dDGADGzWR
f2FuxOKPCFZLhrGNEn5Nsp6aw77oAZWxxJ6Q/frFvGsYBmqrYdTbl7RL8mdKOD6u5E2zs/Gi6Tbr
fN19ymXk7LKsjJGK2q03r6ouse4AKmGpXuTCF1AF9oESq35VddRv+0Er13Wv83lFOtY0bpaserUc
UfI90/GraVQ5+hHmXTxE2/LOF51x7jjOuIs6NdM2jeYYUneZDaaoPuIC8cz8DUTvS6cZ8BuUYdkr
ggmaY4ZFzAu56zQbLSsJpit27lO10WpRXqdE74EjZurRdo30SRajbq3djtCSsKWzxB7XXeNg4mHt
+M5d4tTJWtbcYufUhEW6xmPXdaRN4TMInRIsCHyJcR1lynufMim++IFoiKWeteDo2WiuKDAds91g
8Q42sA56O2yndiYUBbdPGNSDe8ZQONshY/jBDCXgc7TIWcZQl4CBJoREH7P/rdD3IZrJWuaDOFof
8UqU9m7gof/IXTtPxI55NutVZGJHeOU8CWBuVGLPls2Wa6QtScSj1ab+qgvLf2KOCdNaeBpT50y5
Jx8ZCuvvwGp2fu0W2V2bqBxaNaKy+6zy5TNLJHE16OFeReRnu9qNEf6yGdTebSPC8VV7otqJjoH6
SotL/GSJMfPIELhXdmnZGA8mIv3y6DdpAA7Ka75jt7ehjOixfmhAKeuravHvdNbg6giKbr4e94fL
59ar/EfT/zeafhIMl2XcP2/rnpZkw/9av+V1//bH1u7XL/xN2U8vBrLSRd5vUZa6izX2d2W//QtM
RKSK0GyhRy945d/87s4vcGYXGePizWX393tvR5Ci7QNxwFRPGfnv9naYzf+8skN+ytNO18EcGYGp
w5r/88ou0LuqjyKhnWzUVY+4E4gcsFvnUBZzvvEgk611jpEr26+RK92eN2iwggNGBMyteU0ZzXgP
qAaUCUP0/j5P9dHBpZpVXJ8GCVtulYCrj69xYxEa1I+M49uCaW71PA35w2QSi0tf4q+03Ew4BTO5
ghPBrLZc0pXsHEoFjwDziQIlCZvGxA9jxeW9PY3dB7A/zBS93l5jgSm+6hpcHZ+CnzrbuhkUouFR
BYqsbhLLdjxcbYT62VBeUVoNx7rxiR+jWehDKcp8hwoqXWeIz85qcr1DyXh3k2VzTyAVUpu+G8gk
yOvZxdOr6wD+gDGGE+3EGko9KY0eKzrKAL1S+1lvdYbPNmnVwMLOeuvv4ZVcGx3vm9UHxl2ZE2oT
yZJZXoCQBF38Jk+w7grhR9tebzDkBzZCCDD7oYjzKSQ3akWyWbviwypPHImIKBzNg62UsXGqI4IA
kbBtpRnLCk0EhvGV0xEQT6TEEwt9sZ5U8hwow/w4lY57kLY3vlRGbYZJJ4K1rhYHR8PzV9/gDUtb
nEdkzumnsYqs+alqLca6m3Sqfe09LyTGLs7EQZu3A1hFMDtV3REs4tQ22SR2L/qwh/RyFVblA2sM
dG0z+YInaEs+3rQrTci1pufInUe+AmWgYXsXWVb9VfN6nTBe5HtJj+CWnTUNO3gF+hsdRYpM842W
zxrj8jGAw5bhhb3XFBgkba1hCo+hLFLctu0dHF94fVRjSD49hyNy7DyEKyOLxOqIdZqO/oWJu3Nt
Z5Jzc7BUdarhLmzJ+86mx6jPy10lat+LsZPO4zht4STq0EXtuWn7K+sgU7kfJ33o9CdtVKCskP9k
LEVXZgyswdxiMfPJZg9zanZd3k3AQxuxFV1UEQxW6Man2m/kI73cXIYqq4S5NVMjq1e5FgNeguEd
rTQeqgE5LaP2nOQOOWbm7BGj3bulvMuZCflhFYivMAYXUqQwoyskYq1ZcZIIjIF0iM+RU+XlvZYp
01iVMGnw5U7uiEfRm6IVzwvYNwZ5CEeVGcmemlLbpLNnxavJH9RTGyUelnatlZ/ytMCG6gjXeqWg
NmnVyviCwFZcXARim56F8spNjGra8QuA1tG7JYFM6LRsxbxPFYQmt2urZ+hAZNx7wlhy4VW2KFwC
oyUyM4sOwA2jA3xVDQhPR0Mbxr101oZm9PAyDcYA/TjnZZg5Vq/ojZZUOlIirsPoVQ9QKuKdR/eW
GKNzCbIx/hAVjTwxYTaZAmvx/PKfB+K/Yskg7hehzD9/Hq6//S97Z7Ict7F13Vf5XwAO9M0/BKpv
2FOUOEFQJIUeSCR6PP23QMm2RPnK13fsgRUOW2RVoYDMPOfsvXb+NDz9mCj89We+N2Swramu6SBq
QSDyx1aIV8NxMVYQW/A73uXPNifKDd1agAwWzoVFjPO7581la9XAxgIO1903r8Y/aXN6P6tXUC+C
oYRWTPdUfe95y1KYWhrBpLsJu+THNiWramULY+joRRVVMDoSZpWopyuC26lUOcUGeC5IUUQVtknp
QaXA6WYNmX9XxH5ZZjZDCXV4HVvyUl1+eeCGVHDUhFcl8ARfduiPl/gLo0sEdC8PU4Khkog1ehi0
uIiMWslSuf0qU0dbe5GnjBN9l97NzmE5MQOis+QBHAH40SokMYWgQp/5Vu3TyZXHsZapbxcG+OTR
SreYp7CfU3CLPcL+cF8prGalFxF90CSPqVMrH5O8UO4iLGy+WY/ltgOmCc5AGDQ0GnE5jyh2irG5
7t3oBcw/HzLkk2qxfm3qqO1ov4K3tAzFTyM6w2qUfRGS0ENCF9tqVapzSxsAZYlet4KhJq+Os+va
NkbVT5z23GKH8Dtdv040944Q8bMWIiqOx/IWEg75m4OgoM7K3tfdYfmjOGHFOJmu+BgSfB/MWjse
sil6BNq2txmK+NChr7Mpe6wXcapTVbcjASmfsrxUV8jk41UGJ49G2IS1ICkDbsE7en3r0GFGnoX2
8hYwZ1j8ao+6eItDG75Apiibts8qcmW8/EOF/viDNhrllmYjfsMoNFDaujQWWxySsVp8aWZxxSEQ
UYapHFooCU+Vqck74XEUipOQwRUSH3ZIXVzhyt+F7gxzy2rry6mP5Uczc+/sJqm21cj0V2um6GSH
mYPq3NNgsdruWubuPTZKhcwhY7iPTNr0ZlE1DnFoTXGte2H3rKi1LAOnVo1rpqXGRUESvbaiXTO6
4BoJpgV7f2soGiFoEqfjSq+MmyZvvQ388XJlGMgOwkX3my6KlzjHQt4XY+1t5ZsaJhIa6cMJ5WlK
J91v3d6uLnRt7I6LhA5UoFSsewfA89EsbPXR5IOvmqlNgiJJwXFYXMtqo7kylL5BdupxmGqr3Vcp
Izy6dCgglNKala0LLSz8MnnOcM51yVErKs1snQPyk76WR+hSU+3234X+v1noNeZZv6x89gSUlVXS
fF/1fPuh3wdaDhMobGDgxCE6eN9XPZ72GwnUNrpKFlnW9QUA9nvVQ7Q8Kgv2B7YH3oRJMfL7Wo+/
2UaNyQbBKIrFWf9H5rv3mC8qMt1hPqaqVF5oy713ZU9iQ97NtSY+jLVG6tMgKm63pbAXbzX+tJT7
Zpd6t0RU1eidQisJA7V3mY9EDQvVTqLPDQN3aR/gmKWTkL91FdqlwcDAhV6D9tZ3yJYWRP3Wjejf
OhOkP9r0GfWmP+VD4dZ+HtIJ87u3ngYIAxsOz9LpQDcw7+e3/ke5tELm3DHkutdS4DbGUKEQaMA8
+mSM15/JtHWe3aWt0rpetI5mwD5+LPK2CSaKSY5S0WDqiJ6BpjReYZ8HPEXk8XY85zRwCD2jlzO9
9XV40JNbsTR7xqXtQwJVAW0P3fYaC5gSB6k74n8oLTVyfTsVN7kl+i2/vl5rczXtooFgIl3I5AgU
djsmuGT9uALVYyF1C3SaY1xMiOmgP62w3tBh0x84Xy6JeTK/1cjhWyNoJ5J8ErS4J29VzoZx1aGN
2PeA1Vaxpl/F9tysLOAva47/NiY8hfA/R8mZpgw3ljqAcclzpDdidOJnG8LG1nQqI5Aw2I/wxPMV
iJ36ppfkb/gdIarnBufGxRCXbJRtN3cndVjXelVdhEIWX9Le9jZ9ZmIxt4DdRtJpbsjseLbCsFoB
tQhxVsXsEw1/oIZ5AAmt+cw9y0Dk1gFIOwBzGCy3qWyMG2P0xqNBHsJV0qj1tcjiz0ju4iersgdg
3uMRg8K0srpl39ZDOl+2oHVVjcVtLrMiKLO8udANSFYtVyQIvexa5in5iGOGZ5kn9j5DKu2bjT5e
TEnDXGK08PxZvFMF+vtK7cPobgYhV9AQrEF4Q48n175MU0nBKqBjxrV6mNTuJefv03cy82sHryG7
+hh6N05iiWuXAZM/yzANMTHO84WpGDj/RK9sM3WstrPSlTcqXV0ffnd7AttqHqdc9zkImBt0v825
Go35E5mKVrJW2hZIJVmaK0GgMKcWozdXNZq1LRgQxKx0r2mDNAc1ts9939SOP9v0BajNOEvBQd+x
6/Zwi7kHV6OKSq8LlRaNdPtBUfINoNsbN5nUTegczd4bkW+WH6ehSwkylZdKm3/AB+StvNy80ZAu
kuIjnhv63ntajx8mA5sT5PDHwpH5Jkt0MueLRD8CyME+s3xT04sShYIJTguZp1MfzI5pJs2RcCeG
XsHK5RHY04mIdDPzE4thc6mLYtwA0SEcO4us/VQ35gfThuU3prBli1CiADXIEUoVytSYNkqif4Kk
xkzAKeQ2d2p9nzaHuU3ogLZ4ZKiOpjK5gKyJwd9mtC0x6RXEN64HkECbjPZqYGZpw9zZyK+Fa0Wk
MnOZAQkae9TbtEJHutcl3veVEEKSIj7aZ1P2h0kaw15OZpitBq0Zrgez/dBpoI6UGobrAL2k5AGr
oGuqt2WqmLm3qjWppzBvBqM44c24KOjNVzWjO9uevbvUmMTG1Jn4wOYNrxiXJJfYHJ5Kxod7OtoQ
6xPtyRa91fqxVNvHRvKRFxrjSgJwPwKIKjYIKrml1YjRT2HmayKu86uJZZcz4oIvrDgiBIwaH2dw
2D6Q2jDoO+7BZBqnR28aEfvioq1vGbzdlqpd03kpC2IeY/pNvZd34ioihXZviCFutkKno4J9ZvGP
zCkhiVkfMu2DUwMBtvRu2tT5Iip1CCIEj5sBZnbnW64GHBJmhesLuyyqpadMQwAAamelHQ1rW0Hr
ijgNPk6xQWYw8ogTGJCPmCbyqdHM3QQu+FCUatyxtyj1M/6qaoIvn3YU1PGg25cAZqoOiQWpjBmQ
r/k0mtK+JpqpujVkyCOSDdx6e9n21sdGw3wbI0ZtcJca1ueWuz8JtA5MWID10mESYwvnhrAVV18B
L5AHLFbuoZ5CDrleWkbQKEEJJXhG4rzLb10lNeA39YqzjTPgfoE3D/EngUx53etmsdPoWT+5LqZ3
v3BlmjL/a81TxDQ+QdovYNfMQ8dYCoPOeTD6vufINyvXgqWdDHETBi8ZbcO57ZuGdFG9VleOPY2M
jhjCRZT/HW0kkynNgxoa9VMt1eQTezLA56Hozo0xF5dhb3lfVLhbMyfV0LiBR9g/KPTBLgrV2VOW
5q/YAOwXq/Qswh5jo+4IOe3zdeQBDbeqfs9gCU8K54cJUr/EgueFXEWfzF33Q9dP1inHsfuipPB1
DgXVCqg3kdA1YnD+gX3EW4txjjYdvh0lqBxHgCrJtDjay2Qcn7MEmRqLEdmmHpXM1cipnLtyipWr
JEWL5+tGIT/BdMoujFxE+KpDzKmB7hXz3sPI8EJ/LbsRQ3mLjHLQg2Quw31G7MhKy2IeVlFROcyY
hMKgGRoX7lWThMV6IlzoLPJ4+GRBcHkNcRU/4vXuN6WSerCnI/p0dEEn5SC1tL8qLdYb1PqSYYU6
NZeTLCMI08T27DpnEnJHo0Y8ejQboQ8BgdkLrTVQJiZpPfmeU6QPtZuYQJ0rg+arGRJeoowYUe1W
5HueuYQwFl0VE2Bi9Ay8cwDJjlQ/EdwamusyUUG8aWgytx0ahpvQEyrgp8kJyq6jxgb4lFIox6nL
GLbHip/pDj3btj7AVLOp2E1MhD2N63yBJTkkqgSjKzHJqVYd2KlOERpDLfO1RlyDPmmZqlveibKG
EaYTVjhxnVTsG8eUyG/zUn7KZNo6fhJ1jRZ0TDs/YksW5bo1vQk5AYDV12UYdg7VQawM3f5sRrF3
78Rl8UTIb7Ux4rzPVyzxtGknqh0lGLyMFdGi2tkngCbOHp6Hx96S+U7EoLZoI1oINiZjMj7jbI+P
bagZH7wWPanvFsZoknDT4zGvQIWj/uRfM6Q07i7F+n3jZghhAzgH2lOPzxt+oiUeKQvba8trPcbF
o65+6lAahGuY1x33ktp0UJ4d7cWr9Tpdh4UdLfOpNPyYeG15P82t3WyMMh6PXdOh40gVBVGhXCK6
HSPbp1F2pc5d8rEunYsIcEsVY73s3aXt28VBObXeNQmL6kXnmPhtPQC6K8sT+qWdczZ0tcjZ1og+
yeGVvfnZc0Cn+WYlog8l49zJT1FxKLCtDW1ibpuoWy+Pooum1ef1AICI/mHeb2fTalczdjCqebU7
aUq8tjsskXGqd3AUO9t5tUkXiRdLEmU/ZNz7iEiRz8B8wk1fqXRl+DbnJhDS7M7YXYm14ZjVgL2x
VOEnMkIXijslfRHg+3GnLH8IeswsLcZwrnCsPuThmN8llhpv0Ywo1Adhd5Ji9JaEIds9kqKACAQY
UVwM0cGdC6VBi1V3OzfxGG2UepR9bFyHjn8cDgytY1J+Qmbour2uw3k+LpFdhwHmxolPmJ90ppXP
4Zy0myKBkI6Fst9E3pJnk0fGSs/mB0HeD+1mXZNPkVE7VxgHlVdNTeT+3yr5v6mSDewAVI3/uR/6
QGABeNnvi+RvP/OtSNZU5n+WwSpEOatqJIz80Q/VNI3/5Xw///u9RrZ+UxE6/hEeYlCpf6uRTRUG
mAcBW3Wx6S9cm39SI79TfaKptKD7LxpSHekLw8sfB4OgvbSEEm246IqXqMnZTj9/dzWufgbSLCX2
d768n17gnVlQjkZeiJEXYLLPqZDDu/eEMSnxMAi9/PqlLK7kj6+l4e2gd2wYcA1Nyv4fPwzIeBzL
BCydgTwQvSUItfjK5fYQndfWIxbhyH2Owb606lYVeqPMmFssYlIPmPPqqHjhKLsMhCiJYtVztqGM
1O3klt0rkhUkZKdOQiszj6ot5n3eeGko79xUnY62SWLo3VS3G7pd1qFpU+0qrStgXhMymhJWJo++
7xqSg6+OwnRoSGcxvHZl5UUdZ7c1LdheBrZZ9k614k0U8PftiWNH2els1yK5n8a8O+bh4pKZUXwO
G1CTuVEcHeZwK2u05wtXy6zhUalUGpuoDdhGWl0GOHhM49JUHDEf09aLldtBJdAKCATnE49pUpu9
YcqdN2b5v6vGf7Nq6JrjMvb4z6sGsQrtU/mDoODbz3y/auiYWVl+mNt7Cw/wd0EBWUXqQpYyEAaQ
5anzGPy+bIDWp9mlIpSGbfxVhvD7smH+BrUO6TkTFMuy2UL+0bKxDIV+eNYsljMw4BoyHXDk4Mp/
fNbEXGUofScsIYKIlyBXCJDxiW9kJl1Dat45VWaUuOQjnBC0fcQ50nMlyCkdXhra35Xv4P3E3KJS
H4H2qAvAIo1jP89IatY4ZVzTByIynao6k/lDMpv1iQG0+pIa0YhBvMsYMy5Ch4VaA6Vum5A+cu+0
dJr2TLv7/jAaiRzOkhJtHZMVx0lLzye0ezaQBBjn1EchGP9JOakd5nNfChdSRFrO+qqe5CNIU0S5
iKz3Zk/PIZhSV3tFo95ZnNgic+O5IfNJxFNWHJh2nJxpDA77Lu+cnSK7pY1VsP7IpByv+1rZ6ikC
uEr3cOwyY4iRvRZBEVXLu5rm9GG0Gqa6HcTQbhpPsUcpsktnTWo08EGqtsx98hRhG71BFhBtWUv0
ipyxYIZnOGs+3zxXmfOZhjST9Qd/dXPViCG1j4sU+Zkrgrfv63o1L2tX+3Udc2Q0ZutUQshCRDuK
rXQFSmJ9pDzDJAOkIt85+aRpKtjxGSEk5CkYrK2xS0lDIrczaDLRd84RWDVx8jNnN43u3hoYRJfG
CG4j2LP9XkMK4fVHgszTxEaIoRGO+hYpSOGEp8XCr2zo2k3TTONVDtdkfEEULtIvXqo1XyYgAINx
oQOALrRbpwi1jd0mS/YjqYPOR+rqjqNy4fUn+B3ZgURBwYWSGeq2Ke/SfWKi7GOAkl1rWkUDLKHo
CeNsuGxohfpqkqTclmNWrSaRRYGia9rBRQICdETFDZAk2TYDigX9fLxp7Y48l1DJ9VXiyRjcdt1y
ynNRkAXMZVBp6EjsdioJ4+06Nyb0NaMqNzNnzqdKF/mz3taasfEybHO+rGemeC4qX+bgqYSK3Hja
oTEY/ZlGlB9SCihtB1X7MU5NZOJzZVpXKBBwTlVETzxG0lSPnFiLTTFaCsIWs4TfpcpzbiNX02Zt
vC6hC23jIXPTS+RotIJrlzFnpqvZUdeievAH+tMrko3LfY8D9SJpSczxYXSYJ+It50MZzqo/s7+t
si5+4j2mGxeT1KbLI4K4GgjYnWmfVMdpPsZjFj7GMvY2Fa7JrUiBFhM2Vh46zRH3xG5ewM6xrpc7
+zLUSF1iCFyuQYSdZxronINFG7iGsOA8Cl1yBYT6pdLQM1RWFn2MmCceZW0Op6rP8l2z9NZpCkfo
LPtsS+A5yPxaNC/Ikunp2NK7jUzF8m3D1U/ACj7MMMNLI60DSN72Cca6dRJJrezStBkeQC8PMWqK
cTiNiaF/AvA0jn43zVXkD7lq3GBKgVFZNsYXxXFBabVcjU02p+2+a/Nn2zW9QCYhQ1OFkC3Pz3rb
vGWgTAdfd/rq2XSn6M5KybnyK6yQn9uiwtPpNQ2/Qyj73M11xJBC8fGr5vtBtatDhlaJ1ie455BI
HMqyyN0B38T2ioPf9SGmpZvWipCCO11LE96LuzsGwlmQc33umrG+5rYGj61PoMHQEFtZ6O0UbGFM
HakSMKRAHfchXrgvI9KtKy93kx2dr/IF3ra3ylUgeL4gsNBek+8FdkfVQAakN1gK3P1k9OMq4+6+
RQ6PJgpcrL7zOiMMhna+d9VUo49sRQ461Dq5oHBjZe9U47HKo8Ev4k5Bd6mZKa1c2/pEHJxHgKeY
b6rRSwLTkcNDFjdoSI20Ouu5oDzrnfGZ0URP98lov6CUUgLsGICCiE4gflU3PuolTaFZQ0TZwxi4
mkqLYeMygdelFEdaWEDENTlnQVPLrN5UVROtG8C1T4yG5cocQYljR63aYBpiI4jJCkUR3kZf6PGo
u7IvnU+GDjhrNXNrrZET4W5vp9728ZcOq5KAor3LANR3mIqeSVGIAp5IY2NGSLGi2hNHF/H4ofKk
uKq1ZXxTqz1X1oun12SS7a3VR3UaoO9hbqNOtG5jrSmCcKxtX6OZvp/lNHWBqdd0tbB3aGPl4SnW
q/OY4gvCJi5Pc1kN17mjoHfOvHPd6/S9nCmJQxygSnaOVa1eaRT+j3nTY5FtcnF2hDvdqjR+URRA
u7sxvbHd9W477qsxTEwASCbeSVzPl7IX2UPhVfUDvVR5VaIaxtcaJsdurJHHAqi+16Q5Idep6NnI
flqHgCF91Ub6vKKXpSKraHW13aMV6jFbO929Ccxzwh3QlCslscrAtpDC1WqsXtWNA9TCccPqUJL1
1QZFNkxHpnZFBlh3SXWoTIPr2A4fzRHhl9XH9haBf8/Uihr6oCWa/Uyxo9KYC8vkKmph5Nqp6j1M
s9XsVHNmo3chcy40gCbZ2Elmn2BuiDsgcRJShCVBZUUhvS1iwcZTV1dy0wjwEMG/h+P/6nCM0IfT
4n8+HF9U8i8ltxyHlx/8dkL27N8wBdqc8WysAIRo/6kzeiu5Of16jAqg0TBHfndCZvps2ioHYern
Pwtr1LiGpjImVr/qjP7ZCdnh9b87IZNt5SDptSn8cS8y6zaWavU7FCveTdHYo6OfZpUsgXmbAIps
Q06BWIam5gxXkC5y4eStz8A5rZECMTFTAN5Di0uwq/RCOYWc7tdTrRSbaKoZe5Clfq6ichdLozu4
9eCsGMrYx6orldu65BBZlZFybEGEcqIr7NseCeI9hMKWROkqVbaaqDEfNeyENqct1DKzhk6nTkrf
60Njm9aIEnnfPNRWhMo3Ptt0qg+6Z2L4q8PrYa4vaY1iF4JvwPFc29UNsiFwDhmh1vZBM8NViN8P
7GP90lnAxLtU4MPsJVp9o5zOFNTRemjRsvfqc6zYiV/njbJGSaxtJnUmxqCqgfwR/4IepHzAFJWu
G3wXq5lgynyUlzKbzDWJ3u2T1FsD5mvhor+lWW0UNq9fsCVypcxVW7rebmo6zD9QqVeFBhJMQAgK
sLIv2yhheJy68CB6KskA2YwfL9GQJZEhaqrCYCmzjFWUcIhg6DD6PSzrQ5Y451jzQl8zihtsOcO6
DZ2tV3Q7Ts9gzHKd47wHo4Pzm7rSQ3WLVVILrHj6YLVQB3sOVmt2tHbVsluu8qmLAmkp9jp3u89F
wz44jsVBgMk4MlqfAoOTdDU7GC5zsbHmulyBtlH8hPwov7bsnRd6h5acgsDN8H4kc6gwz0wq36BK
YXtjsze6cdzAImBo2MMU16s4vaPtPe8b/Ggr8OX1phk1a0MnZFo1o2quGJjYTLii7djZHKspLNae
lj6KUZhHUF97otgJgLYIL+oaySAnj7ax0Tk+7o4a8JqyztL6rmrsD+44n1Idu0jEcWij0O5fa+oc
bx1RPM1W+gjsytwuEZtYU7CgqB7j0Fr3Xs1ZgTbae9aKe+IuZ3OyB24JV0bXXpVWmy7KJlrnADOz
qKUBTUym2ZDtobXWvtZT7XEyyQnJJDRIJfs8M3tgouaKNWOLaWeVkMjmuXQJ4uReQMtXr5xImLt4
5ohnxtMYqDn/LdPkR6Vpi1XmjOGKbQxKD3HtW83lG8ThZm5sJHmb0EjvpW5HZyZ5xcZwPyPuUw9j
BHzPErZyRyuqaILOxkTp5ElyU/RQ98rGJqQxi+G3UkTcLUlEK8Q12c3suOaqaeZz0zKLpgYZ1pwI
bPiouOssXXXWUO0joDyKekXwKSRy1LJrrQG0CHNLX1GW4TRE1rbXdBkGSeQChdQjoD69fmwUtVsp
eizugTByFZkVgzxKATfi6VlZA6NZtN3Qka1UvZ9Cznwt5iGeXPgfbSycwOuoMzlClbeZYkxXoejU
g9Y2g+V7NvVvAPmIdrxw4d62Bez/HNeSMUGu4K12JwdAGX9ROSE4yrdVZl8oZvY56QmpxEeD57NG
iNy5OI4dKJ9nMTfWzonzlM6B+gWjksuZsYL82GNnTe32lmbcviPwghY7uh6cDDd2mNbrQSXeMkaD
zAQyt0G/jrTbau+Zc/oN8+GrUOuu4Cm3vpom2hYR+mthztMGst5Rts4pGfj7YFm2gw0NtTTLcgMu
BBiTbATcTEYw+MpA7prJU11xmI3c+bap9HHn9ESdk3Wk4ELr2kBT3Wlx9OoAjKiR1ciW50l3Nl2h
P3nI6UD5pAbT7ca6xccdMWHxFp8aAkowoBB6XnvGfr4zA7a3ZGps1ZyilEIx2xAc26+ziQoXB6NY
DV7h7mKDKinXH227OaWRme6JN/ngDg0HcKpt7MWGve+A/9x5Xs/8AoySEExK4oHTXZi0wRDld7rW
HR2zlRfC1Q9JRRY0ztP8nDNaK1V5lcdIBEMjdgPQgV+AqakUwOT+WnNHkqvZURRbuNtJXyJFCycu
KUEEpFgEH+/ytESbHzOZd707QHYQu0vtSBxot4FnVm9IoEDV4fKK5Tzf1b2ZXDUcyFKNTWgkDYBB
N+2lTIvyjewsy1cLC7UWvEUb4MURccU+kojhaQERc9QiSMljtpe4qO1PeTZ+HMKu2zmT81J1uOTA
DUFu1NthO5ajsgF7ZAWwC7zLNu+vVMzZ2FDM5Y0PZ4HyNmgtWlRFeFOlc7Ue7GQz1uhcWdCgL8XK
Q+ehVa1pVxgUrayFXQfNcyZWPknkegpDe8f6mxwwdQ/bSGGVw3kHm2gZN1P00bNiWr+JnMHYUOgY
wWgKbRs56cPQJ9Z+Vty7qW2OTVbjNFaiL4YinENe5uEGATDqemFrG3yXxCSbhYqFDFIW/FCwRKyq
G9y0FW7PaTbKz4yyy/bepLpvONiiJPOwjwz0gAXH8tqthg8tuHJnOT9j9UB4w91XuJehJb2BzHCi
vpeHrEqBsRk7JFMJbSBHoFy6N7qB6G7sqpNs8EdYTcXqnfn1V8dFubgvEMk5ixPjqy8Dvufi0gAd
sXg2ym8WjvKro+Pf4/V/d7x+O2r+4nj9Ovy/8+uYPP8Q36obbz/2R/vZoJOMeXIJiLFtslj/bD+/
5bfSewb8/5Vk8sfh2nD4IRiWjFM0cjyMJe7gW/vZ0H7D6KYhCMV4quroSP9J+9lausvfT5VIwTE5
VTPk4fjPrOfdpAd4VD4PEXlRUu+S6cmkN7bg2HGJkc9BnDT18SAHdvzEqJpC2VfsfJYMPMspd9XA
fJmUs+lFGgSGBIoqoJynUz8fR+SGr7XMHcSD3LVzvSvbiFB2Bir5MJm3ClR+t0OvgSKEdlMOwQto
6AT521pnhNKTuqomSusg5ut68lgFM2jSWUHAE9VqD32rfspBt5HhOpskQgUSpAfprsmS9Doi2GM2
RPeJANgISjx5sHZf1sK9jYkOqIY0WCaCCP0Ks52RqpSiaO4abBXa2k1NI1cfQBO0AIJKQTQX6hYV
hdExgRPerWe15rjdyI1Ti+kKTmLJFGkaUn7UnpT5Eca+k3xFcv5rKf0bSynd8KXW+88P4AaNWvLy
w/Dn2898e/pc9Td+BZWt6tqQ/t7E09+GP67zGyWlbS1hyMCA3jyj34Y/PGLLpIghLm9ARfj859On
EzxF9Qz6TuW+Rbdq/ZOnjxL5+4fP9Ci4wWBrBDHzr5C7fixso2FUZ1dUHafLjjN4TvgYADcdQKLZ
oeOE/iFLeHAdvEEv7t3Vd9fq6ueB8jKR/u7Rt1Qgr/qCnyXE2bL19zCguo5mDzhHux3Y0dfOVNhr
LdHzFVSAYvc/vBTRuYzZ2fZJcvnxg9Lv7jWtsFoiCfBlkOJOwdMAXUQQX/8Pn4pL6cF/1fjSl/jt
75sFdOszMYGw3L5hQtHO1itJAkTQjk73VcrxPP7/6JWopXyKqvL7iJgf+xLW2wU0+EymSo+Q6d27
TzX2bZflFhfQS0IkkZN+XcrO/jL2mF7LEDMvwYtLxnQWCNWsvja9/uOLv1u4v724YS6NEbzI1rvP
2Y4kSGDbbbdKZdLdROa+LjVme//0i6MeQvvvkoCDiMJ59ypN5BpNX4fdVhIARD3O8IhZ31g7/ToV
BUkov365dxoHPpSlIz1ArwHGHpvP8qG/6/RYtFuNWGtB6k+Mt+JMvjKF/eKCaca0UhwpTb5FbP+D
y2jpOoFmwBsxsP9kYmN+lcK7qLptyrAXaxq8VTRL1frXn2u5TD8+aryKSeiz6+CgsN6LQ0DuwJ6o
s25rwJhCGaicQPZdTsDDgpFzuP/rV/urq/j9q7370jiERHVk5d3W7QfNDyvwoj0yCLHQpirPa32Z
ZZ9//ZL6uyn22zdHh5BzDpYTbsh3S9kUI9oakD1vtdg2LzlG5B8iFe2qXc3urqsiJlz1jdNPhAXn
UH5tSLMHYRm7LpLVtgf4v8YJPPhycMTzOBoKgZzIjHUAT7c07ReSKUPlDHz0r9/3e1jb8r4NjDMQ
22hw6j/dcW4T2XrV8hglAwZpOEoDGb3jaPVrRYHJnTRaHQhO9ivCe+Em56P5CAljvOo0V1xwSICA
KiLvUgMm/TfPwvuj2de3xvq8POEW/7x7GFIvtzOoMe12bOOlgWGtkOSNQe3aLckvUXPPkI2jDA4S
NNY5Xu2xTOWJIJc+Q9WOX64naS8ziRGopxJGvAaLH8wviTh6NB2jTpcXuj0r+zkbUMr0bbsaHAtT
XitJBB0S5UPbuzQxjaQOJKqXjWHoS1yedNfETh9aOkOkzOVdgNkHNWxuHWMzu+8Gt7nA/WEw3Z8h
LePVXA1Ke1mhVNzVUNBAhOeGPwLrP6nxpD4osu63aZkpmOamL9lk3LRui8kclMyuteP2kt9cbn79
rf/8gCDq4GDAU88eDMXlx2VmbIgksIblS2/iC4UhZIAqaa8l4103Ay/rOviV/8MrWizWeLkITHsf
s+XJsXe9OWu3Mgz3WkP3UouIezZPNHPJJffsj79+vZ/3duDtrDZ4wjEmmG+Q9+8W0iZCccl3027T
KUclTd28j6CLrV1dTn+z4f68EbkIV1DkAbCnZrHf3aYRcvB06Ct2Qbe3jojwtT2hKM7fXMC/fBUm
ERxTDJQy77+yQg2Voh24gIotgQfXjqfs0OW7V7++bu8R8jx0fBoXWzOnRRSGb8q47y5clhDlbgus
xRBsqhW87HRjj0UEv6esfAK4ne1ocOOTHRcdpPsg9WhbmVnyd8uS8dOGsfAjwf3gCDQ07aeyrAYd
kvROQ/8nd9YDBL5NOKTtxhwYSQQGCTx7jRzutVSr17wanJusTWmNWGp/LubZOFhZFf7NN6D/5Xui
GMV7A0sF6dOPTw1CAEUJY6PZllFX7lVprT21G2CotfVF2JACGTsdUVMWj3JeEx3ZCVrvdqLqK88t
GXWU+WsOB+wic8fVPA+PXaroQZ204nYqQfiJNrF2FnPgQznlF4qKsOfX3+1ffwCAtxTWmOPxxv/4
AUJNesVEP29Lf/oGY5rYdIMZ3cesYoGonXQVNppKD9Fu2bFkcZji+clNnLtG2t6+E/hjaK/1y3DW
u2acUN255vw6W2F5MFz0GoOIJlRGqcJe0dJkS2rxN59Ae0efebs7KVj++ATvFi66grzhasL4rqTR
IQT5eCBDo1ylCsGliWSR77DCp6m6Nyps2gxbi7+5C4y/vAs8V108qTQn3j/u7sRaMllds02VGCdX
l7vWZ45VVw4TaPiWKuDrfnxglBc/NzJouz6iSaWjIl8MYn3UbHSVuZe0TQesmUYmkKN3Ioh5wS2m
+zQw00h7nUpNY6l0blHMry01rVZQ4B7gOMkd1Ar1pFhavpur6snp1Vt74oUIQOkCMXjN3+VA/nx0
c+3/Y+88tuPGti37KzWqjxzwplGNFwhPE3SiUQeDFEkceH9wgK+vCeZ9eSVKI1X5qns7SmamGAi4
Y/Zeay52g5ATlh7pT81HSAqw5VIGhCbNH8po52EJW2uzLlbV7Fi/WSf+Ytimm+qw8wRwxFrx046i
y1EQtQw6uzou34PEx0Vi4MXHwxP85kjLJ/24IuW0cAbTcbRdTBOfXuYmigdUXw5PUhvfZfhZH1IS
jkDNT+wmnIkkv5UOv/VIvoX4zSP0i9mXmhdIJtTF7M0pYP2wyAdSg0Aj1bsd5pgngpMXV8+Nbkfv
ude/sOV1fzNBfaw9fzpXBzqUYbLhBn7x4wEDqXUqSXhk2YaXN0RVXJoTXZsJ+GNoyflNj4o7uilY
laeaxY3tJ6Hs4nZNtNpvTv2XD5ODZBSvt2fTN//xmyQgxx0heX9HH+OMvji8bMB7K2h6Me3N9P3v
R7xfTJqIS4lECQz23mzyfzycG6RZTNOVmzy1agd5IArnwRe/2SP+8voaVDJ4kri8PylY0w78rWHX
3Y49chsSwyXWskyD0I187TB2cJhiadM0mxrIDRGNQ6oB+UZJ7WxGQ/mbMfLnTbnvGuwK2ZTbHiL2
Tzd7nAZnFh3qNYsi4UbEXrzt2vlikhiF4sLQwroryp1YSKFVhkvw76+48as3mNUQF5t1u29/ftZ6
Up5Mi07PbjJs8VJ77dL4buP+1AEqKvAPVq4b4lrHT65NAckP0m1yh8AweurICj14uqM2jRdSWHjI
zL4f6HvHTvf699/zF1/Tp53oMsZ4rHOMT08GSdrJhCW82bkqAm5rz3Jjo22lD4/N+B8fCmiajRjE
owyHguHHh5DGfVc3rdfs+jkq3m2MaddgV9GOaq7+Pzgt1qBUsd2lpPbTqFaX9dxjr2x2jpm013g1
3G01edFZ2i5Mur8Kjb+o/fxiEONIlEVYInoUtZZX77t1IlaqOK0GjkRfFWwx7JtbKE7mhtkNBpMq
EF1XYvrN8PGLuwbtwaXUAn4OCfqnu4aQtsR34DQ7IFUyBD4N6iwtaI7q+Bv+/vw+dPGfZwhWGqQt
Lyh1GOWfXiQ/s6shng0eEZsEiy2N3B5vmLDHee0UUUmgRNuZa5c1eR42lhxJ7OvbQW1m5VnFdeE7
vFw4YefgQN5vfm/WEl98W2b+sK5zcguARDTiuRod7YKwFIeIRJGTm9Ch2sDfxSlZoefS3loH0hmx
DFs64UmOJoIdUj8P0aLdwuolh4gc4MGcjXVu497fpkYBFMECfG0+AmJOCqxsFEuIqWMHI2AgtyhG
2iRrxZcuRxi7pKkEzk4kdAM2dDCMYzErpe0Q5cru0inKwb+we6JMr3Et5uWWf9ewjIxtl6FttbGl
rstM2vGF7+EDXS+igHQ7OE1+KzXIOse21Kq90WYEw0xxiyI3EMl90bmWvVKDXaUHLyZbKfSHinCg
iUDZeINav2zPU8l2MgndAJXkruswQaL1QVG7JtU40s8wxEU6dYeixoxeYNEEbuz75rPXRdRLvKhX
4ezbVXtLoAL+46rv0ulqRJl3WyZ2228mupfejV4ROEXLXMbDgUWs2jY+6tGtXcYIgxFHz3PYETS0
Kxfg6yaPlvKfrhH4Rm/T8b+koslD8q3ARXS2kDBv6trZF/5wTZ13OwCZf4hqM3/EMK3f9KU7rqIi
VXtym/IlsOI05NO2bLqtIjjpBszzStoCDN9MvgdJW+M6CzIEW4M8Esg2hnSKntMMNQ0AENLjUmVt
C8t6tS1t3Mhy6vgOrbdzCcTb4E52d1gUK8IoAaiRaxGfdXatXryeCAt7mGBee/J5blyHPFcFMVhN
xBnl94tS19Xc5soJihahDbpHLIvQ0/XEOPOLXFxYI/eD3UKywit8r+g87xzNQCdMVgS6l+hAAF5G
GywbWFQAFsqZJVCjePM1MEBinCE4JvPk8Ed2yqguqdEm8Vkpcz3rGbx0NCurVEQyzLysOBstsYYj
5F8RNn1TaEJtjNEX23lu53CCF7SOzMnczSxdb6I4r7+Wfqefl8Lz1whHXaTBffvuak0ZapDn1j4F
6x1kJ+fQ5sG8WjJBDmDhcXqQzwRISx4hEW1xlxrbzJkeC31oHssk2nuOfZsM06OjInrvekChboge
C1eLQUhnhX/AulBupUao3+xodxmmDhJZyM5y48rf6EiCuQ8NrfY0wGjOvuEmaTV51cStf9MNinnR
6s57IsYJ95qxemnlW9eM9d63+mQPmKPYl4Uv3+2uh1mZjDMVrkySwDuRT0TmrMXW3NTbONpUeHDv
ABkKwqh4eB4KU7fU2mvYRzCZMkik8TA+IYLPLpuRpwzreEkSgHEApD+B7+2rrWvM/hk/wPbmhdhE
8GCm7tyfSAPonibReh1ECGAjI6mGndk+aRgRCB3zEbyafOedp5nVN+XNWb23stwc1lj7PZK7KqxO
5xq0g3SVeaiwVuDqHe1IeVbHOFs1yb5tuVKrPivz9WIRuRNU9a/MPDXvoqLMkgO+iHbjBAmRmCMp
sMgHQF0TZ6JIdO70F+KkWU9S313w+3p+Rnhp+61HToAujlZHmJKGa50r1bm3pPRF7wHF/SFkFYDB
rY6kvp4nX32hz1S8t0DEkeAVnfG1VF67ZosGK7A06yfQLOO6E92061mx3PmTnT5JqLo8jDkiu54A
yLliP50o2MymbXUPVOEWwtkSw97LgSdBWEHzKGK/+daAMdlmSmseYXUk+5TmLkE7iggnMCTdAxJG
GCVeNZJHFDkEjg9zx8sBgodMACjR69gFWpyy4DoMzRIGTgl5w640aLcZ+6YCm2/F3++TWN4vCXbz
xndgpWGmGaMkrHSbfNaC1uChLkW+PIPaeIyDVNzC0YDW4bWDue24nNo9/ndO0auzQJyRtcxXJef2
XppqGC/iiDCaxCffstKJmqt6YopsYfOpFlGcH7lxsjcJbmIl0hzdWohTOhJJQ+nO3FA4c06gjht3
U+L32M4D6URjpexihy4gPhGoLj10mcI58RKRTBlxdynCL5m7gX3yhKhfWtIDr+25Ne66hOtNqMS0
myciBHzBRQVyMp1pPJrX9O3rF2fZYYalO4OAyRqydbiyyd5RRFC52kB2RUvKTm2QQzXLjjAx8AWP
UnBdZ0wI3yoDjRD0FsFlbcqCiCWqEbsh6LvXYOyckz03MCllFcQnlTjkY41uUUyvMyYWIG+1OVpk
g1qjEU3nsGvNRXeVYhUSfgNdpFzS/vxhWGJbK924q43JOSVOFX0hQx6fjDNUX11EBOt+EDh+TG2O
DBS/LCIBXSwBnz60+1YncFYbSGcsOHmgW4pI+ZRxMSbuljhWmA+6Fp8GYHBwUHyHFXgJYOtkW00O
VT4iEY0kgyxdJxl5oaLo+Qsfue5xPOb9Op3ralgRLEF8ok9o3zRRtPY9SQBcbDshPj4ETW2/POWD
qGGYpKZzmxRC3ttVj+EUKGxzzB09u/H7tn62UkHuYzCDzKrJgD9NbkEYUmeX7WPezOrKdztS/Wpy
2ZLldqNG9M+dlFiyZgkoMzICkgIPlciKRYY42R1XzU/FhAJLm971GXsMEdzEQ1K0j27MIrUPOAMI
3bNGPrGasxuW7OoLEpHudR4lxL25pSS+ASk7vXs1Zb4wGkicXFFv6dpVid0Wg4FWeSUjOZb8EK9g
dGMLtlyreuia6VBIlIicO0/SrDUtQ69r86QxZolTnqUVbFW4V1eQ2SniYr7lXuvoLuWBBGfSt4Ku
fweby55J6gVGjmJs3jWij+8/UvHk2GEdlOkwhLx6DeTZfCYtIK3x+5rllJFi7Qxvpj+QCxVJcJBa
XXNZXGbybqfj/2tX8DSNuxkD5U3Q64xmnivfVO031wQgUvhvSLJHYFw/KczG10bvx6cIbOuuD4gw
TpCIABQSAZI0JOaHUov7hwYUon7dwvpgjK+ywjlUE3QWVtTeBXviaFsPEZI8tAQeddPeGmgIW/7X
ufP7y6gAxSrzXO5tt+DWMG2eW2QDQ8bx4uTKtbt6WxNl+KWtZYRkVLz3ccV/6oAPrSNZWy+kGDhb
u87nsLanam1aCi6jtFwIYzUYSZyta4I4eA97q5hujKJVVyxCRgQ+aXRPQI6N3bS67QP7Am5SQi9S
R4DYt+16HIL0EpnyUR9IsEmLuuWwmXvSx8K4FF7BuAH/eUcUonahXK0+lWQM3wIPI9tAJQh7+qSY
8VfSbGwgkh6cpD/KaYIlxrt5ocdjSwKOVx5jUU4rlvosAQPaf5RQnwNHNIfMK9VNVknrVeb2sUl0
gyHN5w+LhPrSNRbBnX2mVGo/sN5efFWqegnGpc9U9VtBZflABJ5Htwy50l4CBXrwIXrd6ETCbT1V
790qb9YB2r14lTTV3h/nZ+p/xVNWwK1kzuEimZodM9Czwwm9abJR9WVZd8g03QIzo+mnrLDrbTcM
zlkRDQr/gFlc84NHUZ5clqHRXIa6IL4ZOg4yOJF3NegAOilMk8jsRfZzkATuvdv1+T5JvHuV6sWO
cimwEJ2lHOwlGJFVMooLTAhRWBnmAby08SL0aNzCC9F3vWnMa58ckvUoeRnJfehXY0apMJ4g87G4
sB9S29mVjqq2vE4MwBX+wVXsAqMMCHd5l9lgPiBINy6DIlhQ3YV9VwuVhtDL7C3JTcupdXC/EMpf
T5K75Eg8cVuPdeGq7VvQeUrVbzOtJsgpcZ9cNimPQVLmxLljNCMNoK4ngcEh7UJVg2CjgbAKZhCh
g+eyoLfj9DmdVHYk7mXfZw06ZcfW4JSm6prA0oceuvWWV3GbWDPyV7p6LMi84bKwnehLnlUsM6Dy
ZAyBKcjVPrnx9XZeZ4Xln3XACMJIF2SIk9aX4fc9FUTjVKFABkvTIp8P01TJC9fRmHYKX8t44dzy
WMcqPeWwYaoViaBEirfQfACpaimvET00eRFEffpYmLa7cwwK8JTWsNCi1KSkMSSaugqALZ1j3EvZ
1XkSYDZ4uoy8ykS/wX5zbFNP7SN8qNLvsgskbNVZVyLv7+wqpzk69qty7Ppz6r4TlLx0bygteAzo
mbLPeW4rmNgF3LywqQkVT71S+Eh2e+NRTXaLOs97MWb3LSJi+Ssr1hyXWlExaHXaFy93tK0lh3jT
kz5yPbmsWPKJ4KcVjFHSLxCHI9HV1V6aABGOmlWN9lp6euftvQwzMoOGW500vMH4SiavOlG+qfSV
6adxRRsgZxCqDPwIBYF+12bjF9duQh15lUwMoKkY+9e8M/UXYu3FaxPpcx2aOM1PDSqAI+Ls6nay
AdU+tqx4uG8Jm5yCZEdmCc21DnntM6MEqn5itqR2NucGqr+YguShAvt2x/qYnSlqZvsYZ6p7LUgh
eIVTSBGhI1PnPbNLqgrd3Edf9S41XjICQCJUvkjZO7BiX82sZRNuR4kG+XyOulfNqaH+mbMMoMdm
DgCpRjEwdAL5PFr2XlZbOxipaAxK8HgIc2CBAxa8uhXE3qDlj6voq2M4/E5Qq7xde2mQOWubhKR6
VVqIztey41tuUge51LpEpUUUi0n4GdxYu+zOktnp2TfqpTREOAJej7csXvlk5MyKRK2R8uNawFTS
dtq0LAF6OqTRis1UcJ4KHQ+z2xYsWvPI5S5pM1Md7uwh+ipbKcDBDgmEvyh2indzIDhlNTTWhEke
wsnXPy+mI7V4wB1pGUk4I4GEy2jMqsKq6VY7OChxaKFyzlB1L0UBUh7KWwf9WLnLk5RyD8oCjJNl
prJ9TfhdcDIbB/IbGbLOGVbN6tYZUVRwC+m3hmPUcH6Z51APaWs9S886VAxyV0wIPy4CSSqQdKmN
rgbTqfFSaYa4yyZp7sqhLB8KlLLXmRdA8aprX78bRd1Ne0UZPjrZAye9NyX8c0rtNt86KSNuHpy0
kigWvBDgCT+s7NT+xbSmLsNVlFrP359LclwTdi/Jii8bnE+d7N6SFGX3LhjahgZGsLC5dGiHiqQR
3p/VyO0kEpn633FMsIoA1e9Z0TnCrtOD7rYUUVp6KwRhNYlDwkmJHY/f1Zi/wmLQo4worgFZlTmr
OT8JaWGqWpaQCGTNfpWjDfxipEhXSQLTj/Sk2z2uKuu6iH11jpYpuZ9nMX4hJkL+WVb/jwb1dxpU
i2n/u9Lp+rl//l9vH/Lxy+fi7f/87z0Q9yT5nloEzGP5lf8WgDv2H76OCd/jVeGFh8T7F3/E1f9g
mrCX5JQ/Ye1/CcBN8w80cJ4Jcpfi8oLw/UsAbvh/BHrgLCI5KupLb+efSFCdHxuBeCeprQL5QctK
cR5x5lJz/q6Qjaojn1MnNm87lpVsWOYCO6M0kMqG8xJcX9vsLkWSt99qjw2/EJl2Q1bPtCttjXTY
PCEkGnMZ5QI9yse1humyB4azcZSsnzpd53MoE1F/1WSVXKWtqkkxY8w/VJAO6DyY5uZju4kZS12J
pbrwsYElBAwjV2rN+yAmRFwY2vBWzhpybSrQNqFhZNSSmEBqhOj68TmI6+nZA+iWrGPBZSMPW/La
tlk7b8kZbI7wSeqXwRTpcx+P05WWMdgxdU1PU0sGX1DHmRdasNvecC4bKxATNkgz3biOhcs+QEuw
bTB9fYGoOGe/6U9+tKT+3Z/8uAVLJ4a7CnKGKJhPuoRitm3iNynLzK0VHBwL02FtqpZaDmGY2coy
mx6enlkEV5VXm+flaHJqtetXTphkOjg3kU4bj8HzEMysrufIEZcmteVXFOvaQ9k43Y2YNLVxkjS9
GJyejq4vwLnmeeTvYkHe8tBZ1cn32y99biHCqMdzqtLmnSnMnSeCV+wszct3L8kv+icfxOgfTtrW
veUBRu2p2/ZPXeCaRlEc6XV5a1dF9GQsdz+uKuPRMG11pXl6exhSq4UtO/b4CcuC7pjWz9vOImpa
DUp/qTNCKglZG9Uphm1+HCsLF9jETw3KrzezroyzWDPHkxhc49yKG3Xl+NF9bCsTwS6l3qwcianO
cn2flCMtQa2FycvmaT1hq0boX/BMW70uz/TZei3d4XxsTWPfD5GzJ7NwmU9oIidqyjbKISFerwPB
FP2U10F6tO1q/EbOqLXKe2v8VreRdfCmvN23vUGmj6DzDO5l22OUu+GlzC49CUAq71ASZdarzrTC
XjVqXVJIUyZM36ZrmkS+GtZJQv0Rc2Kw0+fWDM2EnalXsltSJXdp1ZdJelGIZQWKM+phojH15pOC
yO6dlgWtfYfABlYyxrYUXbdnRZWc5X2vX0TUrq/80pAXTtZwcqY15MWmEXO6n2i0BOFMotuNlvTq
1PUGF5TArW0y+/N+dJZ3k6wZksLG7oEgWAjbrBLPbbsN8Owpdfn3z86nMQvFtY99GG0+TpuAe/mR
TPHdmAXhi5qb9DSiOfX5ms15udMM9ikg/Ihb94YgRGHBs9NW8zcqpfQw+q6eQoQr4jWtK3W5eK6O
Ta83DySh1Otc5CAz/fpRLaHYzeAWX4qGT8lk61CMl+QV5Nz784o815XeU0jsnFhtpqIyb5TeZjaE
CE51GrTpgn5+EjJcTVtJd3gZUKvs2Dpkmm6cXjM3CXsnPlNJddmSj3T98dhCxcREC6fsom0c49yo
YfcTR64/+lrRPSz0nodSm5vLpEtAXRdUdgVBA2XyUurZDqyCVoQD2UgC/c9A32OayTzIfOGffL2p
pt80dD9UCv9+dZfLv8izUaeQo+wgm116o99d/rExOmJiWipKbU1UR09/eTW1jXabzgFnYKQEFbpN
p92lUwKa0VF1UF+oFiTmztcTpheLd3BYmXkTHf1M1s+AXuhZBVTVCCYw2uiJmiUno5u5cWiSQdv+
/fPzqxOwl+mVmGbmZerPP55AOWddC2PWu8ldMjZUaqjLBnrstnEjNhx4/OYtJD/GC9NliCmFo21c
v6yf9Uh3zozRjaittRYD81Q9W8ozzt2RPawwqfVsm9yP7mBPs4oUpDf6v+nLfszHny6+7REIgzbc
I1f283cnfzFpZ3t0boAkU9kbwdq/8zRH/r6lOH5vzOShQ7hSpxwS+a5nY5uQVV+65AUl8ki7D4dx
YLaH3BnZLxJickdIEvUAtNtJCGCzJFi+S849k/MfC2KUV3iTu3fJNMEtSuyXLhqHA4QBnw7VUqMc
6ISUyKK8NqxTCoHKpETcU8Z9AKqaEqJJFalD8rOJsBdsiRiOt6B11RMdhnnXjjI6JHRVluxg8Li9
aao3gyiOdmUWNtEZXW0am9mqA+JnsxcqWHtCIMtmZWV1fchtGT2VHq86awJ19fHqQeKLX9tIE3Lj
ZvzHocyi46xa8wY6+UQ3JrVkGJiNeNXrbt6muoieePLkm50XywiyXBrYs0dMN/OFrS+7GLtg5KsX
ed1kFtmdXptzTOCLmzzC7v1mVeywIUSrQwYFKmxbU4YaxaBztopw971cXRKTw1zy9w8xi0Se0h+e
BFRirBmQ9jgfy8FPywbG6mLoMtnciNzovZAsNQGzfRmbc7KydhPtdYIuI06Acnm8ZSlWP7s0wa5J
SaiyTVx0B6E1HqTKNKfElncjHR89yUJJraNYxXG5hZ68vK6Gp79Mo55/YfjvX8zRlm9D4tnaOnCd
wqMd5C8gJpZjF+C4ibPydFI/lb0EBJANHOXb3IjYhAYzhAc/1tR6mmvvQJPjC7tpgz4//aQcYliy
oyyvXSM0n2gyDXD1aeswRGZQaKloVHtlzKg3eWuBqSXLknO5r+yN+4eOfSYRO3JaKzOZN4E1PRh1
TRxL5Vsrvo8oVl3KC0F8Dw9ranZ2SAqH9w2ZVrFupcyOxO/p+znIsY9T22x2c2OK6sKEOU5JYMjE
PfNAct9pKdI4bLnY16sEdHPn02bGst648V6wbmEfZzEaUCmoxasGfhSm9rgscCgTHXWflCCtK9x1
Sw+TxDAx9BusPIXO6aJDB8q+1FTIsuDnqB94DSaB1iSkEWDb6xyw910c990hov1lr2YjtV6EFaGz
jVEtZ2cEBCzLn2C6phhXaRvyzvSXIgcPHPZNQU+YkV0PtZJ4oNgZsyNorsxfxWNVnWn2JKrQQXr6
aFQzIuOJCLdrGufRsDK8VN20rC33JBEH8Qq2wvxuupl/oNaubfKhyEA4uRFQBepv48aWMgj9zk0E
IhGauiCdeAqThlXmSiGs64nG1VZOHeF+t+b8HX7GDSEheRI6LFuhilD+DfORPDbPK8SVWXhjyGQQ
cGWCab7+eJH+s7P93c4WI9J3Q85PG9v/apO5+pGsiSeSX/nvje1iX7Z1h0EISg1LeGbRv8Ca7HkN
wEBo6Nmgguv9a2P74Wzmt3waIB//hw/83tnMdoCPQ/XOuPZP9rWsAj8Nj9gN+V44Ndmm8fU+GwHR
0nUMCu54DnEwVxDA/LGHT04RmYLYWfWntTf90+ibmUVe6A/9hwc4+/ADM/307DYx9lBuydu0BQIZ
MqUuNmKGHohEfTikZfIhO2as29rWSOGmLINpn2rjSPZL6ZiUUg/klhVUjlZzDzCjvihzMgzXEk1H
t4IQVJ47UaqOlVZI/QDVcbogRiIiAKKpj6XmQk+p5I5Eci8OdUX6BmXl87Tokh0F/YHKEsCSO+EC
tkebNYzaKihGBhZ06sFmhGE9Elc/U6B1c1fdzJl0npm+ljJT38mLhMkPOKfox2HVyiGZVwHAnZyh
XOY7JcnKAj1eJQcXaZt3ibJAppRT9WTXaFrFZ9ZTv+tJ9h2gwNDzF4VNsQ8uxjadUWitYJXwwUuv
iUFRRvJkopV/6sfJuBldUUpESWm/Zhsi4xX7d4pogJ3mVZcV7TrFC/jYsw68j+aK0mUbN+R8q8pn
aI1ahxO1I30wHyMoM+cjcvBdZ6KOsI2MeT+uG7qoRkuwRmXUa5ZT4wadLPU5urrOwcXGcU8GkDoH
YIGyO0lteMOia/V8JXnU15o1TPo19NWNyYBX7Kw+J7amchad0AfbvkthXTqykB7Dng0gQh9shy05
moOmAj6nYjn4W3Mcx83Yk1TJAkLG28nsdS50jEYKvmc+vtNz02H4GJQ+Hd7GLSQ4uJqA3J8paQbm
NmgLoP6Vqm8NgsbOALHnj5UO/jnSpTGGsCz6fS7FwkhqvROd9nZNiSPa4IaHnAOA1OChMZQhYXDm
zRaVl9oIrw1OymnqXRO1Qzg0dnwUQaS8VWUV2a1LAQC2vBgIiE216rCALA994RVrFwL8V96GVoKb
MIIXfGbEVEwd6W67uG8QqeTJcBjbwgPCISGABASt3Pq2/KazQ1xj/ZvXkd+i6OANSFh61lYRTrFi
qohd3zgvXDp9mXD8Jx9J8052Akyj082gWx1J/YjMXM1ad1Fz59h5e9n4+vwC/RUhWBNP90QCFvto
jngFNQ0GEqCP2dpA/sJmCR32ssFbMK56YrlZDkvCqZwuAxdEc/uLG5PBOmpBeSiDJH7om3xJK++j
/CazazPsUPLsZF/s+srnOaRxR3+WpN1r+pTIXnplgeqkjjsyshBvdEYJOqXd19cnWgzBFkhR/lYa
2XRoCE4NlWjSRWwWkAXYf0t12HjWBEDGgZK3T2nKhZVtPqtxenDyFkNqFgcKBaQJh3XdWA73cVzV
NDUH92rstCjmsJnjDlP75/LyP7Pib2ZFE0MCE9lfUuCfpsWL5657/iaG7q3vu+/Lvv/6zX/Njm7w
R2CiRDc8lMioKAIEwv+aHT1riW0j3RqrGYZTGih/zY6kVbPoRAzDr+k2UxfV2n/NjrZBRZgMJB3p
wJ+pn/9kemSW/X7vwEezZmeipSDNwfSf/IjWBMyy1lDYJfm7qOJgp/ksvLBBjr/Zp/zqSCQ8E2O6
+Fh/8s/kwJ/sWRkcySRFvtBrEBkVUdARkT3f3YdflBR/dSSOAWcF88zPley416K5rZHd4RMcEK7o
p04WBIM18/0/PhBVcxwGDofTOdaP5QPp5QZwurkGi5e9Z3n2zh7rPeWf/5PDLMRDjzv+0z3C/Dp3
guLJHuxqsAkWjRRjIrg2BBb//NLxrAY2RWgHSMZnO0Bc6wVydc5IRkV7rvSBSbYy/fO2/J0lhUbI
5wfPhzURmNwn42eviCcpSCCwqvdQs7IVA9cNU8A95bL7Wv6WcPFjb4Mnm2K6a2Fz8LBkBD8xEjTD
qXg3q5roT6DCHlWFfeo39H215Fn3l5KqTRnHmGDK/PNb59o0fFBf2S6G+B+fEJBRg0lKaL2vm6S6
pVdorZxAy+61lJ/+/lDLw/ZdFeDPc8QPy6iw8O29T5aieUiHKamKeq8NTbsvhnraUH+Lbv/+KL94
t/D2//son2sNfmBLbcg5SqCcM7NV97IYy+MHjuf/70ifLh2bPlERoccDkg+0Y1X6PC960v+H10v/
+aQCePv4KbA40Gf67IEjB97xC8DL+1qaFbpASbNlqnuEBnYxbYJIJ7AwaI1tEzjOXmf/Tt69RfZS
Y5dH2TgYeUYkRhtfxQCIqnL85omELnlKrR90E3RvL3v/UIpho5AXNcp84PgzRXgTAvCqqvkrkyBu
SqdwFA7MGHsPXPU1pWTzIfOQUrEzoF9fUNQYQZPvI0TFqEjLYDemPM+Zp9x4kTfQvc8W+KFsYvtA
RGC5QeZN4JLplbe9ltpHndyxb1j+gp3RI3GRrsFRUrs6w6zPkl54vqg2+PL1F3CKqPo6vg8if/u5
iDjpTBI/jKSzPiF9rda9YxNNKa0oIqpnyFERNFYfoCOlj9TokdqkDS0Jra011CSc3VwwcBWp14de
X5oh8h1C7eIEZrnLFFB6iyhAEMQVysCwjjbak13aztWZoROC7EMT3fkB6ia6eOZDLLCYqxiOZkyU
6D3SLPYinVU/NW5hPkScO5i10aif6sImgN6NJJZG4ZEeHFoWIX0rRAFUIjSbSmk3+jRWKMZcU5zo
v0ZcmjORNvXJHdJ33eCeDqlrPlAwfVfdGN327lwBFV++fddVS0gjho0219ltARnKxRWbN3WTqsQ+
MKL3ISS4ZCdjhDssAxCfIAUvj0lsUY+yhzi5jClqnlIXoyfeVuPSqGjpuAOwg7Wpjb6/+njs8464
afRg/jl7vHKT4aZ+QJKZ0o0RBCxStb7z56UdGHtJ9jWYka0VDTgHWoBpsc6RqaDKmVs33yUlEWIX
xiDrYO1iL3gUUa0FG4xEHSjNKmPz5+rYTrQqmR98oLF3qswQh3iCslWGOB6bd7SiN9DsbZb/9xUQ
kDurrHh+nFZ3qB3bZBPjbhGoKz5UKLR6QVUGJregjxTKFWXW7ERhzmohm5jgvmvYOdVLjTXEVAwP
fAr8XW/V7CedfKzFfY/EUu4Gv0yfA5qe22BpTxH2Sp0pCdiidjJSNyPpUo8zQM2dU4On3I5aaybb
tLaceTOnfoZSrYvZh7oqM17mYIHbz7xbthbRAiZDuvsivb5+IgDAOfto0RWq4su2g2Yd8bEm05ow
Zg34CHfCEXH2tYlNWBtRXGKY6EwIqem7if/7PIKvfOSLGFsjLibsjlgY4Ce64jLOArUZ4jzANM0d
GpDf8seyY/aJM3fYft2msiUFQNRKvJV14OxJQ8cz4JLdeo6z+RFBi9xZRUVBMKAyvZlHvzyOdvLe
RUQoNlqvh7iTdkEbv/VDS023I7OxMfd9JV8GuuJkJLrmZohq94yp0LsWAy8l8ky10Y1cXkiYHxtY
wGROsvGh/e1lDz4s+TM9UNti9vIwnhXBAtQWIB9mCZso9sQ81IyKdO3zelqXQxqcLBaV20bjrc+w
9lDkqHEwYzza0C7BFzT2ZN8u825tc97okZ/RyNCkQjXznKvOv8azaVwCBDXuiMGzjmrgicoYUL8O
AZxaPUfjKktOn20hrxFpwMGpL4fxW6e1NG7ijjEHCIl/bbj0IGw9f3YcBsq2ZfxwKc5ezwnlA7OF
gRF5DY4seu3+dUSYwLkxEke6+lhpDUHb7HK9GNbpxDa/MAfs5yOHJi+zxY3iE0JkGOM34ZQ4B/4v
e2e2HLeRdttXOS8AB+Yh4sS5KKBGsjiTInWDoGwJ85iZmJ7+LJTd/Uv031L4vm86wm2TxaoCEt+w
99pMlFZYLVcwc6I+K2+tFhNJynyYL6FqbwUDgU3WmM1VSfgQJ3mXAjuoDKgfhB1uIEeNUeUqY3s5
dcc0e5MFCSn6yGk1rNcIgiLjpogRV+bOlOyGGdebN1JJbDRNOjc5CmCBGjscGtbBzqrK7WRDsupC
jEs28QktHszRSWc/Y2tiDBXfMHpGve8BN7v109Am63y5ruEJoAsUirNHSzg9xoCbvhgqPvOgUTuL
kQwi/SG7sWJ0fIGh5BWhg9Sjjbr1C0GahIsYIU+bYF8FiXZGeHxrZdbwqpEOcTtPqTzH+fIp063x
k1/MfuTPrA3QfzmM3ZnZ12lX3bZaH9+VxZvX9RXD4fRbk8RJyG7qmfv5pR/05GCS9Imxt+pCqVvt
rT0LE7fGDGnZtb9oDvp80+OhVzDqP2pZWr50qMTw4XHi6JVvPCEmbptw4SsliHatLS5C64XvYEfv
RT8Na5wcaLsOEagjHqtMx+73dQqOyEiRVUviXzDHlCWHWU6TR7CfmQdVaCR6cazHjjRPv4XzWRdk
shKt2DFGhErKSgURgtQ3Tjx2FaEQ5rOozOo0dlZ1ajzk6GHjq+5klUJFyqhI2YnibmL4dTWP5kSi
JRuYnvOPaTgGAHPMxgilXKrt7Wyo0hMKNfIkWJvFg3+yB9XUm9hVyJJCanG4ZJsl6L1vYiaYc+MP
RfW1ddxkQwQpmxjfawmkmYNeUN04+rYTE+f6DPpgzkLZS3kHzzHZ9LmtAkXaZ5JvZZv2drRYCqMN
Z4/47Bd6IcNmKh/H3JpQ/houwkiKaxuxijcPp7rMiyhr9S+2rw5EZuc4oK1qY+Pp3Jku9xcHx3BP
iL12NiySNiPpMYjRbHPec5+aFuBUllEAJ+TB7NibTF38zryo2HoEZGO8bXDgeJ3xWkninBXPaGNd
NugRsxmlhSholxtu1+T3pPQMwltYYoOVmmColpp2zCZH9xF2VpxvqPE59BOqE7olG1W6HWDRbnnD
h0KNCCH92Rn2Py97jbWu/aGOR/xD748CCM86Q8YPFTYblcRWQi8PHQ/QyDURGstEIQr1e+oESWl5
M1sayk1zoa4ogr654oZ3rlD2I7Y2gl81ah8MzlD3+XvWyb7HhIJm90OT6yHZ4h7g7+kr40WRzIaW
qtuMXvZel+ohnnnM/fwT+FtnGBDCRWsIaYN6HJ/zjz2TsAenSsa2PAwdRVgdK/DwNYqZuk4v26nm
+PPX+2jVX9+hgU9/ZTkGlmX5HzqnuqfAsdH/cKB0zJM5JRo8HjU2ybyv3qVGiHzBFu8Wcth4d3ns
jFD+3X1qYkdOjRJiFfi/92YBYMXC/VeDkwsU7sMVYZAmaDkQqnQmSesH9p3Mop3Y4Pm2Kg5phZxU
IRf+1lgd99QoR/S4G1JKpy26a26kNDfkzcDsdk2HbW9bgq2I+KjeKWXqk48YO5pNOk+RtcxHweU7
V7aZBdc1aw34kgLf/9ChS75omxIciXsLPnOztQmJerRs3X4H+7SQQsX/7H3NwAwQsxjZxETpvazB
T58vT8W6Rt4Wjkth/goZ8hF8c/muUFsYOgzdddv94eLAtBnjfxMrEiyn3mYpspET1jEMZa9QxQja
pmzc4H0yd04fOCGWutPPL5e/9dkBjE6oUFw0AEDNj7RMObsjwcVGRkDPnO0dLWmuCCv41THwt4kF
r8KgwnTZO8MV+Pidq0wNsQva/YBtytq4CQdXDfuWSJuAPsMtEJTNOc1DWlD0/vwNmh/gQnzGlCig
tXychwbwjA/X22wUNiufMT3YYkziQ2k3wbUWx+jBWW5cCZz6822gOcGaNPtSEOb7DR0n0Q3YWFkv
NzVxu5y3iJq7UvkWfryWctIu0LyBI7vOm1qg+yeD7bhqHf+i5f13Xv2LebXBlNn67ov+27z6ulGo
wj5EJP71U3/Nqn2fba0LndK2fL727yXKAZGrYFSYdDIfBCSzPrb+RckFbG2yXOWuwLwGSIgnyF+z
apNfyDCRATOTPkDW/0yivOJ2v380GuvVaK6YXM+BI+J8nLeCexhVkxn90aljjO3s3owH0g6Xsz9k
TCa63IdJ2qJREZoXPyFY7Y9zVccnjTCxk1j1OB6P/GviPOt9wREWmvBnIMf7hfbkw36OyPMCe9Lo
MgiNNJ9ujRpFY74q/jB3lC/kRUkCZlBOJWkVnzEOp1NUm94QMdjr17qvH1Faacuh6YiKUbWafqF4
/PBs5BNYReCoZCnVQAet8vLvHwU5etOhGVA8Tb0x3bG/DCCkIlA0pVzfF3/3d5fI3Z8Pme/Jth8m
Y5fXY45u2ZBUgAh+fBabmqFPZAC2R5pphiZJ+SVZEMuiQM1+8Uofyoz1lYD1YH1HxoTh+eOWfkGb
y5TbJa4t7kRk5piegpkUPh9Vy+Nglvaefid++Mdvz0O1sEI/YSCDMvvwcYJLGatalEcSRWbk6Bi0
NgIQtIObx0GJ+M9fzQEfxiAfii4o3R9fLQn8MaurHL8ui9DiXPf4vCe3N0bwF8HTz1/r44Ny/TwD
j7uVLRI7p5UO/8OVMhUEM1SFnh27dCqt0Erx70VdRxPn9waO5zmdblWvjOsR6dhhAbnV0nm6v8LH
/P0CWmWiDL916DHs1z9csKUh4EkrKz92ao2YmMQsYEGgawjcFoHTz9/0368hB4kHYooV3Wjblwfb
d4VSDx3Rkr2bH1tjWe4bvxeR1LiDSYcv0uMsMnJ9vTpA6fTz1/3f3qRHYQaN3w1Ipf5QIhdJjivL
xdhD0zeQnMG3ORLkgL02U/k/e63VoaHboP/oDzgFUcz/+L3amTYaQxpkx8zokqibZo9cQb2H4zqP
1vPP39eH8/byWhSeqxvE020gST++Vl5JFy0819AyL6MRNbFXnUoaeSP6+et8UOj8+TqWu4KoLper
+ePrKLcUvdtMGWo2GKIE0+S8KXuuTdzbaPnTLINaPOEVyzYs9vJ4q1dJ+idb/z/ynz9cO+vfgEaI
g85wwf/+jcg2UPVknSP5G0C+Ra0xdCaZAVpyjq2Ztjzx8eC51vyL8/zyEX5f26+GG44g12XcyzP0
Y+jvkLhMZmMvO6bkB33qc7c64Tybb9q8Tve91daC2KA11XacSUEKkdzOw3F06+kPwy07vDhDUJ2K
uI4Pia5VpziL+Z8l1/7Uxv3HT+d/+zsdNo/rhgQePhzHH7+iguSZcfE07YCO2v1CeKLdh0NXBnxF
JQXxgTa99ShJNc+DnjIWZ50sGhAPNZhbVTT2VSCD+DhlvnUTaK7wdu6QNnnUpIH3q9L571etD5DL
0tGOUZG4H/9UrNWyQVSTHatAhwVQYIkryIgScvvzq/bDXc8V40MvXA83EOWrCv7HjyTT0JPHmkDB
Qjt4z+CK6XtdNM5VKWznF2u3j8f55cU8tpcXkS/g1Q+f/+wLR9hTznHeIABJ/HiI9BLUKhLlYhcz
Tw9btCJXBrbzN62qmYE1UPZ//oYN/UKt+/FyhbqLiY3ZBF/0RZbwff1RsswxuTMAAamxn49eaXKY
ymCy2iMcyeVeI+Xki7M6H+AsrqLVNqU5I/KX8CK3QjQvsGycAqXmOxLJ0P6LLofa0JVSZaFZVMuZ
BFJwG8jEH5bSir8Nkypf/LlczkvZ01oHXe8+eh0qexOy2NXQ6xy4ohrNB4cot0c3bfWDxFl1ndKc
qEhvM+1J88blfk5iS21KUI+3Va/L9zKe9S8LTtmz0FrEZsFUx9/YSTuo7aoOZgH9f3xYhGGLXe4B
8dhYXr/WCE1hQ87uTPudcb3xe60q63m0rLaDZX1x3yMU/lYO0maciyYo3Qq60XNicWcTqZJERj9k
jOI5vMlMdb4l9PZmWFeUjVDndZI0xyxI1E5PXXs/2jrFEKsx8YfvKXNLupr3xpACWhIqZa437v4E
ck4T8PJt22v3vik4O3WhvLfFjp1oYvp59tafFU7DnzEj49wSuYTG28tK7SlorPnMc4bhaDePt5eP
N3axWpl1qt+3VpciiGbunx4R9bLWMEHinNEiVWpL2nIOYehyWimDuZBcOKF8bOqfWSNxRTb6hMi4
LAkKRJXFZzcjbkIYr+vpk8167JNCaKcRPafXd1bBkjLKbX4Po2+cvbJNItF52ZceyhQTTGb1yT5A
lg08Cn/lY55Y1rNfD70JbonPtsKH9KUkAX1n9I39zoxaI47UEawDYhAU9ygFJ0nQMOQLfeim22y2
hxRFoJF9Ll3J0bQYmCZm3QZItl6H1dhgSlH5mIRzClEgQrtCAWNUzbKrh5Jryavkck5G2CWbmNZr
Zh48YH1yNF0PF/IoI5WuZqOcNyDYe46otwUX2FZnlvSejuTgNpPP1eus7oQ+TqfmoFI6BtdptCc3
LfjA9MSez4lW5qfCL7fBooF+6+3plmE1OV+5ZxySkRwtgrUcuEtNj9o7zY6639dXUKrsMKvKjBGi
0NdB6nJSne4eCECJnxLpwc1TxXvn1sWZ9VIBssZBOrh4ezaAwN8hgu11QtXefJ/broVDpDez3ABJ
tyJdm5aQlE4zNIAI7YKpIa2kr0viZGfbfAmy4TZL6vnEenCXpp21GxXLQ2ZvgNE01WLPHwMCxnlb
ZQEoNC0KwkYI0digxge7Q3p57wnrnFTZbT/JlWsAuwvdIJQS9CQ7p8ue3dittjOmkKuSzQPLWCds
ZT0yD630sFhwNqaL7kZBC/QtC9IHkc5fgtZ8b5UmtrlWQX117Xr19ZtHTfdfcbADABustgznyeep
plrzc2Wxc0WjvBlMJi0uc3bmhE/DEF81tZe8Svwf2xR0wAlqFAewvdZIlTnfuJllneUiIMfgpjhp
A0wqCKfXhdfNPjg9luAiQHrbmYn42ukolWa2vihkWVPDFEus/GQ0NmPrWEu8a+WU/EFNibIKUo65
PDuLbe2msYwV4zozuMLp0d1SKNlpNGK3Qg+AQwOXTvKsTH18nNGrEhgtWshkxP3N58JDERlXrrez
C+n/QSx6f5yQBR/TLgB4T/SFde4T/cF3xvHBG+d5ay1KbdfnD7tbBNNg8tuuuhPSW1A5gDhkiWpT
CpjAxsN+phYB7c2zsHZFCOA04yiqyfaz0RRtvCTwGPrT+iiuv6iizNtBcrD3Cu5QG/atWd0KXb4Q
yEa+8pgNN3a3+HmYlI3PJgArT74CSaorDQ7Nrs4L506HbLtzPZV8knkyXlkwWGQWj6d8VDr+RfKw
P1s4odjy4eMH6cs5icKzT09WR92+MRE/HJYBxcwmp3agRSi1e4AY3hYd7Wvd+A7QFDm8Kbv2v0l7
KsBx1Aam2MrxPk3jEix71t4arr+RxWGjqMfqqTu0yxLcTFrn3velIHq0aVrYe513oIMO8Fsa+Phb
Q/VfW9P3t4jKZ4yI1tmrbB2ySE8ith0Y18A/a0qY2gOSXAb3ZdzhPIyt2KL5z1ObMQW4Ly0jUtGQ
ZXDiSw0eJ0eB5kxjcnBrbbB/nxZd3HtSY2pAom3kN50ZIZfakj9ek/oO+2E/elq5c305bEf0p8/F
LBpingWr1djIjwRBmquXLIusagi7ITb2AwvVE1LZs8v4IIyrwLxL4NcenM6zroMkEavCBRuu0xkw
VcaGPerS7spF+O9K8pY4aLpwEGNmhb4k3GlTxI6/T4eaFV49rpmzIk5ean2ybpTuN7f6ElP2B1bj
blqsN/V2Lsi7gXrK9r8siBOHZ8YQh6xbUkodH+FDTKTgrAXzV0k7fi2tUd1LW5uIcG2DQYRaUfNM
B90BBK0ZnBs69nYP9MejATCaU2nMGHIQvJzHvCrvWteRt76YpoPVAX4Ks8A/VNPSH1m/a7jkY0iB
4EPOuar9vZ0M1Zei7jx3W7RB98lOHLCpbl58C5wKxXHrtc1RwwOwbfOyf/FgwFX86m3fkZbCqgks
VSjiZUChb6NVpsbUjkmrqGVRcDICTmv4IfmirsCnZSEJ4fiOVbYtKvN31MttlIGoL9CiWGJbJ8l8
9gLVfPGMesD+BpTeD3gGdqm17GGWxRGmY3ln6IP4kvcFZzbum6rkEOgvabC21xXOM3L12hO/ky/h
2xuQIlP6LYXiHMpMlCBEbFnTJkntW4ea/zw5rXmTjY561pJ4+GL3mf+WsEuvN3gitJIN9OKv0vK5
ImsYCkdVHzTXnk8my1OYp+6AWdnIbvSi6iLNH0pgoh2cjAxuV0gVldzM5uxFsuyYaphdfHSacrL4
q+R0sOtcP6PSKKOyGHlmAA+Y2XPghXWpLpsUB1PeTQcjHuXJ6KtWRdImwpfH1pI8+lZuziHoWHV0
gonHiMF0iOuyDDh9xKI9ZRiPdgEgj23LQ2Fv6a08tUumfm/pjegw0jKqtYpPofezz7G5XspMlPQz
uiNyjD2znw6ubsUvs2Na75rZalin1Hgd+3Py5NRLHhoNv3ayp+DZqLNhYyqn/xy3iDvKQQ/CTmTP
FMYxbGbybtOie3CtlyRZWEEvHK8EqXBRVS+6Q8aL7msP3oDGATDQEiIl3pEC7G76WuJ+LtgZTRQn
kQc2kN0aCEqfHhsaDeFUULu+QKtMAYXSJ29UivhqxtIGkcbcKXf8StQN+iTGvmHXm8GuMHwvLCr3
ZIoKNwNJlpvKUTs/CQCZ+ybxszGXs55PxtXswLVajPel5RenjfL3xJUWG+wK5Z7F/vTYuWYamspP
znk9sFQAsNUtVb1xh4EMVQa7W8E065T1c3kIdMYD5rSmKLW92oO80r8U0mDlbtk8dSiETrZq7K0A
OQelV4prnUXRdWFM+8JNqOYpuNh0T24kAQeMrm4AlJjcg9PjltSrwac1wRAOJZ0HRBPfTYYgwbfM
250vkYT3WrNttWbZGy750FUXfO5nEFX9jLBGtswOlgQXzyjukfe8Z+Q14waZqVOCm7oSp0rr3sZq
uVVYUmXjPoMFOHPkMjAqM3lFTOK3vEtesH48eHB0WqrpkGTP90DPxv2CzmjjyeALODURLn2iogCB
63NTrp6RxvwykXl7KkFtRHAfj6Xbyygw9V2uWqDHHqqjxP2dhFbSYCqm2uzQ6AjQRalPi7X8Pg24
fHJ4lx3GyjGcgzn5hD82WcBf+cXJ7tmuzUT5Zk1m7Y1ly7rwFQu7OCiZXjvds+4P6qnzIYinInsk
HCU9eBCLMRQP6lUzyQyaCG1ktQv4TaleO/QT6dCaP+snx8q8V+yN9T6rOphGIsWYnHUu49ExX9sJ
L8A43owGJXS2eu3ZwS7XErxZv0ur6YFlWvAHaX2zdtLakoHOpgiEr+/NAdzklfQrAMYblurTXYlf
nd9ndkX+PjN0xu8KS1EeExQDwc4bi7ZfBW52vsYal8i4BInnm4J66OBZytNupJJeFgmIhIhvAoam
rhhpOYsA9RtI4jc/AasqYpRmRMMLVgwOWcM9pQiNFLSRhrYo4bJXUcPxwpxp3WnMjYrfFGGy21gj
Irpu2Onn2YIjnWfcC2rl+azZyOtMtpzs2jpXv8k1Jxu2crVCVsrjWBoFKci1sXYnhBgNX/MF7EXu
zsa1bhQLcrQedzo8y7ek0hhyJ9jLHwzhSEiiPZ1Isgz6l6YZXecs02FteQPZzGHqtOJTVw+UDiWs
9n1rYLSmtudXa26NBKehQY+cOQGxYnj0V6MrP7slPPKsp/wDt9TeOWCKC2PAWtMmiBZ55B/NQvAg
FVZ8slKHoYCgyfeVx4xg3dRcXm9obW07N25/jF3YC/QJwx5OTvV6+U8CvzIfdJe2/4LBwICxHEz8
4O+ikvRgWIKZEiDkuR0Xyh6NZpNdz1K7j0HBh0mGFtnHqex2l0Ex1kDWKBPaEVUwNy4rBCobWM4Y
IgL+xCrFJQskoN67hPZ+ajLJG4BvVcHwmJZ7weDlDmw0ohOl863XBdySeJz6Y+/UsBZR7ewWLcVX
XCiwJS0MdSCLvC8gU/FT69D2dQPi19CZcwD5Wktvr1QJcRdALyLBbGEqwvCSw0BBYIv1PogahBIA
EmOIXFz/iCevgyZp3xn+ZaCociaK/nIV9MDZycwLMPXz7JAQ1ZOl2cliHO3rEhXSjWOMpDXlCxuy
xWF4FS/F6XLdaRjfdwPbdsr/FRLTl8t9KgVu62FabbxwTeNvWr0a8TTarHtSpvhMSsWWzeAf+a6m
m4Yc75PLkDK0URGezdqo9806ihMKV703x+PtUsLqaBCb7giBXs7S1vndwbD+wjJ3HxMz0LaX0MsW
TzRSoJbk8trTX3GoY5Sr7f7o1RgGEA7zaRnuxAVrWN58RofHtbMgAohQdeivKQ6YHApmATdecN2n
iG2vMTRjKb8MngzNjL8t0PavhhwFrrXwS/NJa94ZJdZEu9fm8IygyLgODICwA4ax9zgFVjPHKbeO
lnIL25ZiNznK+BS3RvNeeEIeg27S2NWLodSHTV/GxgPNAe+wNl3GX3GSFFTAMdiZoM7Ma/qW/hPY
JP6DSi+LE+Kt5TwI8CLg9YHcrzesKYr0j2qp2vfOz3jpSYnhVALNPkpGrgDc0DK/L2vKBRjie9nx
cwGce8T6/hfliAEoSUbrIdvfAd4GIZmVPgLaPj7pkm9Hkmn9qZu4A2M1B0wsUJnLfpDbpMGSajEC
P7d4ON96VAAO4rnFuCoT07gltTo+OeXKSJN0Pk5Ucxzudcth+MFaFHXrehWMLaM5p3UYKRAjAjjC
l/SEY6C4SmBVf0nIv3hnFak1sADaAER578QRWjJ3BwUAQIPNJ5W4ifa00BDgm2x5w4Fcr8FeJ+jI
w0uOthrtG3XAvBw0b6Xi+B5tn++mw1ffpU8OaTCmV9Fk02fS2FabPQV5zyi1Tch0Am6N7jXvrg0x
1DfgChVCwdH/ox1IpsmaKTgR3VLOmOV5MtnZiJ3S8eYElyNXwBB08VvurkAO0Vt9HHnk3Q1R2Wb/
oq/8V+jwC6EDmjiD5c1/NubdkMZ9+tqLr/MPrrw/f+wvpQPWu0AneYjQI0LkAmZe/+PKc35z+H8I
gVxhbYbJv/lL6IDzjiS2dQrvBGhyOG7/LXSwYLHx69ggU0oRH8r+5P/93x+2K+LDP3+/dSeHjN3B
D3N2Hd4bmW+ra50Z5Mdxv9n1dQX+qz+QWUSLXPcWQQ0Jo/8rFPs4H3TqqcfE4aHQ6Ni9j0NWy/u0
1YZqX+QGnWLfD9wZl4rEixUKrXW1bbYTp0KCEPOeFljfe0VtIVrueCBP2og63UitCKFm/DSZtfPq
1sM7fTChPWX1RPir8yhXUJHogydAEnlY1i1VWOOu8GbHAM5GvO9yVuMKmvZz33gQLjIl2Ur9NSgM
3Moca+ZDXfMkFeuJcmHQuNhhNqNLTWM73nSDUE1EhmYYDzF2hm0ltOAbcH1u0raxODWGiqY7GXJO
DSYxgLMHA0TXSCWx2JR3lw+qWNC59V76he8/wwW8kjRYmnI0Q4Hz976B7SbMK3VcitwOqej4QeGM
hJiYdUsgBBicKvg05EuXhPUKX7pMei9PMccMlgNs1AVvoeB215CfLgaBp1ihIT2JDAXGmDXUXyt9
3tnYWWYWG6KPlkOf+6qK2NRob0oxwPZlXlUbhLnGde+LQN+v5vUXQKkoW0jhMF57hsXMRSad31ZW
rOv9ttS+gXUMwsmCmFSkE2ARkHs3Levw/eXvg9DD89BkH7zB/LU+jiVfRl2hdfFcrx53eg8ji/XL
gMa4XXbo0TUWFMw66mUt+DzJQyjxDfQQGyWLYrwGKZSmh7ikfjyAKO6tXep4uG0swhaQPceLtjLH
i9NiN8eht0lTkvkFaJaYry2TVXdntDNVOJcKawBZcS34LRUGutyIV89AfQs0N8h9nEfA9+VLr1nl
Y9r282vXpuQt1FbwlPMw3qWWSSRYV3XWqXZUchV3dvopn5HHlShFmAfyZftMWYiWl9TJwxp8BzNN
2zJQEfWe9aaNRbqT48YNpLuZ8nZ5o3EGj28joylL0/o2utbYhnFfVc3GsBbyqxIzz4pdkOsyvSnK
ht8V4H7buQ3CXDO0rYFveDP0FKBbmRTigUkYpeUCKhpMEUsDqcfnyq0ydPjJ6O8NGRh4hVLrhc6y
2Fc+BQY685Tk1glStr8vDF08ysZ+dWSpritH/0SBNSPBpmNKNzmUFXquojxXSbxI5Nauu8t8Ngs4
YdtQ6QUkbQJCzA00uP52WcrmTrgLYn4WczsmuRVFqm2cVFIHG8PsGLd4rn1YPJJksXktp9TuIPUW
NEzhWDrW82QwanAIS2Sy2dPnjBMGGlsU3BgmI4oQBTpDWDlMW8JzQfrrCPtDNQpt37WWOCsryG8n
3yquam107iR4ye2QDpL/0BMgEJKqxILgawG1aADgKyII3XsdFi07xwbBqHOf5zA4m2M/89UvLdE3
NT7PcZMbDe6HObfcOtT5mfelC7jpNbCS9YGU6O6xC/Q2345Ac7eQyy28XkW9PE/OrGMG6tIbRv09
hqq2edFcZ96bnYdtw2KJQioyNlhtW6NsXrUc0o6YhqCHV7VjcCuTQYT2fNSjwXVZVsVtc08HAJyN
928d7ZgZ27GtGg+dy5L0J8WYNtRmVy2bYmTUtqlq+oSN3gGvX1IsTKFXswHtGbk8Ia3XF2J0+iI0
+yq/GiQRDuHQr/6a3CQpyXJb9mfBMO1TPakZX1SojvUOu8lswj+GzdHgAnyiT1rrQJOkjWCcaAmJ
3JRtCKOvv6OLL06XivmytjbdgVNJuNRWl5OlKySBIFNVnKi20WEZC73q5S5q8SU+XrZk/QhByNV0
jlX8koDdvJknTN+gqpvAwa1eGNPmdmApazhU0Y1MCQBg9s5fUg7Fch71kbqVuM2gvuGxPd8ICHgz
TQAQtktj0LPbv7rUAP8tl35ZLlFj/7xcGt7/eP+xVLr8yF+lEkKy31YBIDFqOGQNhID/LpWMVWH1
r+LI/E0H5Ol5qzyRCs1A5PMvno/Dv0KLsY5MVm3WPyuO0AL+WBwhgSfyZPWOWyixEeN9kCWl7GCG
um/Zlaz8lpl64zhbcLU2zlLqEYSvroumtjkh+AH/0hjdsNWXRGxH1y/3yhQdpJ0VGeOkpP80XglR
pZsGyyZXqpuQ/vXImjnYwc6sABq5omjSC5UmGHwINe0Kq5ku3Bq1ImyUJZq3esXa0GxCuMEzySFZ
XMg3oFXGXbbicLw+h814YeR4Ky7HhbjZbJBHIE4hPIXWFBMM6Lp5Bo6XTv6YHJD1LYoNfo4dV7FD
IiioKP7oPK1jvQp0ZjPiBr6NY3QEmy6Jee9VW7E1xnpaeMdm7m2GDgwm2r3AQ6RHlmAyf2K8OjP+
dwjpSHB35hGDqEk7+fyBzRXHFyZi1KuVdW/6HG0BMazgd4vhtluBI7lH9smYkhUWxiuPKB977wAc
sO7C3G6W5JBNkmU28VJ1hLl2Yn/CZv8ZBTi7QlJesFLL7hAbTqb2VWwmlrf3HdgmO6/P9EWPJgq7
mgUuD70by2P2C0R4HrSjLYwGw22bdKkb5uAE6rrYZoyjyumTgNErrIehqGkCKeBbfLZZzPCh6AY7
iLfswPuA8jHpq13rr1tQZUGJYjytoSi9jY1Z2w0xYavAV4S0IMx0CifotdA1FAIJO3OvOegM+GJa
6LSMo84Ww3rhEGTOYe8sO23KmdEwBB/L4SRBHrb6jTFXubT6TS8E6UwYs0eT1JLXJE5Nc3mbsnKu
+z/k2EmKQNh2BAz8Kdn674H3iwMPT8YqxfrP/eGnr0L+n5esx1qe/XDu/fWT/2oRvd9YcCDo5AnE
QgZJ/L/PPd/8DcFwwEoQyScH4vc9ov4bKBDsRBA00PShJfyfY9D7jX7O5ZQE4mEDrg3+SY/ofgSA
2ivo4cILhwEKxpZT9QeFb0JERFnnSXoUlaeuSM1xLKZKrbhCsAgi0EYFt0GtQRtmaAAdSRLRsymL
St0YD8QeaPk2jpW362lUHqFRQwyzyuAl82W5T2FnbqxMBXjLJpaXyq0kUXaY7I4sJj2CQnMVL9xA
9gic2ndKOh3oQ9EQzAWDnmo6dLF9qv1CMfMi7ZBCz09YaokApL7Tx2Hg5oQyji/Qr2KibwmGfF7k
sEDmJQgwG9YUaztX9wAJDRYka2TDVAssJrFWDuGixd2DQ5oEw39qtKjX0RC2jXafxW0uInJLxkNv
dc15Ged6MwlL/7TQD1/llj4/xe1s7eZepHdmIOAkB8v6zktiI7Zm5WZRZuRswj1nqClQ5uoxSR1n
R55OG+ZwDCNP74yrwMieG5R+m4SN+dm35x1rShlqHaCIBH0+jKrMlo8Fx+UdB4t1H6PdIBXC7W1j
R4XGOy59bYkCFbOv8gZ7a7bszVxycSP+5oKTWtohthuCJxBUbuLJ+qRQ4R9IxLz2bHL+DJXeJv4y
yMhcJUuRN6R0I85os0FKFvtaaj1JQaJ2JVyyRZK2KA/IqOSzje8TJla2GFttMHEC56v1she0+wEr
2+vFxyue628ZYQOR4r1scRy/xDX7GVblz3Mx22EAYfRzvwoWsMF6JEX7aeQU8zYxCKoo8yR5YIlj
gbbzmvLs51V3g+yu4qOmi/XwuzbubaKES56iFkda6g1vcR+b93PHJttJ3OkaKuhXaVrJTL7I4m7X
TIi7BdTFaQpKvKcui19kZtelW8Sb0nAhf9VafG9Y8jURDcFH0iuOKcDJ5GqUejncT4RwdO89qoTP
+tipb6gGjHu3almwJJ31SJIkT1+nVteOEJ0bSoYMgMDIcTkjoPk8Tra60VoaZXPUv9p19dkbx0aE
lVN3R+bjdOeZpd/OpWeIqOpnuGVYRp8WTTFlgDuxdbu4pNivlKoOuq2cfEcUB7mpZT2On1PG8TpD
FxRyW6Hht90UeU8uDd/y1vFktc1qMej3qIQxWOupft0S12mFE2Oa+6E175gavC0iePv/7J3Jct1I
lm3/5Y0LaXD0GLwJ7sVt2ZMiKU1glESh7xyt4+vfAiOinkSpJMuqac0yLTMCvIDD4eecvdemsKcF
CpVEujoQGN9JG5rubtJKCGqsGD02nCfGUA9x1LzqxhDRIXCLJpT4Ig52MY7edVJYRJL4WDtIIzMO
MXvOHf+GOHDNLrnq2vTMAXE6zoIRJosZ88tmiEGEXHZ+t8R7L5plzBGn+VimWjPcyV65/EnIJ7Uh
uhmHqg5kmzckMJvjthudmZauv1eWmRzzfBnbW3AMXnkYIlECDR1Uds5NPeMz31FQBLNe25cdilsU
h3VyxH8jwrZZi3lUyVsBBf/JkiVxmv1yrnSMgMhXkj2yuRj3M8gIO1L4FnU17eAQgsmYi/x5tk0F
B7idzl6KGKrqcWMDgxgCr7P4npMidpvUZR6SFjcGDsceMq1za5PRgzhlublsaz71+9FaRUWijC8n
Amq5A9myPLSFbh/t3pOXJG9qj1O8haR3pkCPt2XBiSVIYwIxGQ0Qa9ScCSF5NiJm0TXTGqSI0RLa
/L/Qtun1JeO8luARtCuSPLzW0Lc24bLuMXdoijiubG+xdZsPeCKgrDqMRxJbJIxum0XtI43wKyzP
ef5xyXxK99mdznhUsFzL8RPqOyyj9H3mwHYJSzTQyAfzMl4VS6y+Ea438r+6Lh2fmNreTZthP0fd
F4sotC0pLEjYEpRQqCz04Rgxxd/UdSQv0mL4xIeFfkNPolm1tBNvaVRrC63AaXI2ZZn2X4yKr03o
Wm53wQjM342xuI9dxzuYWqmfU91FClZ52b5wOY8mC7TnxtMDLBheWLnriAdl08HgrHjUFSkPkY/B
w5msOcR3o5+dfkKjW0tv1zW6cTFQrZwZGqXhbBR3kbOojdvF7n5qGBDT2Ei/Daka6kC5yFvKhr2X
dmGxBTnfAusTiIGzOG+3iJFupKg36PERiqDCU5dJgwcz1WdvkxcwJ+Ct+1sip8WJ0NUI2WN7nsuy
pfxAwWvXcmbs20wh5OAGRZIZk6BoJUe5+J89vy+PsS2/toh/wyGfPuP1HUJdKBEOA58bIZMjhpb4
MEyFuS0j7wrV0V3fVeaVWSIv8YbRvgUEggZB665ild0NeqfdTkl2M3NfT9FsG7yNxVXsvtmOchLI
ZsoIHXVF5+zspZNbC7EwuWTj0G9QmaoPVs6kf0L0Yd21Aw6X05L1akCpoMc1/aKFHD0jRfsdwF9Q
aCqsqaa94lTeQuB65DfLfZnqvvZMa3VW25TO+rJNbVApOod1uKBzLorCCl0EjOrQivg+z2mkbZdx
4SjT5YV1NZLVx7KyhRlgCUMFpCPbeSVCdWZ2OyzttUEDM9mSKLY8mc0wP5WIjk9un4nzgNZt3ypt
AihUQkja0BYfT4yLJ7b+gtHmPCb9AdD1EoqSHRMToPOiMkSGlLXZCcUNTQ3bcMs7bxngpuj4A5kl
hK7rTxA8vfhrC05gT+iIfdMpr91NXit2puxhQmA6VEHemtwgZLzzjm5N/GipCAQpphqkcTnMAR95
6WFluCPlX+whmOpB0NmCOT0RSNWYZ9kMZQK9STbo4Qxsft6qd9N3dse3LfCQJUNhdYGILHmRnFQn
qpi82G6Eyp6o4VwkuXbU2tZZ23Irrogq378WNsmzm7pf2hTYKDqN2vMXuU3MwdnmFDsfOztLBIWY
nt16iWzvMh8ZS+A7SM3qNSC7S6N5Jz2UxKhs5zFo83lEcIResgtcqfon2JX+FmciJM/MK214R7N6
XszU2jmdvTf7aGiZZ/eDCrxqQuGTI4nranM8xKk2jYGWdnFozlp5ZanV480JiGzpkmico5Va+hPR
C+ixGlKWNvFgevmuUVY1slxA36QQKp7ZvJfQ5Cada198ttwc4TmUxTLgiSKvLXJdzUxE8wQk64DN
UA62semhOpH75STlNTnUniAPJEFeayeXWJsb2mhlfzEhTjg6iYeouyJM5xZt+ZCjq6+QL1UwZ30e
GpLxrmXgh/vg6xx5ySefM/cHQznuOSK9xEFqNrqUlhzNtlEsYv8SVwRkDuU+96VJjmi02rtj29oV
2hIjSCAzURqMsTegZp2PZmONE9yNBv6M6bIPFIZ/WWRKvRowQGF7p+KF/TQ9pZMmQtVazjNIc+Sn
IEjcaKe1aeJte31Bc8Lgdaeq3rwbRG2GtoPInmDaPMytlBSAGYE/yT3jeXHH6UoBTrrDWCAJ0J7m
TQZrmIzLJnlRLYT5wKhrayfSmq56IxoZtsYIIghDFyqrvg016EU7Y9TdrwzR54umS5crr12a+2YC
fwn5q86+1b3oHvxKL55joRcxapLMP8FyYZoL8OukN2T/uazXs97Gzi2ChGkz0bw9Gmv7U6PLD5vc
akJVoYmXJtndth0NSIZ6lO15UVa7yWnsPYSP6jjrnMUbv5geCAU2d5ouQxRbGT0VSYc9K8erDMvP
mU1i3PIC8rK4o8GBhZ3PzCWZHlrbILbMHEhp2AEIB1FtUJcd77q0snOTckYBIt1ygOqLL0nuIEtB
9zOFaTs438a+nr46KK+8TQMz7XI0DOLLJ2nVu7ei9n/r/z/V/7ZuUHT/1/X/46ss66r/vuNp/vXP
/FP5i3/hRaa3SCFvOFidxH9W/syNLYgIlPAWkw8MZlzpnwYoXc4376mBvMWz3kbKfzdAobm6hs/Z
xCIlBVeV5f47lf87fxtRYMRJYqY16UmQCfbebeqJcVhSVOkHzyOep0zA+KxlTPDdPfmF83t1r30/
gfaw+fMbLTyR2P1w0/3YXYgGbF4mzKUDbHOC6/gcQguao/rTOu25QWdOFuPS5nJL0775+Ptrr8/r
p4vjcwUcwG1zudk/XhwbOJLe3PMPseUD13NlN23HGcc7A7H8LhNG/YIFqfGpcFNQ0ItKX2etr0AJ
SsfcFqvBWQ1Zuu9Hr9iYLXnZeBCTa5xYlQbmB7dMryT1FurZy6FzozuY09P2v/EjgHf4IOx1XLTO
uzuoSz4HWIT8A+EoRjjTHt2VWmkdU3dSH1pTR2EjctcMtZJBJT775iM6GG9r15i0UFb7+PvZLm/q
Dg6XPoLz8n0GOqOXF8fZH3N6DuDRynTo2cYXRD7Y/tI/OP7eWxzXRUAYCwh+/NS03N+5DjsETYNC
v8nHppnosyzUYaNUyHL+RBlam1Xvlxv8HUwq1CkriufHJ26PAkaa4Eoj4PkDp2cenuO1J9mb7a1u
g4r7/dN59xJZ6y9bEcqWwRJnkrCuwC8vd2kVd//3/4j/MERXVaVWcL04lbfsKGD5B+gkv7/KL+6f
pQv4r/DCPHqI7+6fLxmHFJNGJA+Urr3HXWtMn2Svznv4/YXeqDPv7p9tYApnis++8NOmkMWIGibW
4MHAx3Zc3M4IE581oxQPTpUmOe0iYYBb131+B6jFu2hon2AjoIhI0OKdS9tubyU06JSCwO74kKcI
1kam4Ie4QFRVFwTJp6zNDyN5zfhZ8OxoAc53oGZvodxzYxmh8AhbB8DfPU3Okh5+/yP/IjH98CuZ
IQEBsV0DDAl4nFU2891Ti0BIUpWio4cshs6cFN6jG0cdp1yZ7+ocpSPx4d8YoGo0pBDcsnizQ1Fm
w24UTb9D1yuvmjyd0Kgh6WudSn8SRp5e2b6y6OqU5ZPdOiFEBuNe+CXxXNhwxEaSBvVg6DlmtiWt
tv2YzB+SuDK2VZyqPcMLkY3xJ7az/OD0tk1zyyBqOiVLha9LciibiMly7KQHMlMUxUxaholhiT0p
KN6DjOzsmGlg9irRktvMIOcLUkXKZKbsR6tZxuumEFMbjItrXUA6LPaQgQgGHA2SaywswM5AhvWm
F3F9yGWdP1ITboqWlklVKu3a9hv1FcV2F3hFgoov7829HVlZR6VBzxCmvbPV3MWCYm/qD4S3l09u
nOTfGpFA5851X6kNXikYiVONHh+6z/zselW+dUtDHlbg6RE64nzBAN65dugobHsvRV1glinC7b5q
P6NcJ2yi7UJtxkmRRPmrlmvepVYVGnC1NA41V55KQvY2hSPaMDf84zxq1VUdgUU05oog5FhKLdDc
as9M/2K9n9satd7G9D0tQDbfBaI0P9qrkNuaE/0Y52V5YdHp/aAVOYoUQZF3JQYNAKmiUUoERAFI
uJzMvVH73nHAT/ciI6e74SDdVUfcLrgtcCA+5BbpeA0rYiQ6emhN86UGVbrLE3wNZjN7jMqMSn6o
VMdZM58nHs2Mlmiu48OkBryPTNEiTtLsbeOxL2ryvnGheoFMjK8mA8GtdEQD57e4TAG1bih/SAOO
C7B/EWftpOzhCev6qTGog/CCWhjU5viepv9lFDufklnph6Tv9btILNCepYNzJn8xyqrakvGXbbQV
rtrT9KMsleLCnYcJ6UzuB/W4kMSh04AYslYL+lGPAtfXEraoYdqIsspoDNfzWfNABecdYfJK86KP
WpMo/pg52iUGfbAkXyVAUm9HFtc4uVs+Q/kujWFIbiFipFucBsaeAZh2tpe6pild6xuJBOOFilK/
xTPrenR4cYkEupE11zRCeUKiE+1ZKWEdk2ouDsJM9YNb87o4mqp1wLKtgYiaXixwsYT+JnEqSYSY
Oqu+yNGKn7NIDF8dt1PP5iinU+l54zEf/T4Y48a6kLpG4EWfk/tAdsZxELxfmsobJB0K4yU6C7cT
xyr13dV+2GIyLfUYu4y2zB+sUa92pm4kR9p4TWgVNb1ABZ7ON4cUI0hbXaRrBHiFXTCwa/5rVg05
fixnbk8+acZbpx7UXnMIfGk7Hd9+NioKAjnVV7qKoTw2HAqWUemIKYx822Bx36YxXw6xRF5Al60J
9ZGESX6xPKHZMcIJSzryFF2dURp1TwvpbdcGL+qVSlGYbOndI+SiThpfRSanrY8L78AAQH5JXBCi
Tk3cfJL21UVlu9gIdc4XZEQl1wi/OJ2MHPlwA9Ahiv2Mv47wnDYYBDoZpOv5XRFb7XOWmfk21xfS
WjXOhdjnFX48YR4nlES7JvaHx7oHsEPKcff1TQFfZBZ7j+RHAi1eLp0Cn/WC9uiglNlcmQlCdLeT
fLkmkO0bRCf5FmRYE/py5JfnxL36ejnRAzWNsO0XA92gFV8vMFQZd1kL/4zhF91TDD+OZrTJX5IP
qOtGsqM3Eam0cdAzWaZWzjM7NP3EvhZsDBssAum+6Y3lAJIYF547RCfOKtiKI8cPOEdKcNmsV0G2
7DfOwONjivc8NHGRnDJVjLAuoDbthV62+6jS4DHKWrtTXCDZagVfXigfYIBtldifpsjGcxU5SX9H
o5P/lMe0y3WjXVWL4lkHbNAhmNy7Y1vvu2zNS+C8aJ7tWd+j5x42Qg4mCqbW2jVJOx/L3ADEXWTJ
rsbWFBIN/yAizdhMfU/jOJ9oWqU6FvPKH4OcQNy9bKDH7rn9bv6FAUCbXMiubJHLKbsP+rmiN0N7
QN9KJHfRhQ8fHdfyTBeAVGrDSq7mvzikb5/3/y1Y/1CwrnUhB8P/umC9fEmr1+/L1b//ib/LVcf5
l0/StEWqBiIb1Mycdf9JGBH/ooiCL/OmyPFWlfM/1ar7L4vEToMxtY4HxtAR2fxTrcJzs0kJRv4s
3gbV/1a1+tMRmH4oBCr9rZB0KCh/PLIpsgvNXq1ItChUfmgrJoLX392NX5SqP18Cat1aWVMVU4KL
d5eAibO63RDmjpGJ7gZqMWNfz+GW/uc9/29cZf0rvjt7ysifZwjd9HKqT532qZ5fe/sPRcmffsi7
ib6b1hZeZC5B4J6r35Jh3S6ff/8rCMf9qdQi14NqzjUMVoYQ7yl6XaE1WTySEWFrlfwCVlinNaXz
WaHQWw42LNM7Uy+xgxRsgSYyzR0jdAYrWDj3ah6nfcox+hFxoSk2+JKyrezdW8MuR3uLuW668KWT
Yndk+zD7edwJMnrvwdWv6uJyyB7UygZwMzc7d84IL6TG/eyBWqWbERa1GGk4yA3hxImOtU7QlNbc
5LJoCB3NW2Y0Tgrw1pED/ia9cM+6tzgftdKlRZGwt17qreZgSCnUZtEhPSSaPZ77uBw4ys4903XC
FS8Gv1w+EGBZgFnnCJy57RfHKF3gSaUZehrt2w7p0d4ymE3lRv9hrpR1O0WD2GuY8MOakxu+LY4i
xSCsXZd7beDOjbj0sCyHmWnNAO7n8c5kersHQt5fuAvk85rROoHqtOkvo4iqCsw/Yvx6SG45Bkxf
mP+o2xGMMuZVQrg27phxvXR5nSoneibnSaLUgn7yAdqSbW6nRbxKOa9Y8M7qv2ktB9/NnBX9o2+k
XgJXrrduR3quG3e9wYz8Lmt8x/SL+rLZOAqxBufonhk6xu0gJVY6jOyKqRt/X44HnRzRocg0qOLW
a99pFvypfviaraegxXj1K9/+OBvgPq1BS9HJoXnVFSQLTrat2FeT9bpa/HwkFO1yyFoarhm0IsaM
qJaBCPPvK2f+jmx281Pp291jqil3wwHDPZfeQNO9nCJ6+FLsh25KbqfCyI5xxdzYl43cTQaC8hod
FS53ByGXH6mI9A2lY2QovJiMd8tgOuFwAWNxNm2b9Xs0q/khs7PxHg/DcN83Ef9n6a/zdi+1b4tY
MVwqovxEJW8FllYP4QgK69rzuZ18fkXEbL/BIsDeedVPfkbVZjgoyooW8D6UXBFx3MDeZQ1RDG0o
1e/X0x+d5im1rwkwzvZJHOt7Ycnoc+Taps8q0aIrY/KBZuSJ6zKdFdWApD6yrgnCNbYqVs5mBgd9
Uo1sL1ptdWsi5T86fuPcRJrJ9KlJzBuX2fPFZNmPUdli+CJEdcLGPuoHKEOOcWwleuthmIt5w+kp
+tzPQxH4zYTS2dSYYNUMkr5ZWe59w6+Pphw2/FkyMf2cgMAN46G1BBofTw+1rvcBXPjr/Yj03NmK
Zf5aAJ9hDDXOBSh24Esc39Wh9Hzjoohj6wEz5BJGiqYlF7PF3nMruUenMj17RjR+qih7bjky6dTL
RuFsrWHGp+imI+QJbDFfRN71p7YcyqsB98cLx7nqsqJPc00ArPmAqxG5Y9fhmZ1bFMMTqOobE4Xx
Lm6kRw6HrF44b030Ncg0n7Okv5oReFyIGX9gR5rLOW+wlYrWJoVd9c492iDq10UtByyD5BrTNuYC
rVg3r8KI+lu56G4VkMORu0HFCXML0KxGPTjp36zUQT+QFHVy38ox+2ovTncQI5tQTnb3nqUBjYlu
M/OqpiNDborRXTdpt+WrYoWDbrXngqYJA/m6TR4WLGyEISIrWs3DibPNfDeCuQPFh782fjDIZj2h
xmnPwFDUprCJf0AYWekZcv3MP3qcGHaE3DkgjmL/aHc+pk/MkWGjx9peJjkUeqT0rAmwB/h2fb0P
meHJ41822aT11C4iMzjEPbRGQ+qFvxmjnvsw1wtweQSaN0C5288oGHu2sTG/pRyC4JHpatOzC3xK
U38Ja+QDh97IxldXZ+RqxBxt30ygU50Sie1BjXvp8lp87t1qFbhiRvzW4bB4VHC0r32h4+BdPaNG
5dj3ZYLZU80wnoLFdldbL4jWN/MKTVH8dazhhbvbe1uL4A1QM+slgRlhUsJWPm4GheQrMIuVFJD3
3ZM7990WM9/qJZKmFr7lrr/5k40uNu7AXODls5L6cUxLUv/WdHksxlGIeEoPMk0vNxOMf/wHq3ux
Hl483+yPtFO9PIiHzN56Ua4fUIZiAFJyvPLpK2C/TXCkSOGnlw6D00uh9bEfgP+ZDzWwEoPEAIon
aZiIyPDSl6esE5gb3drphxX6gfGIVFLs6TPZx36aO/di7vTnfkVPpdZqNX/j09qNR7rxtHbzlmbg
suRdRqeZ6XBA7YD5Z837blIH45KGQCX0TJKAaxdf91CYydc3i2u+2m9L6djnSBDlEDurH6CN0fu3
kebtOY3Ko9kQZjX5TAyrqnXufVKbQ9uS6Hd6rNLEnWCIXz92TIO7QMswh0+r1csUeEFrH75Mgkn+
xpTKehH028KqYYE7kYWfiBW9gUrZhwBxqteMb/gRkFX30OXO8shCim9I8oiv+2zw6YjApSG9AWuv
bKq9hwz4uWey0QdDakTEYFex+svKakTafNP3hEkvmj6+jlWkfSipHTdLj2hg62nO388p7+fom0JI
ROfexDdlNeIK44aGfipnkzFXVApJPqFmz+nHaiCzxK/HmWniYD+RGmo9jVKznjLq4Su+VEi620Tb
qjTVtpilgSIg275cYk3e1UlZhShZylDLTUTL613vbVBja+P/2sj1nV5VNR++LjvbEihUW5PPXA3L
RKCP0HezTYqtCxQmrPysP5aqN8OmLQX+dx1lYuT66jRgDL6OPBEfYZjhDnxby4snwBZqlse5wrPO
i5fOV25XrYJpMmaF1Y8tqbJVfq23WXlEouQ8+1E07nsyp+3AS/kY6ovF418gMOddvVyKFh9ePPnk
eUJeTNgC8fElGgy3XM1XbArqaDRRde3KBSFIjYkLY3SjHvW5tu2gQuIXLoPqoAjkPoYgrHgDoS/X
JllUO8p98BNDiWZvImxekHwSkjQ1X9Oo49PtJlW/d9tag1K8lC5NESGjNPBE4od8m8YjiTiU0ZHV
QfTpC3TlxMzXD2SqVruBDYczEISbs7CM/rqFg7CRgzOCecaRribRnFqgeDv4xZpCsFBpDx0p6nLj
lSMnZsvsgmLEEKnHHa9mbzdZsLzBZr2RuVzbEDeOtRpCPuyIsGzocDAFEJ/f6G5WCbHLmiaC1X0P
Rziwf5OsC5ydCRisMGXkeCLNabmVueuekOKo0GN4dfSUgYfGVCPkv9J3CPwg44mdrsJreKs78F0C
jHQopSL+y4OltXEf+FjVLwaSwDZE3Vg39NCRzBNbEB06kVl7AlmWY+ZFzn5i/LL+oms3mekR+3Zy
JZaUUPshLe+NOZeoRmAwLQ2hI71d95LmhzI+qUohKDOq9t4cTeifeaqdQQDdDA1KwNoCrDJl2qvX
9u5OWNWzOcD2QbwQXfAzcoTJNTunHXdy53lyCmt85fsoAoRTcS7BmmATU1u0uhtyQkwg79jlpk/U
jYG5epN3TvnFrbQvQAyuZ6Mzd8Y8leu5rT16iWsE7pI+TEQbbqSnxWRJtHtuxDp3s6ptDJgMsI/3
rFVgvPtsbWumXRttcWHEQY6mZ6t7PdAwu7HCwm34vVVD+CwWK8dix4Z51ESXTZXEiAGIg3LSAlQt
kpZhvyxZ8ilGm3XIZwG7UA3zGM7eUt83gL7Ji4/1FjqgkRA55jQ32BqaZ4KxKuybqvwImhK60Og6
966Q1rwtsE4eh1EtJyP1871VJMNBS3Ib0lHcWjeWJ5ebLHbkPbK0PARp5gI0mgnQcRbHCWcX5XUk
k2Rf+Eu2G9ucklwv0lOcoT8NRN9+9uVSnoWvmYAqCtuX26mOsUTuvGHO83NXfeZ4Lz7OSLwuhT+g
uJGGXd+ObUZ/3qB3fBMtiqxgBTYj05Ju1+ME2RolaZ/AWDSkpFLyFLdzZH+2EqudNmOyqGtL9Nlt
ZROXhA5PfnQk56tgFolxpdDFfUTd5J6QpVRPkXLpVBPQYT7q6xfSEWUDw8NLDnNVDeck9azLpOz6
J3Qt9mHu2+lU2PF4nmjxfkFRDjstETzceuhRpLpN+bXsXCKbHGGR9prVBq9I455EbtAp7uGDOADQ
oTeMlUWt2yHIU1pvfTArl2CryBaAOcYxuao19ZqPrvds1G4VErLnYekplh30yQwJcKkCzngLn8Kk
BEE1aPO0dZRkJ8uK7JA19A4bvOU8Xr62J0VVARfXXPAse9u4a5Ztl5YPWgFoh+g1/NpZH9C48bZM
kyiKRfOE79rc5oyw0wCIP31fm5Pxvvad8qHOSxrvS2EcJRrrivN8CfDNBALVeIN2MLtJKw+US472
qnCcNsEk7SP2X++x11ok8A2UJqqYCRlWGn0A79Bf8FEsbjgqZi+zMOsPWZu3z83QzO6+0WyoOyl6
7Xw/1nZkB3nOkcZiNH9rmWKq0HkBXcilY4zBgIL8NBrDK75YoES0dy5m36vOJifbL1WjOxsVrSZK
Lb9a6rGog44QrH0PQ3Ez8agu8rHBEeujAb6yUONd4dN1gswqsi70PLuFYOigK5OZccf7/7WvdBzN
fNP8YHCxZCNMWk5+3Q03OWZ+5lBF8jjLzuTD5YoQhXN02zVm/dnUmk8My6ZPYB7vF8xj1s4FJLHF
4yX2WbuwszeaicJwKO5J0UFsCPBS3tl60ZUbRko7sg313TKuUXas+APputY+SRz3wsgdqBG5HFzE
zD61aWbEn2FqMD9gJwxsU4uhaM3uA6UO3xP0Dp+i0tW39NSfrNmaznojjD3/FgMKeNvfI4776ha4
fse6V2D6o3E34jhNuW8qu/RJftyPtJcDv8YsTnoMamLN56aYkfuEfcB6SAkOgxKV8sJKPwkIsR9B
nzr+ztZs0vgS44Ya5JENOb+em8U5oSwETj31TtgUVfRS+/myKeTkHbTWzK6cOYJMZqNKC7Dvz4e5
s1tIAlN1Vy1dzAlXuy3Lsj/2nipvo1RzbtxWj7cOUYtXIhnNbyKuqk2dTUjU0Z6eoioZrit7Ti4K
O7fvrQZWI2jWJdKGj6g6wPDk3b5kuw3HxmwwXs/6Lf4W50CAIMM5yAV7hOfFfc+OGwzzOlDwR30v
i+EhHpYomF3dOZlxrfb9JD8lfuUe8NbwxeIgeGIj1Q6l6Y8XHOVc8vag0HVxm3P+ratvA453fDV9
89mEZvyx8/oBrBlWtfxzrWeZfhbNEJ09kmu2dEsmFltnPAyGNquN5sOauEoLGRubumrbOTBl3di7
tpqZ0KG/hBfGePChKpHrlrby9wnyyG1DC+vBMbrXeYaaqi8cVWRryhNzmC9YV8qTXRglk2abIqkF
kbYIeEBl6ouQcuKgQdo78f7bgA2cxxJE4MaKGFlyKkT0nHpfOgMrdq2rCG4b31diyQ/D7Ly4lCBz
tlzYUr/lDIURz6VNpA2e+EIw1nS2atsMndakkZJX8jqOxGH0tehbwhDnxtY147ab/W/tbGmPMa/e
B5JYZbK1uxp5O0zCaIvu0g3wJNZ74gYZ8aVttXX6mDwfKMt/IK//3AUlkQTvqE/cDaqE98EEzlwY
1ah58jAx/whGjWZcit8Rtfaeerz8d4U03no1ckvx0NKSWskh3zeP3dmeOSe58qDqGOUy4OcgRZQc
FnFTbH/f4f2picyl8My62K4Mm5HTOyWN3jkN7UfBD0u8+GHOLD4Z2Sgu9Z4Mxd9f6j2lBDgJlyKH
xCKRgCu+61eL3NZVgcj5UEnMM3nRI4CQGUdOFi9Chrnc44VS/26TnIsawhQmfTgbIP27i2LtFAbZ
pN1B5dxFA7hm4EhadtSk1h9+3/tcgvX38UJ72I1x+VnvFVz4k5qlaTTSlFViriYGLWNz87JjbtDR
LGh/3DRK0EEsluRyKOb5D9dfV8WPcheubyLyI1pnndG8WzUqtpqEUXN38EqNBnzFD3Ta6cPvH+K6
Ht5fhKA5hor4s3XGAj8uzVnwueh9tBx9T+vWnRJOEbFrRleFwbB4UcYcjAP5oLXkkPz7S/9q/ZiG
YxuIB9+clD9e2retWcSGSRj3hH2sMe0+pq9CI9jV9KINgAfagUr6KPz9ZX/16qPF4mzOkyVLjNHX
9y+j2flO7aZc1m2z4iTK8YMDQu8QO6xa32X9/v5yv3ohTfYYsjpImSY86cfLxbLVBYBDLtf19kNr
tHuK/zlsI1f/wy4jVj3ZT8+S1DD0XzYbjf5eb7Ysfz9LZxkIQ31bmyoavmLKJkCxKwQAeEffOxg0
XpJobSZNtOJ//3N/tWgR3jioNk1CdX56aVyzX6ZYl4DGY1RFA9T5JmaL/f1VfnVTeYTr+Ap1qvE+
LsgCsj9YJVvP2y4wZms2qI+uX1jogn5/qV/9IAsSGppeuvKkrvz4/PJ5qEZVTGyoE/5M1BWfHK/+
9D+7xrtNLbV7w+FDLQ/C6C8XR+4tr/zLD/4DZOp7qNQvFwfrD90jS9F2f1ocfuZN0ujloeHsekmk
pHEyapR8yzilz4nGDgNzUb+OJWOWBhXmkUSSP+1oP796pq7bjFB4/xDGvp89WiQzm1rto43H1xP0
OAawWuXtRUGM7RFYcrX9d+8r13M9HCcG8kj3/bvXUlZ5EILaQ1nNHFAcdYvAwv3DUeLntYjoB6yF
TWvXwHn67gX38b0uMi/aQ0pQ56ZrapwyzXjhwmH4w1L8xZX4EZ7t4jy30aG/WyZ+l6aLUl5NKqAH
hlFbvd7uQyOzx9/ftl88JuwSBj52ez0doVf/YYd0mjLHUwj2YEn1UBYvGjLqLK9WguQf0hSNn7+x
a7Lo/7/Uu+MKPSpnRdGTfYDcaGtVVhyUk9uT9+OPZEyMQHuUzXnMZv4hQS/Q3dclkD2HkjVE/tOH
GdPfPVSP1Xxr0gAvLQiWtpc1px4b0TGekuUyKqgDrRbc2RthlbqqDwsDkMfJHYv5CusVHWyM2cWG
NhvBmk66/OGHWpgG3u3NfMGZ6+m8AEhYV8nH91+dolg00ydalEyRpH/yywpGxOjdKcdJX8plcE9D
gcgQQuRHSXgXZhdSifPZOTpo0FKbyaxoG7hAw4cyojBC1wW3vLxr/h9759VUN5Pu+69y6txrSlIr
XpyLvRILMCYYcLhRYWMrS63UCp9+/xo8e8yCYR3P9a6aUH7Ni1L300/4hzG4WCIaS2WdN9su14Qq
mEGQGjMByWesIeAr2z8zIOGuwaA7e2bb46bvAxsoXp5taOH5H3IHLEOWh+DoiNebMB7Xix9PG4cn
DLdBDMcOonxnfvejsTpyaL2x1pCWskBwcGaR8h+stahUDdnHzHvJjO6DskJxylef9nGGIAmeKmI8
AiN+nfAIgagesDC0+rSN3ssPgci6UiMs9H0Y9M4p/dZy22AT+sETsj+Jgrj/kNB6vYUGFT9rEP3b
EPzG9iWbw7kUGx9UBA+3bxvPykgGr8IOZZ6/KG+0vjXMe25RzMl+vr+D33hIAB5EI3od/PcwdWQu
Sr05D9W+VC1TEbiiLe3aARncrGpPvS5Pg3XHgB1+p03T/v2Lv/Gc5FVaTgMRTzLog6XuA2ej7VRV
+05byDZjdRtr86ogm9u/TgPA17OfcCSivHIPpYDoAXUxTjjaujf4PM/VuLGDCSJ8IcRfL1PSDQBT
AKOoPsxDVynZ1fUQq6EAVzCMm8Wj8Sqyy3F0EWDLvce/fYGOqVVEbAsKDnCOgyUap4WsnKLhsdxS
7PEngjuPGIW17gqRH7Poe70BuRipDamBy0D78PhqwIYk3lDyZIZzmwjjM34bj9kkbuPRO5KD6L38
Mj/lUpSlHo9GzH+yl/oDQ1WKJJ0rAyCGkNjs0CsNaxdieaGW1aLtCdANO7JA3r5iSCoaIpbyynPR
cKQf1PqKjaVwgpcP9WzdijYHyArLaJUM9t9SPgDzkXhjkkXWwRX12/7jEd2OuqOP/HxvDMMZuNA9
zreXqWceuczrpFRfhtIQfg7Zx2FDQQXmlKb86r0ybO1wVTmncuJEfH8dvo4iXMVCcIvIbHrkjS8f
Bsn/qcoyK9dyKtoeM0Akd/jlV9511gCnHYJlLeb6SJS0X5+UXJXAgeQj1CnvcKtFqG+ElH35PnSR
3hoLILSYH6MbN4VM6ZeKIXY3h+im4wCSJ2t/Qcu+6kz/pJ+a+LRgjozUoX+7zG5zg7IwdmlSkhzo
tKCpUVUHFufdhTaudWhE/NaZ+7cx/s0Pg5MhK87CBOHwwwBJSAomG8We7nS1zeYwOzMm+pzvf5jX
EZZXBK6SlhJStK9SztKBSlrFdbGver8ApK32Zm7dBv5fm13r1Rx65LbEIe+VDq3rF6KScEn29iQF
QJYoOZ08c9q9/zRvRSAIlbThAk3HOsSILplpTzhc54CHkGJVPscUjiZoAXbFd5U5f59FUzO6aCbx
oSEUHVaomHl5CsBVTu0YPep316beddlGn99/qrc2T8Bu94HkUhgcLuOpyytrqdk8ReoGV7nWFbEi
95FhS71rYzf4MRZYhtIt7I4cVW/FPBCxDnk1nbJXRQ+tUzMRjsr3cWxf9pWBJHy8k9m9zJZPhOsj
V3trwVP22Cx2KstXTTLc3YCQ4sW0l7FE0dRz/evRxmbm/Zf5pGZ1eHTwEn2b40gAcz6Iq+FgT4NL
y30fDKN5nyZmvTOgrq6iTKiC2Zw/3mVWUK+Hukerbq7yj27hi5MkANO5zNJjsJxJGB2YZiE4Dx5j
GLJj1a3WoX51vgU+FTY7U0AOPoiXbdSZLiwyTpvJYUzQNw9Wj9YwqLIO2mfweZjoTvgyYYhRifQe
lkV3GoX1twREx+JpO5kRgihdpBAxKEOuwoTneP9FvrHXmGmTgkIgprl4SLQsfO4hnUi3x2p5lIvV
70wJmDIqwK/MD+9f643XgRIaG9vVjVqy7pfHh23NpukEPal9ZD2aNBw28Hcfurmo9n5YZVta5f2R
DOONTWdZTOzIaDixXqXY+NbPqBDVPF7mfknSGHtBUDvMMdplJbCbuWvasdmAxlD7v39WTJdD3ZEi
QTw8Kh0jBG4YdPWeWu0jpiUtXenimm58jAp3fD8HbnwktXnrS/JqaQPYUIwJZQdv12Pa2DlNvTfM
uFnPCFxjsCT66xEXt33pUUi//4RvnDk8IDmU4GAjWTzYgWXUOgmkxno/qZjJhQOfyESPaCNAxP4n
lwqx8wo8Esbg8BCVvpP2ZUWJZoV1deUWDfYzfu+dp4NlHQlfb61RwYbSPATd6T9YowpIXLXQGdh3
5XCLTeFPeLC3Rcf3S+PmOsCl66+LIwIYpAsbTjjjk8MNaE3M2uxuqfaLvYDx88ebdmg3kj7AkQu9
EZgRJ0Q9RNB5hoeuv+cfmahcsB8xI0rAInY/x9N0EizN7ZElIV4HvBfXOFgToZEhoe5wDQD9llY7
l2ed27k39uDhilnAzExjE6+HsZWIDGfxXY1gKGAhZrUIVOc0/wbQkFXKpNeZQMChxbgdcZOBcN4j
z+w4ybUdxtO6mrGcgB5XnZQd4CyqWwSYVBydJm7AkMKccF+xtD1rxvj+ZglLwFaVhUGg1uU4MRGv
DymgpvgyK0yyw1q7XeVpe5lMfnJitd18WrhANJVIyguFNBZqQOFtCqN4zRvOd8isgPlJAAruASfC
+hwXuY2GxAUsjEZ67YgU2Xdoxu+/3rfWJqe4b7FOEC49jJ9e0zX97LE2gQk/NFP/ECTy0hHGTpQ1
LkFj/R9sO3Jukj3a9wyEDvaCm8xVg+pete+bRPecPo52fjr21ZHk9XXLz6FXymCL3IQ2XXhwGQcd
SdFOYbUHRH4tZdqCGQx+NPkdQ+gLAClrBHm+xW11pGQSb1+XLi1vlOL6MCELJb6+cnTpidTz8iWZ
TFhCrWNcQ3QxCwTXQmqcxi0xWMtVg4QPIEFc+gjkja1OXVD+bjYap8IcjJ3VO9U6AhjKgpMnzDuZ
YIfZd9dSFOoTUEA8NuNN2FsevRd/2cRW9AnKbLcOFrdBnz5DX65f8BvJuB+87ORPOB/WVRYUywlG
zs0ORhf/vFzcddL12dbHjO2+Ee6xT/FWTPfQ+fBxryBQaNHmP2NEanZuWeWq2uOIPDMOXc2jiQZ9
r46srLdi0R/XOUyMlFRlUSNAuUcr1FxX9BvWCJds398ubx2IHvbjzBWYt3mBvok/Ap7Z2LJu8KHd
M3QK1rP2YDHtz3WegKnv5iOkszcvRr+SmiWE3XZYRHgtwahCxBf8nVdSiS7oAModCFCw1LAu33+y
twIBArB0MDRl71XyCzVZeBkoKkwk2mu78xEzi+bPddH+7FMwC4l35E1ab60LPfOmgAVC4B/OaZYO
dYjAIU/LpgJ7xMW2zoKlHU9tevGbWhjJ3pENFlYyFDcpUlz7OYbUENdpdRHEaHKFtTPf+VCCoGdE
MR6877+PN2+PgEgbif7tK/WOERVCI09Ic8ZG/hRhfJ/Y6tOTTOJ/cB1EQiC6ANp4lRx0ypgTCR5v
TyUq6eb0DxWCcsg+tkcO0rfSVppTgDZwkg/5z8ulK8YQBgfYy30PZyTpgLiO1XVbu2fYqFwWdXNb
FuGRNstbC/iPSx4mrNniFGD0zHJvjNNJPNQ/Q6cA3O6dtbU6UnO8srNBPQbPdSTaoJwyET7c/v0Y
IGQx+cifYlH1rU/kL0zONWXZChCVwyFeG56tSyIyIlmaa2BYGpnZAvrDqOazQ1Plc9Rg0zvYMBZg
tcEzSvr2U7yE9SaoUHMooy7YIW4Z3AcuUROH3g7AlNFNmyXXrc3a/mWOSLj6GLxN0vyW1cNHoDhy
25PypagXIGMr0u1QzvYnCeiaw952j6zat3ZxqJm6tDhYt4cDWEQfuw7dejI/uZwu/WKhm+h8xg3r
nJ7p5z6dxyMXfOsTa2YWQBmfZuvha5eZFc8NydA+bTBRUxJt1t2T3ZpALR55YI1Jf3/DPGEnDsp0
EDOIW9tsF8rMgwo4NpDBRWa/3HvlEq4TxCM/OYmlEMzDoiWpi+L+SdUgc0BOPtEFggRvuXLA+aEH
0ndijHiFH3kNb7x3kg1NgQ4hBr4qeZEuDErkhIs98pbONkHk5qJKSBvnrO4+I7aLNw9mQUdexBtN
TFAJdH101EaTx365o+PJXWSk2NHdEgFlFbGzA5Aqdl3Udieh74kVKwXkpIuvO8Jz65mZDMwLx9q8
fyPa7OGwJ6F54VqxjDLHOWzvm0AjUO9OS3jLmWA0onkNqcDLD2x15Z7zZvzTPgONDMUK2+WCJrJl
lMxRMUhUV6MYzd08R/jnOSTedr+YX0iLqxNsiJ4YU/kOUJ97AiT/5wwYm5Ctto6XJVuwws6mNap+
n3iNv52Swd8E8bld5ygui2q6ZNtCQpvZCJ+TYAjPCtP/auJyfKQwf+v5mYDBQff1hP6wcUS7LSuQ
9ef5i3z6lABL20/elH5OLSPZvf+u37oUwGuwBrDROTYOEhCGTk1T6mMprAWipE2g2XyTzM/CpIg/
v3+tp+92uNN09xe5J7qMwBhfLrDK8IphLFOKA4XCywrN6xmy14JQCpY0alP5hXVuoahy1U/2+NG2
jfja7g00oUUhT2SFOdTTDf2vfMMR+QYBT4PA+z9SApuH/uH/YEqU9vPHh/Ln//u/d/1D8qd6w+9/
4Z/2KmaI3IKpZ7RPiateNL/VG5D1/wdVCpU7HTsN2iGw/VO+AbcVbbLyJOnwW7dB+Nis6MkT41BX
zwTcv1EZfMqW/1hfHBp07JCEBV5F8+DVvqmbOk3qOZgvwgrTKbzHR1xLd3hchPdIE4vTfILai6tV
LM871+kerXlOTya0bq7mpmr3bTOifyXr6SobhnBbptZ0k8yze4XMWwenAtNujCcB4o/mAIkK/Scn
Gm8Mf57wEhlwWgmduySaQpR5h9LGlC0eVYOWDSDMy7B0wDjXJMOMrsGI1cEvIf05HfZw481Jncb+
YKXRaeRPRnYW+kGjPknFS/5kVLVvbyHgYVCEdlm7nPMuHXEZ5Bi3IPsEuTGGeoBfgR2Dm3WWub9p
SwfnlrFIP0ZlmZw0vr3gjgUrH1Q2pk0Q3QUaX1a9KZbB+I5KeHobZE7brGWZZNdQ2z72U9ucLm4a
75I6Gh5Cy0yR3C+xvkq1oKhnYowEe5CjE/vtBcvnMwQaqL/Rh85HtANhh6nm3EaUgJI0094oSZzj
ijKN9Thv8tyI508G8wUMVMw4p9kfORLl4hPEmZMBTaon0xXLBJCN81RJcZtPN16BifKFnBDM5yuU
ZA+l+t+I8Lyvj0QEFhJpz78PCP9VwGmmlf78y04fERx8+jf+GRHs8B9UNQjc6dEulSWR/TkiWL79
D7T9LGQxaaizKSkTfgcEH29KHEGIEYgSketoJMTvuODyVy7mdoHQUGITtPbfxAUtfvpHPqFvx6Lf
DC5BI1rNV7UodhVzicmx8zMxF5n9KsolEuZmJLluenBF8NbusyJO+103g8Zad93suj+mCETDB6tG
FcveSQOJYtQ8cHnFKTmMqB8Rp8PO8K41SwP8LcqZENYgEk2xMtZKqAb2tiiGeREbumydfUnTTPrY
ipjSGO+SXlPUmUzHmvo9h6mNKNgAtO1EdHHauHAqM7hs62KcUDHbVSqDd4/QRYJO05Ge6wHI0sHZ
hWqU3gP/JW68wqXWnQeeGg7iT9mNCreKMvYTDetyYAxfhLEbcsnJSqvyV+Ph2nZLcz/k1uxkaHme
yhrj6e6PtXX1HLH/xH0+Zfn/CuTcEgo8ZD6gq1wcaWiMvEwU/Myeyrpr40cLT4L8QjpprO0ahwbB
q8TwUqyLSj9N8ATIE0hh+E+QsvirzMR3/qGeurlB32RwiaRYGHdmsl2iGF+qpZj4FNu+X5LlPkEj
UUPUl7zxPi5LbvFjZejA+UG3rhv88EhKrzOpP54JY1a9BkMORbRwKTcOsmvIPlNq5EX104Ta531y
q9SobzATrJer99+eLrxfXojKQRds9ER5eYdV8gyaIFzgMj0yPmDsQ8Ie5Y65sk12+CT8zLkcO2gv
yWr23MLo19KKfXWTp251TCH1ZXKJ5jA3wpwVgaOAHterIblFYxZWTOY9qi5ovY8uTqWgJNvSQAf8
LMbl0fWOvGS9MF4+O8HEAXDHImSUejgasdOqyGXq2o+g9DG0+QmJ3E+S00gOrAUcVfRjFzgbcry/
/9IP2k/6WWl4Y+MENYBXHx5WylnN2HxUdvnYFY5b+vs0jKo7evBs5nWP4mcsL6dwiczyQ43Gh2du
XZXky33W+VKiHFIQOSKk/DDjvEYCw8faLVGVXcAZjNtg3g+j45TtkTrj1ZJ0mR8ReFGl08PfQ3yn
YcUGfje++FEMaETOm2aWBowbhTvn0cL+9bVY+JSWJId06V9h7FFz7dowy7sfE5r2AfYUEP/UTQRH
kyXx/rd4tQggXiIpRqfoydb4sHyyoEXbk21WP6q5b3m5rRHm2S+FaZr7pa5LHH43QDjrPjpy3SfV
rherT8smk1oHiHAzUT0MWxHM20m2rvF9cQ3LXlDkwzSuW/uBTFoTi/fC7gpsbpzcR+OliKd607Rt
G8o1XBlb3ablMrYQWINp6b/HlZWFO1F59nzulrPTBZsjb+nAjcvBgwtTqKcPD00/QImXzfRH89mN
R9mWQ1t/T4KUenyVYaq7XHXe1PJ9ltkE+3kSdrLzPhoiwg1801WOw2FQefNMsAxzJ55/8C3L7JeH
uAC/IUUGA8kCZTnoBj8HYDRNiS7uhLDmly4OQ+R6FGIHfHSEYuCrrqq29ziGKwQ2+CKY5OgQbXTg
C2acoqYiuI4S2U9fwUaRQqwarGZ4F1hrULnCI0y9JtvZTuOyYhuIQNOVxBup/OmN5NPWCu+Gbrli
QYfuF2Z27Lh2qTPu0dJsTOAt1WB9QQlCog0wwLBb7he0FtWtahtP3XT0kvnZpMrYEys4sDXfzE6Y
dqBgADIQq9MMPRGCSsQcnYfR5Mkk3s3YJlTuqhszm5/0SOz5kRSFz9I7cdWU9Nf96JccZnMz0SRf
d6jwx8ihxiGXhm8Z8uOLGPXVSJSl91GEedp8bZB9UvvIUU16UThVMJ+MFkqn50ljzMPZMA0Ta2kK
Ir2XU5Va83mguoTD0ox6fWY2QWQTRCRyBjia1A4INUi8zw/gZn3Co1bAVr1sY5qRwQt1sZafzzuQ
TgTMAiqvAfC4izz+L/UldoFQB/B++ufvaGRjtFuBMGyarFly9Qg5NGF8BHRRpDOXnsBuZ2ezqHmm
+PmtOih38ubcQA78wDhif3CGTM+AThhKGPqKwvDJ2mZULXktckYyY94QuvRyqcOeU0vk6Ed22yzy
svKm0qxFf5cxOmK5SLSG2FOqCvHNwRq5LfhmYjL5hcAUrcjf9XGfB+LMcKZ0/tGUk+Id1pPKtE4Z
8Z4pWFCA+MPjxR9Qxj6N8BjP03W8VDp3y6yJOcdmRm9ZP0SGzNV00YhIVfG2NhCSQULOVkSBbbsI
xcPUdqTXL+hEhz/FgWiEOgs7RQNqU88oTvSbIQNkgL1X3PtE49aue25p5un5h+OQ6XtxQuBS3pqx
IVsQJ5eclSIQTHD2CiASt5eVaaDztkiZiEV3tNncL+ng8Id1CAGD28qcUL/jRiGd+2vAJJnXuQS+
XnMFKaCzz3rm/v4uNvUcZ61Ta3WLRg//21hBwQb2s57YQOq4kGU4Y8o+n9sZy97VkuQkYlkjWr2l
EcTnlyLtYvEl3I68sVr1aAapWz/Nbd5CUvuym/dqMruMYTYdRX5h03Yt94cL6qBXtUhxStnIHAsf
ZBKCwp3aTWbehombhmqjCSE6MgFkRBrKMzHPonMqxa7PoSRizZcsBcaYypTLlYuyFss/6DSybxuW
+PdVHH1j7X1EslFpFWOzR7QDUbtMpJe1laTotJKr6y+Mg/RsWjtQX0xaTtMOLQqkEtoG50JckLvO
GM9zLF65x8jo+DaNE6Aa81DRuOZhqiib4/oTOt2Rg1p0V4fYMHlmiofglkBMuNn2Is5maOdyqEOI
/+TtGNZEAHRxNBcZeLJ4ReXv5N6PZcTMMNHBduaZQ1xZF0wHWyzWk/gD3gEDrKF+Cju9eNJMhxS/
H+dG7vIZNT/6EsPUsYYikTZ5fF4vqKrIHXPjobU+Lq4gVHYNwFW0dnK+B9ZLpmENzcdu9GxCblY1
A1+pQn6Gs6Cey5HfFWInyEsaePmsXDNFrk/tzB7TFLGlhGn4ux5VMeJSbqpyug77TGeEiTPEhCfp
AAcez/vEIDoo3iJ7wbL7jgWlmhbU7ilfv6EpH8wxKz0ouoUbTyZj4NKOhRSf3BEuOY7ULH1O+TKC
vMV00yn0IdvDcWc5Tp6b1gaHcjsTH+YgMZzLCR0xRG0JUa6zZ0qI8sI2qNu6XS2lrbMV04Du+QMp
c6qR33UIUV+/nLGGPY7idEtUDbdxko3CONV+ai2mroGINw38k2jrmBj5fIqaiYdPaw7/eavm0eeO
fSb0vKUao0E2NnbppNP7ACNL3uDvZY0uuf672akFC3dJJ504ezXi5HLdQXRa7hH5MXnHwm/DFuGL
GcUA9qeBPVG/doKIhv9qhEUmP9opYXfThXnbGwjMWLP3DV2Iov1kllNxCzEizFhDLQKBZ14lsWzw
ajXIH/SFGuO8jUvDuYi4UwH1X6YophFzl12OLlHx6GTF0t5glVi2D2g9FuPlEhqFuRqNoq/PocqO
EvRChg6jXDeOcLphBxchUB/bhq4ZMpn4VVkfRMGxuo2CXlnrhm+EbVQ9Yb1DW7pSrYMd2ZTjD4S2
fDui1+P4M35CK9kac/8VaOngfPKKfnZiLO+cfNI+mfYc4Voc8vwR6zSKEXBIOMkKUNjFiKpTmBaL
2e4iNIvr84nNMay8Psfx27TkToV+LDYuCdpyG2d2UnPweb1/1s3zEKyE09sWODYi3Ey7r+/CjVHb
PrJKDGbBiLhFvAdV0m+a2hyX8wi3IOQUR2RidpHElBDlYr9AZSWJhGtcybwunTvMmGARnZh0B2UD
2wCg0C1kWNFfIGZYGTcOSkvLfQ+zuli5ree1d4uPgk+9KnrPb+VJMLkxrGATrRhvQ2+uyE+itM+m
3YLYXVmvwrwWNhD0duma4LuF4VX1mND1VBN6LP3c/AwzFw+N9eDL2l/ZODD3SDhHVeMGmyE33cI7
iUojR3TM8o0c1RRPktYmP5MAJF9orVFEGux6Y7n9jBGmJ3pUQT7iB4Vf0dXv7BsKfuRZN8gJ1miP
A23SB6osBfaWd+PsSulsZDS2kSKfojsI6lkhEXHTRVhhyl2LaibrvzLajAyqFdh7cKwgMaM3N1R3
fdZygLMdEsfTEQ4Ep84w0euMrGiH8vWIsSwPBhHtfGlig5TUTRrF0YOwXsYp01dubC8nsw+pL9oN
bq2zP4ZdunLwMwtF7/VMO7cIT4amTL0vLpNbbsWShp/rSXBPr0EOjUuYdLuOzF4btUn7xEF+1Psy
muRuBpakdKcR1AlSfWgAjYpGzvCyc82tsipvEfvQsZHX2VdQwogpKEqaPCh5CaSkteti20lABObF
GT1CXiU1Geew5wXJytcnZ4DRFXfaxonPtQd/8evlk3Lchr+rkQbml5lZHbGXOnz+uP8uzHSczB0f
k+q1nVkhd1RFsrPah7ANdb4aRopoY/dD632HW1zVO8/O/OpDXGeKY7GXUudSlfR1ypIgEMs7wgzX
661fg9HNWA3iTgElSQ9y6RuskLFDWQqTy9bl9RPDZ50iPbV7PLrNnFK/TzDHqnmPeW3qjgWWnvru
LREZvEgZO1mIVEpaUnQUA5KEI2Em03cwdEhNgb/+/SaWhi20GqRYyEj9CgTGbV32HtbDuYUOGOJY
ePXyylKTPODGLdF8+oIzD72n58/IgWlZ95R/Q38bNNHEE4ussvhGQ6d8q/1Y0eMekytU4cwo/Kpy
383yPW4McTmeAjDz1C2tcp3FWkxaaT61CBumySm4HJ1UmH2WkoKP9qxr4sDDNuxLSb/OmtbpaIIm
3aDtS5YS25HO5lWNqLG7N2XcqeAKgX27Tj94UPS5n3lx9D4QAqsDpEJykkwQoo7eIjiB6oZXlTX8
QKQcnahZBaVx2lh6gYloSBv7pLF9pNg28fPpmigVc2gO9UiiuhZCkgV6otX5Zu/p9QhbNSOzNnkD
2S/8liv+wD/XP01WgsbXWAQ+x6WVcF82ikO+Tg1zb0C+ZmMJqe/2eXvkvct3YVBY81HbjsBXfhAT
0lnfFNpmKRrQlp8DJ0KBVS/TdCYnyHZO6+i1W1R2WF2UoxXjMxwXqLMMZ/yCUpDUjvXMtx0MhI+6
bbW0PIIpVap7MEAZs02oakq+2A/T9kEh4IPJcJcPsie4zKMjPjij1aNyFrk266w0bV0EZtKlYjOt
SX+QzglJLyk8+c797C7zuRht6icPPcNJnUw2jKQHlQCnJet6zny62FTkGl0dtDxtOoU5icHvijhY
qpDEYEKCl+qrwi+LP8XULC2SXnDffyDW1ixXpqFMcy3QhaYcUUkbd8Y+8KQYbr2lEIOBRYfF+zfw
PtU5Ow5FZGEtaivsOxxUdSIfS4TfbiNgT3y1vqShW28m3J5D3AmVW5GjhG693PPWdcRdrIaS8bTx
IeV3un5gOXkul6e1Fy06VEpisreXPgoyCd6nE0t/D9gmoVTJA/Ko561XqUKnVoWBUBBD9aYuOmDu
SnV6YVSjbosZkZj1kgT5OVaXpjMxaeOFQEtOiPjommkuvq+3ONVyLC88L3dIXucxi08ivDiGa2/y
l+4ULTir2AedTU3BwWY45Adi6hWhE/+Xml8TOn1LrMqaSmeimP4RxZmYPVWNcJtRIT5tkKQhSJHw
D966oyFnaxyE0lXgc2FRRIu+acRmxzles8vmFJ/RYKHidVSQsdApkkxWPzSrik+aYonNrQ/w/NGy
Zu4V9T2OM5WTX/iS5gg/CA1kuZrtXAesns9ooJidQ6mvkHlLgWng9SKq/EHUk67Q5+fIEU6AcKNV
aWEbdEw/57ClS88IPArQcwY6PoSkg55RMNWQdFFO+j5Fva4zVWIUYIoNByNwvM2Gluc90lY77Bzq
S1KeOrqdB531sKc7y6oKzN7rv7veqKc3z0sDN3Ldq3y/J/b6UsynyXG1IgLN80MHORs56EXRnfie
OpGOTzhGC0VSSLAmdr1/radu4J/dQpgXNF7BScGIxGnpsE3ZmTjJj0Uuvk+iHChkBvBbrES3dxK2
YdKWYFq2i1cTNIbKcTuaKKpokDWQvU3dTRdCTzbAaegOD5ZCOtb+nn1UKIfqFMlHqSr94KPAw5/e
v/1Xr0qzVUhsEROkHH8l9DO1+LPHo+8+9IzJuQ8OKF0WcrhSQr1/qVdrTtDvRhvKYxL0hjwLaVRq
gx2RD2ESiGHeo82djffW4ust4kUgsY8tucMRisWHwTsOUAz9cTjpjDP/7Iy2TSeCmFnBA2N3HaP6
ic12NaRE9psYdD9bOQrJ90kmZv78s7B9s70k2pXu80D6/5ObyRQD6jFYCj1VZbtZhytyrPAjGMNY
fKMnQek4J9CRfwQVBhbHIGeHb9lG54GnhQbG1WiOHczcchJDaDSZ9Q3Xcz+/6GWhS/M0o1Lb40Cl
s8b3P+tLjJt+NMZgAQgvyIY6qugV9kf7uc+QFA2Qmf7WInXMCmpFpMMcQXHmu0ZtU0w4JKQxypxr
fFQTTsb3b+AJ3PTnDiTVgmQNvdv3wT694qxTJSaFJTHHwLlhRgSVWdaCO25TJWF28py2qDbRqTHy
aDp+/26KGy5ISLEtvb7iXBifX06ZubrFQ+t/1hsRqArVAtr+FUcCIhd10G0C0RsIR6ZW3hOt/dHV
h6XCxlvVmyQy2fgQvpihZ5veH2geWWM7IW2lclp0mAXkqd2fpoyW8aSuc0Pv9051Ou0yWtvXOvhp
o49zT6bkNpiB6SNeylZyW/5zg74jtSdq5rmtk6Ys6J8yPhvKn1xHWYmo1Qqlt5H3HyBmQWfSVpPS
TZYqpy37/ut/teDQUNGsVljnNiSZw6U9UFkkhrnMX+ukEeSssex1CRQuvc4Afres37+k3rcvPjih
Fug7M5oALIB/qL3AzAmbxi4Yv4axp3uMA5De/AJgnJ0bH83O5A5WThEOFFGTFemk0CjQZj02KDp8
ciHgiBE5cankf4JDkGsFP2bkWyZfc6zAy7O0bPvyzs5Hu/1gd/0RJPNhoEbkzvUFnSIPVprWn3u5
zdA1iNNEdt031cCmvXczXy+LLJM6s3r/9doHW5rfrkGbwMJgUFKUmgfZQTxOZlFUyr6ruh61V/xH
0ELcxbRRqXTTbOR0wI1hKfk/n4YN63JCv+qeYs1tg5WkrUsLhpJHz+/liNQ/fQQYVWTY0CIhR/oE
gR9JnSW6rTUZug0Q9FiCJacq8HSbOC+ZjtwqwxI8nJG7nEVxbOhJkaVKHa8pCPKpOTUM4mixq2oE
rS/efwkH75t3ADEFfQPwjXCFXg2CXTfuw9IbpruhzPTJDENIbzmoT1TO719KHKxn/U0JXjCMYWtr
H6WDmD3Wkp6q5US3gVM/XWtwaZ1qtJQ+mgj1hKDn2XsBSIe3UE2V7pL+/lOr0EhOKRBMXq7r+Lqf
SS0oiXR22cGFOzXybDCWDx1bFVe2FJGl8WQWAwXTNq8iyuN0Iaip3e/BH9MiPUQykC5i7yyBufB3
qsarXqwWN+MqqEOTDvvPBbmy6ID2G8NN9JfMrCe9c18R+OtN36a6sfx7hMaOZO1mzDw49yIcuvmF
s1WOtEDef6XBy8+nZRNBDSApYiLNAi7RPFjCDU+gAlNGPwol/C9ZW7n2zmY8uvfyQDr0+JN+FztT
eD4HaRFtpBNBzrLz4h5XVtxHK+iXDE2x5QuNGdUHDNOaO0TJRHdVTJ1K1kmg7H0aZtclo7YfSjqd
hHZrJPOaWY53CTC2Pk/MtLvgREoWqvUEnXGjy8TnhTmyOovQIHZX+HCbzoauYX5vLAYSy30xJbis
h+2Vw6mU75zCEBf+3KpNL+dmy0y8uE+AJpwVhc2UIJM97bw6Hxnh9VbxDRyAew7ZEPOFYWlMC6vI
1r+1OZ8fZFJbLuJMXkILI+66Ext35dvRF8N9KkQCDso0ECQ36Nt9xbaue8Ssqf2Es0FHWhQN0HGG
bMeYYJbrinnRtJ4wXzBWSOGps6KqtxjTQGUIkiz7PASeR9c8QoC7H9v6dskGWmIOqGe6fYazBnl6
7fSz+d2e++6b5S/gLQd3WCeTV57nfpdunXROj5BOXi0I0i+NTiNT0fKLh2n6oH1IcqctH5uqop4D
ipxPu1JY4MHeX3pPv+lfpxNLj3oKNSnSodDinDqsrSYbUzwFXOXRwg4R8xmbKLpCw9JKNyh0+DcV
Bis3aRfBsjdROpcboWSKt2qKM9JU9KChwLB5l63XhmeV0fh3HEMd6QNWAeBfOdPtvgLvbveWc22q
rPpVDiL4UNG1vFb2bH8OM8q3lVVbplzHeXwpSmRM8DAtPZoaOSMqawzpN7Xh/JjVcU+HfWh3Vgw/
3px6sV6oq/4qRXh6I09vnzQNSpd/CGWqab35jRtXj+yV6Sq0oyrf4r6Ic7TXmt7d++//ZTB9vhhK
SYDhYLq8pv5Hi0Na3YbVo2f6Jfisyby1KnrbK9QRLpQjBmrvuC6vGc/6+ZFc+ACEx8V1GkAaxAIQ
nNGHKYFl+N3kBPPyCDOZVZakIjkRNSpR6NI+VFZYfBVGOG0G7IKKVdMa3t7BhvSY9qCro9uLJYjI
mK7qAAMCHEMQ82WyYOVRyfgA8XEEpoucdlqLqj0svxBB92LpN8opp71f4se0Sg1ZMu2pyz0C6f/N
3pk1p40tcfyr5AugktBedWseMN4mdlYnk+SFwjYRAi2gBZA//fyOjnCQsLOd1C3VrauZh5nYaXSa
Pr33v/3rzcrZFCPWcAxePxiBdWE+sNHOZgXdl5htnTYgdYNrkJTcq8qszhMzNm/IgUav04FYZOFQ
GAPVsdhRdmHCZQLghO++w23cpGdbK/xaOYvwlemuwvMlmeKLMEhXr2O7iIpxOsnL24qlAh+YJlq+
HSQeBsLZGWLzRbEtwaYOgxuBx8Ma37XOAeY7g92YBWD31K/XCwoh2MT3lj3wrsI5O1AMstqTEUUH
+0dQG4J3Xd5aAi4OI0WfbHdAsSQlzPfuTu7XoWW/EojjH1ehWdENvRbAeltiiR9oFKPd+IpUuYRZ
dN3SjwR+Ja1xna9TH0ZZjOmcLVYL62/SZoN4NCmrwUsSlYszChEFmt4OsvuVqUcfQyAGr9iBpL8d
bHzz7Pu361jCeReftiyaowC5OMocmUNqbaDyL2dikNsd+ewju6WPoKIulSQzvHb3/iEvJ5dOMrit
NottQn/iZhX/BkvAJcYxA4zZF/NFbZbQi5Mzj+9GMyAcq3Ls5PPqDdCz8+gqjByQRR42/s0abOiz
yplPTlf+ZPd57mWb1cU8fzBufsCTJ0QCiFaylwinmJoYtl/mIS63mxRIw1ng6s77tWPk74bRYDB2
SR2yVSAuX5XRGogVK4kvo51pXBdsfCGJGxW7N6E792h5Tbabq3BQml/pzV6z44ZFBu+//5b1AFxb
cAkSUL4MDrv0UHexjrJtbOce0PazAIiYiIxLOvmSZg+sFFjHlT1a68MluakYQJZRYZPlHS/mjg2/
gnBMhsv3TyhVsxwoSx33U1iwd5akPcWPZJDPr5cOsNhrky1CTjkPLgMmCKxRylTcFsAsg33JzDbE
jIAJnByPKcnV+QCBPlssi8G17xhi+GHrDq7qr7HabXFEFna4OgNBs1gzpxkur2IK9MQCZszyDfDp
EpqBtuw23FCu/ggeQ3WKF5m/L4ANY6lBZGbAdtDohA6h0HfikK99w+Yb0PpdWjx31KKpCBYs4w5Y
DOGurrcrP89Habhy6Ij2hqlxSVvRFvwGJxj+wz7d8FPJNnA2rQ1DknSA/v4oZWkcmS0xPW7aXHGB
rHUURm/iSRX7a6uckfVeBx+wbnZ+QiaxGpW5vnk1BDiKmlL+4HhjL7PTr3P2wS1Z7Ttcbc9NN80/
2n4UXOnudvlhmFklFRKswBmDKhGXIVi4J9aacq+8hv+fvLqpVsxPTe+ZYhuHOUHKXXE4NUGPMCb3
+TmL/d95kX59cZJGZXwbtqYu5N9vpi5ctujSjQeClecAZiWmp/ZzWK6rMWvF9g6icLIMpFkexy5M
T2MJJH3oPkkB2qIcfrQfx/I0TwwD8EPSMgzFOr8ydnE07kfsa+ssSaEjmkZj0gFt7VaxqgltsNPZ
I5SexMHXCN9gV00uFx6LYABWiEP971yfnPqT8pOxHIwWZj4+YN4bqaMOBwn89uWg3Z5XMEGBM0n7
MBJWX56DHGMKVNnK8wL9Is0q/dXE+lT5q6t8szxN4rNgOcSRLtg946+ChLwP+5BWASush1Zyuh1+
tjb02szH+MfBtf4wGIWpd1b4tCm5xqv1HLAYy96INtLxYBOIjeV3wMHwS+xsSfCal18W+fBU/Gdl
sZwzrD7kD1T4YoAAB6eV7V9YKZAlOBrO1VrfJCy80Iu0HA2y3DTH+rJk/jYBgon+P2SC8U+PhtNg
ZA3Nl0G5dcnLPhAKETt67CQMvcG1bS/oRynMHETdK2tQvo3mSXm6S9hlMvCLt47/2QCJMA/c6QNd
aqfxgg2ZDkt1HJdKqs9GovlpmUbjzS5mj9jy3W4wuVmst9npMo9PN8XqSwky7XkYlW+C3H25MJLb
B4Cji8XyBOCo6JxSozfasp92ZCbJXbyzgOSgnXhU6ds78JHHgVPmV0m+tUcRwcXKyfkwFh0uzddB
zCx9/a3/zyiX5iBi6vK0Hrp8W86y6t0sx9XN//qPrA2In74BfKK4SX/vl75PqJnk+oG6EmCu+CQt
fVW/VP3G36MRUfdhuy660HIY86oDWoALxYOTGqUJoWj944FvacQaJuMx8pMOuPPc+b9/NMnI7/9O
69Xv0jIpxBcQhGlyqK2HomLwM4fvUPh2eNPXbFFfEE5e/ZidwzNJS6GRgACNLB75gf99HjxrsUR/
Cd/Yz3ChQ+OAC7ZGGtcUSOLylOSND0XA9TWD8gvZHUdyCZPEB/aIC9TDLKyrGhcMTebgSfrXT/ci
+Bp1N3IPhGz1gzHrFxfAtqVSqsYEVwMO08EnwTSLp8MEiuKaw9AoAaIhudA3JjAJM+QWK3HB0jXw
dgU6cfN0uID7xuge7hvTFv0UBWYZlS0DniiVfZvKb3MhMACHasFndBjIT4chQsmF3qkFlKNI46jJ
gsuANAUj1uzIU3LFDrkAb9AbIivZXAh5BXukHElbOqomwhpqPuCuzBQP5ZXoGErX1hx+Agx7Yyh7
JwvA0YvMiJIsgIfBtSIyoyVwf+8PZcH1NKE0QFBvZEHapB7JgsgdY92VuIAsAMFLBEouun46suCb
OFWAYBsM89dP72SBO6tqIsyhRmhOyUlvDGWHCZ6jAXQurkvjLfRPLRisZlAUBcEFhuxozml0Y0c5
engL2GOdsklPRYHCla8sC/jPdPBzJeQhu06Tj9qggZC1UY3a6J0skIMRlXY1tWBpxEk+arZxio5l
wcV9xkmFE+KRbO+RcuTrkT59J8T/lWja0GzqxACfNrLQ9Ry5MKaY5hbJQNjdo9NzS5VNg0he0jBL
ibztJJEKdcmA40I07kHvvntaZEWHo9INQBvSgTAE5urpCNIzcSVJNVgUlPp5A6i3eco2Aawh3B+X
3HfztGUBy4j8U732mysi2d6nm2DhxyrKgmXiMNP0xdT3k1xA3jQg/ehilJ/Uo+OTSxHVYbWrwPGZ
QxAoG4+ifugpeyLC5h6I/Qb10zsfUeI6qjFBlHI8NmAxY10/HWPAmjFNtO0RQvfOGPC9yK9EwRZa
mieaCgAOlN8xxrUlAza2EAxN2ql6KgMGOImqFwEmIAQ6ZbYnmSCSKEATCXhPKSP98wtoxpYOq4Io
4BaRMzTpo5Kn7KaSfA2AG5FY7SsX8OeaAogCFwDfpIONf7jvhzcBED4HXCK6hJscU++EgByfWD+q
pA4tMmnYOwYKmjCoU2aQJhEPap9w7J1lJFg86g/45Xob6UKuOzW3p0tOHhECRX6A2Rqt2L9gke55
KaC/fxVMm/QI1x3wxyfVIk6igL+zHKtRGL2zkDg2pqqrPPQ0m4CY7r9OvIQQEIyBkiuyBuLp3/Ed
RjAVFQLRIhMvaH3qKPUDwUO16FOAoB0R49nYTpm57JOrTG5LNWUAF8gjihr0M1GjTsUNxEW6RCWX
eigL6GxVWSBHRuKAG3/sJYqpYhZONYFU78JFES+pCoFl4QZSPGHUUerDrm2kyoTtIbPQFDF6dAkM
X732bml1Yz9DHE8f3zDwkBjdIpu81xT4In1iAldAWQh0jQFqhMD+VlY+1Idk00nQiHrrPt1eX7oe
cYHdoJ5yrADoPOlTg/2Dj/rukAuMfqEwMZqgyPfu/CYgs6qaEFUwFBPuB65P+/yORhsx9sDrnYPM
8ghPmicF11DX2AVJ/dD55gAfnt83iKgFDAS9sPXTOykg5SdGb9WCJQruPgP4NI/LU3bMItEy+UOD
ZVp6w4a+3QUDBFtVWcAsMgZCYmDfbdTlAvssHApKTD/0LmQWQ/PKUoBF4KJTVGt8v07exOX4FF9B
+pBC0r/+RHpHj1YX/HLIbBMMCvN/EAccagTH1wDHp4ue4eD66Z1GGOpA96trBBrvqB6RNN37QIdc
YF8D+N2YzqaK1yO3ACBN5ViRTlwaDejt++b7tE5v04XlgffDJuH66aE+INetKgOmBgYMhnFfXkao
WlwQ5WeYhMqQMiKdkR6JAkGM2CemZBvp2gZLAdO371c+sgoOVoGGZSDm9zelX9ECW8SVm9Es7jsj
a/6++1L0LnRlgQkiXYRN9SMVUI9kAaV+tOfqV22DkAWUIjLfVJM7FpICozCRgESJQaqflYKfYNLj
JMjJPIzu6xmQcJY/NSry3C/sRyCOf96MP4g9PmLGofWLYiREfvasHk4R//9Xq7W/DosPfrgPk+vP
af56c8Djj2591v5U+z+8CGfZNLubg3EolpE1ryl3krGC6HYaTw/nM/BZkLlvb3I0ePeoBX5A+Ond
Ro/H/026WcjocvuF60yG8gtnSwDDp/n+6PU6prqSqEr5ZBqFX1OWl7feWrb9K9NOozSb3qeHby1r
4OqUmT2+K8K7smgRr7utVImPZ9F0O81mh5Slu6FMuZkP/cGsp6IUnsH18L71fTaVBdX3P5+lWdCW
lKbJSZXyBRwPw0OOA8AqwI1UCV/eT+ctAWxiSGW67P1M0rB9I2XCTpl0ch9OO1pENlEpU063bbGQ
rduqZF8e6yZZylEmDIHyblntxaBWe6Kau/+DJ4cZf8oEXKVlmB+xWeaaVF/7ehomLe3RRKzqdLMq
mib3+9PXxly2WKqTzvPp3bzMZ0XRkukmzFSmH96B2zhtz1rKhiB10tiCPC1akt2MsarTzvOQf1er
lm5iFEr0uf8J6mxh75IWU1bKpNOENe8dltSJdFXKr2a3WXczJIlT0c+jTnozbdutJrRTJ7x9cTGN
V/k8bJt16IsA+k/Q/3uW5bOWpmqydX+C+PVsF961zBjERVngTxD/nGbLPaVapcjhLmXSaVbMX5xM
sxRL2ZZEOWD8Zz5gPF12774c0VMl/3oetjkuO3WUyS4jPJJ2VNNMjCiTzmZBd5y9bjtWJfxmliR5
FW2mnTChGYxVJf9unt7PXlzmR7ZNpjRUyb9Py2cEsWlL/jMfcCyITRVflfwN3J+BndhyKcBWER1T
6rR37aiyGXtXpfvcOnHF0ObjLIuxbPtzC23VdFGqvvDHkMimI97NfKcq6X+m2B1Ww7WvZtP+qEx8
lhcvnnx52UekTD/M71JW2bQ8t2a2S5l2lQKaFLS+TVnn/D7lpzJNj50bx/mnPTrIU3+tnVwTv3EX
zabZX/8CAAD//w==</cx:binary>
              </cx:geoCache>
            </cx:geography>
          </cx:layoutPr>
          <cx:valueColors>
            <cx:minColor>
              <a:srgbClr val="F1EEF6"/>
            </cx:minColor>
            <cx:midColor>
              <a:srgbClr val="BDC9E1"/>
            </cx:midColor>
            <cx:maxColor>
              <a:srgbClr val="045A8D"/>
            </cx:maxColor>
          </cx:valueColors>
          <cx:valueColorPositions count="3"/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23</xdr:col>
      <xdr:colOff>628650</xdr:colOff>
      <xdr:row>38</xdr:row>
      <xdr:rowOff>0</xdr:rowOff>
    </xdr:from>
    <xdr:ext cx="2847975" cy="2657475"/>
    <xdr:graphicFrame macro="">
      <xdr:nvGraphicFramePr>
        <xdr:cNvPr id="1063908205" name="Chart 1">
          <a:extLst>
            <a:ext uri="{FF2B5EF4-FFF2-40B4-BE49-F238E27FC236}">
              <a16:creationId xmlns:a16="http://schemas.microsoft.com/office/drawing/2014/main" id="{00000000-0008-0000-0100-00006DF36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26</xdr:row>
      <xdr:rowOff>171450</xdr:rowOff>
    </xdr:from>
    <xdr:to>
      <xdr:col>8</xdr:col>
      <xdr:colOff>609600</xdr:colOff>
      <xdr:row>46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216857-5E44-483B-8FEF-B5266C6669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49</xdr:row>
      <xdr:rowOff>0</xdr:rowOff>
    </xdr:from>
    <xdr:to>
      <xdr:col>8</xdr:col>
      <xdr:colOff>628650</xdr:colOff>
      <xdr:row>68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97322E-B43A-4BAF-86A7-646CE8279C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40823</xdr:colOff>
      <xdr:row>4</xdr:row>
      <xdr:rowOff>4762</xdr:rowOff>
    </xdr:from>
    <xdr:to>
      <xdr:col>23</xdr:col>
      <xdr:colOff>360276</xdr:colOff>
      <xdr:row>22</xdr:row>
      <xdr:rowOff>42862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9C71D86-5165-39FA-4A64-3723B42CFB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62048" y="766762"/>
              <a:ext cx="6605953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24</xdr:col>
      <xdr:colOff>149679</xdr:colOff>
      <xdr:row>3</xdr:row>
      <xdr:rowOff>122465</xdr:rowOff>
    </xdr:from>
    <xdr:to>
      <xdr:col>34</xdr:col>
      <xdr:colOff>427265</xdr:colOff>
      <xdr:row>21</xdr:row>
      <xdr:rowOff>160565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E207946-F4BF-4CAD-BE24-6C4C6EC87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67004" y="693965"/>
              <a:ext cx="6373586" cy="3467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thanolrfa.org/pocket-guide/" TargetMode="External"/><Relationship Id="rId13" Type="http://schemas.openxmlformats.org/officeDocument/2006/relationships/hyperlink" Target="https://www.eia.gov/totalenergy/data/monthly/pdf/sec10_7.pdf" TargetMode="External"/><Relationship Id="rId18" Type="http://schemas.openxmlformats.org/officeDocument/2006/relationships/hyperlink" Target="https://www.ers.usda.gov/data-products/us-bioenergy-statistics/" TargetMode="External"/><Relationship Id="rId3" Type="http://schemas.openxmlformats.org/officeDocument/2006/relationships/hyperlink" Target="http://ethanolproducer.com/plants/listplants/US/Existing/Cellulosic" TargetMode="External"/><Relationship Id="rId21" Type="http://schemas.openxmlformats.org/officeDocument/2006/relationships/hyperlink" Target="https://www.afdc.energy.gov/fuels/prices.html" TargetMode="External"/><Relationship Id="rId7" Type="http://schemas.openxmlformats.org/officeDocument/2006/relationships/hyperlink" Target="http://www.ethanolrfa.org/resources/publications/" TargetMode="External"/><Relationship Id="rId12" Type="http://schemas.openxmlformats.org/officeDocument/2006/relationships/hyperlink" Target="https://www.eia.gov/totalenergy/data/monthly/pdf/mer.pdf" TargetMode="External"/><Relationship Id="rId17" Type="http://schemas.openxmlformats.org/officeDocument/2006/relationships/hyperlink" Target="https://www.eia.gov/dnav/pet/hist/LeafHandler.ashx?n=pet&amp;s=m_epooxe_eex_nus-z00_mbbl&amp;f=a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http://ethanolproducer.com/plants/listplants/US/Existing/Sugar-Starch/" TargetMode="External"/><Relationship Id="rId16" Type="http://schemas.openxmlformats.org/officeDocument/2006/relationships/hyperlink" Target="https://www.eia.gov/dnav/pet/hist/LeafHandler.ashx?n=PET&amp;s=MFEIMUS1&amp;f=A" TargetMode="External"/><Relationship Id="rId20" Type="http://schemas.openxmlformats.org/officeDocument/2006/relationships/hyperlink" Target="https://www.ers.usda.gov/data-products/us-bioenergy-statistics/" TargetMode="External"/><Relationship Id="rId1" Type="http://schemas.openxmlformats.org/officeDocument/2006/relationships/hyperlink" Target="http://www.ethanolrfa.org/pocket-guide/" TargetMode="External"/><Relationship Id="rId6" Type="http://schemas.openxmlformats.org/officeDocument/2006/relationships/hyperlink" Target="http://ethanolproducer.com/plants/listplants/US/Existing/Cellulosic" TargetMode="External"/><Relationship Id="rId11" Type="http://schemas.openxmlformats.org/officeDocument/2006/relationships/hyperlink" Target="https://www.eia.gov/petroleum/ethanolcapacity/index.php" TargetMode="External"/><Relationship Id="rId24" Type="http://schemas.openxmlformats.org/officeDocument/2006/relationships/hyperlink" Target="https://www.macrotrends.net/1369/crude-oil-price-history-chart" TargetMode="External"/><Relationship Id="rId5" Type="http://schemas.openxmlformats.org/officeDocument/2006/relationships/hyperlink" Target="http://ethanolproducer.com/plants/listplants/US/Existing/Cellulosic" TargetMode="External"/><Relationship Id="rId15" Type="http://schemas.openxmlformats.org/officeDocument/2006/relationships/hyperlink" Target="https://www.eia.gov/totalenergy/data/monthly/pdf/sec10_5.pdf" TargetMode="External"/><Relationship Id="rId23" Type="http://schemas.openxmlformats.org/officeDocument/2006/relationships/hyperlink" Target="http://www.ethanolrfa.org/pocket-guide/" TargetMode="External"/><Relationship Id="rId10" Type="http://schemas.openxmlformats.org/officeDocument/2006/relationships/hyperlink" Target="http://www.ethanolrfa.org/pocket-guide/" TargetMode="External"/><Relationship Id="rId19" Type="http://schemas.openxmlformats.org/officeDocument/2006/relationships/hyperlink" Target="https://www.ers.usda.gov/data-products/us-bioenergy-statistics/" TargetMode="External"/><Relationship Id="rId4" Type="http://schemas.openxmlformats.org/officeDocument/2006/relationships/hyperlink" Target="http://ethanolproducer.com/plants/listplants/US/Existing/Cellulosic" TargetMode="External"/><Relationship Id="rId9" Type="http://schemas.openxmlformats.org/officeDocument/2006/relationships/hyperlink" Target="http://ethanolproducer.com/plants/listplants/US/Existing/Sugar-Starch/" TargetMode="External"/><Relationship Id="rId14" Type="http://schemas.openxmlformats.org/officeDocument/2006/relationships/hyperlink" Target="https://www.eia.gov/totalenergy/data/monthly/pdf/sec10_5.pdf" TargetMode="External"/><Relationship Id="rId22" Type="http://schemas.openxmlformats.org/officeDocument/2006/relationships/hyperlink" Target="https://www.afdc.energy.gov/fuels/prices.ht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pa.gov/fuels-registration-reporting-and-compliance-help/rins-generated-transaction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rs.usda.gov/data-products/us-bioenergy-statistics/" TargetMode="External"/><Relationship Id="rId13" Type="http://schemas.openxmlformats.org/officeDocument/2006/relationships/hyperlink" Target="https://www.ers.usda.gov/data-products/oil-crops-yearbook/oil-crops-yearbook/" TargetMode="External"/><Relationship Id="rId3" Type="http://schemas.openxmlformats.org/officeDocument/2006/relationships/hyperlink" Target="http://www.biodieselmagazine.com/plants/listplants/USA/construction/" TargetMode="External"/><Relationship Id="rId7" Type="http://schemas.openxmlformats.org/officeDocument/2006/relationships/hyperlink" Target="https://www.eia.gov/totalenergy/data/monthly/pdf/sec10_8.pdf" TargetMode="External"/><Relationship Id="rId12" Type="http://schemas.openxmlformats.org/officeDocument/2006/relationships/hyperlink" Target="https://www.afdc.energy.gov/fuels/prices.html" TargetMode="External"/><Relationship Id="rId2" Type="http://schemas.openxmlformats.org/officeDocument/2006/relationships/hyperlink" Target="http://www.biodieselmagazine.com/plants/listplants/USA/proposed/" TargetMode="External"/><Relationship Id="rId1" Type="http://schemas.openxmlformats.org/officeDocument/2006/relationships/hyperlink" Target="https://www.eia.gov/biofuels/biodiesel/production/archive/" TargetMode="External"/><Relationship Id="rId6" Type="http://schemas.openxmlformats.org/officeDocument/2006/relationships/hyperlink" Target="https://www.eia.gov/totalenergy/data/monthly/pdf/sec10_5.pdf" TargetMode="External"/><Relationship Id="rId11" Type="http://schemas.openxmlformats.org/officeDocument/2006/relationships/hyperlink" Target="https://www.afdc.energy.gov/fuels/prices.html" TargetMode="External"/><Relationship Id="rId5" Type="http://schemas.openxmlformats.org/officeDocument/2006/relationships/hyperlink" Target="https://www.eia.gov/biofuels/biodiesel/production/archive/" TargetMode="External"/><Relationship Id="rId10" Type="http://schemas.openxmlformats.org/officeDocument/2006/relationships/hyperlink" Target="https://www.afdc.energy.gov/fuels/prices.html" TargetMode="External"/><Relationship Id="rId4" Type="http://schemas.openxmlformats.org/officeDocument/2006/relationships/hyperlink" Target="https://www.eia.gov/biofuels/biodiesel/production/archive/" TargetMode="External"/><Relationship Id="rId9" Type="http://schemas.openxmlformats.org/officeDocument/2006/relationships/hyperlink" Target="https://www.ers.usda.gov/data-products/us-bioenergy-statistics/" TargetMode="External"/><Relationship Id="rId14" Type="http://schemas.openxmlformats.org/officeDocument/2006/relationships/hyperlink" Target="https://www.irena.org/publicationsearch?keywords=jobs%20annual%20review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biofuels/biodiesel/production/archive/2020/2020_09/table3.pdf" TargetMode="External"/><Relationship Id="rId3" Type="http://schemas.openxmlformats.org/officeDocument/2006/relationships/hyperlink" Target="https://pubs.rendermagazine.com/2023-04/" TargetMode="External"/><Relationship Id="rId7" Type="http://schemas.openxmlformats.org/officeDocument/2006/relationships/hyperlink" Target="https://www.eia.gov/biofuels/biodiesel/production/archive/2020/2020_09/table3.pdf" TargetMode="External"/><Relationship Id="rId2" Type="http://schemas.openxmlformats.org/officeDocument/2006/relationships/hyperlink" Target="https://rendermagazine.com/wp-content/uploads/2019/07/Render_Apr19.pdf" TargetMode="External"/><Relationship Id="rId1" Type="http://schemas.openxmlformats.org/officeDocument/2006/relationships/hyperlink" Target="https://rendermagazine.com/wp-content/uploads/2019/07/Render_Apr19.pdf" TargetMode="External"/><Relationship Id="rId6" Type="http://schemas.openxmlformats.org/officeDocument/2006/relationships/hyperlink" Target="https://pubs.rendermagazine.com/archives/2024/2024-04.pdf" TargetMode="External"/><Relationship Id="rId5" Type="http://schemas.openxmlformats.org/officeDocument/2006/relationships/hyperlink" Target="https://www.eia.gov/biofuels/biodiesel/production/archive/2020/2020_09/table3.pdf" TargetMode="External"/><Relationship Id="rId4" Type="http://schemas.openxmlformats.org/officeDocument/2006/relationships/hyperlink" Target="https://rendermagazine.com/wp-content/uploads/2019/07/Render_Apr19.pdf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biofuels/renewable/capacity/" TargetMode="External"/><Relationship Id="rId7" Type="http://schemas.openxmlformats.org/officeDocument/2006/relationships/hyperlink" Target="https://www.eia.gov/dnav/pet/pet_move_impcus_a2_nus_EPOORDO_im0_mbbl_a.htm" TargetMode="External"/><Relationship Id="rId2" Type="http://schemas.openxmlformats.org/officeDocument/2006/relationships/hyperlink" Target="https://www.eia.gov/biofuels/renewable/capacity/" TargetMode="External"/><Relationship Id="rId1" Type="http://schemas.openxmlformats.org/officeDocument/2006/relationships/hyperlink" Target="https://www.eia.gov/biofuels/renewable/capacity/" TargetMode="External"/><Relationship Id="rId6" Type="http://schemas.openxmlformats.org/officeDocument/2006/relationships/hyperlink" Target="https://www.eia.gov/dnav/pet/pet_move_neti_a_EP00_IMN_mbblpd_m.htm" TargetMode="External"/><Relationship Id="rId5" Type="http://schemas.openxmlformats.org/officeDocument/2006/relationships/hyperlink" Target="https://www.epa.gov/fuels-registration-reporting-and-compliance-help/rins-generated-transactions" TargetMode="External"/><Relationship Id="rId4" Type="http://schemas.openxmlformats.org/officeDocument/2006/relationships/hyperlink" Target="https://www.epa.gov/fuels-registration-reporting-and-compliance-help/rins-generated-transactions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cao.int/environmental-protection/GFAAF/Pages/Offtake-Agreements.aspx" TargetMode="External"/><Relationship Id="rId3" Type="http://schemas.openxmlformats.org/officeDocument/2006/relationships/hyperlink" Target="https://www.icao.int/environmental-protection/GFAAF/Pages/Production-Facilities.aspx" TargetMode="External"/><Relationship Id="rId7" Type="http://schemas.openxmlformats.org/officeDocument/2006/relationships/hyperlink" Target="https://www.epa.gov/fuels-registration-reporting-and-compliance-help/rins-generated-transactions" TargetMode="External"/><Relationship Id="rId2" Type="http://schemas.openxmlformats.org/officeDocument/2006/relationships/hyperlink" Target="https://www.icao.int/environmental-protection/GFAAF/Pages/Offtake-Agreements.aspx" TargetMode="External"/><Relationship Id="rId1" Type="http://schemas.openxmlformats.org/officeDocument/2006/relationships/hyperlink" Target="https://www.epa.gov/fuels-registration-reporting-and-compliance-help/rins-generated-transactions" TargetMode="External"/><Relationship Id="rId6" Type="http://schemas.openxmlformats.org/officeDocument/2006/relationships/hyperlink" Target="https://www.gao.gov/products/gao-23-105300" TargetMode="External"/><Relationship Id="rId5" Type="http://schemas.openxmlformats.org/officeDocument/2006/relationships/hyperlink" Target="https://www.4air.aero/saf-map" TargetMode="External"/><Relationship Id="rId4" Type="http://schemas.openxmlformats.org/officeDocument/2006/relationships/hyperlink" Target="https://www.icao.int/environmental-protection/GFAAF/Pages/Production-Facilities.aspx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totalenergy/data/monthly/pdf/mer.pdf" TargetMode="External"/><Relationship Id="rId13" Type="http://schemas.openxmlformats.org/officeDocument/2006/relationships/hyperlink" Target="http://www.fao.org/faostat/en/" TargetMode="External"/><Relationship Id="rId3" Type="http://schemas.openxmlformats.org/officeDocument/2006/relationships/hyperlink" Target="http://www.fao.org/faostat/en/" TargetMode="External"/><Relationship Id="rId7" Type="http://schemas.openxmlformats.org/officeDocument/2006/relationships/hyperlink" Target="https://www.eia.gov/totalenergy/data/monthly/pdf/mer.pdf" TargetMode="External"/><Relationship Id="rId12" Type="http://schemas.openxmlformats.org/officeDocument/2006/relationships/hyperlink" Target="http://www.eia.gov/biofuels/biomass/" TargetMode="External"/><Relationship Id="rId2" Type="http://schemas.openxmlformats.org/officeDocument/2006/relationships/hyperlink" Target="http://www.fao.org/faostat/en/" TargetMode="External"/><Relationship Id="rId16" Type="http://schemas.openxmlformats.org/officeDocument/2006/relationships/hyperlink" Target="https://www.eia.gov/totalenergy/data/monthly/pdf/mer.pdf" TargetMode="External"/><Relationship Id="rId1" Type="http://schemas.openxmlformats.org/officeDocument/2006/relationships/hyperlink" Target="http://www.fao.org/faostat/en/" TargetMode="External"/><Relationship Id="rId6" Type="http://schemas.openxmlformats.org/officeDocument/2006/relationships/hyperlink" Target="https://www.eia.gov/totalenergy/data/monthly/pdf/mer.pdf" TargetMode="External"/><Relationship Id="rId11" Type="http://schemas.openxmlformats.org/officeDocument/2006/relationships/hyperlink" Target="http://task32.ieabioenergy.com/wp-content/uploads/2017/03/03-Fiona_Matthews.pdf" TargetMode="External"/><Relationship Id="rId5" Type="http://schemas.openxmlformats.org/officeDocument/2006/relationships/hyperlink" Target="https://www.eia.gov/totalenergy/data/monthly/pdf/mer.pdf" TargetMode="External"/><Relationship Id="rId15" Type="http://schemas.openxmlformats.org/officeDocument/2006/relationships/hyperlink" Target="https://data.bls.gov/cew/apps/data_views/data_views.htm" TargetMode="External"/><Relationship Id="rId10" Type="http://schemas.openxmlformats.org/officeDocument/2006/relationships/hyperlink" Target="https://www.eia.gov/totalenergy/data/monthly/pdf/mer.pdf" TargetMode="External"/><Relationship Id="rId4" Type="http://schemas.openxmlformats.org/officeDocument/2006/relationships/hyperlink" Target="https://www.eia.gov/totalenergy/data/monthly/pdf/mer.pdf" TargetMode="External"/><Relationship Id="rId9" Type="http://schemas.openxmlformats.org/officeDocument/2006/relationships/hyperlink" Target="https://www.eia.gov/totalenergy/data/monthly/pdf/mer.pdf" TargetMode="External"/><Relationship Id="rId14" Type="http://schemas.openxmlformats.org/officeDocument/2006/relationships/hyperlink" Target="http://www.fao.org/faostat/en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facts-and-figures-about-materials-waste-and-recycling/advancing-sustainable-materials-management" TargetMode="External"/><Relationship Id="rId13" Type="http://schemas.openxmlformats.org/officeDocument/2006/relationships/hyperlink" Target="http://www.eia.gov/electricity/annual/html/epa_05_07_c.html" TargetMode="External"/><Relationship Id="rId18" Type="http://schemas.openxmlformats.org/officeDocument/2006/relationships/hyperlink" Target="http://www.eia.gov/electricity/annual/html/epa_05_07_f.html" TargetMode="External"/><Relationship Id="rId3" Type="http://schemas.openxmlformats.org/officeDocument/2006/relationships/hyperlink" Target="https://www.eia.gov/electricity/data/eia860m/" TargetMode="External"/><Relationship Id="rId21" Type="http://schemas.openxmlformats.org/officeDocument/2006/relationships/hyperlink" Target="https://info.aee.net/hubfs/Market%20Report%202019/AEN%202019%20Market%20Report.pdf" TargetMode="External"/><Relationship Id="rId7" Type="http://schemas.openxmlformats.org/officeDocument/2006/relationships/hyperlink" Target="https://www.epa.gov/facts-and-figures-about-materials-waste-and-recycling/advancing-sustainable-materials-management" TargetMode="External"/><Relationship Id="rId12" Type="http://schemas.openxmlformats.org/officeDocument/2006/relationships/hyperlink" Target="http://www.eia.gov/electricity/annual/html/epa_05_07_b.html" TargetMode="External"/><Relationship Id="rId17" Type="http://schemas.openxmlformats.org/officeDocument/2006/relationships/hyperlink" Target="http://www.eia.gov/electricity/annual/html/epa_05_07_f.html" TargetMode="External"/><Relationship Id="rId2" Type="http://schemas.openxmlformats.org/officeDocument/2006/relationships/hyperlink" Target="https://www.eia.gov/electricity/data/eia860m/" TargetMode="External"/><Relationship Id="rId16" Type="http://schemas.openxmlformats.org/officeDocument/2006/relationships/hyperlink" Target="http://www.eia.gov/electricity/annual/html/epa_05_07_f.html" TargetMode="External"/><Relationship Id="rId20" Type="http://schemas.openxmlformats.org/officeDocument/2006/relationships/hyperlink" Target="http://www.eia.gov/electricity/annual/html/epa_05_07_f.html" TargetMode="External"/><Relationship Id="rId1" Type="http://schemas.openxmlformats.org/officeDocument/2006/relationships/hyperlink" Target="https://www.eia.gov/electricity/data/eia860m/" TargetMode="External"/><Relationship Id="rId6" Type="http://schemas.openxmlformats.org/officeDocument/2006/relationships/hyperlink" Target="https://www.eia.gov/electricity/data/eia860m/" TargetMode="External"/><Relationship Id="rId11" Type="http://schemas.openxmlformats.org/officeDocument/2006/relationships/hyperlink" Target="http://www.eia.gov/electricity/annual/html/epa_05_07_a.html" TargetMode="External"/><Relationship Id="rId24" Type="http://schemas.openxmlformats.org/officeDocument/2006/relationships/hyperlink" Target="http://energyrecoverycouncil.org/wp-content/uploads/2019/10/ERC-2018-directory.pdf" TargetMode="External"/><Relationship Id="rId5" Type="http://schemas.openxmlformats.org/officeDocument/2006/relationships/hyperlink" Target="https://www.eia.gov/electricity/data/eia860m/" TargetMode="External"/><Relationship Id="rId15" Type="http://schemas.openxmlformats.org/officeDocument/2006/relationships/hyperlink" Target="http://www.eia.gov/electricity/annual/html/epa_05_07_e.html" TargetMode="External"/><Relationship Id="rId23" Type="http://schemas.openxmlformats.org/officeDocument/2006/relationships/hyperlink" Target="http://energyrecoverycouncil.org/wp-content/uploads/2019/10/ERC-2018-directory.pdf" TargetMode="External"/><Relationship Id="rId10" Type="http://schemas.openxmlformats.org/officeDocument/2006/relationships/hyperlink" Target="https://www.epa.gov/facts-and-figures-about-materials-waste-and-recycling/advancing-sustainable-materials-management" TargetMode="External"/><Relationship Id="rId19" Type="http://schemas.openxmlformats.org/officeDocument/2006/relationships/hyperlink" Target="http://www.eia.gov/electricity/annual/html/epa_05_07_f.html" TargetMode="External"/><Relationship Id="rId4" Type="http://schemas.openxmlformats.org/officeDocument/2006/relationships/hyperlink" Target="https://www.eia.gov/electricity/data/eia860m/" TargetMode="External"/><Relationship Id="rId9" Type="http://schemas.openxmlformats.org/officeDocument/2006/relationships/hyperlink" Target="https://www.epa.gov/facts-and-figures-about-materials-waste-and-recycling/advancing-sustainable-materials-management" TargetMode="External"/><Relationship Id="rId14" Type="http://schemas.openxmlformats.org/officeDocument/2006/relationships/hyperlink" Target="http://www.eia.gov/electricity/annual/html/epa_05_07_d.html" TargetMode="External"/><Relationship Id="rId22" Type="http://schemas.openxmlformats.org/officeDocument/2006/relationships/hyperlink" Target="http://energyrecoverycouncil.org/wp-content/uploads/2019/10/ERC-2018-directory.pdf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agstar/livestock-anaerobic-digester-database" TargetMode="External"/><Relationship Id="rId13" Type="http://schemas.openxmlformats.org/officeDocument/2006/relationships/hyperlink" Target="https://americanbiogascouncil.org/biogas-market-snapshot/" TargetMode="External"/><Relationship Id="rId18" Type="http://schemas.openxmlformats.org/officeDocument/2006/relationships/hyperlink" Target="https://www.eia.gov/electricity/annual/html/epa_05_06_f.html" TargetMode="External"/><Relationship Id="rId26" Type="http://schemas.openxmlformats.org/officeDocument/2006/relationships/hyperlink" Target="https://www.epa.gov/lmop/renewable-natural-gas" TargetMode="External"/><Relationship Id="rId3" Type="http://schemas.openxmlformats.org/officeDocument/2006/relationships/hyperlink" Target="https://www.epa.gov/agstar/livestock-anaerobic-digester-database" TargetMode="External"/><Relationship Id="rId21" Type="http://schemas.openxmlformats.org/officeDocument/2006/relationships/hyperlink" Target="https://www3.epa.gov/climatechange/ghgemissions/inventoryexplorer/index.html" TargetMode="External"/><Relationship Id="rId7" Type="http://schemas.openxmlformats.org/officeDocument/2006/relationships/hyperlink" Target="https://www.epa.gov/agstar/livestock-anaerobic-digester-database" TargetMode="External"/><Relationship Id="rId12" Type="http://schemas.openxmlformats.org/officeDocument/2006/relationships/hyperlink" Target="https://americanbiogascouncil.org/biogas-market-snapshot/" TargetMode="External"/><Relationship Id="rId17" Type="http://schemas.openxmlformats.org/officeDocument/2006/relationships/hyperlink" Target="https://www3.epa.gov/climatechange/ghgemissions/inventoryexplorer/index.html" TargetMode="External"/><Relationship Id="rId25" Type="http://schemas.openxmlformats.org/officeDocument/2006/relationships/hyperlink" Target="https://www.epa.gov/lmop/renewable-natural-gas" TargetMode="External"/><Relationship Id="rId2" Type="http://schemas.openxmlformats.org/officeDocument/2006/relationships/hyperlink" Target="https://www.epa.gov/agstar/livestock-anaerobic-digester-database" TargetMode="External"/><Relationship Id="rId16" Type="http://schemas.openxmlformats.org/officeDocument/2006/relationships/hyperlink" Target="https://www.epa.gov/agstar/livestock-anaerobic-digester-database" TargetMode="External"/><Relationship Id="rId20" Type="http://schemas.openxmlformats.org/officeDocument/2006/relationships/hyperlink" Target="https://www.epa.gov/lmop/landfill-technical-data" TargetMode="External"/><Relationship Id="rId1" Type="http://schemas.openxmlformats.org/officeDocument/2006/relationships/hyperlink" Target="https://www.epa.gov/agstar/livestock-anaerobic-digester-database" TargetMode="External"/><Relationship Id="rId6" Type="http://schemas.openxmlformats.org/officeDocument/2006/relationships/hyperlink" Target="https://www.epa.gov/agstar/livestock-anaerobic-digester-database" TargetMode="External"/><Relationship Id="rId11" Type="http://schemas.openxmlformats.org/officeDocument/2006/relationships/hyperlink" Target="https://www.epa.gov/lmop/landfill-technical-data" TargetMode="External"/><Relationship Id="rId24" Type="http://schemas.openxmlformats.org/officeDocument/2006/relationships/hyperlink" Target="https://19january2017snapshot.epa.gov/sites/production/files/2015-12/documents/biogas-roadmap.pdf" TargetMode="External"/><Relationship Id="rId5" Type="http://schemas.openxmlformats.org/officeDocument/2006/relationships/hyperlink" Target="https://www.epa.gov/agstar/livestock-anaerobic-digester-database" TargetMode="External"/><Relationship Id="rId15" Type="http://schemas.openxmlformats.org/officeDocument/2006/relationships/hyperlink" Target="https://www.epa.gov/agstar/livestock-anaerobic-digester-database" TargetMode="External"/><Relationship Id="rId23" Type="http://schemas.openxmlformats.org/officeDocument/2006/relationships/hyperlink" Target="https://19january2017snapshot.epa.gov/sites/production/files/2015-12/documents/biogas-roadmap.pdf" TargetMode="External"/><Relationship Id="rId10" Type="http://schemas.openxmlformats.org/officeDocument/2006/relationships/hyperlink" Target="https://www.epa.gov/lmop/landfill-technical-data" TargetMode="External"/><Relationship Id="rId19" Type="http://schemas.openxmlformats.org/officeDocument/2006/relationships/hyperlink" Target="https://www.eia.gov/electricity/annual/html/epa_05_06_c.html" TargetMode="External"/><Relationship Id="rId4" Type="http://schemas.openxmlformats.org/officeDocument/2006/relationships/hyperlink" Target="https://www.epa.gov/agstar/livestock-anaerobic-digester-database" TargetMode="External"/><Relationship Id="rId9" Type="http://schemas.openxmlformats.org/officeDocument/2006/relationships/hyperlink" Target="https://www.epa.gov/agstar/livestock-anaerobic-digester-database" TargetMode="External"/><Relationship Id="rId14" Type="http://schemas.openxmlformats.org/officeDocument/2006/relationships/hyperlink" Target="https://www.epa.gov/agstar/livestock-anaerobic-digester-database" TargetMode="External"/><Relationship Id="rId22" Type="http://schemas.openxmlformats.org/officeDocument/2006/relationships/hyperlink" Target="https://19january2017snapshot.epa.gov/sites/production/files/2015-12/documents/biogas-roadmap.pdf" TargetMode="External"/><Relationship Id="rId27" Type="http://schemas.openxmlformats.org/officeDocument/2006/relationships/hyperlink" Target="https://www.epa.gov/lmop/landfill-gas-energy-project-data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opreferred.gov/BioPreferred/faces/catalog/Catalog.xhtml" TargetMode="External"/><Relationship Id="rId13" Type="http://schemas.openxmlformats.org/officeDocument/2006/relationships/hyperlink" Target="https://www.biopreferred.gov/BioPreferred/faces/catalog/Catalog.xhtml" TargetMode="External"/><Relationship Id="rId3" Type="http://schemas.openxmlformats.org/officeDocument/2006/relationships/hyperlink" Target="https://www.biopreferred.gov/BioPreferred/faces/catalog/Catalog.xhtml" TargetMode="External"/><Relationship Id="rId7" Type="http://schemas.openxmlformats.org/officeDocument/2006/relationships/hyperlink" Target="https://www.biopreferred.gov/BioPreferred/faces/catalog/Catalog.xhtml" TargetMode="External"/><Relationship Id="rId12" Type="http://schemas.openxmlformats.org/officeDocument/2006/relationships/hyperlink" Target="https://www.biopreferred.gov/BioPreferred/faces/catalog/Catalog.xhtml" TargetMode="External"/><Relationship Id="rId2" Type="http://schemas.openxmlformats.org/officeDocument/2006/relationships/hyperlink" Target="https://www.biopreferred.gov/BioPreferred/faces/catalog/Catalog.xhtml" TargetMode="External"/><Relationship Id="rId1" Type="http://schemas.openxmlformats.org/officeDocument/2006/relationships/hyperlink" Target="https://www.biopreferred.gov/BioPreferred/faces/catalog/Catalog.xhtml" TargetMode="External"/><Relationship Id="rId6" Type="http://schemas.openxmlformats.org/officeDocument/2006/relationships/hyperlink" Target="https://www.biopreferred.gov/BioPreferred/faces/catalog/Catalog.xhtml" TargetMode="External"/><Relationship Id="rId11" Type="http://schemas.openxmlformats.org/officeDocument/2006/relationships/hyperlink" Target="https://www.biopreferred.gov/BioPreferred/faces/catalog/Catalog.xhtml" TargetMode="External"/><Relationship Id="rId5" Type="http://schemas.openxmlformats.org/officeDocument/2006/relationships/hyperlink" Target="https://www.biopreferred.gov/BioPreferred/faces/catalog/Catalog.xhtml" TargetMode="External"/><Relationship Id="rId15" Type="http://schemas.openxmlformats.org/officeDocument/2006/relationships/hyperlink" Target="https://www.biopreferred.gov/BioPreferred/faces/catalog/Catalog.xhtml" TargetMode="External"/><Relationship Id="rId10" Type="http://schemas.openxmlformats.org/officeDocument/2006/relationships/hyperlink" Target="https://www.biopreferred.gov/BioPreferred/faces/catalog/Catalog.xhtml" TargetMode="External"/><Relationship Id="rId4" Type="http://schemas.openxmlformats.org/officeDocument/2006/relationships/hyperlink" Target="https://www.biopreferred.gov/BioPreferred/faces/catalog/Catalog.xhtml" TargetMode="External"/><Relationship Id="rId9" Type="http://schemas.openxmlformats.org/officeDocument/2006/relationships/hyperlink" Target="https://www.biopreferred.gov/BioPreferred/faces/catalog/Catalog.xhtml" TargetMode="External"/><Relationship Id="rId14" Type="http://schemas.openxmlformats.org/officeDocument/2006/relationships/hyperlink" Target="https://www.biopreferred.gov/BioPreferred/faces/catalog/Catalog.xhtml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european-bioplastics.org/publications/EUBP_Facts_and_figures.pdf" TargetMode="External"/><Relationship Id="rId3" Type="http://schemas.openxmlformats.org/officeDocument/2006/relationships/hyperlink" Target="https://apps.bea.gov/iTable/iTable.cfm?reqid=19&amp;step=2&amp;isuri=1&amp;1921=survey" TargetMode="External"/><Relationship Id="rId7" Type="http://schemas.openxmlformats.org/officeDocument/2006/relationships/hyperlink" Target="https://docs.european-bioplastics.org/publications/EUBP_Facts_and_figures.pdf" TargetMode="External"/><Relationship Id="rId2" Type="http://schemas.openxmlformats.org/officeDocument/2006/relationships/hyperlink" Target="https://www.bea.gov/iTable/iTable.cfm?ReqID=51&amp;step=1" TargetMode="External"/><Relationship Id="rId1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6" Type="http://schemas.openxmlformats.org/officeDocument/2006/relationships/hyperlink" Target="http://www.bio-based.eu/market_study/media/files/15-05-13_Bio-based_Polymers_and_Building_Blocks_in_the_World-nova_Booklet.pdf" TargetMode="External"/><Relationship Id="rId5" Type="http://schemas.openxmlformats.org/officeDocument/2006/relationships/hyperlink" Target="https://plasticseurope.org/resources/market-data/" TargetMode="External"/><Relationship Id="rId4" Type="http://schemas.openxmlformats.org/officeDocument/2006/relationships/hyperlink" Target="https://apps.bea.gov/iTable/iTable.cfm?reqid=19&amp;step=2&amp;isuri=1&amp;1921=survey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cresearch.com/market-research/biotechnology/global-markets-for-enzymes-in-industrial-applications.html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3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8" Type="http://schemas.openxmlformats.org/officeDocument/2006/relationships/hyperlink" Target="https://www.trade.gov/data-visualization/tradestats-express-us-trade-product" TargetMode="External"/><Relationship Id="rId3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7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2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7" Type="http://schemas.openxmlformats.org/officeDocument/2006/relationships/hyperlink" Target="https://www.trade.gov/data-visualization/tradestats-express-us-trade-product" TargetMode="External"/><Relationship Id="rId2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6" Type="http://schemas.openxmlformats.org/officeDocument/2006/relationships/hyperlink" Target="https://www.trade.gov/data-visualization/tradestats-express-us-trade-product" TargetMode="External"/><Relationship Id="rId1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6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1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5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5" Type="http://schemas.openxmlformats.org/officeDocument/2006/relationships/hyperlink" Target="https://www.trade.gov/data-visualization/tradestats-express-us-trade-product" TargetMode="External"/><Relationship Id="rId10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9" Type="http://schemas.openxmlformats.org/officeDocument/2006/relationships/drawing" Target="../drawings/drawing2.xml"/><Relationship Id="rId4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9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4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3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8" Type="http://schemas.openxmlformats.org/officeDocument/2006/relationships/hyperlink" Target="http://www.fao.org/faostat/en/" TargetMode="External"/><Relationship Id="rId3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21" Type="http://schemas.openxmlformats.org/officeDocument/2006/relationships/hyperlink" Target="http://www.fao.org/faostat/en/" TargetMode="External"/><Relationship Id="rId7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2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7" Type="http://schemas.openxmlformats.org/officeDocument/2006/relationships/hyperlink" Target="http://www.fao.org/faostat/en/" TargetMode="External"/><Relationship Id="rId2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6" Type="http://schemas.openxmlformats.org/officeDocument/2006/relationships/hyperlink" Target="http://www.fao.org/faostat/en/" TargetMode="External"/><Relationship Id="rId20" Type="http://schemas.openxmlformats.org/officeDocument/2006/relationships/hyperlink" Target="http://www.fao.org/faostat/en/" TargetMode="External"/><Relationship Id="rId1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6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1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24" Type="http://schemas.openxmlformats.org/officeDocument/2006/relationships/hyperlink" Target="http://www.fao.org/faostat/en/" TargetMode="External"/><Relationship Id="rId5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5" Type="http://schemas.openxmlformats.org/officeDocument/2006/relationships/hyperlink" Target="http://www.fao.org/faostat/en/" TargetMode="External"/><Relationship Id="rId23" Type="http://schemas.openxmlformats.org/officeDocument/2006/relationships/hyperlink" Target="http://www.fao.org/faostat/en/" TargetMode="External"/><Relationship Id="rId10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19" Type="http://schemas.openxmlformats.org/officeDocument/2006/relationships/hyperlink" Target="http://www.fao.org/faostat/en/" TargetMode="External"/><Relationship Id="rId4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9" Type="http://schemas.openxmlformats.org/officeDocument/2006/relationships/hyperlink" Target="https://apps.bea.gov/iTable/?reqid=150&amp;step=2&amp;isuri=1&amp;categories=gdpxind&amp;_gl=1*14rxqpt*_ga*MTM3MDkyNjc3LjE3MDg2OTk4NjU.*_ga_J4698JNNFT*MTcwODk1ODU4NC4yLjEuMTcwODk2MjUwMS42MC4wLjA." TargetMode="External"/><Relationship Id="rId14" Type="http://schemas.openxmlformats.org/officeDocument/2006/relationships/hyperlink" Target="https://apps.bea.gov/iTable/?reqid=19&amp;step=2&amp;isuri=1&amp;categories=survey&amp;_gl=1*1r7rqrk*_ga*MTM3MDkyNjc3LjE3MDg2OTk4NjU.*_ga_J4698JNNFT*MTcwODk1ODU4NC4yLjEuMTcwODk2MDEzMy42MC4wLjA." TargetMode="External"/><Relationship Id="rId22" Type="http://schemas.openxmlformats.org/officeDocument/2006/relationships/hyperlink" Target="http://www.fao.org/faostat/en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s://portal.nifa.usda.gov/enterprise-search/project_details" TargetMode="External"/><Relationship Id="rId13" Type="http://schemas.openxmlformats.org/officeDocument/2006/relationships/hyperlink" Target="https://portal.nifa.usda.gov/enterprise-search/project_details" TargetMode="External"/><Relationship Id="rId18" Type="http://schemas.openxmlformats.org/officeDocument/2006/relationships/hyperlink" Target="https://www.nsf.gov/awardsearch/advancedSearch.jsp" TargetMode="External"/><Relationship Id="rId3" Type="http://schemas.openxmlformats.org/officeDocument/2006/relationships/hyperlink" Target="https://portal.nifa.usda.gov/enterprise-search/project_details" TargetMode="External"/><Relationship Id="rId7" Type="http://schemas.openxmlformats.org/officeDocument/2006/relationships/hyperlink" Target="https://portal.nifa.usda.gov/enterprise-search/project_details" TargetMode="External"/><Relationship Id="rId12" Type="http://schemas.openxmlformats.org/officeDocument/2006/relationships/hyperlink" Target="https://portal.nifa.usda.gov/enterprise-search/project_details" TargetMode="External"/><Relationship Id="rId17" Type="http://schemas.openxmlformats.org/officeDocument/2006/relationships/hyperlink" Target="https://www.nsf.gov/awardsearch/advancedSearch.jsp" TargetMode="External"/><Relationship Id="rId2" Type="http://schemas.openxmlformats.org/officeDocument/2006/relationships/hyperlink" Target="https://portal.nifa.usda.gov/enterprise-search/project_details" TargetMode="External"/><Relationship Id="rId16" Type="http://schemas.openxmlformats.org/officeDocument/2006/relationships/hyperlink" Target="https://portal.nifa.usda.gov/enterprise-search/project_details" TargetMode="External"/><Relationship Id="rId20" Type="http://schemas.openxmlformats.org/officeDocument/2006/relationships/hyperlink" Target="https://www.nsf.gov/awardsearch/advancedSearch.jsp" TargetMode="External"/><Relationship Id="rId1" Type="http://schemas.openxmlformats.org/officeDocument/2006/relationships/hyperlink" Target="https://portal.nifa.usda.gov/enterprise-search/project_details" TargetMode="External"/><Relationship Id="rId6" Type="http://schemas.openxmlformats.org/officeDocument/2006/relationships/hyperlink" Target="https://portal.nifa.usda.gov/enterprise-search/project_details" TargetMode="External"/><Relationship Id="rId11" Type="http://schemas.openxmlformats.org/officeDocument/2006/relationships/hyperlink" Target="https://portal.nifa.usda.gov/enterprise-search/project_details" TargetMode="External"/><Relationship Id="rId5" Type="http://schemas.openxmlformats.org/officeDocument/2006/relationships/hyperlink" Target="https://portal.nifa.usda.gov/enterprise-search/project_details" TargetMode="External"/><Relationship Id="rId15" Type="http://schemas.openxmlformats.org/officeDocument/2006/relationships/hyperlink" Target="https://www.nsf.gov/awardsearch/advancedSearch.jsp" TargetMode="External"/><Relationship Id="rId10" Type="http://schemas.openxmlformats.org/officeDocument/2006/relationships/hyperlink" Target="https://portal.nifa.usda.gov/enterprise-search/project_details" TargetMode="External"/><Relationship Id="rId19" Type="http://schemas.openxmlformats.org/officeDocument/2006/relationships/hyperlink" Target="https://www.nsf.gov/awardsearch/advancedSearch.jsp" TargetMode="External"/><Relationship Id="rId4" Type="http://schemas.openxmlformats.org/officeDocument/2006/relationships/hyperlink" Target="https://portal.nifa.usda.gov/enterprise-search/project_details" TargetMode="External"/><Relationship Id="rId9" Type="http://schemas.openxmlformats.org/officeDocument/2006/relationships/hyperlink" Target="https://portal.nifa.usda.gov/enterprise-search/project_details" TargetMode="External"/><Relationship Id="rId14" Type="http://schemas.openxmlformats.org/officeDocument/2006/relationships/hyperlink" Target="https://www.nsf.gov/awardsearch/advancedSearch.jsp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ublicdashboards.dl.usda.gov/t/FPAC_PUB/views/PartnershipsForClimate-SmartCommodities/Overview?%3Aembed=y&amp;%3AisGuestRedirectFromVizportal=y&amp;%3Atoolbar=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29" sqref="A29"/>
    </sheetView>
  </sheetViews>
  <sheetFormatPr defaultColWidth="14.42578125" defaultRowHeight="15" customHeight="1"/>
  <cols>
    <col min="1" max="1" width="40.28515625" customWidth="1"/>
    <col min="2" max="5" width="9.7109375" customWidth="1"/>
    <col min="6" max="9" width="8.85546875" customWidth="1"/>
    <col min="10" max="10" width="11" customWidth="1"/>
    <col min="11" max="26" width="8.85546875" customWidth="1"/>
  </cols>
  <sheetData>
    <row r="1" spans="1:26" ht="2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.75" customHeight="1">
      <c r="A2" s="3"/>
      <c r="B2" s="4"/>
      <c r="C2" s="4"/>
      <c r="D2" s="5"/>
      <c r="E2" s="5"/>
      <c r="F2" s="5"/>
      <c r="G2" s="5"/>
      <c r="H2" s="5"/>
      <c r="I2" s="5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>
      <c r="A3" s="6"/>
      <c r="B3" s="2"/>
      <c r="C3" s="2"/>
      <c r="D3" s="2"/>
      <c r="E3" s="7"/>
      <c r="F3" s="7"/>
      <c r="G3" s="7"/>
      <c r="H3" s="7"/>
      <c r="I3" s="7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>
      <c r="A4" s="9" t="s">
        <v>1</v>
      </c>
      <c r="B4" s="10"/>
      <c r="C4" s="10"/>
      <c r="D4" s="10"/>
      <c r="E4" s="11"/>
      <c r="F4" s="11"/>
      <c r="G4" s="11"/>
      <c r="H4" s="11"/>
      <c r="I4" s="11"/>
      <c r="J4" s="1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>
      <c r="A5" s="6"/>
      <c r="B5" s="2"/>
      <c r="C5" s="2"/>
      <c r="D5" s="2"/>
      <c r="E5" s="7"/>
      <c r="F5" s="7"/>
      <c r="G5" s="7"/>
      <c r="H5" s="7"/>
      <c r="I5" s="7"/>
      <c r="J5" s="8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>
      <c r="A6" s="13" t="s">
        <v>2</v>
      </c>
      <c r="B6" s="2"/>
      <c r="C6" s="2"/>
      <c r="D6" s="2"/>
      <c r="E6" s="7"/>
      <c r="F6" s="7"/>
      <c r="G6" s="7"/>
      <c r="H6" s="7"/>
      <c r="I6" s="7"/>
      <c r="J6" s="8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>
      <c r="A7" s="13" t="s">
        <v>3</v>
      </c>
      <c r="B7" s="2"/>
      <c r="C7" s="2"/>
      <c r="D7" s="2"/>
      <c r="E7" s="7"/>
      <c r="F7" s="7"/>
      <c r="G7" s="7"/>
      <c r="H7" s="7"/>
      <c r="I7" s="7"/>
      <c r="J7" s="8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>
      <c r="A8" s="13" t="s">
        <v>4</v>
      </c>
      <c r="B8" s="2"/>
      <c r="C8" s="2"/>
      <c r="D8" s="2"/>
      <c r="E8" s="7"/>
      <c r="F8" s="7"/>
      <c r="G8" s="7"/>
      <c r="H8" s="7"/>
      <c r="I8" s="7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>
      <c r="A9" s="13" t="s">
        <v>5</v>
      </c>
      <c r="B9" s="2"/>
      <c r="C9" s="2"/>
      <c r="D9" s="2"/>
      <c r="E9" s="7"/>
      <c r="F9" s="7"/>
      <c r="G9" s="7"/>
      <c r="H9" s="7"/>
      <c r="I9" s="7"/>
      <c r="J9" s="8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>
      <c r="A10" s="13" t="s">
        <v>6</v>
      </c>
      <c r="B10" s="2"/>
      <c r="C10" s="2"/>
      <c r="D10" s="2"/>
      <c r="E10" s="7"/>
      <c r="F10" s="7"/>
      <c r="G10" s="7"/>
      <c r="H10" s="7"/>
      <c r="I10" s="7"/>
      <c r="J10" s="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>
      <c r="A11" s="13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>
      <c r="A12" s="13" t="s">
        <v>8</v>
      </c>
      <c r="B12" s="2"/>
      <c r="C12" s="2"/>
      <c r="D12" s="2"/>
      <c r="E12" s="7"/>
      <c r="F12" s="7"/>
      <c r="G12" s="7"/>
      <c r="H12" s="7"/>
      <c r="I12" s="7"/>
      <c r="J12" s="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>
      <c r="A13" s="13" t="s">
        <v>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>
      <c r="A14" s="13" t="s">
        <v>10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>
      <c r="A15" s="14" t="s">
        <v>11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>
      <c r="A16" s="6"/>
      <c r="B16" s="2"/>
      <c r="C16" s="2"/>
      <c r="D16" s="2"/>
      <c r="E16" s="15"/>
      <c r="F16" s="15"/>
      <c r="G16" s="15"/>
      <c r="H16" s="15"/>
      <c r="I16" s="1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8">
      <c r="A17" s="16" t="s">
        <v>12</v>
      </c>
      <c r="B17" s="17"/>
      <c r="C17" s="17"/>
      <c r="D17" s="17"/>
      <c r="E17" s="18"/>
      <c r="F17" s="18"/>
      <c r="G17" s="18"/>
      <c r="H17" s="18"/>
      <c r="I17" s="18"/>
      <c r="J17" s="19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5.75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>
      <c r="A19" s="13" t="s">
        <v>13</v>
      </c>
      <c r="B19" s="2"/>
      <c r="C19" s="2"/>
      <c r="D19" s="2"/>
      <c r="E19" s="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>
      <c r="A20" s="13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13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13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6"/>
      <c r="B23" s="2"/>
      <c r="C23" s="2"/>
      <c r="D23" s="2"/>
      <c r="E23" s="2"/>
      <c r="F23" s="2"/>
      <c r="G23" s="2"/>
      <c r="H23" s="2"/>
      <c r="I23" s="2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2" t="s">
        <v>17</v>
      </c>
      <c r="B24" s="23"/>
      <c r="C24" s="23"/>
      <c r="D24" s="23"/>
      <c r="E24" s="24"/>
      <c r="F24" s="24"/>
      <c r="G24" s="24"/>
      <c r="H24" s="24"/>
      <c r="I24" s="24"/>
      <c r="J24" s="25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.75" customHeight="1">
      <c r="A25" s="6"/>
      <c r="B25" s="2"/>
      <c r="C25" s="2"/>
      <c r="D25" s="2"/>
      <c r="E25" s="2"/>
      <c r="F25" s="2"/>
      <c r="G25" s="2"/>
      <c r="H25" s="2"/>
      <c r="I25" s="2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13" t="s">
        <v>18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6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6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6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6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6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6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6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6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6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6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6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6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6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6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6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6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6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6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6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6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6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6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6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6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6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6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6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6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6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6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6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6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6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6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6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6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6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6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6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6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6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6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6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6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6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6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6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6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6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6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6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6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6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6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6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6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6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6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6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6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A6" location="ETHANOL!A1" display="Ethanol" xr:uid="{00000000-0004-0000-0000-000000000000}"/>
    <hyperlink ref="A7" location="BIOBUTANOL!A1" display="Biobutanol" xr:uid="{00000000-0004-0000-0000-000001000000}"/>
    <hyperlink ref="A8" location="BIODIESEL!A1" display="Biodiesel" xr:uid="{00000000-0004-0000-0000-000002000000}"/>
    <hyperlink ref="A9" location="FATS!A1" display="Fats" xr:uid="{00000000-0004-0000-0000-000003000000}"/>
    <hyperlink ref="A10" location="'RENEWABLE DIESEL'!A1" display="Renewable Diesel" xr:uid="{00000000-0004-0000-0000-000004000000}"/>
    <hyperlink ref="A11" location="'RENEWABLE JET FUEL'!A1" display="Renewable Jet Fuel" xr:uid="{00000000-0004-0000-0000-000005000000}"/>
    <hyperlink ref="A12" location="'WOOD PELLETS'!A1" display="Wood Pellets" xr:uid="{00000000-0004-0000-0000-000006000000}"/>
    <hyperlink ref="A13" location="'WASTE TO ENERGY'!A1" display="Waste to Energy " xr:uid="{00000000-0004-0000-0000-000007000000}"/>
    <hyperlink ref="A14" location="BIOGAS!A1" display="Biogas" xr:uid="{00000000-0004-0000-0000-000008000000}"/>
    <hyperlink ref="A19" location="BIOPRODUCTS!A1" display="BioProducts" xr:uid="{00000000-0004-0000-0000-000009000000}"/>
    <hyperlink ref="A20" location="BIOPLASTICS!A1" display="Bioplastics" xr:uid="{00000000-0004-0000-0000-00000A000000}"/>
    <hyperlink ref="A21" location="ENZYMES!A1" display="Enzymes" xr:uid="{00000000-0004-0000-0000-00000B000000}"/>
    <hyperlink ref="A22" location="'FOREST PRODUCTS'!A1" display="Forest Products" xr:uid="{00000000-0004-0000-0000-00000C000000}"/>
    <hyperlink ref="A26" location="FUNDING!A1" display="Funding" xr:uid="{00000000-0004-0000-0000-00000D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8306C"/>
  </sheetPr>
  <dimension ref="A1:AD1000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L103" sqref="L103"/>
    </sheetView>
  </sheetViews>
  <sheetFormatPr defaultColWidth="14.42578125" defaultRowHeight="15" customHeight="1"/>
  <cols>
    <col min="1" max="1" width="77.7109375" customWidth="1"/>
    <col min="2" max="3" width="11.7109375" customWidth="1"/>
    <col min="4" max="4" width="11.85546875" customWidth="1"/>
    <col min="5" max="9" width="11.7109375" customWidth="1"/>
    <col min="10" max="15" width="10.85546875" customWidth="1"/>
    <col min="16" max="16" width="17" customWidth="1"/>
    <col min="17" max="17" width="70.42578125" customWidth="1"/>
    <col min="18" max="18" width="35.42578125" customWidth="1"/>
    <col min="19" max="19" width="8.85546875" customWidth="1"/>
    <col min="20" max="20" width="14" customWidth="1"/>
    <col min="21" max="27" width="9.7109375" customWidth="1"/>
    <col min="28" max="30" width="8.85546875" customWidth="1"/>
  </cols>
  <sheetData>
    <row r="1" spans="1:30">
      <c r="A1" s="430" t="s">
        <v>19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31"/>
      <c r="B2" s="27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8" t="s">
        <v>21</v>
      </c>
      <c r="Q3" s="29" t="s">
        <v>22</v>
      </c>
      <c r="R3" s="29" t="s">
        <v>23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1" t="s">
        <v>24</v>
      </c>
      <c r="B4" s="32">
        <v>204</v>
      </c>
      <c r="C4" s="32">
        <v>209</v>
      </c>
      <c r="D4" s="32">
        <v>211</v>
      </c>
      <c r="E4" s="32">
        <v>210</v>
      </c>
      <c r="F4" s="32">
        <v>213</v>
      </c>
      <c r="G4" s="32">
        <v>214</v>
      </c>
      <c r="H4" s="32">
        <v>213</v>
      </c>
      <c r="I4" s="32">
        <v>209</v>
      </c>
      <c r="J4" s="32">
        <v>210</v>
      </c>
      <c r="K4" s="32">
        <v>205</v>
      </c>
      <c r="L4" s="32">
        <v>208</v>
      </c>
      <c r="M4" s="32">
        <v>208</v>
      </c>
      <c r="N4" s="32">
        <v>199</v>
      </c>
      <c r="O4" s="32">
        <v>198</v>
      </c>
      <c r="P4" s="33" t="s">
        <v>25</v>
      </c>
      <c r="Q4" s="191" t="s">
        <v>26</v>
      </c>
      <c r="R4" s="192" t="s">
        <v>27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ht="45">
      <c r="A5" s="35" t="s">
        <v>28</v>
      </c>
      <c r="B5" s="36"/>
      <c r="C5" s="36"/>
      <c r="D5" s="36"/>
      <c r="E5" s="36"/>
      <c r="F5" s="36"/>
      <c r="G5" s="36"/>
      <c r="H5" s="32">
        <v>203</v>
      </c>
      <c r="I5" s="37">
        <v>202</v>
      </c>
      <c r="J5" s="37">
        <v>204</v>
      </c>
      <c r="K5" s="37">
        <v>199</v>
      </c>
      <c r="L5" s="37">
        <v>201</v>
      </c>
      <c r="M5" s="37">
        <v>199</v>
      </c>
      <c r="N5" s="37">
        <v>195</v>
      </c>
      <c r="O5" s="37">
        <v>197</v>
      </c>
      <c r="P5" s="38" t="s">
        <v>29</v>
      </c>
      <c r="Q5" s="193" t="s">
        <v>30</v>
      </c>
      <c r="R5" s="194" t="s">
        <v>27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 ht="45">
      <c r="A6" s="35" t="s">
        <v>31</v>
      </c>
      <c r="B6" s="36"/>
      <c r="C6" s="36"/>
      <c r="D6" s="36"/>
      <c r="E6" s="36"/>
      <c r="F6" s="36"/>
      <c r="G6" s="36"/>
      <c r="H6" s="32">
        <v>10</v>
      </c>
      <c r="I6" s="32">
        <v>7</v>
      </c>
      <c r="J6" s="32">
        <v>6</v>
      </c>
      <c r="K6" s="32">
        <v>6</v>
      </c>
      <c r="L6" s="32">
        <v>11</v>
      </c>
      <c r="M6" s="32">
        <v>11</v>
      </c>
      <c r="N6" s="32">
        <v>8</v>
      </c>
      <c r="O6" s="32">
        <v>9</v>
      </c>
      <c r="P6" s="38" t="s">
        <v>29</v>
      </c>
      <c r="Q6" s="195" t="s">
        <v>32</v>
      </c>
      <c r="R6" s="194" t="s">
        <v>27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ht="45">
      <c r="A7" s="35" t="s">
        <v>33</v>
      </c>
      <c r="B7" s="36"/>
      <c r="C7" s="36"/>
      <c r="D7" s="36"/>
      <c r="E7" s="36"/>
      <c r="F7" s="36"/>
      <c r="G7" s="36"/>
      <c r="H7" s="36"/>
      <c r="I7" s="36"/>
      <c r="J7" s="32">
        <v>196</v>
      </c>
      <c r="K7" s="32">
        <v>197</v>
      </c>
      <c r="L7" s="32">
        <v>199</v>
      </c>
      <c r="M7" s="32">
        <v>198</v>
      </c>
      <c r="N7" s="32">
        <v>190</v>
      </c>
      <c r="O7" s="32">
        <v>195</v>
      </c>
      <c r="P7" s="38" t="s">
        <v>29</v>
      </c>
      <c r="Q7" s="196" t="s">
        <v>34</v>
      </c>
      <c r="R7" s="194" t="s">
        <v>27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 ht="45">
      <c r="A8" s="35" t="s">
        <v>35</v>
      </c>
      <c r="B8" s="36"/>
      <c r="C8" s="36"/>
      <c r="D8" s="36"/>
      <c r="E8" s="36"/>
      <c r="F8" s="36"/>
      <c r="G8" s="36"/>
      <c r="H8" s="36"/>
      <c r="I8" s="36"/>
      <c r="J8" s="32">
        <v>13</v>
      </c>
      <c r="K8" s="32">
        <v>14</v>
      </c>
      <c r="L8" s="32">
        <v>9</v>
      </c>
      <c r="M8" s="32">
        <v>10</v>
      </c>
      <c r="N8" s="32">
        <v>12</v>
      </c>
      <c r="O8" s="32">
        <v>10</v>
      </c>
      <c r="P8" s="38" t="s">
        <v>29</v>
      </c>
      <c r="Q8" s="196" t="s">
        <v>36</v>
      </c>
      <c r="R8" s="194" t="s">
        <v>27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ht="45">
      <c r="A9" s="35" t="s">
        <v>37</v>
      </c>
      <c r="B9" s="36"/>
      <c r="C9" s="36"/>
      <c r="D9" s="36"/>
      <c r="E9" s="36"/>
      <c r="F9" s="36"/>
      <c r="G9" s="36"/>
      <c r="H9" s="36"/>
      <c r="I9" s="36"/>
      <c r="J9" s="32">
        <v>5</v>
      </c>
      <c r="K9" s="32">
        <v>4</v>
      </c>
      <c r="L9" s="32">
        <v>8</v>
      </c>
      <c r="M9" s="32">
        <v>9</v>
      </c>
      <c r="N9" s="32">
        <v>5</v>
      </c>
      <c r="O9" s="32">
        <v>7</v>
      </c>
      <c r="P9" s="38" t="s">
        <v>29</v>
      </c>
      <c r="Q9" s="196" t="s">
        <v>38</v>
      </c>
      <c r="R9" s="194" t="s">
        <v>27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ht="30">
      <c r="A10" s="40" t="s">
        <v>39</v>
      </c>
      <c r="B10" s="36"/>
      <c r="C10" s="32">
        <v>193</v>
      </c>
      <c r="D10" s="32">
        <v>194</v>
      </c>
      <c r="E10" s="32">
        <v>192</v>
      </c>
      <c r="F10" s="32">
        <v>198</v>
      </c>
      <c r="G10" s="32">
        <v>199</v>
      </c>
      <c r="H10" s="32">
        <v>200</v>
      </c>
      <c r="I10" s="32">
        <v>201</v>
      </c>
      <c r="J10" s="32">
        <v>199</v>
      </c>
      <c r="K10" s="32">
        <v>200</v>
      </c>
      <c r="L10" s="32">
        <v>201</v>
      </c>
      <c r="M10" s="32">
        <v>197</v>
      </c>
      <c r="N10" s="73">
        <v>192</v>
      </c>
      <c r="O10" s="32">
        <v>187</v>
      </c>
      <c r="P10" s="38" t="s">
        <v>40</v>
      </c>
      <c r="Q10" s="197" t="s">
        <v>41</v>
      </c>
      <c r="R10" s="194" t="s">
        <v>27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41" t="s">
        <v>42</v>
      </c>
      <c r="B11" s="36"/>
      <c r="C11" s="36"/>
      <c r="D11" s="36"/>
      <c r="E11" s="32">
        <v>7</v>
      </c>
      <c r="F11" s="32">
        <v>3</v>
      </c>
      <c r="G11" s="32">
        <v>3</v>
      </c>
      <c r="H11" s="32">
        <v>3</v>
      </c>
      <c r="I11" s="32">
        <v>7</v>
      </c>
      <c r="J11" s="32">
        <v>9</v>
      </c>
      <c r="K11" s="32">
        <v>4</v>
      </c>
      <c r="L11" s="32">
        <v>1</v>
      </c>
      <c r="M11" s="297">
        <v>5</v>
      </c>
      <c r="N11" s="213">
        <v>4</v>
      </c>
      <c r="O11" s="298">
        <v>2</v>
      </c>
      <c r="P11" s="38" t="s">
        <v>25</v>
      </c>
      <c r="Q11" s="296" t="s">
        <v>26</v>
      </c>
      <c r="R11" s="194" t="s">
        <v>27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35" t="s">
        <v>43</v>
      </c>
      <c r="B12" s="36"/>
      <c r="C12" s="36"/>
      <c r="D12" s="36"/>
      <c r="E12" s="36"/>
      <c r="F12" s="36"/>
      <c r="G12" s="36"/>
      <c r="H12" s="36"/>
      <c r="I12" s="32">
        <v>11</v>
      </c>
      <c r="J12" s="32">
        <v>1</v>
      </c>
      <c r="K12" s="32">
        <v>1</v>
      </c>
      <c r="L12" s="36"/>
      <c r="M12" s="36"/>
      <c r="N12" s="286">
        <v>0</v>
      </c>
      <c r="O12" s="32">
        <v>1</v>
      </c>
      <c r="P12" s="42" t="s">
        <v>44</v>
      </c>
      <c r="Q12" s="198" t="s">
        <v>45</v>
      </c>
      <c r="R12" s="194" t="s">
        <v>27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>
      <c r="A13" s="35" t="s">
        <v>46</v>
      </c>
      <c r="B13" s="43">
        <v>29</v>
      </c>
      <c r="C13" s="43">
        <v>29</v>
      </c>
      <c r="D13" s="43">
        <v>29</v>
      </c>
      <c r="E13" s="43">
        <v>28</v>
      </c>
      <c r="F13" s="43">
        <v>29</v>
      </c>
      <c r="G13" s="43">
        <v>29</v>
      </c>
      <c r="H13" s="43">
        <v>28</v>
      </c>
      <c r="I13" s="43">
        <v>28</v>
      </c>
      <c r="J13" s="43">
        <v>27</v>
      </c>
      <c r="K13" s="43">
        <v>26</v>
      </c>
      <c r="L13" s="43">
        <v>25</v>
      </c>
      <c r="M13" s="43">
        <v>24</v>
      </c>
      <c r="N13" s="43">
        <v>22</v>
      </c>
      <c r="O13" s="32">
        <v>22</v>
      </c>
      <c r="P13" s="38" t="s">
        <v>25</v>
      </c>
      <c r="Q13" s="195" t="s">
        <v>26</v>
      </c>
      <c r="R13" s="194" t="s">
        <v>27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ht="30">
      <c r="A14" s="44" t="s">
        <v>47</v>
      </c>
      <c r="B14" s="43">
        <v>14.46</v>
      </c>
      <c r="C14" s="43">
        <v>13.614000000000001</v>
      </c>
      <c r="D14" s="43">
        <v>13.728</v>
      </c>
      <c r="E14" s="43">
        <v>13.852</v>
      </c>
      <c r="F14" s="43">
        <v>13.680999999999999</v>
      </c>
      <c r="G14" s="43">
        <v>14.369</v>
      </c>
      <c r="H14" s="43">
        <v>14.903</v>
      </c>
      <c r="I14" s="43">
        <v>15.584</v>
      </c>
      <c r="J14" s="43">
        <v>16.542000000000002</v>
      </c>
      <c r="K14" s="43">
        <v>16.867999999999999</v>
      </c>
      <c r="L14" s="43">
        <v>17.378</v>
      </c>
      <c r="M14" s="43">
        <v>17.545999999999999</v>
      </c>
      <c r="N14" s="43">
        <v>17.38</v>
      </c>
      <c r="O14" s="43">
        <v>17.663</v>
      </c>
      <c r="P14" s="199" t="s">
        <v>48</v>
      </c>
      <c r="Q14" s="200" t="s">
        <v>49</v>
      </c>
      <c r="R14" s="194" t="s">
        <v>27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45"/>
      <c r="B15" s="46"/>
      <c r="C15" s="46"/>
      <c r="D15" s="46"/>
      <c r="E15" s="46"/>
      <c r="F15" s="46"/>
      <c r="G15" s="46"/>
      <c r="H15" s="46"/>
      <c r="I15" s="46"/>
      <c r="J15" s="47"/>
      <c r="K15" s="47"/>
      <c r="L15" s="47"/>
      <c r="M15" s="47"/>
      <c r="N15" s="47"/>
      <c r="O15" s="47"/>
      <c r="P15" s="48"/>
      <c r="Q15" s="49"/>
      <c r="R15" s="189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51" t="s">
        <v>50</v>
      </c>
      <c r="B16" s="51">
        <v>2010</v>
      </c>
      <c r="C16" s="51">
        <v>2011</v>
      </c>
      <c r="D16" s="51">
        <v>2012</v>
      </c>
      <c r="E16" s="51">
        <v>2013</v>
      </c>
      <c r="F16" s="51">
        <v>2014</v>
      </c>
      <c r="G16" s="51">
        <v>2015</v>
      </c>
      <c r="H16" s="51">
        <v>2016</v>
      </c>
      <c r="I16" s="51">
        <v>2017</v>
      </c>
      <c r="J16" s="51">
        <v>2018</v>
      </c>
      <c r="K16" s="51">
        <v>2019</v>
      </c>
      <c r="L16" s="51">
        <v>2020</v>
      </c>
      <c r="M16" s="51">
        <v>2021</v>
      </c>
      <c r="N16" s="51">
        <v>2022</v>
      </c>
      <c r="O16" s="51">
        <v>2023</v>
      </c>
      <c r="P16" s="28" t="s">
        <v>21</v>
      </c>
      <c r="Q16" s="29" t="s">
        <v>22</v>
      </c>
      <c r="R16" s="29" t="s">
        <v>23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>
      <c r="A17" s="35" t="s">
        <v>51</v>
      </c>
      <c r="B17" s="52">
        <v>13.298</v>
      </c>
      <c r="C17" s="52">
        <v>13.929</v>
      </c>
      <c r="D17" s="52">
        <v>13.218</v>
      </c>
      <c r="E17" s="52">
        <v>13.292999999999999</v>
      </c>
      <c r="F17" s="52">
        <v>14.313000000000001</v>
      </c>
      <c r="G17" s="52">
        <v>14.807</v>
      </c>
      <c r="H17" s="53">
        <v>15.413</v>
      </c>
      <c r="I17" s="52">
        <v>15.936</v>
      </c>
      <c r="J17" s="52">
        <v>16.091000000000001</v>
      </c>
      <c r="K17" s="52">
        <v>15.778</v>
      </c>
      <c r="L17" s="52">
        <v>13.941000000000001</v>
      </c>
      <c r="M17" s="52">
        <v>15.016</v>
      </c>
      <c r="N17" s="52">
        <v>15.361000000000001</v>
      </c>
      <c r="O17" s="54">
        <v>15.62</v>
      </c>
      <c r="P17" s="35" t="s">
        <v>52</v>
      </c>
      <c r="Q17" s="55" t="s">
        <v>53</v>
      </c>
      <c r="R17" s="34" t="s">
        <v>27</v>
      </c>
      <c r="S17" s="26"/>
      <c r="T17" s="27"/>
      <c r="U17" s="27"/>
      <c r="V17" s="27"/>
      <c r="W17" s="27"/>
      <c r="X17" s="27"/>
      <c r="Y17" s="27"/>
      <c r="Z17" s="27"/>
      <c r="AA17" s="27"/>
      <c r="AB17" s="26"/>
      <c r="AC17" s="26"/>
      <c r="AD17" s="26"/>
    </row>
    <row r="18" spans="1:30">
      <c r="A18" s="35" t="s">
        <v>54</v>
      </c>
      <c r="B18" s="52">
        <v>12.858000000000001</v>
      </c>
      <c r="C18" s="52">
        <v>12.893000000000001</v>
      </c>
      <c r="D18" s="52">
        <v>12.882</v>
      </c>
      <c r="E18" s="52">
        <v>13.215999999999999</v>
      </c>
      <c r="F18" s="52">
        <v>13.444000000000001</v>
      </c>
      <c r="G18" s="52">
        <v>13.946999999999999</v>
      </c>
      <c r="H18" s="52">
        <v>14.356</v>
      </c>
      <c r="I18" s="52">
        <v>15.484999999999999</v>
      </c>
      <c r="J18" s="52">
        <v>14.42</v>
      </c>
      <c r="K18" s="52">
        <v>14.552</v>
      </c>
      <c r="L18" s="52">
        <v>12.680999999999999</v>
      </c>
      <c r="M18" s="52">
        <v>13.944000000000001</v>
      </c>
      <c r="N18" s="52">
        <v>14.023</v>
      </c>
      <c r="O18" s="56">
        <v>14.249000000000001</v>
      </c>
      <c r="P18" s="35" t="s">
        <v>52</v>
      </c>
      <c r="Q18" s="55" t="s">
        <v>55</v>
      </c>
      <c r="R18" s="34" t="s">
        <v>27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 ht="30">
      <c r="A19" s="35" t="s">
        <v>56</v>
      </c>
      <c r="B19" s="52">
        <v>13.420745437372315</v>
      </c>
      <c r="C19" s="52">
        <v>13.472314103798336</v>
      </c>
      <c r="D19" s="52">
        <v>13.472314103798336</v>
      </c>
      <c r="E19" s="52">
        <v>13.820402602173989</v>
      </c>
      <c r="F19" s="52">
        <v>14.091138100910605</v>
      </c>
      <c r="G19" s="52">
        <v>14.3103049332212</v>
      </c>
      <c r="H19" s="52">
        <v>14.735837867106721</v>
      </c>
      <c r="I19" s="52">
        <v>14.903437072944332</v>
      </c>
      <c r="J19" s="52">
        <v>14.864760333135653</v>
      </c>
      <c r="K19" s="52">
        <v>14.98079055256169</v>
      </c>
      <c r="L19" s="52">
        <v>12.943815589304601</v>
      </c>
      <c r="M19" s="52">
        <v>14.310393729211301</v>
      </c>
      <c r="N19" s="52">
        <v>14.4006394554315</v>
      </c>
      <c r="O19" s="43">
        <v>14.6198076476807</v>
      </c>
      <c r="P19" s="35" t="s">
        <v>52</v>
      </c>
      <c r="Q19" s="57" t="s">
        <v>53</v>
      </c>
      <c r="R19" s="34" t="s">
        <v>57</v>
      </c>
      <c r="S19" s="26"/>
      <c r="T19" s="27"/>
      <c r="U19" s="27"/>
      <c r="V19" s="27"/>
      <c r="W19" s="27"/>
      <c r="X19" s="27"/>
      <c r="Y19" s="27"/>
      <c r="Z19" s="27"/>
      <c r="AA19" s="27"/>
      <c r="AB19" s="58"/>
      <c r="AC19" s="26"/>
      <c r="AD19" s="26"/>
    </row>
    <row r="20" spans="1:30" ht="30">
      <c r="A20" s="35" t="s">
        <v>58</v>
      </c>
      <c r="B20" s="52">
        <v>0.21916683231059494</v>
      </c>
      <c r="C20" s="52">
        <v>0.21916683231059494</v>
      </c>
      <c r="D20" s="52">
        <v>0.21916683231059494</v>
      </c>
      <c r="E20" s="52">
        <v>0.23205899891710055</v>
      </c>
      <c r="F20" s="52">
        <v>0.18049033249107821</v>
      </c>
      <c r="G20" s="52">
        <v>0.23205899891710055</v>
      </c>
      <c r="H20" s="52">
        <v>0.23206043885207436</v>
      </c>
      <c r="I20" s="52">
        <v>0.23206043885207436</v>
      </c>
      <c r="J20" s="52">
        <v>0.23206043885207436</v>
      </c>
      <c r="K20" s="52">
        <v>0.23206043885207436</v>
      </c>
      <c r="L20" s="52">
        <v>0.244952685</v>
      </c>
      <c r="M20" s="52">
        <v>0.244952685</v>
      </c>
      <c r="N20" s="52">
        <v>0.244952685</v>
      </c>
      <c r="O20" s="52">
        <v>0.244952685</v>
      </c>
      <c r="P20" s="35" t="s">
        <v>52</v>
      </c>
      <c r="Q20" s="55" t="s">
        <v>59</v>
      </c>
      <c r="R20" s="34" t="s">
        <v>60</v>
      </c>
      <c r="S20" s="26"/>
      <c r="T20" s="58"/>
      <c r="U20" s="58"/>
      <c r="V20" s="58"/>
      <c r="W20" s="58"/>
      <c r="X20" s="58"/>
      <c r="Y20" s="58"/>
      <c r="Z20" s="58"/>
      <c r="AA20" s="58"/>
      <c r="AB20" s="26"/>
      <c r="AC20" s="26"/>
      <c r="AD20" s="26"/>
    </row>
    <row r="21" spans="1:30" ht="30">
      <c r="A21" s="35" t="s">
        <v>61</v>
      </c>
      <c r="B21" s="52">
        <v>1.5665999999999999E-2</v>
      </c>
      <c r="C21" s="52">
        <v>0.17186400000000002</v>
      </c>
      <c r="D21" s="52">
        <v>0.49413000000000001</v>
      </c>
      <c r="E21" s="52">
        <v>0.37699199999999999</v>
      </c>
      <c r="F21" s="52">
        <v>7.4676000000000006E-2</v>
      </c>
      <c r="G21" s="52">
        <v>9.1518000000000002E-2</v>
      </c>
      <c r="H21" s="52">
        <v>3.6204E-2</v>
      </c>
      <c r="I21" s="52">
        <v>7.6607999999999996E-2</v>
      </c>
      <c r="J21" s="52">
        <v>5.4348E-2</v>
      </c>
      <c r="K21" s="52">
        <v>0.195048</v>
      </c>
      <c r="L21" s="52">
        <v>0.15414</v>
      </c>
      <c r="M21" s="52">
        <v>6.0774000000000002E-2</v>
      </c>
      <c r="N21" s="52">
        <v>6.9089999999999999E-2</v>
      </c>
      <c r="O21" s="59">
        <v>2.7258000000000001E-2</v>
      </c>
      <c r="P21" s="35" t="s">
        <v>52</v>
      </c>
      <c r="Q21" s="55" t="s">
        <v>62</v>
      </c>
      <c r="R21" s="34" t="s">
        <v>63</v>
      </c>
      <c r="S21" s="26"/>
      <c r="T21" s="26"/>
      <c r="U21" s="58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30">
      <c r="A22" s="35" t="s">
        <v>64</v>
      </c>
      <c r="B22" s="52">
        <v>0.39849599999999996</v>
      </c>
      <c r="C22" s="52">
        <v>1.1951939999999999</v>
      </c>
      <c r="D22" s="52">
        <v>0.74155199999999999</v>
      </c>
      <c r="E22" s="52">
        <v>0.618954</v>
      </c>
      <c r="F22" s="52">
        <v>0.84625800000000007</v>
      </c>
      <c r="G22" s="52">
        <v>0.83206199999999997</v>
      </c>
      <c r="H22" s="52">
        <v>1.170288</v>
      </c>
      <c r="I22" s="52">
        <v>1.389864</v>
      </c>
      <c r="J22" s="52">
        <v>1.709568</v>
      </c>
      <c r="K22" s="52">
        <v>1.4666400000000002</v>
      </c>
      <c r="L22" s="52">
        <v>1.317204</v>
      </c>
      <c r="M22" s="52">
        <v>1.2424440000000001</v>
      </c>
      <c r="N22" s="52">
        <v>1.3135920000000001</v>
      </c>
      <c r="O22" s="59">
        <v>1.43346</v>
      </c>
      <c r="P22" s="35" t="s">
        <v>52</v>
      </c>
      <c r="Q22" s="55" t="s">
        <v>65</v>
      </c>
      <c r="R22" s="34" t="s">
        <v>63</v>
      </c>
      <c r="S22" s="26"/>
      <c r="T22" s="26"/>
      <c r="U22" s="58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51" t="s">
        <v>66</v>
      </c>
      <c r="B23" s="51">
        <v>2010</v>
      </c>
      <c r="C23" s="51">
        <v>2011</v>
      </c>
      <c r="D23" s="51">
        <v>2012</v>
      </c>
      <c r="E23" s="51">
        <v>2013</v>
      </c>
      <c r="F23" s="51">
        <v>2014</v>
      </c>
      <c r="G23" s="51">
        <v>2015</v>
      </c>
      <c r="H23" s="51">
        <v>2016</v>
      </c>
      <c r="I23" s="51">
        <v>2017</v>
      </c>
      <c r="J23" s="51">
        <v>2018</v>
      </c>
      <c r="K23" s="51">
        <v>2019</v>
      </c>
      <c r="L23" s="51">
        <v>2020</v>
      </c>
      <c r="M23" s="51">
        <v>2021</v>
      </c>
      <c r="N23" s="51">
        <v>2022</v>
      </c>
      <c r="O23" s="51">
        <v>2023</v>
      </c>
      <c r="P23" s="28" t="s">
        <v>21</v>
      </c>
      <c r="Q23" s="29" t="s">
        <v>22</v>
      </c>
      <c r="R23" s="29" t="s">
        <v>23</v>
      </c>
      <c r="S23" s="26"/>
      <c r="T23" s="26"/>
      <c r="U23" s="58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60">
      <c r="A24" s="35" t="s">
        <v>67</v>
      </c>
      <c r="B24" s="205">
        <v>125.468525</v>
      </c>
      <c r="C24" s="205">
        <v>125.00080000000001</v>
      </c>
      <c r="D24" s="205">
        <v>116.02817500000002</v>
      </c>
      <c r="E24" s="205">
        <v>128.09225000000001</v>
      </c>
      <c r="F24" s="205">
        <v>130.00225</v>
      </c>
      <c r="G24" s="205">
        <v>130.59035</v>
      </c>
      <c r="H24" s="205">
        <v>135.79882500000002</v>
      </c>
      <c r="I24" s="205">
        <v>140.12067500000001</v>
      </c>
      <c r="J24" s="205">
        <v>134.45065</v>
      </c>
      <c r="K24" s="205">
        <v>121.416875</v>
      </c>
      <c r="L24" s="205">
        <v>125.68987500000001</v>
      </c>
      <c r="M24" s="205">
        <v>132.990375</v>
      </c>
      <c r="N24" s="205">
        <v>129.403525</v>
      </c>
      <c r="O24" s="205">
        <v>135</v>
      </c>
      <c r="P24" s="35" t="s">
        <v>68</v>
      </c>
      <c r="Q24" s="290" t="s">
        <v>69</v>
      </c>
      <c r="R24" s="34" t="s">
        <v>70</v>
      </c>
      <c r="S24" s="26"/>
      <c r="T24" s="26"/>
      <c r="U24" s="58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61"/>
      <c r="Q25" s="49"/>
      <c r="R25" s="50"/>
      <c r="S25" s="26"/>
      <c r="T25" s="26"/>
      <c r="U25" s="58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201" t="s">
        <v>71</v>
      </c>
      <c r="B26" s="201">
        <v>2010</v>
      </c>
      <c r="C26" s="201">
        <v>2011</v>
      </c>
      <c r="D26" s="201">
        <v>2012</v>
      </c>
      <c r="E26" s="201">
        <v>2013</v>
      </c>
      <c r="F26" s="201">
        <v>2014</v>
      </c>
      <c r="G26" s="201">
        <v>2015</v>
      </c>
      <c r="H26" s="201">
        <v>2016</v>
      </c>
      <c r="I26" s="201">
        <v>2017</v>
      </c>
      <c r="J26" s="201">
        <v>2018</v>
      </c>
      <c r="K26" s="201">
        <v>2019</v>
      </c>
      <c r="L26" s="201">
        <v>2020</v>
      </c>
      <c r="M26" s="201">
        <v>2021</v>
      </c>
      <c r="N26" s="201">
        <v>2022</v>
      </c>
      <c r="O26" s="201">
        <v>2023</v>
      </c>
      <c r="P26" s="202" t="s">
        <v>21</v>
      </c>
      <c r="Q26" s="203" t="s">
        <v>22</v>
      </c>
      <c r="R26" s="203" t="s">
        <v>23</v>
      </c>
      <c r="S26" s="30"/>
      <c r="T26" s="30"/>
      <c r="U26" s="58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ht="15.75" customHeight="1">
      <c r="A27" s="204" t="s">
        <v>72</v>
      </c>
      <c r="B27" s="205">
        <v>1.84</v>
      </c>
      <c r="C27" s="205">
        <v>2.56</v>
      </c>
      <c r="D27" s="205">
        <v>2.5</v>
      </c>
      <c r="E27" s="205">
        <v>2.5</v>
      </c>
      <c r="F27" s="205">
        <v>2.39</v>
      </c>
      <c r="G27" s="205">
        <v>1.82</v>
      </c>
      <c r="H27" s="205">
        <v>1.55</v>
      </c>
      <c r="I27" s="205">
        <v>1.6</v>
      </c>
      <c r="J27" s="205">
        <v>1.24</v>
      </c>
      <c r="K27" s="205">
        <v>1.3</v>
      </c>
      <c r="L27" s="205">
        <v>1.8</v>
      </c>
      <c r="M27" s="205">
        <v>2.33</v>
      </c>
      <c r="N27" s="205">
        <v>2.42</v>
      </c>
      <c r="O27" s="206">
        <v>1.83</v>
      </c>
      <c r="P27" s="207" t="s">
        <v>68</v>
      </c>
      <c r="Q27" s="208" t="s">
        <v>73</v>
      </c>
      <c r="R27" s="194" t="s">
        <v>27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30">
      <c r="A28" s="204" t="s">
        <v>74</v>
      </c>
      <c r="B28" s="205">
        <v>2.7600000000000002</v>
      </c>
      <c r="C28" s="205">
        <v>3.84</v>
      </c>
      <c r="D28" s="205">
        <v>3.75</v>
      </c>
      <c r="E28" s="205">
        <v>3.75</v>
      </c>
      <c r="F28" s="205">
        <v>3.585</v>
      </c>
      <c r="G28" s="205">
        <v>2.73</v>
      </c>
      <c r="H28" s="205">
        <v>2.3250000000000002</v>
      </c>
      <c r="I28" s="205">
        <v>2.4000000000000004</v>
      </c>
      <c r="J28" s="205">
        <v>1.8599999999999999</v>
      </c>
      <c r="K28" s="205">
        <v>1.81</v>
      </c>
      <c r="L28" s="205">
        <v>2.66</v>
      </c>
      <c r="M28" s="205">
        <v>3.82</v>
      </c>
      <c r="N28" s="205">
        <v>3.42</v>
      </c>
      <c r="O28" s="206">
        <v>3.05</v>
      </c>
      <c r="P28" s="209" t="s">
        <v>68</v>
      </c>
      <c r="Q28" s="210" t="s">
        <v>73</v>
      </c>
      <c r="R28" s="211" t="s">
        <v>75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04" t="s">
        <v>76</v>
      </c>
      <c r="B29" s="205">
        <v>3.37</v>
      </c>
      <c r="C29" s="205">
        <v>4.38</v>
      </c>
      <c r="D29" s="205">
        <v>4.7074999999999996</v>
      </c>
      <c r="E29" s="205">
        <v>4.5025000000000004</v>
      </c>
      <c r="F29" s="205">
        <v>4.4349999999999996</v>
      </c>
      <c r="G29" s="205">
        <v>2.95</v>
      </c>
      <c r="H29" s="205">
        <v>2.4550000000000001</v>
      </c>
      <c r="I29" s="205">
        <v>2.6750000000000003</v>
      </c>
      <c r="J29" s="205">
        <v>2.9250000000000003</v>
      </c>
      <c r="K29" s="205">
        <v>2.9049999999999998</v>
      </c>
      <c r="L29" s="205">
        <v>2.59</v>
      </c>
      <c r="M29" s="205">
        <f>(2.65+3.12+3.4+3.55)/4</f>
        <v>3.1799999999999997</v>
      </c>
      <c r="N29" s="294">
        <f>(3.87+4.6+5.1+4.13)/4</f>
        <v>4.4249999999999998</v>
      </c>
      <c r="O29" s="206">
        <f>(3.96+3.84+3.88+3.6)/4</f>
        <v>3.82</v>
      </c>
      <c r="P29" s="207" t="s">
        <v>77</v>
      </c>
      <c r="Q29" s="212" t="s">
        <v>78</v>
      </c>
      <c r="R29" s="194" t="s">
        <v>27</v>
      </c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204" t="s">
        <v>79</v>
      </c>
      <c r="B30" s="205">
        <v>2.7449999999999997</v>
      </c>
      <c r="C30" s="205">
        <v>3.4775</v>
      </c>
      <c r="D30" s="205">
        <v>3.65</v>
      </c>
      <c r="E30" s="205">
        <v>3.4950000000000001</v>
      </c>
      <c r="F30" s="205">
        <v>3.5075000000000003</v>
      </c>
      <c r="G30" s="205">
        <v>2.4724999999999997</v>
      </c>
      <c r="H30" s="205">
        <v>2.13</v>
      </c>
      <c r="I30" s="205">
        <v>2.3624999999999998</v>
      </c>
      <c r="J30" s="205">
        <v>2.74</v>
      </c>
      <c r="K30" s="205">
        <v>2.6175000000000002</v>
      </c>
      <c r="L30" s="205">
        <v>2.2250000000000001</v>
      </c>
      <c r="M30" s="205">
        <f>(2.32+2.82+3.09+3.25)/4</f>
        <v>2.87</v>
      </c>
      <c r="N30" s="294">
        <f>(3.28+4.13+4.7+4.05)/4</f>
        <v>4.04</v>
      </c>
      <c r="O30" s="206">
        <f>(3.31+3.69+3.59+3.72)/4</f>
        <v>3.5775000000000001</v>
      </c>
      <c r="P30" s="207" t="s">
        <v>77</v>
      </c>
      <c r="Q30" s="212" t="s">
        <v>78</v>
      </c>
      <c r="R30" s="194" t="s">
        <v>27</v>
      </c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04" t="s">
        <v>80</v>
      </c>
      <c r="B31" s="205">
        <v>70400</v>
      </c>
      <c r="C31" s="205">
        <v>90200</v>
      </c>
      <c r="D31" s="205">
        <v>70000</v>
      </c>
      <c r="E31" s="205">
        <v>86504</v>
      </c>
      <c r="F31" s="205">
        <v>83949</v>
      </c>
      <c r="G31" s="205">
        <v>85967</v>
      </c>
      <c r="H31" s="205">
        <v>74420</v>
      </c>
      <c r="I31" s="205">
        <v>71906</v>
      </c>
      <c r="J31" s="205">
        <v>71637</v>
      </c>
      <c r="K31" s="205">
        <v>68542</v>
      </c>
      <c r="L31" s="205">
        <v>62180</v>
      </c>
      <c r="M31" s="205">
        <v>73193</v>
      </c>
      <c r="N31" s="205">
        <v>78802</v>
      </c>
      <c r="O31" s="213">
        <v>72463</v>
      </c>
      <c r="P31" s="204" t="s">
        <v>81</v>
      </c>
      <c r="Q31" s="214" t="s">
        <v>26</v>
      </c>
      <c r="R31" s="194" t="s">
        <v>27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11" t="s">
        <v>82</v>
      </c>
      <c r="B32" s="205">
        <v>329600</v>
      </c>
      <c r="C32" s="205">
        <v>311400</v>
      </c>
      <c r="D32" s="205">
        <v>295000</v>
      </c>
      <c r="E32" s="205">
        <v>300277</v>
      </c>
      <c r="F32" s="205">
        <v>295265</v>
      </c>
      <c r="G32" s="205">
        <v>271440</v>
      </c>
      <c r="H32" s="205">
        <v>264756</v>
      </c>
      <c r="I32" s="205">
        <v>285587</v>
      </c>
      <c r="J32" s="205">
        <v>294516</v>
      </c>
      <c r="K32" s="205">
        <v>277389</v>
      </c>
      <c r="L32" s="205">
        <v>242600</v>
      </c>
      <c r="M32" s="205">
        <v>334220</v>
      </c>
      <c r="N32" s="205">
        <v>342876</v>
      </c>
      <c r="O32" s="213">
        <v>322002</v>
      </c>
      <c r="P32" s="204" t="s">
        <v>81</v>
      </c>
      <c r="Q32" s="215" t="s">
        <v>26</v>
      </c>
      <c r="R32" s="194" t="s">
        <v>27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04" t="s">
        <v>83</v>
      </c>
      <c r="B33" s="206">
        <v>54</v>
      </c>
      <c r="C33" s="206">
        <v>42.4</v>
      </c>
      <c r="D33" s="206">
        <v>40.6</v>
      </c>
      <c r="E33" s="206">
        <v>44</v>
      </c>
      <c r="F33" s="206">
        <v>53</v>
      </c>
      <c r="G33" s="206">
        <v>44</v>
      </c>
      <c r="H33" s="206">
        <v>42</v>
      </c>
      <c r="I33" s="206">
        <v>45</v>
      </c>
      <c r="J33" s="206">
        <v>46</v>
      </c>
      <c r="K33" s="206">
        <v>42.8</v>
      </c>
      <c r="L33" s="206">
        <v>34.700000000000003</v>
      </c>
      <c r="M33" s="206">
        <v>52.1</v>
      </c>
      <c r="N33" s="206">
        <v>57</v>
      </c>
      <c r="O33" s="213">
        <v>54.2</v>
      </c>
      <c r="P33" s="204" t="s">
        <v>81</v>
      </c>
      <c r="Q33" s="214" t="s">
        <v>26</v>
      </c>
      <c r="R33" s="194" t="s">
        <v>27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04" t="s">
        <v>84</v>
      </c>
      <c r="B34" s="206">
        <v>36</v>
      </c>
      <c r="C34" s="206">
        <v>29.9</v>
      </c>
      <c r="D34" s="206">
        <v>29.9</v>
      </c>
      <c r="E34" s="206">
        <v>31</v>
      </c>
      <c r="F34" s="206">
        <v>27</v>
      </c>
      <c r="G34" s="206">
        <v>24</v>
      </c>
      <c r="H34" s="206">
        <v>23</v>
      </c>
      <c r="I34" s="206">
        <v>24</v>
      </c>
      <c r="J34" s="206">
        <v>25</v>
      </c>
      <c r="K34" s="206">
        <v>22.9</v>
      </c>
      <c r="L34" s="206">
        <v>18.600000000000001</v>
      </c>
      <c r="M34" s="206">
        <v>28.7</v>
      </c>
      <c r="N34" s="206">
        <v>34.799999999999997</v>
      </c>
      <c r="O34" s="213">
        <v>32.5</v>
      </c>
      <c r="P34" s="204" t="s">
        <v>81</v>
      </c>
      <c r="Q34" s="216" t="s">
        <v>26</v>
      </c>
      <c r="R34" s="194" t="s">
        <v>27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04" t="s">
        <v>85</v>
      </c>
      <c r="B35" s="206"/>
      <c r="C35" s="206"/>
      <c r="D35" s="206">
        <v>7.9</v>
      </c>
      <c r="E35" s="206">
        <v>8.3000000000000007</v>
      </c>
      <c r="F35" s="206">
        <v>10.3</v>
      </c>
      <c r="G35" s="206">
        <v>8.6999999999999993</v>
      </c>
      <c r="H35" s="206">
        <v>8.5</v>
      </c>
      <c r="I35" s="206">
        <v>10.7</v>
      </c>
      <c r="J35" s="206">
        <v>8.8000000000000007</v>
      </c>
      <c r="K35" s="206">
        <v>7.9</v>
      </c>
      <c r="L35" s="206">
        <v>6.3</v>
      </c>
      <c r="M35" s="206">
        <v>10.4</v>
      </c>
      <c r="N35" s="206">
        <v>12.3</v>
      </c>
      <c r="O35" s="213">
        <v>10.4</v>
      </c>
      <c r="P35" s="204" t="s">
        <v>81</v>
      </c>
      <c r="Q35" s="215" t="s">
        <v>86</v>
      </c>
      <c r="R35" s="194" t="s">
        <v>27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04" t="s">
        <v>87</v>
      </c>
      <c r="B36" s="206">
        <v>79.48</v>
      </c>
      <c r="C36" s="206">
        <v>94.88</v>
      </c>
      <c r="D36" s="206">
        <v>94.05</v>
      </c>
      <c r="E36" s="206">
        <v>97.98</v>
      </c>
      <c r="F36" s="206">
        <v>93.17</v>
      </c>
      <c r="G36" s="206">
        <v>48.66</v>
      </c>
      <c r="H36" s="206">
        <v>43.29</v>
      </c>
      <c r="I36" s="206">
        <v>50.8</v>
      </c>
      <c r="J36" s="206">
        <v>65.23</v>
      </c>
      <c r="K36" s="206">
        <v>56.99</v>
      </c>
      <c r="L36" s="206">
        <v>39.68</v>
      </c>
      <c r="M36" s="206">
        <v>68.17</v>
      </c>
      <c r="N36" s="206">
        <v>94.53</v>
      </c>
      <c r="O36" s="206">
        <v>77.64</v>
      </c>
      <c r="P36" s="204" t="s">
        <v>88</v>
      </c>
      <c r="Q36" s="217" t="s">
        <v>89</v>
      </c>
      <c r="R36" s="194" t="s">
        <v>27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63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J118" s="65"/>
      <c r="K118" s="65"/>
      <c r="L118" s="65"/>
      <c r="M118" s="65"/>
      <c r="N118" s="65"/>
      <c r="O118" s="65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J119" s="65"/>
      <c r="K119" s="65"/>
      <c r="L119" s="65"/>
      <c r="M119" s="65"/>
      <c r="N119" s="65"/>
      <c r="O119" s="65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J120" s="65"/>
      <c r="K120" s="65"/>
      <c r="L120" s="65"/>
      <c r="M120" s="65"/>
      <c r="N120" s="65"/>
      <c r="O120" s="65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J121" s="65"/>
      <c r="K121" s="65"/>
      <c r="L121" s="65"/>
      <c r="M121" s="65"/>
      <c r="N121" s="65"/>
      <c r="O121" s="65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E123" s="26"/>
      <c r="F123" s="26"/>
      <c r="J123" s="65"/>
      <c r="K123" s="65"/>
      <c r="L123" s="65"/>
      <c r="M123" s="65"/>
      <c r="N123" s="65"/>
      <c r="O123" s="65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E124" s="26"/>
      <c r="F124" s="26"/>
      <c r="J124" s="65"/>
      <c r="K124" s="65"/>
      <c r="L124" s="65"/>
      <c r="M124" s="65"/>
      <c r="N124" s="65"/>
      <c r="O124" s="65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66"/>
      <c r="D125" s="26"/>
      <c r="E125" s="26"/>
      <c r="F125" s="26"/>
      <c r="J125" s="65"/>
      <c r="K125" s="65"/>
      <c r="L125" s="65"/>
      <c r="M125" s="65"/>
      <c r="N125" s="65"/>
      <c r="O125" s="65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66"/>
      <c r="D126" s="26"/>
      <c r="E126" s="26"/>
      <c r="F126" s="26"/>
      <c r="J126" s="65"/>
      <c r="K126" s="65"/>
      <c r="L126" s="65"/>
      <c r="M126" s="65"/>
      <c r="N126" s="65"/>
      <c r="O126" s="65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66"/>
      <c r="D127" s="26"/>
      <c r="E127" s="26"/>
      <c r="F127" s="26"/>
      <c r="J127" s="65"/>
      <c r="K127" s="65"/>
      <c r="L127" s="65"/>
      <c r="M127" s="65"/>
      <c r="N127" s="65"/>
      <c r="O127" s="65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66"/>
      <c r="D128" s="26"/>
      <c r="E128" s="26"/>
      <c r="F128" s="26"/>
      <c r="J128" s="65"/>
      <c r="K128" s="65"/>
      <c r="L128" s="65"/>
      <c r="M128" s="65"/>
      <c r="N128" s="65"/>
      <c r="O128" s="65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66"/>
      <c r="D129" s="26"/>
      <c r="E129" s="26"/>
      <c r="F129" s="26"/>
      <c r="J129" s="65"/>
      <c r="K129" s="65"/>
      <c r="L129" s="65"/>
      <c r="M129" s="65"/>
      <c r="N129" s="65"/>
      <c r="O129" s="65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66"/>
      <c r="D130" s="26"/>
      <c r="E130" s="26"/>
      <c r="F130" s="26"/>
      <c r="J130" s="65"/>
      <c r="K130" s="65"/>
      <c r="L130" s="65"/>
      <c r="M130" s="65"/>
      <c r="N130" s="65"/>
      <c r="O130" s="65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66"/>
      <c r="D131" s="26"/>
      <c r="E131" s="26"/>
      <c r="F131" s="26"/>
      <c r="J131" s="65"/>
      <c r="K131" s="65"/>
      <c r="L131" s="65"/>
      <c r="M131" s="65"/>
      <c r="N131" s="65"/>
      <c r="O131" s="65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66"/>
      <c r="D132" s="26"/>
      <c r="E132" s="26"/>
      <c r="F132" s="26"/>
      <c r="J132" s="65"/>
      <c r="K132" s="65"/>
      <c r="L132" s="65"/>
      <c r="M132" s="65"/>
      <c r="N132" s="65"/>
      <c r="O132" s="65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E133" s="26"/>
      <c r="F133" s="26"/>
      <c r="J133" s="65"/>
      <c r="K133" s="65"/>
      <c r="L133" s="65"/>
      <c r="M133" s="65"/>
      <c r="N133" s="65"/>
      <c r="O133" s="65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E134" s="26"/>
      <c r="F134" s="26"/>
      <c r="J134" s="65"/>
      <c r="K134" s="65"/>
      <c r="L134" s="65"/>
      <c r="M134" s="65"/>
      <c r="N134" s="65"/>
      <c r="O134" s="65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E135" s="26"/>
      <c r="F135" s="26"/>
      <c r="J135" s="65"/>
      <c r="K135" s="65"/>
      <c r="L135" s="65"/>
      <c r="M135" s="65"/>
      <c r="N135" s="65"/>
      <c r="O135" s="65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26"/>
      <c r="C136" s="26"/>
      <c r="D136" s="26"/>
      <c r="E136" s="26"/>
      <c r="F136" s="26"/>
      <c r="J136" s="65"/>
      <c r="K136" s="65"/>
      <c r="L136" s="65"/>
      <c r="M136" s="65"/>
      <c r="N136" s="65"/>
      <c r="O136" s="65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26"/>
      <c r="C137" s="26"/>
      <c r="D137" s="26"/>
      <c r="E137" s="26"/>
      <c r="F137" s="26"/>
      <c r="J137" s="65"/>
      <c r="K137" s="65"/>
      <c r="L137" s="65"/>
      <c r="M137" s="65"/>
      <c r="N137" s="65"/>
      <c r="O137" s="65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26"/>
      <c r="C138" s="26"/>
      <c r="D138" s="26"/>
      <c r="E138" s="26"/>
      <c r="F138" s="26"/>
      <c r="J138" s="65"/>
      <c r="K138" s="65"/>
      <c r="L138" s="65"/>
      <c r="M138" s="65"/>
      <c r="N138" s="65"/>
      <c r="O138" s="65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26"/>
      <c r="C139" s="26"/>
      <c r="D139" s="26"/>
      <c r="E139" s="26"/>
      <c r="F139" s="26"/>
      <c r="J139" s="65"/>
      <c r="K139" s="65"/>
      <c r="L139" s="65"/>
      <c r="M139" s="65"/>
      <c r="N139" s="65"/>
      <c r="O139" s="65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26"/>
      <c r="C140" s="26"/>
      <c r="D140" s="26"/>
      <c r="E140" s="26"/>
      <c r="F140" s="26"/>
      <c r="J140" s="65"/>
      <c r="K140" s="65"/>
      <c r="L140" s="65"/>
      <c r="M140" s="65"/>
      <c r="N140" s="65"/>
      <c r="O140" s="65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J141" s="65"/>
      <c r="K141" s="65"/>
      <c r="L141" s="65"/>
      <c r="M141" s="65"/>
      <c r="N141" s="65"/>
      <c r="O141" s="65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J142" s="65"/>
      <c r="K142" s="65"/>
      <c r="L142" s="65"/>
      <c r="M142" s="65"/>
      <c r="N142" s="65"/>
      <c r="O142" s="65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J143" s="65"/>
      <c r="K143" s="65"/>
      <c r="L143" s="65"/>
      <c r="M143" s="65"/>
      <c r="N143" s="65"/>
      <c r="O143" s="65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J144" s="65"/>
      <c r="K144" s="65"/>
      <c r="L144" s="65"/>
      <c r="M144" s="65"/>
      <c r="N144" s="65"/>
      <c r="O144" s="65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J145" s="65"/>
      <c r="K145" s="65"/>
      <c r="L145" s="65"/>
      <c r="M145" s="65"/>
      <c r="N145" s="65"/>
      <c r="O145" s="65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J146" s="65"/>
      <c r="K146" s="65"/>
      <c r="L146" s="65"/>
      <c r="M146" s="65"/>
      <c r="N146" s="65"/>
      <c r="O146" s="65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J147" s="65"/>
      <c r="K147" s="65"/>
      <c r="L147" s="65"/>
      <c r="M147" s="65"/>
      <c r="N147" s="65"/>
      <c r="O147" s="65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J148" s="65"/>
      <c r="K148" s="65"/>
      <c r="L148" s="65"/>
      <c r="M148" s="65"/>
      <c r="N148" s="65"/>
      <c r="O148" s="65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J149" s="65"/>
      <c r="K149" s="65"/>
      <c r="L149" s="65"/>
      <c r="M149" s="65"/>
      <c r="N149" s="65"/>
      <c r="O149" s="65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J150" s="65"/>
      <c r="K150" s="65"/>
      <c r="L150" s="65"/>
      <c r="M150" s="65"/>
      <c r="N150" s="65"/>
      <c r="O150" s="65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J151" s="65"/>
      <c r="K151" s="65"/>
      <c r="L151" s="65"/>
      <c r="M151" s="65"/>
      <c r="N151" s="65"/>
      <c r="O151" s="65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J152" s="65"/>
      <c r="K152" s="65"/>
      <c r="L152" s="65"/>
      <c r="M152" s="65"/>
      <c r="N152" s="65"/>
      <c r="O152" s="65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J153" s="65"/>
      <c r="K153" s="65"/>
      <c r="L153" s="65"/>
      <c r="M153" s="65"/>
      <c r="N153" s="65"/>
      <c r="O153" s="65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J154" s="65"/>
      <c r="K154" s="65"/>
      <c r="L154" s="65"/>
      <c r="M154" s="65"/>
      <c r="N154" s="65"/>
      <c r="O154" s="65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J155" s="65"/>
      <c r="K155" s="65"/>
      <c r="L155" s="65"/>
      <c r="M155" s="65"/>
      <c r="N155" s="65"/>
      <c r="O155" s="65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J156" s="65"/>
      <c r="K156" s="65"/>
      <c r="L156" s="65"/>
      <c r="M156" s="65"/>
      <c r="N156" s="65"/>
      <c r="O156" s="65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J157" s="65"/>
      <c r="K157" s="65"/>
      <c r="L157" s="65"/>
      <c r="M157" s="65"/>
      <c r="N157" s="65"/>
      <c r="O157" s="65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J158" s="65"/>
      <c r="K158" s="65"/>
      <c r="L158" s="65"/>
      <c r="M158" s="65"/>
      <c r="N158" s="65"/>
      <c r="O158" s="65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J159" s="65"/>
      <c r="K159" s="65"/>
      <c r="L159" s="65"/>
      <c r="M159" s="65"/>
      <c r="N159" s="65"/>
      <c r="O159" s="65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J160" s="65"/>
      <c r="K160" s="65"/>
      <c r="L160" s="65"/>
      <c r="M160" s="65"/>
      <c r="N160" s="65"/>
      <c r="O160" s="65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J161" s="65"/>
      <c r="K161" s="65"/>
      <c r="L161" s="65"/>
      <c r="M161" s="65"/>
      <c r="N161" s="65"/>
      <c r="O161" s="65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J162" s="65"/>
      <c r="K162" s="65"/>
      <c r="L162" s="65"/>
      <c r="M162" s="65"/>
      <c r="N162" s="65"/>
      <c r="O162" s="65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J163" s="65"/>
      <c r="K163" s="65"/>
      <c r="L163" s="65"/>
      <c r="M163" s="65"/>
      <c r="N163" s="65"/>
      <c r="O163" s="65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J164" s="65"/>
      <c r="K164" s="65"/>
      <c r="L164" s="65"/>
      <c r="M164" s="65"/>
      <c r="N164" s="65"/>
      <c r="O164" s="65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J165" s="65"/>
      <c r="K165" s="65"/>
      <c r="L165" s="65"/>
      <c r="M165" s="65"/>
      <c r="N165" s="65"/>
      <c r="O165" s="65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J166" s="65"/>
      <c r="K166" s="65"/>
      <c r="L166" s="65"/>
      <c r="M166" s="65"/>
      <c r="N166" s="65"/>
      <c r="O166" s="65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J167" s="65"/>
      <c r="K167" s="65"/>
      <c r="L167" s="65"/>
      <c r="M167" s="65"/>
      <c r="N167" s="65"/>
      <c r="O167" s="65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J168" s="65"/>
      <c r="K168" s="65"/>
      <c r="L168" s="65"/>
      <c r="M168" s="65"/>
      <c r="N168" s="65"/>
      <c r="O168" s="65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J169" s="65"/>
      <c r="K169" s="65"/>
      <c r="L169" s="65"/>
      <c r="M169" s="65"/>
      <c r="N169" s="65"/>
      <c r="O169" s="65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J170" s="65"/>
      <c r="K170" s="65"/>
      <c r="L170" s="65"/>
      <c r="M170" s="65"/>
      <c r="N170" s="65"/>
      <c r="O170" s="65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J171" s="65"/>
      <c r="K171" s="65"/>
      <c r="L171" s="65"/>
      <c r="M171" s="65"/>
      <c r="N171" s="65"/>
      <c r="O171" s="65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J172" s="65"/>
      <c r="K172" s="65"/>
      <c r="L172" s="65"/>
      <c r="M172" s="65"/>
      <c r="N172" s="65"/>
      <c r="O172" s="65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J173" s="65"/>
      <c r="K173" s="65"/>
      <c r="L173" s="65"/>
      <c r="M173" s="65"/>
      <c r="N173" s="65"/>
      <c r="O173" s="65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J174" s="65"/>
      <c r="K174" s="65"/>
      <c r="L174" s="65"/>
      <c r="M174" s="65"/>
      <c r="N174" s="65"/>
      <c r="O174" s="65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J175" s="65"/>
      <c r="K175" s="65"/>
      <c r="L175" s="65"/>
      <c r="M175" s="65"/>
      <c r="N175" s="65"/>
      <c r="O175" s="65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J176" s="65"/>
      <c r="K176" s="65"/>
      <c r="L176" s="65"/>
      <c r="M176" s="65"/>
      <c r="N176" s="65"/>
      <c r="O176" s="65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J177" s="65"/>
      <c r="K177" s="65"/>
      <c r="L177" s="65"/>
      <c r="M177" s="65"/>
      <c r="N177" s="65"/>
      <c r="O177" s="65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Q4" r:id="rId1" xr:uid="{00000000-0004-0000-0100-000000000000}"/>
    <hyperlink ref="Q5" r:id="rId2" xr:uid="{00000000-0004-0000-0100-000001000000}"/>
    <hyperlink ref="Q6" r:id="rId3" xr:uid="{00000000-0004-0000-0100-000002000000}"/>
    <hyperlink ref="Q7" r:id="rId4" xr:uid="{00000000-0004-0000-0100-000003000000}"/>
    <hyperlink ref="Q8" r:id="rId5" xr:uid="{00000000-0004-0000-0100-000004000000}"/>
    <hyperlink ref="Q9" r:id="rId6" xr:uid="{00000000-0004-0000-0100-000005000000}"/>
    <hyperlink ref="Q10" r:id="rId7" xr:uid="{00000000-0004-0000-0100-000006000000}"/>
    <hyperlink ref="Q11" r:id="rId8" xr:uid="{00000000-0004-0000-0100-000007000000}"/>
    <hyperlink ref="Q12" r:id="rId9" xr:uid="{00000000-0004-0000-0100-000008000000}"/>
    <hyperlink ref="Q13" r:id="rId10" xr:uid="{00000000-0004-0000-0100-000009000000}"/>
    <hyperlink ref="Q14" r:id="rId11" xr:uid="{00000000-0004-0000-0100-00000A000000}"/>
    <hyperlink ref="Q17" r:id="rId12" xr:uid="{00000000-0004-0000-0100-00000B000000}"/>
    <hyperlink ref="Q18" r:id="rId13" xr:uid="{00000000-0004-0000-0100-00000C000000}"/>
    <hyperlink ref="Q19" r:id="rId14" xr:uid="{00000000-0004-0000-0100-00000D000000}"/>
    <hyperlink ref="Q20" r:id="rId15" xr:uid="{00000000-0004-0000-0100-00000E000000}"/>
    <hyperlink ref="Q21" r:id="rId16" xr:uid="{00000000-0004-0000-0100-00000F000000}"/>
    <hyperlink ref="Q22" r:id="rId17" xr:uid="{00000000-0004-0000-0100-000010000000}"/>
    <hyperlink ref="Q24" r:id="rId18" location=":~:text=Ethanol%2C%20made%20mostly%20from%20corn,all%20biofuel%20production%20in%202012.&amp;text=ERS%20analysts%20track%20U.S.%20ethanol,production%2C%20consumption%2C%20and%20trade." xr:uid="{00000000-0004-0000-0100-000011000000}"/>
    <hyperlink ref="Q27" r:id="rId19" xr:uid="{00000000-0004-0000-0100-000012000000}"/>
    <hyperlink ref="Q28" r:id="rId20" xr:uid="{00000000-0004-0000-0100-000013000000}"/>
    <hyperlink ref="Q29" r:id="rId21" xr:uid="{00000000-0004-0000-0100-000014000000}"/>
    <hyperlink ref="Q30" r:id="rId22" xr:uid="{00000000-0004-0000-0100-000015000000}"/>
    <hyperlink ref="Q32" r:id="rId23" xr:uid="{00000000-0004-0000-0100-000016000000}"/>
    <hyperlink ref="Q36" r:id="rId24" xr:uid="{00000000-0004-0000-0100-000017000000}"/>
  </hyperlinks>
  <pageMargins left="0.7" right="0.7" top="0.75" bottom="0.75" header="0" footer="0"/>
  <pageSetup orientation="portrait"/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8306C"/>
  </sheetPr>
  <dimension ref="A1:AD1000"/>
  <sheetViews>
    <sheetView workbookViewId="0">
      <selection activeCell="B26" sqref="B26"/>
    </sheetView>
  </sheetViews>
  <sheetFormatPr defaultColWidth="14.42578125" defaultRowHeight="15" customHeight="1"/>
  <cols>
    <col min="1" max="1" width="75.7109375" customWidth="1"/>
    <col min="2" max="10" width="8.7109375" customWidth="1"/>
    <col min="11" max="15" width="9.140625" customWidth="1"/>
    <col min="16" max="16" width="11.85546875" customWidth="1"/>
    <col min="17" max="17" width="49.140625" customWidth="1"/>
    <col min="18" max="18" width="23.85546875" customWidth="1"/>
    <col min="19" max="30" width="8.7109375" customWidth="1"/>
  </cols>
  <sheetData>
    <row r="1" spans="1:30">
      <c r="A1" s="430" t="s">
        <v>90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0">
      <c r="A2" s="431"/>
      <c r="K2" s="65"/>
      <c r="L2" s="65"/>
      <c r="M2" s="65"/>
      <c r="N2" s="65"/>
      <c r="O2" s="65"/>
    </row>
    <row r="3" spans="1:30">
      <c r="A3" s="28" t="s">
        <v>50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8" t="s">
        <v>21</v>
      </c>
      <c r="Q3" s="29" t="s">
        <v>22</v>
      </c>
      <c r="R3" s="29" t="s">
        <v>23</v>
      </c>
    </row>
    <row r="4" spans="1:30" ht="30">
      <c r="A4" s="35" t="s">
        <v>91</v>
      </c>
      <c r="B4" s="67"/>
      <c r="C4" s="67"/>
      <c r="D4" s="67"/>
      <c r="E4" s="68">
        <v>12</v>
      </c>
      <c r="F4" s="68">
        <v>0</v>
      </c>
      <c r="G4" s="68">
        <v>0</v>
      </c>
      <c r="H4" s="68">
        <v>125</v>
      </c>
      <c r="I4" s="68">
        <v>0</v>
      </c>
      <c r="J4" s="68">
        <v>0</v>
      </c>
      <c r="K4" s="68">
        <v>0</v>
      </c>
      <c r="L4" s="69">
        <v>0.44</v>
      </c>
      <c r="M4" s="68">
        <v>0</v>
      </c>
      <c r="N4" s="68">
        <v>0</v>
      </c>
      <c r="O4" s="68">
        <v>0</v>
      </c>
      <c r="P4" s="35" t="s">
        <v>92</v>
      </c>
      <c r="Q4" s="60" t="s">
        <v>93</v>
      </c>
      <c r="R4" s="34" t="s">
        <v>94</v>
      </c>
    </row>
    <row r="5" spans="1:30">
      <c r="K5" s="65"/>
      <c r="L5" s="65"/>
      <c r="M5" s="65"/>
      <c r="N5" s="65"/>
      <c r="O5" s="65"/>
    </row>
    <row r="6" spans="1:30">
      <c r="K6" s="65"/>
      <c r="L6" s="65"/>
      <c r="M6" s="65"/>
      <c r="N6" s="65"/>
      <c r="O6" s="65"/>
    </row>
    <row r="7" spans="1:30">
      <c r="K7" s="65"/>
      <c r="L7" s="65"/>
      <c r="M7" s="65"/>
      <c r="N7" s="65"/>
      <c r="O7" s="65"/>
    </row>
    <row r="8" spans="1:30">
      <c r="B8" s="70"/>
      <c r="K8" s="65"/>
      <c r="L8" s="65"/>
      <c r="M8" s="65"/>
      <c r="N8" s="65"/>
      <c r="O8" s="65"/>
    </row>
    <row r="9" spans="1:30">
      <c r="K9" s="65"/>
      <c r="L9" s="65"/>
      <c r="M9" s="65"/>
      <c r="N9" s="65"/>
      <c r="O9" s="65"/>
    </row>
    <row r="10" spans="1:30">
      <c r="K10" s="65"/>
      <c r="L10" s="65"/>
      <c r="M10" s="65"/>
      <c r="N10" s="65"/>
      <c r="O10" s="65"/>
    </row>
    <row r="11" spans="1:30">
      <c r="K11" s="65"/>
      <c r="L11" s="65"/>
      <c r="M11" s="65"/>
      <c r="N11" s="65"/>
      <c r="O11" s="65"/>
    </row>
    <row r="12" spans="1:30">
      <c r="K12" s="65"/>
      <c r="L12" s="65"/>
      <c r="M12" s="65"/>
      <c r="N12" s="65"/>
      <c r="O12" s="65"/>
    </row>
    <row r="13" spans="1:30">
      <c r="K13" s="65"/>
      <c r="L13" s="65"/>
      <c r="M13" s="65"/>
      <c r="N13" s="65"/>
      <c r="O13" s="65"/>
    </row>
    <row r="14" spans="1:30">
      <c r="K14" s="65"/>
      <c r="L14" s="65"/>
      <c r="M14" s="65"/>
      <c r="N14" s="65"/>
      <c r="O14" s="65"/>
    </row>
    <row r="15" spans="1:30">
      <c r="K15" s="65"/>
      <c r="L15" s="65"/>
      <c r="M15" s="65"/>
      <c r="N15" s="65"/>
      <c r="O15" s="65"/>
    </row>
    <row r="16" spans="1:30">
      <c r="K16" s="65"/>
      <c r="L16" s="65"/>
      <c r="M16" s="65"/>
      <c r="N16" s="65"/>
      <c r="O16" s="65"/>
    </row>
    <row r="17" spans="11:15">
      <c r="K17" s="65"/>
      <c r="L17" s="65"/>
      <c r="M17" s="65"/>
      <c r="N17" s="65"/>
      <c r="O17" s="65"/>
    </row>
    <row r="18" spans="11:15">
      <c r="K18" s="65"/>
      <c r="L18" s="65"/>
      <c r="M18" s="65"/>
      <c r="N18" s="65"/>
      <c r="O18" s="65"/>
    </row>
    <row r="19" spans="11:15">
      <c r="K19" s="65"/>
      <c r="L19" s="65"/>
      <c r="M19" s="65"/>
      <c r="N19" s="65"/>
      <c r="O19" s="65"/>
    </row>
    <row r="20" spans="11:15">
      <c r="K20" s="65"/>
      <c r="L20" s="65"/>
      <c r="M20" s="65"/>
      <c r="N20" s="65"/>
      <c r="O20" s="65"/>
    </row>
    <row r="21" spans="11:15" ht="15.75" customHeight="1">
      <c r="K21" s="65"/>
      <c r="L21" s="65"/>
      <c r="M21" s="65"/>
      <c r="N21" s="65"/>
      <c r="O21" s="65"/>
    </row>
    <row r="22" spans="11:15" ht="15.75" customHeight="1">
      <c r="K22" s="65"/>
      <c r="L22" s="65"/>
      <c r="M22" s="65"/>
      <c r="N22" s="65"/>
      <c r="O22" s="65"/>
    </row>
    <row r="23" spans="11:15" ht="15.75" customHeight="1">
      <c r="K23" s="65"/>
      <c r="L23" s="65"/>
      <c r="M23" s="65"/>
      <c r="N23" s="65"/>
      <c r="O23" s="65"/>
    </row>
    <row r="24" spans="11:15" ht="15.75" customHeight="1">
      <c r="K24" s="65"/>
      <c r="L24" s="65"/>
      <c r="M24" s="65"/>
      <c r="N24" s="65"/>
      <c r="O24" s="65"/>
    </row>
    <row r="25" spans="11:15" ht="15.75" customHeight="1">
      <c r="K25" s="65"/>
      <c r="L25" s="65"/>
      <c r="M25" s="65"/>
      <c r="N25" s="65"/>
      <c r="O25" s="65"/>
    </row>
    <row r="26" spans="11:15" ht="15.75" customHeight="1">
      <c r="K26" s="65"/>
      <c r="L26" s="65"/>
      <c r="M26" s="65"/>
      <c r="N26" s="65"/>
      <c r="O26" s="65"/>
    </row>
    <row r="27" spans="11:15" ht="15.75" customHeight="1">
      <c r="K27" s="65"/>
      <c r="L27" s="65"/>
      <c r="M27" s="65"/>
      <c r="N27" s="65"/>
      <c r="O27" s="65"/>
    </row>
    <row r="28" spans="11:15" ht="15.75" customHeight="1">
      <c r="K28" s="65"/>
      <c r="L28" s="65"/>
      <c r="M28" s="65"/>
      <c r="N28" s="65"/>
      <c r="O28" s="65"/>
    </row>
    <row r="29" spans="11:15" ht="15.75" customHeight="1">
      <c r="K29" s="65"/>
      <c r="L29" s="65"/>
      <c r="M29" s="65"/>
      <c r="N29" s="65"/>
      <c r="O29" s="65"/>
    </row>
    <row r="30" spans="11:15" ht="15.75" customHeight="1">
      <c r="K30" s="65"/>
      <c r="L30" s="65"/>
      <c r="M30" s="65"/>
      <c r="N30" s="65"/>
      <c r="O30" s="65"/>
    </row>
    <row r="31" spans="11:15" ht="15.75" customHeight="1">
      <c r="K31" s="65"/>
      <c r="L31" s="65"/>
      <c r="M31" s="65"/>
      <c r="N31" s="65"/>
      <c r="O31" s="65"/>
    </row>
    <row r="32" spans="11:15" ht="15.75" customHeight="1">
      <c r="K32" s="65"/>
      <c r="L32" s="65"/>
      <c r="M32" s="65"/>
      <c r="N32" s="65"/>
      <c r="O32" s="65"/>
    </row>
    <row r="33" spans="11:15" ht="15.75" customHeight="1">
      <c r="K33" s="65"/>
      <c r="L33" s="65"/>
      <c r="M33" s="65"/>
      <c r="N33" s="65"/>
      <c r="O33" s="65"/>
    </row>
    <row r="34" spans="11:15" ht="15.75" customHeight="1">
      <c r="K34" s="65"/>
      <c r="L34" s="65"/>
      <c r="M34" s="65"/>
      <c r="N34" s="65"/>
      <c r="O34" s="65"/>
    </row>
    <row r="35" spans="11:15" ht="15.75" customHeight="1">
      <c r="K35" s="65"/>
      <c r="L35" s="65"/>
      <c r="M35" s="65"/>
      <c r="N35" s="65"/>
      <c r="O35" s="65"/>
    </row>
    <row r="36" spans="11:15" ht="15.75" customHeight="1">
      <c r="K36" s="65"/>
      <c r="L36" s="65"/>
      <c r="M36" s="65"/>
      <c r="N36" s="65"/>
      <c r="O36" s="65"/>
    </row>
    <row r="37" spans="11:15" ht="15.75" customHeight="1">
      <c r="K37" s="65"/>
      <c r="L37" s="65"/>
      <c r="M37" s="65"/>
      <c r="N37" s="65"/>
      <c r="O37" s="65"/>
    </row>
    <row r="38" spans="11:15" ht="15.75" customHeight="1">
      <c r="K38" s="65"/>
      <c r="L38" s="65"/>
      <c r="M38" s="65"/>
      <c r="N38" s="65"/>
      <c r="O38" s="65"/>
    </row>
    <row r="39" spans="11:15" ht="15.75" customHeight="1">
      <c r="K39" s="65"/>
      <c r="L39" s="65"/>
      <c r="M39" s="65"/>
      <c r="N39" s="65"/>
      <c r="O39" s="65"/>
    </row>
    <row r="40" spans="11:15" ht="15.75" customHeight="1">
      <c r="K40" s="65"/>
      <c r="L40" s="65"/>
      <c r="M40" s="65"/>
      <c r="N40" s="65"/>
      <c r="O40" s="65"/>
    </row>
    <row r="41" spans="11:15" ht="15.75" customHeight="1">
      <c r="K41" s="65"/>
      <c r="L41" s="65"/>
      <c r="M41" s="65"/>
      <c r="N41" s="65"/>
      <c r="O41" s="65"/>
    </row>
    <row r="42" spans="11:15" ht="15.75" customHeight="1">
      <c r="K42" s="65"/>
      <c r="L42" s="65"/>
      <c r="M42" s="65"/>
      <c r="N42" s="65"/>
      <c r="O42" s="65"/>
    </row>
    <row r="43" spans="11:15" ht="15.75" customHeight="1">
      <c r="K43" s="65"/>
      <c r="L43" s="65"/>
      <c r="M43" s="65"/>
      <c r="N43" s="65"/>
      <c r="O43" s="65"/>
    </row>
    <row r="44" spans="11:15" ht="15.75" customHeight="1">
      <c r="K44" s="65"/>
      <c r="L44" s="65"/>
      <c r="M44" s="65"/>
      <c r="N44" s="65"/>
      <c r="O44" s="65"/>
    </row>
    <row r="45" spans="11:15" ht="15.75" customHeight="1">
      <c r="K45" s="65"/>
      <c r="L45" s="65"/>
      <c r="M45" s="65"/>
      <c r="N45" s="65"/>
      <c r="O45" s="65"/>
    </row>
    <row r="46" spans="11:15" ht="15.75" customHeight="1">
      <c r="K46" s="65"/>
      <c r="L46" s="65"/>
      <c r="M46" s="65"/>
      <c r="N46" s="65"/>
      <c r="O46" s="65"/>
    </row>
    <row r="47" spans="11:15" ht="15.75" customHeight="1">
      <c r="K47" s="65"/>
      <c r="L47" s="65"/>
      <c r="M47" s="65"/>
      <c r="N47" s="65"/>
      <c r="O47" s="65"/>
    </row>
    <row r="48" spans="11:15" ht="15.75" customHeight="1">
      <c r="K48" s="65"/>
      <c r="L48" s="65"/>
      <c r="M48" s="65"/>
      <c r="N48" s="65"/>
      <c r="O48" s="65"/>
    </row>
    <row r="49" spans="11:15" ht="15.75" customHeight="1">
      <c r="K49" s="65"/>
      <c r="L49" s="65"/>
      <c r="M49" s="65"/>
      <c r="N49" s="65"/>
      <c r="O49" s="65"/>
    </row>
    <row r="50" spans="11:15" ht="15.75" customHeight="1">
      <c r="K50" s="65"/>
      <c r="L50" s="65"/>
      <c r="M50" s="65"/>
      <c r="N50" s="65"/>
      <c r="O50" s="65"/>
    </row>
    <row r="51" spans="11:15" ht="15.75" customHeight="1">
      <c r="K51" s="65"/>
      <c r="L51" s="65"/>
      <c r="M51" s="65"/>
      <c r="N51" s="65"/>
      <c r="O51" s="65"/>
    </row>
    <row r="52" spans="11:15" ht="15.75" customHeight="1">
      <c r="K52" s="65"/>
      <c r="L52" s="65"/>
      <c r="M52" s="65"/>
      <c r="N52" s="65"/>
      <c r="O52" s="65"/>
    </row>
    <row r="53" spans="11:15" ht="15.75" customHeight="1">
      <c r="K53" s="65"/>
      <c r="L53" s="65"/>
      <c r="M53" s="65"/>
      <c r="N53" s="65"/>
      <c r="O53" s="65"/>
    </row>
    <row r="54" spans="11:15" ht="15.75" customHeight="1">
      <c r="K54" s="65"/>
      <c r="L54" s="65"/>
      <c r="M54" s="65"/>
      <c r="N54" s="65"/>
      <c r="O54" s="65"/>
    </row>
    <row r="55" spans="11:15" ht="15.75" customHeight="1">
      <c r="K55" s="65"/>
      <c r="L55" s="65"/>
      <c r="M55" s="65"/>
      <c r="N55" s="65"/>
      <c r="O55" s="65"/>
    </row>
    <row r="56" spans="11:15" ht="15.75" customHeight="1">
      <c r="K56" s="65"/>
      <c r="L56" s="65"/>
      <c r="M56" s="65"/>
      <c r="N56" s="65"/>
      <c r="O56" s="65"/>
    </row>
    <row r="57" spans="11:15" ht="15.75" customHeight="1">
      <c r="K57" s="65"/>
      <c r="L57" s="65"/>
      <c r="M57" s="65"/>
      <c r="N57" s="65"/>
      <c r="O57" s="65"/>
    </row>
    <row r="58" spans="11:15" ht="15.75" customHeight="1">
      <c r="K58" s="65"/>
      <c r="L58" s="65"/>
      <c r="M58" s="65"/>
      <c r="N58" s="65"/>
      <c r="O58" s="65"/>
    </row>
    <row r="59" spans="11:15" ht="15.75" customHeight="1">
      <c r="K59" s="65"/>
      <c r="L59" s="65"/>
      <c r="M59" s="65"/>
      <c r="N59" s="65"/>
      <c r="O59" s="65"/>
    </row>
    <row r="60" spans="11:15" ht="15.75" customHeight="1">
      <c r="K60" s="65"/>
      <c r="L60" s="65"/>
      <c r="M60" s="65"/>
      <c r="N60" s="65"/>
      <c r="O60" s="65"/>
    </row>
    <row r="61" spans="11:15" ht="15.75" customHeight="1">
      <c r="K61" s="65"/>
      <c r="L61" s="65"/>
      <c r="M61" s="65"/>
      <c r="N61" s="65"/>
      <c r="O61" s="65"/>
    </row>
    <row r="62" spans="11:15" ht="15.75" customHeight="1">
      <c r="K62" s="65"/>
      <c r="L62" s="65"/>
      <c r="M62" s="65"/>
      <c r="N62" s="65"/>
      <c r="O62" s="65"/>
    </row>
    <row r="63" spans="11:15" ht="15.75" customHeight="1">
      <c r="K63" s="65"/>
      <c r="L63" s="65"/>
      <c r="M63" s="65"/>
      <c r="N63" s="65"/>
      <c r="O63" s="65"/>
    </row>
    <row r="64" spans="11:15" ht="15.75" customHeight="1">
      <c r="K64" s="65"/>
      <c r="L64" s="65"/>
      <c r="M64" s="65"/>
      <c r="N64" s="65"/>
      <c r="O64" s="65"/>
    </row>
    <row r="65" spans="11:15" ht="15.75" customHeight="1">
      <c r="K65" s="65"/>
      <c r="L65" s="65"/>
      <c r="M65" s="65"/>
      <c r="N65" s="65"/>
      <c r="O65" s="65"/>
    </row>
    <row r="66" spans="11:15" ht="15.75" customHeight="1">
      <c r="K66" s="65"/>
      <c r="L66" s="65"/>
      <c r="M66" s="65"/>
      <c r="N66" s="65"/>
      <c r="O66" s="65"/>
    </row>
    <row r="67" spans="11:15" ht="15.75" customHeight="1">
      <c r="K67" s="65"/>
      <c r="L67" s="65"/>
      <c r="M67" s="65"/>
      <c r="N67" s="65"/>
      <c r="O67" s="65"/>
    </row>
    <row r="68" spans="11:15" ht="15.75" customHeight="1">
      <c r="K68" s="65"/>
      <c r="L68" s="65"/>
      <c r="M68" s="65"/>
      <c r="N68" s="65"/>
      <c r="O68" s="65"/>
    </row>
    <row r="69" spans="11:15" ht="15.75" customHeight="1">
      <c r="K69" s="65"/>
      <c r="L69" s="65"/>
      <c r="M69" s="65"/>
      <c r="N69" s="65"/>
      <c r="O69" s="65"/>
    </row>
    <row r="70" spans="11:15" ht="15.75" customHeight="1">
      <c r="K70" s="65"/>
      <c r="L70" s="65"/>
      <c r="M70" s="65"/>
      <c r="N70" s="65"/>
      <c r="O70" s="65"/>
    </row>
    <row r="71" spans="11:15" ht="15.75" customHeight="1">
      <c r="K71" s="65"/>
      <c r="L71" s="65"/>
      <c r="M71" s="65"/>
      <c r="N71" s="65"/>
      <c r="O71" s="65"/>
    </row>
    <row r="72" spans="11:15" ht="15.75" customHeight="1">
      <c r="K72" s="65"/>
      <c r="L72" s="65"/>
      <c r="M72" s="65"/>
      <c r="N72" s="65"/>
      <c r="O72" s="65"/>
    </row>
    <row r="73" spans="11:15" ht="15.75" customHeight="1">
      <c r="K73" s="65"/>
      <c r="L73" s="65"/>
      <c r="M73" s="65"/>
      <c r="N73" s="65"/>
      <c r="O73" s="65"/>
    </row>
    <row r="74" spans="11:15" ht="15.75" customHeight="1">
      <c r="K74" s="65"/>
      <c r="L74" s="65"/>
      <c r="M74" s="65"/>
      <c r="N74" s="65"/>
      <c r="O74" s="65"/>
    </row>
    <row r="75" spans="11:15" ht="15.75" customHeight="1">
      <c r="K75" s="65"/>
      <c r="L75" s="65"/>
      <c r="M75" s="65"/>
      <c r="N75" s="65"/>
      <c r="O75" s="65"/>
    </row>
    <row r="76" spans="11:15" ht="15.75" customHeight="1">
      <c r="K76" s="65"/>
      <c r="L76" s="65"/>
      <c r="M76" s="65"/>
      <c r="N76" s="65"/>
      <c r="O76" s="65"/>
    </row>
    <row r="77" spans="11:15" ht="15.75" customHeight="1">
      <c r="K77" s="65"/>
      <c r="L77" s="65"/>
      <c r="M77" s="65"/>
      <c r="N77" s="65"/>
      <c r="O77" s="65"/>
    </row>
    <row r="78" spans="11:15" ht="15.75" customHeight="1">
      <c r="K78" s="65"/>
      <c r="L78" s="65"/>
      <c r="M78" s="65"/>
      <c r="N78" s="65"/>
      <c r="O78" s="65"/>
    </row>
    <row r="79" spans="11:15" ht="15.75" customHeight="1">
      <c r="K79" s="65"/>
      <c r="L79" s="65"/>
      <c r="M79" s="65"/>
      <c r="N79" s="65"/>
      <c r="O79" s="65"/>
    </row>
    <row r="80" spans="11:15" ht="15.75" customHeight="1">
      <c r="K80" s="65"/>
      <c r="L80" s="65"/>
      <c r="M80" s="65"/>
      <c r="N80" s="65"/>
      <c r="O80" s="65"/>
    </row>
    <row r="81" spans="11:15" ht="15.75" customHeight="1">
      <c r="K81" s="65"/>
      <c r="L81" s="65"/>
      <c r="M81" s="65"/>
      <c r="N81" s="65"/>
      <c r="O81" s="65"/>
    </row>
    <row r="82" spans="11:15" ht="15.75" customHeight="1">
      <c r="K82" s="65"/>
      <c r="L82" s="65"/>
      <c r="M82" s="65"/>
      <c r="N82" s="65"/>
      <c r="O82" s="65"/>
    </row>
    <row r="83" spans="11:15" ht="15.75" customHeight="1">
      <c r="K83" s="65"/>
      <c r="L83" s="65"/>
      <c r="M83" s="65"/>
      <c r="N83" s="65"/>
      <c r="O83" s="65"/>
    </row>
    <row r="84" spans="11:15" ht="15.75" customHeight="1">
      <c r="K84" s="65"/>
      <c r="L84" s="65"/>
      <c r="M84" s="65"/>
      <c r="N84" s="65"/>
      <c r="O84" s="65"/>
    </row>
    <row r="85" spans="11:15" ht="15.75" customHeight="1">
      <c r="K85" s="65"/>
      <c r="L85" s="65"/>
      <c r="M85" s="65"/>
      <c r="N85" s="65"/>
      <c r="O85" s="65"/>
    </row>
    <row r="86" spans="11:15" ht="15.75" customHeight="1">
      <c r="K86" s="65"/>
      <c r="L86" s="65"/>
      <c r="M86" s="65"/>
      <c r="N86" s="65"/>
      <c r="O86" s="65"/>
    </row>
    <row r="87" spans="11:15" ht="15.75" customHeight="1">
      <c r="K87" s="65"/>
      <c r="L87" s="65"/>
      <c r="M87" s="65"/>
      <c r="N87" s="65"/>
      <c r="O87" s="65"/>
    </row>
    <row r="88" spans="11:15" ht="15.75" customHeight="1">
      <c r="K88" s="65"/>
      <c r="L88" s="65"/>
      <c r="M88" s="65"/>
      <c r="N88" s="65"/>
      <c r="O88" s="65"/>
    </row>
    <row r="89" spans="11:15" ht="15.75" customHeight="1">
      <c r="K89" s="65"/>
      <c r="L89" s="65"/>
      <c r="M89" s="65"/>
      <c r="N89" s="65"/>
      <c r="O89" s="65"/>
    </row>
    <row r="90" spans="11:15" ht="15.75" customHeight="1">
      <c r="K90" s="65"/>
      <c r="L90" s="65"/>
      <c r="M90" s="65"/>
      <c r="N90" s="65"/>
      <c r="O90" s="65"/>
    </row>
    <row r="91" spans="11:15" ht="15.75" customHeight="1">
      <c r="K91" s="65"/>
      <c r="L91" s="65"/>
      <c r="M91" s="65"/>
      <c r="N91" s="65"/>
      <c r="O91" s="65"/>
    </row>
    <row r="92" spans="11:15" ht="15.75" customHeight="1">
      <c r="K92" s="65"/>
      <c r="L92" s="65"/>
      <c r="M92" s="65"/>
      <c r="N92" s="65"/>
      <c r="O92" s="65"/>
    </row>
    <row r="93" spans="11:15" ht="15.75" customHeight="1">
      <c r="K93" s="65"/>
      <c r="L93" s="65"/>
      <c r="M93" s="65"/>
      <c r="N93" s="65"/>
      <c r="O93" s="65"/>
    </row>
    <row r="94" spans="11:15" ht="15.75" customHeight="1">
      <c r="K94" s="65"/>
      <c r="L94" s="65"/>
      <c r="M94" s="65"/>
      <c r="N94" s="65"/>
      <c r="O94" s="65"/>
    </row>
    <row r="95" spans="11:15" ht="15.75" customHeight="1">
      <c r="K95" s="65"/>
      <c r="L95" s="65"/>
      <c r="M95" s="65"/>
      <c r="N95" s="65"/>
      <c r="O95" s="65"/>
    </row>
    <row r="96" spans="11:15" ht="15.75" customHeight="1">
      <c r="K96" s="65"/>
      <c r="L96" s="65"/>
      <c r="M96" s="65"/>
      <c r="N96" s="65"/>
      <c r="O96" s="65"/>
    </row>
    <row r="97" spans="11:15" ht="15.75" customHeight="1">
      <c r="K97" s="65"/>
      <c r="L97" s="65"/>
      <c r="M97" s="65"/>
      <c r="N97" s="65"/>
      <c r="O97" s="65"/>
    </row>
    <row r="98" spans="11:15" ht="15.75" customHeight="1">
      <c r="K98" s="65"/>
      <c r="L98" s="65"/>
      <c r="M98" s="65"/>
      <c r="N98" s="65"/>
      <c r="O98" s="65"/>
    </row>
    <row r="99" spans="11:15" ht="15.75" customHeight="1">
      <c r="K99" s="65"/>
      <c r="L99" s="65"/>
      <c r="M99" s="65"/>
      <c r="N99" s="65"/>
      <c r="O99" s="65"/>
    </row>
    <row r="100" spans="11:15" ht="15.75" customHeight="1">
      <c r="K100" s="65"/>
      <c r="L100" s="65"/>
      <c r="M100" s="65"/>
      <c r="N100" s="65"/>
      <c r="O100" s="65"/>
    </row>
    <row r="101" spans="11:15" ht="15.75" customHeight="1">
      <c r="K101" s="65"/>
      <c r="L101" s="65"/>
      <c r="M101" s="65"/>
      <c r="N101" s="65"/>
      <c r="O101" s="65"/>
    </row>
    <row r="102" spans="11:15" ht="15.75" customHeight="1">
      <c r="K102" s="65"/>
      <c r="L102" s="65"/>
      <c r="M102" s="65"/>
      <c r="N102" s="65"/>
      <c r="O102" s="65"/>
    </row>
    <row r="103" spans="11:15" ht="15.75" customHeight="1">
      <c r="K103" s="65"/>
      <c r="L103" s="65"/>
      <c r="M103" s="65"/>
      <c r="N103" s="65"/>
      <c r="O103" s="65"/>
    </row>
    <row r="104" spans="11:15" ht="15.75" customHeight="1">
      <c r="K104" s="65"/>
      <c r="L104" s="65"/>
      <c r="M104" s="65"/>
      <c r="N104" s="65"/>
      <c r="O104" s="65"/>
    </row>
    <row r="105" spans="11:15" ht="15.75" customHeight="1">
      <c r="K105" s="65"/>
      <c r="L105" s="65"/>
      <c r="M105" s="65"/>
      <c r="N105" s="65"/>
      <c r="O105" s="65"/>
    </row>
    <row r="106" spans="11:15" ht="15.75" customHeight="1">
      <c r="K106" s="65"/>
      <c r="L106" s="65"/>
      <c r="M106" s="65"/>
      <c r="N106" s="65"/>
      <c r="O106" s="65"/>
    </row>
    <row r="107" spans="11:15" ht="15.75" customHeight="1">
      <c r="K107" s="65"/>
      <c r="L107" s="65"/>
      <c r="M107" s="65"/>
      <c r="N107" s="65"/>
      <c r="O107" s="65"/>
    </row>
    <row r="108" spans="11:15" ht="15.75" customHeight="1">
      <c r="K108" s="65"/>
      <c r="L108" s="65"/>
      <c r="M108" s="65"/>
      <c r="N108" s="65"/>
      <c r="O108" s="65"/>
    </row>
    <row r="109" spans="11:15" ht="15.75" customHeight="1">
      <c r="K109" s="65"/>
      <c r="L109" s="65"/>
      <c r="M109" s="65"/>
      <c r="N109" s="65"/>
      <c r="O109" s="65"/>
    </row>
    <row r="110" spans="11:15" ht="15.75" customHeight="1">
      <c r="K110" s="65"/>
      <c r="L110" s="65"/>
      <c r="M110" s="65"/>
      <c r="N110" s="65"/>
      <c r="O110" s="65"/>
    </row>
    <row r="111" spans="11:15" ht="15.75" customHeight="1">
      <c r="K111" s="65"/>
      <c r="L111" s="65"/>
      <c r="M111" s="65"/>
      <c r="N111" s="65"/>
      <c r="O111" s="65"/>
    </row>
    <row r="112" spans="11:15" ht="15.75" customHeight="1">
      <c r="K112" s="65"/>
      <c r="L112" s="65"/>
      <c r="M112" s="65"/>
      <c r="N112" s="65"/>
      <c r="O112" s="65"/>
    </row>
    <row r="113" spans="11:15" ht="15.75" customHeight="1">
      <c r="K113" s="65"/>
      <c r="L113" s="65"/>
      <c r="M113" s="65"/>
      <c r="N113" s="65"/>
      <c r="O113" s="65"/>
    </row>
    <row r="114" spans="11:15" ht="15.75" customHeight="1">
      <c r="K114" s="65"/>
      <c r="L114" s="65"/>
      <c r="M114" s="65"/>
      <c r="N114" s="65"/>
      <c r="O114" s="65"/>
    </row>
    <row r="115" spans="11:15" ht="15.75" customHeight="1">
      <c r="K115" s="65"/>
      <c r="L115" s="65"/>
      <c r="M115" s="65"/>
      <c r="N115" s="65"/>
      <c r="O115" s="65"/>
    </row>
    <row r="116" spans="11:15" ht="15.75" customHeight="1">
      <c r="K116" s="65"/>
      <c r="L116" s="65"/>
      <c r="M116" s="65"/>
      <c r="N116" s="65"/>
      <c r="O116" s="65"/>
    </row>
    <row r="117" spans="11:15" ht="15.75" customHeight="1">
      <c r="K117" s="65"/>
      <c r="L117" s="65"/>
      <c r="M117" s="65"/>
      <c r="N117" s="65"/>
      <c r="O117" s="65"/>
    </row>
    <row r="118" spans="11:15" ht="15.75" customHeight="1">
      <c r="K118" s="65"/>
      <c r="L118" s="65"/>
      <c r="M118" s="65"/>
      <c r="N118" s="65"/>
      <c r="O118" s="65"/>
    </row>
    <row r="119" spans="11:15" ht="15.75" customHeight="1">
      <c r="K119" s="65"/>
      <c r="L119" s="65"/>
      <c r="M119" s="65"/>
      <c r="N119" s="65"/>
      <c r="O119" s="65"/>
    </row>
    <row r="120" spans="11:15" ht="15.75" customHeight="1">
      <c r="K120" s="65"/>
      <c r="L120" s="65"/>
      <c r="M120" s="65"/>
      <c r="N120" s="65"/>
      <c r="O120" s="65"/>
    </row>
    <row r="121" spans="11:15" ht="15.75" customHeight="1">
      <c r="K121" s="65"/>
      <c r="L121" s="65"/>
      <c r="M121" s="65"/>
      <c r="N121" s="65"/>
      <c r="O121" s="65"/>
    </row>
    <row r="122" spans="11:15" ht="15.75" customHeight="1">
      <c r="K122" s="65"/>
      <c r="L122" s="65"/>
      <c r="M122" s="65"/>
      <c r="N122" s="65"/>
      <c r="O122" s="65"/>
    </row>
    <row r="123" spans="11:15" ht="15.75" customHeight="1">
      <c r="K123" s="65"/>
      <c r="L123" s="65"/>
      <c r="M123" s="65"/>
      <c r="N123" s="65"/>
      <c r="O123" s="65"/>
    </row>
    <row r="124" spans="11:15" ht="15.75" customHeight="1">
      <c r="K124" s="65"/>
      <c r="L124" s="65"/>
      <c r="M124" s="65"/>
      <c r="N124" s="65"/>
      <c r="O124" s="65"/>
    </row>
    <row r="125" spans="11:15" ht="15.75" customHeight="1">
      <c r="K125" s="65"/>
      <c r="L125" s="65"/>
      <c r="M125" s="65"/>
      <c r="N125" s="65"/>
      <c r="O125" s="65"/>
    </row>
    <row r="126" spans="11:15" ht="15.75" customHeight="1">
      <c r="K126" s="65"/>
      <c r="L126" s="65"/>
      <c r="M126" s="65"/>
      <c r="N126" s="65"/>
      <c r="O126" s="65"/>
    </row>
    <row r="127" spans="11:15" ht="15.75" customHeight="1">
      <c r="K127" s="65"/>
      <c r="L127" s="65"/>
      <c r="M127" s="65"/>
      <c r="N127" s="65"/>
      <c r="O127" s="65"/>
    </row>
    <row r="128" spans="11:15" ht="15.75" customHeight="1">
      <c r="K128" s="65"/>
      <c r="L128" s="65"/>
      <c r="M128" s="65"/>
      <c r="N128" s="65"/>
      <c r="O128" s="65"/>
    </row>
    <row r="129" spans="11:15" ht="15.75" customHeight="1">
      <c r="K129" s="65"/>
      <c r="L129" s="65"/>
      <c r="M129" s="65"/>
      <c r="N129" s="65"/>
      <c r="O129" s="65"/>
    </row>
    <row r="130" spans="11:15" ht="15.75" customHeight="1">
      <c r="K130" s="65"/>
      <c r="L130" s="65"/>
      <c r="M130" s="65"/>
      <c r="N130" s="65"/>
      <c r="O130" s="65"/>
    </row>
    <row r="131" spans="11:15" ht="15.75" customHeight="1">
      <c r="K131" s="65"/>
      <c r="L131" s="65"/>
      <c r="M131" s="65"/>
      <c r="N131" s="65"/>
      <c r="O131" s="65"/>
    </row>
    <row r="132" spans="11:15" ht="15.75" customHeight="1">
      <c r="K132" s="65"/>
      <c r="L132" s="65"/>
      <c r="M132" s="65"/>
      <c r="N132" s="65"/>
      <c r="O132" s="65"/>
    </row>
    <row r="133" spans="11:15" ht="15.75" customHeight="1">
      <c r="K133" s="65"/>
      <c r="L133" s="65"/>
      <c r="M133" s="65"/>
      <c r="N133" s="65"/>
      <c r="O133" s="65"/>
    </row>
    <row r="134" spans="11:15" ht="15.75" customHeight="1">
      <c r="K134" s="65"/>
      <c r="L134" s="65"/>
      <c r="M134" s="65"/>
      <c r="N134" s="65"/>
      <c r="O134" s="65"/>
    </row>
    <row r="135" spans="11:15" ht="15.75" customHeight="1">
      <c r="K135" s="65"/>
      <c r="L135" s="65"/>
      <c r="M135" s="65"/>
      <c r="N135" s="65"/>
      <c r="O135" s="65"/>
    </row>
    <row r="136" spans="11:15" ht="15.75" customHeight="1">
      <c r="K136" s="65"/>
      <c r="L136" s="65"/>
      <c r="M136" s="65"/>
      <c r="N136" s="65"/>
      <c r="O136" s="65"/>
    </row>
    <row r="137" spans="11:15" ht="15.75" customHeight="1">
      <c r="K137" s="65"/>
      <c r="L137" s="65"/>
      <c r="M137" s="65"/>
      <c r="N137" s="65"/>
      <c r="O137" s="65"/>
    </row>
    <row r="138" spans="11:15" ht="15.75" customHeight="1">
      <c r="K138" s="65"/>
      <c r="L138" s="65"/>
      <c r="M138" s="65"/>
      <c r="N138" s="65"/>
      <c r="O138" s="65"/>
    </row>
    <row r="139" spans="11:15" ht="15.75" customHeight="1">
      <c r="K139" s="65"/>
      <c r="L139" s="65"/>
      <c r="M139" s="65"/>
      <c r="N139" s="65"/>
      <c r="O139" s="65"/>
    </row>
    <row r="140" spans="11:15" ht="15.75" customHeight="1">
      <c r="K140" s="65"/>
      <c r="L140" s="65"/>
      <c r="M140" s="65"/>
      <c r="N140" s="65"/>
      <c r="O140" s="65"/>
    </row>
    <row r="141" spans="11:15" ht="15.75" customHeight="1">
      <c r="K141" s="65"/>
      <c r="L141" s="65"/>
      <c r="M141" s="65"/>
      <c r="N141" s="65"/>
      <c r="O141" s="65"/>
    </row>
    <row r="142" spans="11:15" ht="15.75" customHeight="1">
      <c r="K142" s="65"/>
      <c r="L142" s="65"/>
      <c r="M142" s="65"/>
      <c r="N142" s="65"/>
      <c r="O142" s="65"/>
    </row>
    <row r="143" spans="11:15" ht="15.75" customHeight="1">
      <c r="K143" s="65"/>
      <c r="L143" s="65"/>
      <c r="M143" s="65"/>
      <c r="N143" s="65"/>
      <c r="O143" s="65"/>
    </row>
    <row r="144" spans="11:15" ht="15.75" customHeight="1">
      <c r="K144" s="65"/>
      <c r="L144" s="65"/>
      <c r="M144" s="65"/>
      <c r="N144" s="65"/>
      <c r="O144" s="65"/>
    </row>
    <row r="145" spans="11:15" ht="15.75" customHeight="1">
      <c r="K145" s="65"/>
      <c r="L145" s="65"/>
      <c r="M145" s="65"/>
      <c r="N145" s="65"/>
      <c r="O145" s="65"/>
    </row>
    <row r="146" spans="11:15" ht="15.75" customHeight="1">
      <c r="K146" s="65"/>
      <c r="L146" s="65"/>
      <c r="M146" s="65"/>
      <c r="N146" s="65"/>
      <c r="O146" s="65"/>
    </row>
    <row r="147" spans="11:15" ht="15.75" customHeight="1">
      <c r="K147" s="65"/>
      <c r="L147" s="65"/>
      <c r="M147" s="65"/>
      <c r="N147" s="65"/>
      <c r="O147" s="65"/>
    </row>
    <row r="148" spans="11:15" ht="15.75" customHeight="1">
      <c r="K148" s="65"/>
      <c r="L148" s="65"/>
      <c r="M148" s="65"/>
      <c r="N148" s="65"/>
      <c r="O148" s="65"/>
    </row>
    <row r="149" spans="11:15" ht="15.75" customHeight="1">
      <c r="K149" s="65"/>
      <c r="L149" s="65"/>
      <c r="M149" s="65"/>
      <c r="N149" s="65"/>
      <c r="O149" s="65"/>
    </row>
    <row r="150" spans="11:15" ht="15.75" customHeight="1">
      <c r="K150" s="65"/>
      <c r="L150" s="65"/>
      <c r="M150" s="65"/>
      <c r="N150" s="65"/>
      <c r="O150" s="65"/>
    </row>
    <row r="151" spans="11:15" ht="15.75" customHeight="1">
      <c r="K151" s="65"/>
      <c r="L151" s="65"/>
      <c r="M151" s="65"/>
      <c r="N151" s="65"/>
      <c r="O151" s="65"/>
    </row>
    <row r="152" spans="11:15" ht="15.75" customHeight="1">
      <c r="K152" s="65"/>
      <c r="L152" s="65"/>
      <c r="M152" s="65"/>
      <c r="N152" s="65"/>
      <c r="O152" s="65"/>
    </row>
    <row r="153" spans="11:15" ht="15.75" customHeight="1">
      <c r="K153" s="65"/>
      <c r="L153" s="65"/>
      <c r="M153" s="65"/>
      <c r="N153" s="65"/>
      <c r="O153" s="65"/>
    </row>
    <row r="154" spans="11:15" ht="15.75" customHeight="1">
      <c r="K154" s="65"/>
      <c r="L154" s="65"/>
      <c r="M154" s="65"/>
      <c r="N154" s="65"/>
      <c r="O154" s="65"/>
    </row>
    <row r="155" spans="11:15" ht="15.75" customHeight="1">
      <c r="K155" s="65"/>
      <c r="L155" s="65"/>
      <c r="M155" s="65"/>
      <c r="N155" s="65"/>
      <c r="O155" s="65"/>
    </row>
    <row r="156" spans="11:15" ht="15.75" customHeight="1">
      <c r="K156" s="65"/>
      <c r="L156" s="65"/>
      <c r="M156" s="65"/>
      <c r="N156" s="65"/>
      <c r="O156" s="65"/>
    </row>
    <row r="157" spans="11:15" ht="15.75" customHeight="1">
      <c r="K157" s="65"/>
      <c r="L157" s="65"/>
      <c r="M157" s="65"/>
      <c r="N157" s="65"/>
      <c r="O157" s="65"/>
    </row>
    <row r="158" spans="11:15" ht="15.75" customHeight="1">
      <c r="K158" s="65"/>
      <c r="L158" s="65"/>
      <c r="M158" s="65"/>
      <c r="N158" s="65"/>
      <c r="O158" s="65"/>
    </row>
    <row r="159" spans="11:15" ht="15.75" customHeight="1">
      <c r="K159" s="65"/>
      <c r="L159" s="65"/>
      <c r="M159" s="65"/>
      <c r="N159" s="65"/>
      <c r="O159" s="65"/>
    </row>
    <row r="160" spans="11:15" ht="15.75" customHeight="1">
      <c r="K160" s="65"/>
      <c r="L160" s="65"/>
      <c r="M160" s="65"/>
      <c r="N160" s="65"/>
      <c r="O160" s="65"/>
    </row>
    <row r="161" spans="11:15" ht="15.75" customHeight="1">
      <c r="K161" s="65"/>
      <c r="L161" s="65"/>
      <c r="M161" s="65"/>
      <c r="N161" s="65"/>
      <c r="O161" s="65"/>
    </row>
    <row r="162" spans="11:15" ht="15.75" customHeight="1">
      <c r="K162" s="65"/>
      <c r="L162" s="65"/>
      <c r="M162" s="65"/>
      <c r="N162" s="65"/>
      <c r="O162" s="65"/>
    </row>
    <row r="163" spans="11:15" ht="15.75" customHeight="1">
      <c r="K163" s="65"/>
      <c r="L163" s="65"/>
      <c r="M163" s="65"/>
      <c r="N163" s="65"/>
      <c r="O163" s="65"/>
    </row>
    <row r="164" spans="11:15" ht="15.75" customHeight="1">
      <c r="K164" s="65"/>
      <c r="L164" s="65"/>
      <c r="M164" s="65"/>
      <c r="N164" s="65"/>
      <c r="O164" s="65"/>
    </row>
    <row r="165" spans="11:15" ht="15.75" customHeight="1">
      <c r="K165" s="65"/>
      <c r="L165" s="65"/>
      <c r="M165" s="65"/>
      <c r="N165" s="65"/>
      <c r="O165" s="65"/>
    </row>
    <row r="166" spans="11:15" ht="15.75" customHeight="1">
      <c r="K166" s="65"/>
      <c r="L166" s="65"/>
      <c r="M166" s="65"/>
      <c r="N166" s="65"/>
      <c r="O166" s="65"/>
    </row>
    <row r="167" spans="11:15" ht="15.75" customHeight="1">
      <c r="K167" s="65"/>
      <c r="L167" s="65"/>
      <c r="M167" s="65"/>
      <c r="N167" s="65"/>
      <c r="O167" s="65"/>
    </row>
    <row r="168" spans="11:15" ht="15.75" customHeight="1">
      <c r="K168" s="65"/>
      <c r="L168" s="65"/>
      <c r="M168" s="65"/>
      <c r="N168" s="65"/>
      <c r="O168" s="65"/>
    </row>
    <row r="169" spans="11:15" ht="15.75" customHeight="1">
      <c r="K169" s="65"/>
      <c r="L169" s="65"/>
      <c r="M169" s="65"/>
      <c r="N169" s="65"/>
      <c r="O169" s="65"/>
    </row>
    <row r="170" spans="11:15" ht="15.75" customHeight="1">
      <c r="K170" s="65"/>
      <c r="L170" s="65"/>
      <c r="M170" s="65"/>
      <c r="N170" s="65"/>
      <c r="O170" s="65"/>
    </row>
    <row r="171" spans="11:15" ht="15.75" customHeight="1">
      <c r="K171" s="65"/>
      <c r="L171" s="65"/>
      <c r="M171" s="65"/>
      <c r="N171" s="65"/>
      <c r="O171" s="65"/>
    </row>
    <row r="172" spans="11:15" ht="15.75" customHeight="1">
      <c r="K172" s="65"/>
      <c r="L172" s="65"/>
      <c r="M172" s="65"/>
      <c r="N172" s="65"/>
      <c r="O172" s="65"/>
    </row>
    <row r="173" spans="11:15" ht="15.75" customHeight="1">
      <c r="K173" s="65"/>
      <c r="L173" s="65"/>
      <c r="M173" s="65"/>
      <c r="N173" s="65"/>
      <c r="O173" s="65"/>
    </row>
    <row r="174" spans="11:15" ht="15.75" customHeight="1">
      <c r="K174" s="65"/>
      <c r="L174" s="65"/>
      <c r="M174" s="65"/>
      <c r="N174" s="65"/>
      <c r="O174" s="65"/>
    </row>
    <row r="175" spans="11:15" ht="15.75" customHeight="1">
      <c r="K175" s="65"/>
      <c r="L175" s="65"/>
      <c r="M175" s="65"/>
      <c r="N175" s="65"/>
      <c r="O175" s="65"/>
    </row>
    <row r="176" spans="11:15" ht="15.75" customHeight="1">
      <c r="K176" s="65"/>
      <c r="L176" s="65"/>
      <c r="M176" s="65"/>
      <c r="N176" s="65"/>
      <c r="O176" s="65"/>
    </row>
    <row r="177" spans="11:15" ht="15.75" customHeight="1">
      <c r="K177" s="65"/>
      <c r="L177" s="65"/>
      <c r="M177" s="65"/>
      <c r="N177" s="65"/>
      <c r="O177" s="65"/>
    </row>
    <row r="178" spans="11:15" ht="15.75" customHeight="1">
      <c r="K178" s="65"/>
      <c r="L178" s="65"/>
      <c r="M178" s="65"/>
      <c r="N178" s="65"/>
      <c r="O178" s="65"/>
    </row>
    <row r="179" spans="11:15" ht="15.75" customHeight="1">
      <c r="K179" s="65"/>
      <c r="L179" s="65"/>
      <c r="M179" s="65"/>
      <c r="N179" s="65"/>
      <c r="O179" s="65"/>
    </row>
    <row r="180" spans="11:15" ht="15.75" customHeight="1">
      <c r="K180" s="65"/>
      <c r="L180" s="65"/>
      <c r="M180" s="65"/>
      <c r="N180" s="65"/>
      <c r="O180" s="65"/>
    </row>
    <row r="181" spans="11:15" ht="15.75" customHeight="1">
      <c r="K181" s="65"/>
      <c r="L181" s="65"/>
      <c r="M181" s="65"/>
      <c r="N181" s="65"/>
      <c r="O181" s="65"/>
    </row>
    <row r="182" spans="11:15" ht="15.75" customHeight="1">
      <c r="K182" s="65"/>
      <c r="L182" s="65"/>
      <c r="M182" s="65"/>
      <c r="N182" s="65"/>
      <c r="O182" s="65"/>
    </row>
    <row r="183" spans="11:15" ht="15.75" customHeight="1">
      <c r="K183" s="65"/>
      <c r="L183" s="65"/>
      <c r="M183" s="65"/>
      <c r="N183" s="65"/>
      <c r="O183" s="65"/>
    </row>
    <row r="184" spans="11:15" ht="15.75" customHeight="1">
      <c r="K184" s="65"/>
      <c r="L184" s="65"/>
      <c r="M184" s="65"/>
      <c r="N184" s="65"/>
      <c r="O184" s="65"/>
    </row>
    <row r="185" spans="11:15" ht="15.75" customHeight="1">
      <c r="K185" s="65"/>
      <c r="L185" s="65"/>
      <c r="M185" s="65"/>
      <c r="N185" s="65"/>
      <c r="O185" s="65"/>
    </row>
    <row r="186" spans="11:15" ht="15.75" customHeight="1">
      <c r="K186" s="65"/>
      <c r="L186" s="65"/>
      <c r="M186" s="65"/>
      <c r="N186" s="65"/>
      <c r="O186" s="65"/>
    </row>
    <row r="187" spans="11:15" ht="15.75" customHeight="1">
      <c r="K187" s="65"/>
      <c r="L187" s="65"/>
      <c r="M187" s="65"/>
      <c r="N187" s="65"/>
      <c r="O187" s="65"/>
    </row>
    <row r="188" spans="11:15" ht="15.75" customHeight="1">
      <c r="K188" s="65"/>
      <c r="L188" s="65"/>
      <c r="M188" s="65"/>
      <c r="N188" s="65"/>
      <c r="O188" s="65"/>
    </row>
    <row r="189" spans="11:15" ht="15.75" customHeight="1">
      <c r="K189" s="65"/>
      <c r="L189" s="65"/>
      <c r="M189" s="65"/>
      <c r="N189" s="65"/>
      <c r="O189" s="65"/>
    </row>
    <row r="190" spans="11:15" ht="15.75" customHeight="1">
      <c r="K190" s="65"/>
      <c r="L190" s="65"/>
      <c r="M190" s="65"/>
      <c r="N190" s="65"/>
      <c r="O190" s="65"/>
    </row>
    <row r="191" spans="11:15" ht="15.75" customHeight="1">
      <c r="K191" s="65"/>
      <c r="L191" s="65"/>
      <c r="M191" s="65"/>
      <c r="N191" s="65"/>
      <c r="O191" s="65"/>
    </row>
    <row r="192" spans="11:15" ht="15.75" customHeight="1">
      <c r="K192" s="65"/>
      <c r="L192" s="65"/>
      <c r="M192" s="65"/>
      <c r="N192" s="65"/>
      <c r="O192" s="65"/>
    </row>
    <row r="193" spans="11:15" ht="15.75" customHeight="1">
      <c r="K193" s="65"/>
      <c r="L193" s="65"/>
      <c r="M193" s="65"/>
      <c r="N193" s="65"/>
      <c r="O193" s="65"/>
    </row>
    <row r="194" spans="11:15" ht="15.75" customHeight="1">
      <c r="K194" s="65"/>
      <c r="L194" s="65"/>
      <c r="M194" s="65"/>
      <c r="N194" s="65"/>
      <c r="O194" s="65"/>
    </row>
    <row r="195" spans="11:15" ht="15.75" customHeight="1">
      <c r="K195" s="65"/>
      <c r="L195" s="65"/>
      <c r="M195" s="65"/>
      <c r="N195" s="65"/>
      <c r="O195" s="65"/>
    </row>
    <row r="196" spans="11:15" ht="15.75" customHeight="1">
      <c r="K196" s="65"/>
      <c r="L196" s="65"/>
      <c r="M196" s="65"/>
      <c r="N196" s="65"/>
      <c r="O196" s="65"/>
    </row>
    <row r="197" spans="11:15" ht="15.75" customHeight="1">
      <c r="K197" s="65"/>
      <c r="L197" s="65"/>
      <c r="M197" s="65"/>
      <c r="N197" s="65"/>
      <c r="O197" s="65"/>
    </row>
    <row r="198" spans="11:15" ht="15.75" customHeight="1">
      <c r="K198" s="65"/>
      <c r="L198" s="65"/>
      <c r="M198" s="65"/>
      <c r="N198" s="65"/>
      <c r="O198" s="65"/>
    </row>
    <row r="199" spans="11:15" ht="15.75" customHeight="1">
      <c r="K199" s="65"/>
      <c r="L199" s="65"/>
      <c r="M199" s="65"/>
      <c r="N199" s="65"/>
      <c r="O199" s="65"/>
    </row>
    <row r="200" spans="11:15" ht="15.75" customHeight="1">
      <c r="K200" s="65"/>
      <c r="L200" s="65"/>
      <c r="M200" s="65"/>
      <c r="N200" s="65"/>
      <c r="O200" s="65"/>
    </row>
    <row r="201" spans="11:15" ht="15.75" customHeight="1">
      <c r="K201" s="65"/>
      <c r="L201" s="65"/>
      <c r="M201" s="65"/>
      <c r="N201" s="65"/>
      <c r="O201" s="65"/>
    </row>
    <row r="202" spans="11:15" ht="15.75" customHeight="1">
      <c r="K202" s="65"/>
      <c r="L202" s="65"/>
      <c r="M202" s="65"/>
      <c r="N202" s="65"/>
      <c r="O202" s="65"/>
    </row>
    <row r="203" spans="11:15" ht="15.75" customHeight="1">
      <c r="K203" s="65"/>
      <c r="L203" s="65"/>
      <c r="M203" s="65"/>
      <c r="N203" s="65"/>
      <c r="O203" s="65"/>
    </row>
    <row r="204" spans="11:15" ht="15.75" customHeight="1">
      <c r="K204" s="65"/>
      <c r="L204" s="65"/>
      <c r="M204" s="65"/>
      <c r="N204" s="65"/>
      <c r="O204" s="65"/>
    </row>
    <row r="205" spans="11:15" ht="15.75" customHeight="1">
      <c r="K205" s="65"/>
      <c r="L205" s="65"/>
      <c r="M205" s="65"/>
      <c r="N205" s="65"/>
      <c r="O205" s="65"/>
    </row>
    <row r="206" spans="11:15" ht="15.75" customHeight="1">
      <c r="K206" s="65"/>
      <c r="L206" s="65"/>
      <c r="M206" s="65"/>
      <c r="N206" s="65"/>
      <c r="O206" s="65"/>
    </row>
    <row r="207" spans="11:15" ht="15.75" customHeight="1">
      <c r="K207" s="65"/>
      <c r="L207" s="65"/>
      <c r="M207" s="65"/>
      <c r="N207" s="65"/>
      <c r="O207" s="65"/>
    </row>
    <row r="208" spans="11:15" ht="15.75" customHeight="1">
      <c r="K208" s="65"/>
      <c r="L208" s="65"/>
      <c r="M208" s="65"/>
      <c r="N208" s="65"/>
      <c r="O208" s="65"/>
    </row>
    <row r="209" spans="11:15" ht="15.75" customHeight="1">
      <c r="K209" s="65"/>
      <c r="L209" s="65"/>
      <c r="M209" s="65"/>
      <c r="N209" s="65"/>
      <c r="O209" s="65"/>
    </row>
    <row r="210" spans="11:15" ht="15.75" customHeight="1">
      <c r="K210" s="65"/>
      <c r="L210" s="65"/>
      <c r="M210" s="65"/>
      <c r="N210" s="65"/>
      <c r="O210" s="65"/>
    </row>
    <row r="211" spans="11:15" ht="15.75" customHeight="1">
      <c r="K211" s="65"/>
      <c r="L211" s="65"/>
      <c r="M211" s="65"/>
      <c r="N211" s="65"/>
      <c r="O211" s="65"/>
    </row>
    <row r="212" spans="11:15" ht="15.75" customHeight="1">
      <c r="K212" s="65"/>
      <c r="L212" s="65"/>
      <c r="M212" s="65"/>
      <c r="N212" s="65"/>
      <c r="O212" s="65"/>
    </row>
    <row r="213" spans="11:15" ht="15.75" customHeight="1">
      <c r="K213" s="65"/>
      <c r="L213" s="65"/>
      <c r="M213" s="65"/>
      <c r="N213" s="65"/>
      <c r="O213" s="65"/>
    </row>
    <row r="214" spans="11:15" ht="15.75" customHeight="1">
      <c r="K214" s="65"/>
      <c r="L214" s="65"/>
      <c r="M214" s="65"/>
      <c r="N214" s="65"/>
      <c r="O214" s="65"/>
    </row>
    <row r="215" spans="11:15" ht="15.75" customHeight="1">
      <c r="K215" s="65"/>
      <c r="L215" s="65"/>
      <c r="M215" s="65"/>
      <c r="N215" s="65"/>
      <c r="O215" s="65"/>
    </row>
    <row r="216" spans="11:15" ht="15.75" customHeight="1">
      <c r="K216" s="65"/>
      <c r="L216" s="65"/>
      <c r="M216" s="65"/>
      <c r="N216" s="65"/>
      <c r="O216" s="65"/>
    </row>
    <row r="217" spans="11:15" ht="15.75" customHeight="1">
      <c r="K217" s="65"/>
      <c r="L217" s="65"/>
      <c r="M217" s="65"/>
      <c r="N217" s="65"/>
      <c r="O217" s="65"/>
    </row>
    <row r="218" spans="11:15" ht="15.75" customHeight="1">
      <c r="K218" s="65"/>
      <c r="L218" s="65"/>
      <c r="M218" s="65"/>
      <c r="N218" s="65"/>
      <c r="O218" s="65"/>
    </row>
    <row r="219" spans="11:15" ht="15.75" customHeight="1">
      <c r="K219" s="65"/>
      <c r="L219" s="65"/>
      <c r="M219" s="65"/>
      <c r="N219" s="65"/>
      <c r="O219" s="65"/>
    </row>
    <row r="220" spans="11:15" ht="15.75" customHeight="1">
      <c r="K220" s="65"/>
      <c r="L220" s="65"/>
      <c r="M220" s="65"/>
      <c r="N220" s="65"/>
      <c r="O220" s="65"/>
    </row>
    <row r="221" spans="11:15" ht="15.75" customHeight="1">
      <c r="K221" s="65"/>
      <c r="L221" s="65"/>
      <c r="M221" s="65"/>
      <c r="N221" s="65"/>
      <c r="O221" s="65"/>
    </row>
    <row r="222" spans="11:15" ht="15.75" customHeight="1">
      <c r="K222" s="65"/>
      <c r="L222" s="65"/>
      <c r="M222" s="65"/>
      <c r="N222" s="65"/>
      <c r="O222" s="65"/>
    </row>
    <row r="223" spans="11:15" ht="15.75" customHeight="1">
      <c r="K223" s="65"/>
      <c r="L223" s="65"/>
      <c r="M223" s="65"/>
      <c r="N223" s="65"/>
      <c r="O223" s="65"/>
    </row>
    <row r="224" spans="11:15" ht="15.75" customHeight="1">
      <c r="K224" s="65"/>
      <c r="L224" s="65"/>
      <c r="M224" s="65"/>
      <c r="N224" s="65"/>
      <c r="O224" s="65"/>
    </row>
    <row r="225" spans="11:15" ht="15.75" customHeight="1">
      <c r="K225" s="65"/>
      <c r="L225" s="65"/>
      <c r="M225" s="65"/>
      <c r="N225" s="65"/>
      <c r="O225" s="65"/>
    </row>
    <row r="226" spans="11:15" ht="15.75" customHeight="1">
      <c r="K226" s="65"/>
      <c r="L226" s="65"/>
      <c r="M226" s="65"/>
      <c r="N226" s="65"/>
      <c r="O226" s="65"/>
    </row>
    <row r="227" spans="11:15" ht="15.75" customHeight="1">
      <c r="K227" s="65"/>
      <c r="L227" s="65"/>
      <c r="M227" s="65"/>
      <c r="N227" s="65"/>
      <c r="O227" s="65"/>
    </row>
    <row r="228" spans="11:15" ht="15.75" customHeight="1">
      <c r="K228" s="65"/>
      <c r="L228" s="65"/>
      <c r="M228" s="65"/>
      <c r="N228" s="65"/>
      <c r="O228" s="65"/>
    </row>
    <row r="229" spans="11:15" ht="15.75" customHeight="1">
      <c r="K229" s="65"/>
      <c r="L229" s="65"/>
      <c r="M229" s="65"/>
      <c r="N229" s="65"/>
      <c r="O229" s="65"/>
    </row>
    <row r="230" spans="11:15" ht="15.75" customHeight="1">
      <c r="K230" s="65"/>
      <c r="L230" s="65"/>
      <c r="M230" s="65"/>
      <c r="N230" s="65"/>
      <c r="O230" s="65"/>
    </row>
    <row r="231" spans="11:15" ht="15.75" customHeight="1">
      <c r="K231" s="65"/>
      <c r="L231" s="65"/>
      <c r="M231" s="65"/>
      <c r="N231" s="65"/>
      <c r="O231" s="65"/>
    </row>
    <row r="232" spans="11:15" ht="15.75" customHeight="1">
      <c r="K232" s="65"/>
      <c r="L232" s="65"/>
      <c r="M232" s="65"/>
      <c r="N232" s="65"/>
      <c r="O232" s="65"/>
    </row>
    <row r="233" spans="11:15" ht="15.75" customHeight="1">
      <c r="K233" s="65"/>
      <c r="L233" s="65"/>
      <c r="M233" s="65"/>
      <c r="N233" s="65"/>
      <c r="O233" s="65"/>
    </row>
    <row r="234" spans="11:15" ht="15.75" customHeight="1">
      <c r="K234" s="65"/>
      <c r="L234" s="65"/>
      <c r="M234" s="65"/>
      <c r="N234" s="65"/>
      <c r="O234" s="65"/>
    </row>
    <row r="235" spans="11:15" ht="15.75" customHeight="1">
      <c r="K235" s="65"/>
      <c r="L235" s="65"/>
      <c r="M235" s="65"/>
      <c r="N235" s="65"/>
      <c r="O235" s="65"/>
    </row>
    <row r="236" spans="11:15" ht="15.75" customHeight="1">
      <c r="K236" s="65"/>
      <c r="L236" s="65"/>
      <c r="M236" s="65"/>
      <c r="N236" s="65"/>
      <c r="O236" s="65"/>
    </row>
    <row r="237" spans="11:15" ht="15.75" customHeight="1">
      <c r="K237" s="65"/>
      <c r="L237" s="65"/>
      <c r="M237" s="65"/>
      <c r="N237" s="65"/>
      <c r="O237" s="65"/>
    </row>
    <row r="238" spans="11:15" ht="15.75" customHeight="1">
      <c r="K238" s="65"/>
      <c r="L238" s="65"/>
      <c r="M238" s="65"/>
      <c r="N238" s="65"/>
      <c r="O238" s="65"/>
    </row>
    <row r="239" spans="11:15" ht="15.75" customHeight="1">
      <c r="K239" s="65"/>
      <c r="L239" s="65"/>
      <c r="M239" s="65"/>
      <c r="N239" s="65"/>
      <c r="O239" s="65"/>
    </row>
    <row r="240" spans="11:15" ht="15.75" customHeight="1">
      <c r="K240" s="65"/>
      <c r="L240" s="65"/>
      <c r="M240" s="65"/>
      <c r="N240" s="65"/>
      <c r="O240" s="65"/>
    </row>
    <row r="241" spans="11:15" ht="15.75" customHeight="1">
      <c r="K241" s="65"/>
      <c r="L241" s="65"/>
      <c r="M241" s="65"/>
      <c r="N241" s="65"/>
      <c r="O241" s="65"/>
    </row>
    <row r="242" spans="11:15" ht="15.75" customHeight="1">
      <c r="K242" s="65"/>
      <c r="L242" s="65"/>
      <c r="M242" s="65"/>
      <c r="N242" s="65"/>
      <c r="O242" s="65"/>
    </row>
    <row r="243" spans="11:15" ht="15.75" customHeight="1">
      <c r="K243" s="65"/>
      <c r="L243" s="65"/>
      <c r="M243" s="65"/>
      <c r="N243" s="65"/>
      <c r="O243" s="65"/>
    </row>
    <row r="244" spans="11:15" ht="15.75" customHeight="1">
      <c r="K244" s="65"/>
      <c r="L244" s="65"/>
      <c r="M244" s="65"/>
      <c r="N244" s="65"/>
      <c r="O244" s="65"/>
    </row>
    <row r="245" spans="11:15" ht="15.75" customHeight="1">
      <c r="K245" s="65"/>
      <c r="L245" s="65"/>
      <c r="M245" s="65"/>
      <c r="N245" s="65"/>
      <c r="O245" s="65"/>
    </row>
    <row r="246" spans="11:15" ht="15.75" customHeight="1">
      <c r="K246" s="65"/>
      <c r="L246" s="65"/>
      <c r="M246" s="65"/>
      <c r="N246" s="65"/>
      <c r="O246" s="65"/>
    </row>
    <row r="247" spans="11:15" ht="15.75" customHeight="1">
      <c r="K247" s="65"/>
      <c r="L247" s="65"/>
      <c r="M247" s="65"/>
      <c r="N247" s="65"/>
      <c r="O247" s="65"/>
    </row>
    <row r="248" spans="11:15" ht="15.75" customHeight="1">
      <c r="K248" s="65"/>
      <c r="L248" s="65"/>
      <c r="M248" s="65"/>
      <c r="N248" s="65"/>
      <c r="O248" s="65"/>
    </row>
    <row r="249" spans="11:15" ht="15.75" customHeight="1">
      <c r="K249" s="65"/>
      <c r="L249" s="65"/>
      <c r="M249" s="65"/>
      <c r="N249" s="65"/>
      <c r="O249" s="65"/>
    </row>
    <row r="250" spans="11:15" ht="15.75" customHeight="1">
      <c r="K250" s="65"/>
      <c r="L250" s="65"/>
      <c r="M250" s="65"/>
      <c r="N250" s="65"/>
      <c r="O250" s="65"/>
    </row>
    <row r="251" spans="11:15" ht="15.75" customHeight="1">
      <c r="K251" s="65"/>
      <c r="L251" s="65"/>
      <c r="M251" s="65"/>
      <c r="N251" s="65"/>
      <c r="O251" s="65"/>
    </row>
    <row r="252" spans="11:15" ht="15.75" customHeight="1">
      <c r="K252" s="65"/>
      <c r="L252" s="65"/>
      <c r="M252" s="65"/>
      <c r="N252" s="65"/>
      <c r="O252" s="65"/>
    </row>
    <row r="253" spans="11:15" ht="15.75" customHeight="1">
      <c r="K253" s="65"/>
      <c r="L253" s="65"/>
      <c r="M253" s="65"/>
      <c r="N253" s="65"/>
      <c r="O253" s="65"/>
    </row>
    <row r="254" spans="11:15" ht="15.75" customHeight="1">
      <c r="K254" s="65"/>
      <c r="L254" s="65"/>
      <c r="M254" s="65"/>
      <c r="N254" s="65"/>
      <c r="O254" s="65"/>
    </row>
    <row r="255" spans="11:15" ht="15.75" customHeight="1">
      <c r="K255" s="65"/>
      <c r="L255" s="65"/>
      <c r="M255" s="65"/>
      <c r="N255" s="65"/>
      <c r="O255" s="65"/>
    </row>
    <row r="256" spans="11:15" ht="15.75" customHeight="1">
      <c r="K256" s="65"/>
      <c r="L256" s="65"/>
      <c r="M256" s="65"/>
      <c r="N256" s="65"/>
      <c r="O256" s="65"/>
    </row>
    <row r="257" spans="11:15" ht="15.75" customHeight="1">
      <c r="K257" s="65"/>
      <c r="L257" s="65"/>
      <c r="M257" s="65"/>
      <c r="N257" s="65"/>
      <c r="O257" s="65"/>
    </row>
    <row r="258" spans="11:15" ht="15.75" customHeight="1">
      <c r="K258" s="65"/>
      <c r="L258" s="65"/>
      <c r="M258" s="65"/>
      <c r="N258" s="65"/>
      <c r="O258" s="65"/>
    </row>
    <row r="259" spans="11:15" ht="15.75" customHeight="1">
      <c r="K259" s="65"/>
      <c r="L259" s="65"/>
      <c r="M259" s="65"/>
      <c r="N259" s="65"/>
      <c r="O259" s="65"/>
    </row>
    <row r="260" spans="11:15" ht="15.75" customHeight="1">
      <c r="K260" s="65"/>
      <c r="L260" s="65"/>
      <c r="M260" s="65"/>
      <c r="N260" s="65"/>
      <c r="O260" s="65"/>
    </row>
    <row r="261" spans="11:15" ht="15.75" customHeight="1">
      <c r="K261" s="65"/>
      <c r="L261" s="65"/>
      <c r="M261" s="65"/>
      <c r="N261" s="65"/>
      <c r="O261" s="65"/>
    </row>
    <row r="262" spans="11:15" ht="15.75" customHeight="1">
      <c r="K262" s="65"/>
      <c r="L262" s="65"/>
      <c r="M262" s="65"/>
      <c r="N262" s="65"/>
      <c r="O262" s="65"/>
    </row>
    <row r="263" spans="11:15" ht="15.75" customHeight="1">
      <c r="K263" s="65"/>
      <c r="L263" s="65"/>
      <c r="M263" s="65"/>
      <c r="N263" s="65"/>
      <c r="O263" s="65"/>
    </row>
    <row r="264" spans="11:15" ht="15.75" customHeight="1">
      <c r="K264" s="65"/>
      <c r="L264" s="65"/>
      <c r="M264" s="65"/>
      <c r="N264" s="65"/>
      <c r="O264" s="65"/>
    </row>
    <row r="265" spans="11:15" ht="15.75" customHeight="1">
      <c r="K265" s="65"/>
      <c r="L265" s="65"/>
      <c r="M265" s="65"/>
      <c r="N265" s="65"/>
      <c r="O265" s="65"/>
    </row>
    <row r="266" spans="11:15" ht="15.75" customHeight="1">
      <c r="K266" s="65"/>
      <c r="L266" s="65"/>
      <c r="M266" s="65"/>
      <c r="N266" s="65"/>
      <c r="O266" s="65"/>
    </row>
    <row r="267" spans="11:15" ht="15.75" customHeight="1">
      <c r="K267" s="65"/>
      <c r="L267" s="65"/>
      <c r="M267" s="65"/>
      <c r="N267" s="65"/>
      <c r="O267" s="65"/>
    </row>
    <row r="268" spans="11:15" ht="15.75" customHeight="1">
      <c r="K268" s="65"/>
      <c r="L268" s="65"/>
      <c r="M268" s="65"/>
      <c r="N268" s="65"/>
      <c r="O268" s="65"/>
    </row>
    <row r="269" spans="11:15" ht="15.75" customHeight="1">
      <c r="K269" s="65"/>
      <c r="L269" s="65"/>
      <c r="M269" s="65"/>
      <c r="N269" s="65"/>
      <c r="O269" s="65"/>
    </row>
    <row r="270" spans="11:15" ht="15.75" customHeight="1">
      <c r="K270" s="65"/>
      <c r="L270" s="65"/>
      <c r="M270" s="65"/>
      <c r="N270" s="65"/>
      <c r="O270" s="65"/>
    </row>
    <row r="271" spans="11:15" ht="15.75" customHeight="1">
      <c r="K271" s="65"/>
      <c r="L271" s="65"/>
      <c r="M271" s="65"/>
      <c r="N271" s="65"/>
      <c r="O271" s="65"/>
    </row>
    <row r="272" spans="11:15" ht="15.75" customHeight="1">
      <c r="K272" s="65"/>
      <c r="L272" s="65"/>
      <c r="M272" s="65"/>
      <c r="N272" s="65"/>
      <c r="O272" s="65"/>
    </row>
    <row r="273" spans="11:15" ht="15.75" customHeight="1">
      <c r="K273" s="65"/>
      <c r="L273" s="65"/>
      <c r="M273" s="65"/>
      <c r="N273" s="65"/>
      <c r="O273" s="65"/>
    </row>
    <row r="274" spans="11:15" ht="15.75" customHeight="1">
      <c r="K274" s="65"/>
      <c r="L274" s="65"/>
      <c r="M274" s="65"/>
      <c r="N274" s="65"/>
      <c r="O274" s="65"/>
    </row>
    <row r="275" spans="11:15" ht="15.75" customHeight="1">
      <c r="K275" s="65"/>
      <c r="L275" s="65"/>
      <c r="M275" s="65"/>
      <c r="N275" s="65"/>
      <c r="O275" s="65"/>
    </row>
    <row r="276" spans="11:15" ht="15.75" customHeight="1">
      <c r="K276" s="65"/>
      <c r="L276" s="65"/>
      <c r="M276" s="65"/>
      <c r="N276" s="65"/>
      <c r="O276" s="65"/>
    </row>
    <row r="277" spans="11:15" ht="15.75" customHeight="1">
      <c r="K277" s="65"/>
      <c r="L277" s="65"/>
      <c r="M277" s="65"/>
      <c r="N277" s="65"/>
      <c r="O277" s="65"/>
    </row>
    <row r="278" spans="11:15" ht="15.75" customHeight="1">
      <c r="K278" s="65"/>
      <c r="L278" s="65"/>
      <c r="M278" s="65"/>
      <c r="N278" s="65"/>
      <c r="O278" s="65"/>
    </row>
    <row r="279" spans="11:15" ht="15.75" customHeight="1">
      <c r="K279" s="65"/>
      <c r="L279" s="65"/>
      <c r="M279" s="65"/>
      <c r="N279" s="65"/>
      <c r="O279" s="65"/>
    </row>
    <row r="280" spans="11:15" ht="15.75" customHeight="1">
      <c r="K280" s="65"/>
      <c r="L280" s="65"/>
      <c r="M280" s="65"/>
      <c r="N280" s="65"/>
      <c r="O280" s="65"/>
    </row>
    <row r="281" spans="11:15" ht="15.75" customHeight="1">
      <c r="K281" s="65"/>
      <c r="L281" s="65"/>
      <c r="M281" s="65"/>
      <c r="N281" s="65"/>
      <c r="O281" s="65"/>
    </row>
    <row r="282" spans="11:15" ht="15.75" customHeight="1">
      <c r="K282" s="65"/>
      <c r="L282" s="65"/>
      <c r="M282" s="65"/>
      <c r="N282" s="65"/>
      <c r="O282" s="65"/>
    </row>
    <row r="283" spans="11:15" ht="15.75" customHeight="1">
      <c r="K283" s="65"/>
      <c r="L283" s="65"/>
      <c r="M283" s="65"/>
      <c r="N283" s="65"/>
      <c r="O283" s="65"/>
    </row>
    <row r="284" spans="11:15" ht="15.75" customHeight="1">
      <c r="K284" s="65"/>
      <c r="L284" s="65"/>
      <c r="M284" s="65"/>
      <c r="N284" s="65"/>
      <c r="O284" s="65"/>
    </row>
    <row r="285" spans="11:15" ht="15.75" customHeight="1">
      <c r="K285" s="65"/>
      <c r="L285" s="65"/>
      <c r="M285" s="65"/>
      <c r="N285" s="65"/>
      <c r="O285" s="65"/>
    </row>
    <row r="286" spans="11:15" ht="15.75" customHeight="1">
      <c r="K286" s="65"/>
      <c r="L286" s="65"/>
      <c r="M286" s="65"/>
      <c r="N286" s="65"/>
      <c r="O286" s="65"/>
    </row>
    <row r="287" spans="11:15" ht="15.75" customHeight="1">
      <c r="K287" s="65"/>
      <c r="L287" s="65"/>
      <c r="M287" s="65"/>
      <c r="N287" s="65"/>
      <c r="O287" s="65"/>
    </row>
    <row r="288" spans="11:15" ht="15.75" customHeight="1">
      <c r="K288" s="65"/>
      <c r="L288" s="65"/>
      <c r="M288" s="65"/>
      <c r="N288" s="65"/>
      <c r="O288" s="65"/>
    </row>
    <row r="289" spans="11:15" ht="15.75" customHeight="1">
      <c r="K289" s="65"/>
      <c r="L289" s="65"/>
      <c r="M289" s="65"/>
      <c r="N289" s="65"/>
      <c r="O289" s="65"/>
    </row>
    <row r="290" spans="11:15" ht="15.75" customHeight="1">
      <c r="K290" s="65"/>
      <c r="L290" s="65"/>
      <c r="M290" s="65"/>
      <c r="N290" s="65"/>
      <c r="O290" s="65"/>
    </row>
    <row r="291" spans="11:15" ht="15.75" customHeight="1">
      <c r="K291" s="65"/>
      <c r="L291" s="65"/>
      <c r="M291" s="65"/>
      <c r="N291" s="65"/>
      <c r="O291" s="65"/>
    </row>
    <row r="292" spans="11:15" ht="15.75" customHeight="1">
      <c r="K292" s="65"/>
      <c r="L292" s="65"/>
      <c r="M292" s="65"/>
      <c r="N292" s="65"/>
      <c r="O292" s="65"/>
    </row>
    <row r="293" spans="11:15" ht="15.75" customHeight="1">
      <c r="K293" s="65"/>
      <c r="L293" s="65"/>
      <c r="M293" s="65"/>
      <c r="N293" s="65"/>
      <c r="O293" s="65"/>
    </row>
    <row r="294" spans="11:15" ht="15.75" customHeight="1">
      <c r="K294" s="65"/>
      <c r="L294" s="65"/>
      <c r="M294" s="65"/>
      <c r="N294" s="65"/>
      <c r="O294" s="65"/>
    </row>
    <row r="295" spans="11:15" ht="15.75" customHeight="1">
      <c r="K295" s="65"/>
      <c r="L295" s="65"/>
      <c r="M295" s="65"/>
      <c r="N295" s="65"/>
      <c r="O295" s="65"/>
    </row>
    <row r="296" spans="11:15" ht="15.75" customHeight="1">
      <c r="K296" s="65"/>
      <c r="L296" s="65"/>
      <c r="M296" s="65"/>
      <c r="N296" s="65"/>
      <c r="O296" s="65"/>
    </row>
    <row r="297" spans="11:15" ht="15.75" customHeight="1">
      <c r="K297" s="65"/>
      <c r="L297" s="65"/>
      <c r="M297" s="65"/>
      <c r="N297" s="65"/>
      <c r="O297" s="65"/>
    </row>
    <row r="298" spans="11:15" ht="15.75" customHeight="1">
      <c r="K298" s="65"/>
      <c r="L298" s="65"/>
      <c r="M298" s="65"/>
      <c r="N298" s="65"/>
      <c r="O298" s="65"/>
    </row>
    <row r="299" spans="11:15" ht="15.75" customHeight="1">
      <c r="K299" s="65"/>
      <c r="L299" s="65"/>
      <c r="M299" s="65"/>
      <c r="N299" s="65"/>
      <c r="O299" s="65"/>
    </row>
    <row r="300" spans="11:15" ht="15.75" customHeight="1">
      <c r="K300" s="65"/>
      <c r="L300" s="65"/>
      <c r="M300" s="65"/>
      <c r="N300" s="65"/>
      <c r="O300" s="65"/>
    </row>
    <row r="301" spans="11:15" ht="15.75" customHeight="1">
      <c r="K301" s="65"/>
      <c r="L301" s="65"/>
      <c r="M301" s="65"/>
      <c r="N301" s="65"/>
      <c r="O301" s="65"/>
    </row>
    <row r="302" spans="11:15" ht="15.75" customHeight="1">
      <c r="K302" s="65"/>
      <c r="L302" s="65"/>
      <c r="M302" s="65"/>
      <c r="N302" s="65"/>
      <c r="O302" s="65"/>
    </row>
    <row r="303" spans="11:15" ht="15.75" customHeight="1">
      <c r="K303" s="65"/>
      <c r="L303" s="65"/>
      <c r="M303" s="65"/>
      <c r="N303" s="65"/>
      <c r="O303" s="65"/>
    </row>
    <row r="304" spans="11:15" ht="15.75" customHeight="1">
      <c r="K304" s="65"/>
      <c r="L304" s="65"/>
      <c r="M304" s="65"/>
      <c r="N304" s="65"/>
      <c r="O304" s="65"/>
    </row>
    <row r="305" spans="11:15" ht="15.75" customHeight="1">
      <c r="K305" s="65"/>
      <c r="L305" s="65"/>
      <c r="M305" s="65"/>
      <c r="N305" s="65"/>
      <c r="O305" s="65"/>
    </row>
    <row r="306" spans="11:15" ht="15.75" customHeight="1">
      <c r="K306" s="65"/>
      <c r="L306" s="65"/>
      <c r="M306" s="65"/>
      <c r="N306" s="65"/>
      <c r="O306" s="65"/>
    </row>
    <row r="307" spans="11:15" ht="15.75" customHeight="1">
      <c r="K307" s="65"/>
      <c r="L307" s="65"/>
      <c r="M307" s="65"/>
      <c r="N307" s="65"/>
      <c r="O307" s="65"/>
    </row>
    <row r="308" spans="11:15" ht="15.75" customHeight="1">
      <c r="K308" s="65"/>
      <c r="L308" s="65"/>
      <c r="M308" s="65"/>
      <c r="N308" s="65"/>
      <c r="O308" s="65"/>
    </row>
    <row r="309" spans="11:15" ht="15.75" customHeight="1">
      <c r="K309" s="65"/>
      <c r="L309" s="65"/>
      <c r="M309" s="65"/>
      <c r="N309" s="65"/>
      <c r="O309" s="65"/>
    </row>
    <row r="310" spans="11:15" ht="15.75" customHeight="1">
      <c r="K310" s="65"/>
      <c r="L310" s="65"/>
      <c r="M310" s="65"/>
      <c r="N310" s="65"/>
      <c r="O310" s="65"/>
    </row>
    <row r="311" spans="11:15" ht="15.75" customHeight="1">
      <c r="K311" s="65"/>
      <c r="L311" s="65"/>
      <c r="M311" s="65"/>
      <c r="N311" s="65"/>
      <c r="O311" s="65"/>
    </row>
    <row r="312" spans="11:15" ht="15.75" customHeight="1">
      <c r="K312" s="65"/>
      <c r="L312" s="65"/>
      <c r="M312" s="65"/>
      <c r="N312" s="65"/>
      <c r="O312" s="65"/>
    </row>
    <row r="313" spans="11:15" ht="15.75" customHeight="1">
      <c r="K313" s="65"/>
      <c r="L313" s="65"/>
      <c r="M313" s="65"/>
      <c r="N313" s="65"/>
      <c r="O313" s="65"/>
    </row>
    <row r="314" spans="11:15" ht="15.75" customHeight="1">
      <c r="K314" s="65"/>
      <c r="L314" s="65"/>
      <c r="M314" s="65"/>
      <c r="N314" s="65"/>
      <c r="O314" s="65"/>
    </row>
    <row r="315" spans="11:15" ht="15.75" customHeight="1">
      <c r="K315" s="65"/>
      <c r="L315" s="65"/>
      <c r="M315" s="65"/>
      <c r="N315" s="65"/>
      <c r="O315" s="65"/>
    </row>
    <row r="316" spans="11:15" ht="15.75" customHeight="1">
      <c r="K316" s="65"/>
      <c r="L316" s="65"/>
      <c r="M316" s="65"/>
      <c r="N316" s="65"/>
      <c r="O316" s="65"/>
    </row>
    <row r="317" spans="11:15" ht="15.75" customHeight="1">
      <c r="K317" s="65"/>
      <c r="L317" s="65"/>
      <c r="M317" s="65"/>
      <c r="N317" s="65"/>
      <c r="O317" s="65"/>
    </row>
    <row r="318" spans="11:15" ht="15.75" customHeight="1">
      <c r="K318" s="65"/>
      <c r="L318" s="65"/>
      <c r="M318" s="65"/>
      <c r="N318" s="65"/>
      <c r="O318" s="65"/>
    </row>
    <row r="319" spans="11:15" ht="15.75" customHeight="1">
      <c r="K319" s="65"/>
      <c r="L319" s="65"/>
      <c r="M319" s="65"/>
      <c r="N319" s="65"/>
      <c r="O319" s="65"/>
    </row>
    <row r="320" spans="11:15" ht="15.75" customHeight="1">
      <c r="K320" s="65"/>
      <c r="L320" s="65"/>
      <c r="M320" s="65"/>
      <c r="N320" s="65"/>
      <c r="O320" s="65"/>
    </row>
    <row r="321" spans="11:15" ht="15.75" customHeight="1">
      <c r="K321" s="65"/>
      <c r="L321" s="65"/>
      <c r="M321" s="65"/>
      <c r="N321" s="65"/>
      <c r="O321" s="65"/>
    </row>
    <row r="322" spans="11:15" ht="15.75" customHeight="1">
      <c r="K322" s="65"/>
      <c r="L322" s="65"/>
      <c r="M322" s="65"/>
      <c r="N322" s="65"/>
      <c r="O322" s="65"/>
    </row>
    <row r="323" spans="11:15" ht="15.75" customHeight="1">
      <c r="K323" s="65"/>
      <c r="L323" s="65"/>
      <c r="M323" s="65"/>
      <c r="N323" s="65"/>
      <c r="O323" s="65"/>
    </row>
    <row r="324" spans="11:15" ht="15.75" customHeight="1">
      <c r="K324" s="65"/>
      <c r="L324" s="65"/>
      <c r="M324" s="65"/>
      <c r="N324" s="65"/>
      <c r="O324" s="65"/>
    </row>
    <row r="325" spans="11:15" ht="15.75" customHeight="1">
      <c r="K325" s="65"/>
      <c r="L325" s="65"/>
      <c r="M325" s="65"/>
      <c r="N325" s="65"/>
      <c r="O325" s="65"/>
    </row>
    <row r="326" spans="11:15" ht="15.75" customHeight="1">
      <c r="K326" s="65"/>
      <c r="L326" s="65"/>
      <c r="M326" s="65"/>
      <c r="N326" s="65"/>
      <c r="O326" s="65"/>
    </row>
    <row r="327" spans="11:15" ht="15.75" customHeight="1">
      <c r="K327" s="65"/>
      <c r="L327" s="65"/>
      <c r="M327" s="65"/>
      <c r="N327" s="65"/>
      <c r="O327" s="65"/>
    </row>
    <row r="328" spans="11:15" ht="15.75" customHeight="1">
      <c r="K328" s="65"/>
      <c r="L328" s="65"/>
      <c r="M328" s="65"/>
      <c r="N328" s="65"/>
      <c r="O328" s="65"/>
    </row>
    <row r="329" spans="11:15" ht="15.75" customHeight="1">
      <c r="K329" s="65"/>
      <c r="L329" s="65"/>
      <c r="M329" s="65"/>
      <c r="N329" s="65"/>
      <c r="O329" s="65"/>
    </row>
    <row r="330" spans="11:15" ht="15.75" customHeight="1">
      <c r="K330" s="65"/>
      <c r="L330" s="65"/>
      <c r="M330" s="65"/>
      <c r="N330" s="65"/>
      <c r="O330" s="65"/>
    </row>
    <row r="331" spans="11:15" ht="15.75" customHeight="1">
      <c r="K331" s="65"/>
      <c r="L331" s="65"/>
      <c r="M331" s="65"/>
      <c r="N331" s="65"/>
      <c r="O331" s="65"/>
    </row>
    <row r="332" spans="11:15" ht="15.75" customHeight="1">
      <c r="K332" s="65"/>
      <c r="L332" s="65"/>
      <c r="M332" s="65"/>
      <c r="N332" s="65"/>
      <c r="O332" s="65"/>
    </row>
    <row r="333" spans="11:15" ht="15.75" customHeight="1">
      <c r="K333" s="65"/>
      <c r="L333" s="65"/>
      <c r="M333" s="65"/>
      <c r="N333" s="65"/>
      <c r="O333" s="65"/>
    </row>
    <row r="334" spans="11:15" ht="15.75" customHeight="1">
      <c r="K334" s="65"/>
      <c r="L334" s="65"/>
      <c r="M334" s="65"/>
      <c r="N334" s="65"/>
      <c r="O334" s="65"/>
    </row>
    <row r="335" spans="11:15" ht="15.75" customHeight="1">
      <c r="K335" s="65"/>
      <c r="L335" s="65"/>
      <c r="M335" s="65"/>
      <c r="N335" s="65"/>
      <c r="O335" s="65"/>
    </row>
    <row r="336" spans="11:15" ht="15.75" customHeight="1">
      <c r="K336" s="65"/>
      <c r="L336" s="65"/>
      <c r="M336" s="65"/>
      <c r="N336" s="65"/>
      <c r="O336" s="65"/>
    </row>
    <row r="337" spans="11:15" ht="15.75" customHeight="1">
      <c r="K337" s="65"/>
      <c r="L337" s="65"/>
      <c r="M337" s="65"/>
      <c r="N337" s="65"/>
      <c r="O337" s="65"/>
    </row>
    <row r="338" spans="11:15" ht="15.75" customHeight="1">
      <c r="K338" s="65"/>
      <c r="L338" s="65"/>
      <c r="M338" s="65"/>
      <c r="N338" s="65"/>
      <c r="O338" s="65"/>
    </row>
    <row r="339" spans="11:15" ht="15.75" customHeight="1">
      <c r="K339" s="65"/>
      <c r="L339" s="65"/>
      <c r="M339" s="65"/>
      <c r="N339" s="65"/>
      <c r="O339" s="65"/>
    </row>
    <row r="340" spans="11:15" ht="15.75" customHeight="1">
      <c r="K340" s="65"/>
      <c r="L340" s="65"/>
      <c r="M340" s="65"/>
      <c r="N340" s="65"/>
      <c r="O340" s="65"/>
    </row>
    <row r="341" spans="11:15" ht="15.75" customHeight="1">
      <c r="K341" s="65"/>
      <c r="L341" s="65"/>
      <c r="M341" s="65"/>
      <c r="N341" s="65"/>
      <c r="O341" s="65"/>
    </row>
    <row r="342" spans="11:15" ht="15.75" customHeight="1">
      <c r="K342" s="65"/>
      <c r="L342" s="65"/>
      <c r="M342" s="65"/>
      <c r="N342" s="65"/>
      <c r="O342" s="65"/>
    </row>
    <row r="343" spans="11:15" ht="15.75" customHeight="1">
      <c r="K343" s="65"/>
      <c r="L343" s="65"/>
      <c r="M343" s="65"/>
      <c r="N343" s="65"/>
      <c r="O343" s="65"/>
    </row>
    <row r="344" spans="11:15" ht="15.75" customHeight="1">
      <c r="K344" s="65"/>
      <c r="L344" s="65"/>
      <c r="M344" s="65"/>
      <c r="N344" s="65"/>
      <c r="O344" s="65"/>
    </row>
    <row r="345" spans="11:15" ht="15.75" customHeight="1">
      <c r="K345" s="65"/>
      <c r="L345" s="65"/>
      <c r="M345" s="65"/>
      <c r="N345" s="65"/>
      <c r="O345" s="65"/>
    </row>
    <row r="346" spans="11:15" ht="15.75" customHeight="1">
      <c r="K346" s="65"/>
      <c r="L346" s="65"/>
      <c r="M346" s="65"/>
      <c r="N346" s="65"/>
      <c r="O346" s="65"/>
    </row>
    <row r="347" spans="11:15" ht="15.75" customHeight="1">
      <c r="K347" s="65"/>
      <c r="L347" s="65"/>
      <c r="M347" s="65"/>
      <c r="N347" s="65"/>
      <c r="O347" s="65"/>
    </row>
    <row r="348" spans="11:15" ht="15.75" customHeight="1">
      <c r="K348" s="65"/>
      <c r="L348" s="65"/>
      <c r="M348" s="65"/>
      <c r="N348" s="65"/>
      <c r="O348" s="65"/>
    </row>
    <row r="349" spans="11:15" ht="15.75" customHeight="1">
      <c r="K349" s="65"/>
      <c r="L349" s="65"/>
      <c r="M349" s="65"/>
      <c r="N349" s="65"/>
      <c r="O349" s="65"/>
    </row>
    <row r="350" spans="11:15" ht="15.75" customHeight="1">
      <c r="K350" s="65"/>
      <c r="L350" s="65"/>
      <c r="M350" s="65"/>
      <c r="N350" s="65"/>
      <c r="O350" s="65"/>
    </row>
    <row r="351" spans="11:15" ht="15.75" customHeight="1">
      <c r="K351" s="65"/>
      <c r="L351" s="65"/>
      <c r="M351" s="65"/>
      <c r="N351" s="65"/>
      <c r="O351" s="65"/>
    </row>
    <row r="352" spans="11:15" ht="15.75" customHeight="1">
      <c r="K352" s="65"/>
      <c r="L352" s="65"/>
      <c r="M352" s="65"/>
      <c r="N352" s="65"/>
      <c r="O352" s="65"/>
    </row>
    <row r="353" spans="11:15" ht="15.75" customHeight="1">
      <c r="K353" s="65"/>
      <c r="L353" s="65"/>
      <c r="M353" s="65"/>
      <c r="N353" s="65"/>
      <c r="O353" s="65"/>
    </row>
    <row r="354" spans="11:15" ht="15.75" customHeight="1">
      <c r="K354" s="65"/>
      <c r="L354" s="65"/>
      <c r="M354" s="65"/>
      <c r="N354" s="65"/>
      <c r="O354" s="65"/>
    </row>
    <row r="355" spans="11:15" ht="15.75" customHeight="1">
      <c r="K355" s="65"/>
      <c r="L355" s="65"/>
      <c r="M355" s="65"/>
      <c r="N355" s="65"/>
      <c r="O355" s="65"/>
    </row>
    <row r="356" spans="11:15" ht="15.75" customHeight="1">
      <c r="K356" s="65"/>
      <c r="L356" s="65"/>
      <c r="M356" s="65"/>
      <c r="N356" s="65"/>
      <c r="O356" s="65"/>
    </row>
    <row r="357" spans="11:15" ht="15.75" customHeight="1">
      <c r="K357" s="65"/>
      <c r="L357" s="65"/>
      <c r="M357" s="65"/>
      <c r="N357" s="65"/>
      <c r="O357" s="65"/>
    </row>
    <row r="358" spans="11:15" ht="15.75" customHeight="1">
      <c r="K358" s="65"/>
      <c r="L358" s="65"/>
      <c r="M358" s="65"/>
      <c r="N358" s="65"/>
      <c r="O358" s="65"/>
    </row>
    <row r="359" spans="11:15" ht="15.75" customHeight="1">
      <c r="K359" s="65"/>
      <c r="L359" s="65"/>
      <c r="M359" s="65"/>
      <c r="N359" s="65"/>
      <c r="O359" s="65"/>
    </row>
    <row r="360" spans="11:15" ht="15.75" customHeight="1">
      <c r="K360" s="65"/>
      <c r="L360" s="65"/>
      <c r="M360" s="65"/>
      <c r="N360" s="65"/>
      <c r="O360" s="65"/>
    </row>
    <row r="361" spans="11:15" ht="15.75" customHeight="1">
      <c r="K361" s="65"/>
      <c r="L361" s="65"/>
      <c r="M361" s="65"/>
      <c r="N361" s="65"/>
      <c r="O361" s="65"/>
    </row>
    <row r="362" spans="11:15" ht="15.75" customHeight="1">
      <c r="K362" s="65"/>
      <c r="L362" s="65"/>
      <c r="M362" s="65"/>
      <c r="N362" s="65"/>
      <c r="O362" s="65"/>
    </row>
    <row r="363" spans="11:15" ht="15.75" customHeight="1">
      <c r="K363" s="65"/>
      <c r="L363" s="65"/>
      <c r="M363" s="65"/>
      <c r="N363" s="65"/>
      <c r="O363" s="65"/>
    </row>
    <row r="364" spans="11:15" ht="15.75" customHeight="1">
      <c r="K364" s="65"/>
      <c r="L364" s="65"/>
      <c r="M364" s="65"/>
      <c r="N364" s="65"/>
      <c r="O364" s="65"/>
    </row>
    <row r="365" spans="11:15" ht="15.75" customHeight="1">
      <c r="K365" s="65"/>
      <c r="L365" s="65"/>
      <c r="M365" s="65"/>
      <c r="N365" s="65"/>
      <c r="O365" s="65"/>
    </row>
    <row r="366" spans="11:15" ht="15.75" customHeight="1">
      <c r="K366" s="65"/>
      <c r="L366" s="65"/>
      <c r="M366" s="65"/>
      <c r="N366" s="65"/>
      <c r="O366" s="65"/>
    </row>
    <row r="367" spans="11:15" ht="15.75" customHeight="1">
      <c r="K367" s="65"/>
      <c r="L367" s="65"/>
      <c r="M367" s="65"/>
      <c r="N367" s="65"/>
      <c r="O367" s="65"/>
    </row>
    <row r="368" spans="11:15" ht="15.75" customHeight="1">
      <c r="K368" s="65"/>
      <c r="L368" s="65"/>
      <c r="M368" s="65"/>
      <c r="N368" s="65"/>
      <c r="O368" s="65"/>
    </row>
    <row r="369" spans="11:15" ht="15.75" customHeight="1">
      <c r="K369" s="65"/>
      <c r="L369" s="65"/>
      <c r="M369" s="65"/>
      <c r="N369" s="65"/>
      <c r="O369" s="65"/>
    </row>
    <row r="370" spans="11:15" ht="15.75" customHeight="1">
      <c r="K370" s="65"/>
      <c r="L370" s="65"/>
      <c r="M370" s="65"/>
      <c r="N370" s="65"/>
      <c r="O370" s="65"/>
    </row>
    <row r="371" spans="11:15" ht="15.75" customHeight="1">
      <c r="K371" s="65"/>
      <c r="L371" s="65"/>
      <c r="M371" s="65"/>
      <c r="N371" s="65"/>
      <c r="O371" s="65"/>
    </row>
    <row r="372" spans="11:15" ht="15.75" customHeight="1">
      <c r="K372" s="65"/>
      <c r="L372" s="65"/>
      <c r="M372" s="65"/>
      <c r="N372" s="65"/>
      <c r="O372" s="65"/>
    </row>
    <row r="373" spans="11:15" ht="15.75" customHeight="1">
      <c r="K373" s="65"/>
      <c r="L373" s="65"/>
      <c r="M373" s="65"/>
      <c r="N373" s="65"/>
      <c r="O373" s="65"/>
    </row>
    <row r="374" spans="11:15" ht="15.75" customHeight="1">
      <c r="K374" s="65"/>
      <c r="L374" s="65"/>
      <c r="M374" s="65"/>
      <c r="N374" s="65"/>
      <c r="O374" s="65"/>
    </row>
    <row r="375" spans="11:15" ht="15.75" customHeight="1">
      <c r="K375" s="65"/>
      <c r="L375" s="65"/>
      <c r="M375" s="65"/>
      <c r="N375" s="65"/>
      <c r="O375" s="65"/>
    </row>
    <row r="376" spans="11:15" ht="15.75" customHeight="1">
      <c r="K376" s="65"/>
      <c r="L376" s="65"/>
      <c r="M376" s="65"/>
      <c r="N376" s="65"/>
      <c r="O376" s="65"/>
    </row>
    <row r="377" spans="11:15" ht="15.75" customHeight="1">
      <c r="K377" s="65"/>
      <c r="L377" s="65"/>
      <c r="M377" s="65"/>
      <c r="N377" s="65"/>
      <c r="O377" s="65"/>
    </row>
    <row r="378" spans="11:15" ht="15.75" customHeight="1">
      <c r="K378" s="65"/>
      <c r="L378" s="65"/>
      <c r="M378" s="65"/>
      <c r="N378" s="65"/>
      <c r="O378" s="65"/>
    </row>
    <row r="379" spans="11:15" ht="15.75" customHeight="1">
      <c r="K379" s="65"/>
      <c r="L379" s="65"/>
      <c r="M379" s="65"/>
      <c r="N379" s="65"/>
      <c r="O379" s="65"/>
    </row>
    <row r="380" spans="11:15" ht="15.75" customHeight="1">
      <c r="K380" s="65"/>
      <c r="L380" s="65"/>
      <c r="M380" s="65"/>
      <c r="N380" s="65"/>
      <c r="O380" s="65"/>
    </row>
    <row r="381" spans="11:15" ht="15.75" customHeight="1">
      <c r="K381" s="65"/>
      <c r="L381" s="65"/>
      <c r="M381" s="65"/>
      <c r="N381" s="65"/>
      <c r="O381" s="65"/>
    </row>
    <row r="382" spans="11:15" ht="15.75" customHeight="1">
      <c r="K382" s="65"/>
      <c r="L382" s="65"/>
      <c r="M382" s="65"/>
      <c r="N382" s="65"/>
      <c r="O382" s="65"/>
    </row>
    <row r="383" spans="11:15" ht="15.75" customHeight="1">
      <c r="K383" s="65"/>
      <c r="L383" s="65"/>
      <c r="M383" s="65"/>
      <c r="N383" s="65"/>
      <c r="O383" s="65"/>
    </row>
    <row r="384" spans="11:15" ht="15.75" customHeight="1">
      <c r="K384" s="65"/>
      <c r="L384" s="65"/>
      <c r="M384" s="65"/>
      <c r="N384" s="65"/>
      <c r="O384" s="65"/>
    </row>
    <row r="385" spans="11:15" ht="15.75" customHeight="1">
      <c r="K385" s="65"/>
      <c r="L385" s="65"/>
      <c r="M385" s="65"/>
      <c r="N385" s="65"/>
      <c r="O385" s="65"/>
    </row>
    <row r="386" spans="11:15" ht="15.75" customHeight="1">
      <c r="K386" s="65"/>
      <c r="L386" s="65"/>
      <c r="M386" s="65"/>
      <c r="N386" s="65"/>
      <c r="O386" s="65"/>
    </row>
    <row r="387" spans="11:15" ht="15.75" customHeight="1">
      <c r="K387" s="65"/>
      <c r="L387" s="65"/>
      <c r="M387" s="65"/>
      <c r="N387" s="65"/>
      <c r="O387" s="65"/>
    </row>
    <row r="388" spans="11:15" ht="15.75" customHeight="1">
      <c r="K388" s="65"/>
      <c r="L388" s="65"/>
      <c r="M388" s="65"/>
      <c r="N388" s="65"/>
      <c r="O388" s="65"/>
    </row>
    <row r="389" spans="11:15" ht="15.75" customHeight="1">
      <c r="K389" s="65"/>
      <c r="L389" s="65"/>
      <c r="M389" s="65"/>
      <c r="N389" s="65"/>
      <c r="O389" s="65"/>
    </row>
    <row r="390" spans="11:15" ht="15.75" customHeight="1">
      <c r="K390" s="65"/>
      <c r="L390" s="65"/>
      <c r="M390" s="65"/>
      <c r="N390" s="65"/>
      <c r="O390" s="65"/>
    </row>
    <row r="391" spans="11:15" ht="15.75" customHeight="1">
      <c r="K391" s="65"/>
      <c r="L391" s="65"/>
      <c r="M391" s="65"/>
      <c r="N391" s="65"/>
      <c r="O391" s="65"/>
    </row>
    <row r="392" spans="11:15" ht="15.75" customHeight="1">
      <c r="K392" s="65"/>
      <c r="L392" s="65"/>
      <c r="M392" s="65"/>
      <c r="N392" s="65"/>
      <c r="O392" s="65"/>
    </row>
    <row r="393" spans="11:15" ht="15.75" customHeight="1">
      <c r="K393" s="65"/>
      <c r="L393" s="65"/>
      <c r="M393" s="65"/>
      <c r="N393" s="65"/>
      <c r="O393" s="65"/>
    </row>
    <row r="394" spans="11:15" ht="15.75" customHeight="1">
      <c r="K394" s="65"/>
      <c r="L394" s="65"/>
      <c r="M394" s="65"/>
      <c r="N394" s="65"/>
      <c r="O394" s="65"/>
    </row>
    <row r="395" spans="11:15" ht="15.75" customHeight="1">
      <c r="K395" s="65"/>
      <c r="L395" s="65"/>
      <c r="M395" s="65"/>
      <c r="N395" s="65"/>
      <c r="O395" s="65"/>
    </row>
    <row r="396" spans="11:15" ht="15.75" customHeight="1">
      <c r="K396" s="65"/>
      <c r="L396" s="65"/>
      <c r="M396" s="65"/>
      <c r="N396" s="65"/>
      <c r="O396" s="65"/>
    </row>
    <row r="397" spans="11:15" ht="15.75" customHeight="1">
      <c r="K397" s="65"/>
      <c r="L397" s="65"/>
      <c r="M397" s="65"/>
      <c r="N397" s="65"/>
      <c r="O397" s="65"/>
    </row>
    <row r="398" spans="11:15" ht="15.75" customHeight="1">
      <c r="K398" s="65"/>
      <c r="L398" s="65"/>
      <c r="M398" s="65"/>
      <c r="N398" s="65"/>
      <c r="O398" s="65"/>
    </row>
    <row r="399" spans="11:15" ht="15.75" customHeight="1">
      <c r="K399" s="65"/>
      <c r="L399" s="65"/>
      <c r="M399" s="65"/>
      <c r="N399" s="65"/>
      <c r="O399" s="65"/>
    </row>
    <row r="400" spans="11:15" ht="15.75" customHeight="1">
      <c r="K400" s="65"/>
      <c r="L400" s="65"/>
      <c r="M400" s="65"/>
      <c r="N400" s="65"/>
      <c r="O400" s="65"/>
    </row>
    <row r="401" spans="11:15" ht="15.75" customHeight="1">
      <c r="K401" s="65"/>
      <c r="L401" s="65"/>
      <c r="M401" s="65"/>
      <c r="N401" s="65"/>
      <c r="O401" s="65"/>
    </row>
    <row r="402" spans="11:15" ht="15.75" customHeight="1">
      <c r="K402" s="65"/>
      <c r="L402" s="65"/>
      <c r="M402" s="65"/>
      <c r="N402" s="65"/>
      <c r="O402" s="65"/>
    </row>
    <row r="403" spans="11:15" ht="15.75" customHeight="1">
      <c r="K403" s="65"/>
      <c r="L403" s="65"/>
      <c r="M403" s="65"/>
      <c r="N403" s="65"/>
      <c r="O403" s="65"/>
    </row>
    <row r="404" spans="11:15" ht="15.75" customHeight="1">
      <c r="K404" s="65"/>
      <c r="L404" s="65"/>
      <c r="M404" s="65"/>
      <c r="N404" s="65"/>
      <c r="O404" s="65"/>
    </row>
    <row r="405" spans="11:15" ht="15.75" customHeight="1">
      <c r="K405" s="65"/>
      <c r="L405" s="65"/>
      <c r="M405" s="65"/>
      <c r="N405" s="65"/>
      <c r="O405" s="65"/>
    </row>
    <row r="406" spans="11:15" ht="15.75" customHeight="1">
      <c r="K406" s="65"/>
      <c r="L406" s="65"/>
      <c r="M406" s="65"/>
      <c r="N406" s="65"/>
      <c r="O406" s="65"/>
    </row>
    <row r="407" spans="11:15" ht="15.75" customHeight="1">
      <c r="K407" s="65"/>
      <c r="L407" s="65"/>
      <c r="M407" s="65"/>
      <c r="N407" s="65"/>
      <c r="O407" s="65"/>
    </row>
    <row r="408" spans="11:15" ht="15.75" customHeight="1">
      <c r="K408" s="65"/>
      <c r="L408" s="65"/>
      <c r="M408" s="65"/>
      <c r="N408" s="65"/>
      <c r="O408" s="65"/>
    </row>
    <row r="409" spans="11:15" ht="15.75" customHeight="1">
      <c r="K409" s="65"/>
      <c r="L409" s="65"/>
      <c r="M409" s="65"/>
      <c r="N409" s="65"/>
      <c r="O409" s="65"/>
    </row>
    <row r="410" spans="11:15" ht="15.75" customHeight="1">
      <c r="K410" s="65"/>
      <c r="L410" s="65"/>
      <c r="M410" s="65"/>
      <c r="N410" s="65"/>
      <c r="O410" s="65"/>
    </row>
    <row r="411" spans="11:15" ht="15.75" customHeight="1">
      <c r="K411" s="65"/>
      <c r="L411" s="65"/>
      <c r="M411" s="65"/>
      <c r="N411" s="65"/>
      <c r="O411" s="65"/>
    </row>
    <row r="412" spans="11:15" ht="15.75" customHeight="1">
      <c r="K412" s="65"/>
      <c r="L412" s="65"/>
      <c r="M412" s="65"/>
      <c r="N412" s="65"/>
      <c r="O412" s="65"/>
    </row>
    <row r="413" spans="11:15" ht="15.75" customHeight="1">
      <c r="K413" s="65"/>
      <c r="L413" s="65"/>
      <c r="M413" s="65"/>
      <c r="N413" s="65"/>
      <c r="O413" s="65"/>
    </row>
    <row r="414" spans="11:15" ht="15.75" customHeight="1">
      <c r="K414" s="65"/>
      <c r="L414" s="65"/>
      <c r="M414" s="65"/>
      <c r="N414" s="65"/>
      <c r="O414" s="65"/>
    </row>
    <row r="415" spans="11:15" ht="15.75" customHeight="1">
      <c r="K415" s="65"/>
      <c r="L415" s="65"/>
      <c r="M415" s="65"/>
      <c r="N415" s="65"/>
      <c r="O415" s="65"/>
    </row>
    <row r="416" spans="11:15" ht="15.75" customHeight="1">
      <c r="K416" s="65"/>
      <c r="L416" s="65"/>
      <c r="M416" s="65"/>
      <c r="N416" s="65"/>
      <c r="O416" s="65"/>
    </row>
    <row r="417" spans="11:15" ht="15.75" customHeight="1">
      <c r="K417" s="65"/>
      <c r="L417" s="65"/>
      <c r="M417" s="65"/>
      <c r="N417" s="65"/>
      <c r="O417" s="65"/>
    </row>
    <row r="418" spans="11:15" ht="15.75" customHeight="1">
      <c r="K418" s="65"/>
      <c r="L418" s="65"/>
      <c r="M418" s="65"/>
      <c r="N418" s="65"/>
      <c r="O418" s="65"/>
    </row>
    <row r="419" spans="11:15" ht="15.75" customHeight="1">
      <c r="K419" s="65"/>
      <c r="L419" s="65"/>
      <c r="M419" s="65"/>
      <c r="N419" s="65"/>
      <c r="O419" s="65"/>
    </row>
    <row r="420" spans="11:15" ht="15.75" customHeight="1">
      <c r="K420" s="65"/>
      <c r="L420" s="65"/>
      <c r="M420" s="65"/>
      <c r="N420" s="65"/>
      <c r="O420" s="65"/>
    </row>
    <row r="421" spans="11:15" ht="15.75" customHeight="1">
      <c r="K421" s="65"/>
      <c r="L421" s="65"/>
      <c r="M421" s="65"/>
      <c r="N421" s="65"/>
      <c r="O421" s="65"/>
    </row>
    <row r="422" spans="11:15" ht="15.75" customHeight="1">
      <c r="K422" s="65"/>
      <c r="L422" s="65"/>
      <c r="M422" s="65"/>
      <c r="N422" s="65"/>
      <c r="O422" s="65"/>
    </row>
    <row r="423" spans="11:15" ht="15.75" customHeight="1">
      <c r="K423" s="65"/>
      <c r="L423" s="65"/>
      <c r="M423" s="65"/>
      <c r="N423" s="65"/>
      <c r="O423" s="65"/>
    </row>
    <row r="424" spans="11:15" ht="15.75" customHeight="1">
      <c r="K424" s="65"/>
      <c r="L424" s="65"/>
      <c r="M424" s="65"/>
      <c r="N424" s="65"/>
      <c r="O424" s="65"/>
    </row>
    <row r="425" spans="11:15" ht="15.75" customHeight="1">
      <c r="K425" s="65"/>
      <c r="L425" s="65"/>
      <c r="M425" s="65"/>
      <c r="N425" s="65"/>
      <c r="O425" s="65"/>
    </row>
    <row r="426" spans="11:15" ht="15.75" customHeight="1">
      <c r="K426" s="65"/>
      <c r="L426" s="65"/>
      <c r="M426" s="65"/>
      <c r="N426" s="65"/>
      <c r="O426" s="65"/>
    </row>
    <row r="427" spans="11:15" ht="15.75" customHeight="1">
      <c r="K427" s="65"/>
      <c r="L427" s="65"/>
      <c r="M427" s="65"/>
      <c r="N427" s="65"/>
      <c r="O427" s="65"/>
    </row>
    <row r="428" spans="11:15" ht="15.75" customHeight="1">
      <c r="K428" s="65"/>
      <c r="L428" s="65"/>
      <c r="M428" s="65"/>
      <c r="N428" s="65"/>
      <c r="O428" s="65"/>
    </row>
    <row r="429" spans="11:15" ht="15.75" customHeight="1">
      <c r="K429" s="65"/>
      <c r="L429" s="65"/>
      <c r="M429" s="65"/>
      <c r="N429" s="65"/>
      <c r="O429" s="65"/>
    </row>
    <row r="430" spans="11:15" ht="15.75" customHeight="1">
      <c r="K430" s="65"/>
      <c r="L430" s="65"/>
      <c r="M430" s="65"/>
      <c r="N430" s="65"/>
      <c r="O430" s="65"/>
    </row>
    <row r="431" spans="11:15" ht="15.75" customHeight="1">
      <c r="K431" s="65"/>
      <c r="L431" s="65"/>
      <c r="M431" s="65"/>
      <c r="N431" s="65"/>
      <c r="O431" s="65"/>
    </row>
    <row r="432" spans="11:15" ht="15.75" customHeight="1">
      <c r="K432" s="65"/>
      <c r="L432" s="65"/>
      <c r="M432" s="65"/>
      <c r="N432" s="65"/>
      <c r="O432" s="65"/>
    </row>
    <row r="433" spans="11:15" ht="15.75" customHeight="1">
      <c r="K433" s="65"/>
      <c r="L433" s="65"/>
      <c r="M433" s="65"/>
      <c r="N433" s="65"/>
      <c r="O433" s="65"/>
    </row>
    <row r="434" spans="11:15" ht="15.75" customHeight="1">
      <c r="K434" s="65"/>
      <c r="L434" s="65"/>
      <c r="M434" s="65"/>
      <c r="N434" s="65"/>
      <c r="O434" s="65"/>
    </row>
    <row r="435" spans="11:15" ht="15.75" customHeight="1">
      <c r="K435" s="65"/>
      <c r="L435" s="65"/>
      <c r="M435" s="65"/>
      <c r="N435" s="65"/>
      <c r="O435" s="65"/>
    </row>
    <row r="436" spans="11:15" ht="15.75" customHeight="1">
      <c r="K436" s="65"/>
      <c r="L436" s="65"/>
      <c r="M436" s="65"/>
      <c r="N436" s="65"/>
      <c r="O436" s="65"/>
    </row>
    <row r="437" spans="11:15" ht="15.75" customHeight="1">
      <c r="K437" s="65"/>
      <c r="L437" s="65"/>
      <c r="M437" s="65"/>
      <c r="N437" s="65"/>
      <c r="O437" s="65"/>
    </row>
    <row r="438" spans="11:15" ht="15.75" customHeight="1">
      <c r="K438" s="65"/>
      <c r="L438" s="65"/>
      <c r="M438" s="65"/>
      <c r="N438" s="65"/>
      <c r="O438" s="65"/>
    </row>
    <row r="439" spans="11:15" ht="15.75" customHeight="1">
      <c r="K439" s="65"/>
      <c r="L439" s="65"/>
      <c r="M439" s="65"/>
      <c r="N439" s="65"/>
      <c r="O439" s="65"/>
    </row>
    <row r="440" spans="11:15" ht="15.75" customHeight="1">
      <c r="K440" s="65"/>
      <c r="L440" s="65"/>
      <c r="M440" s="65"/>
      <c r="N440" s="65"/>
      <c r="O440" s="65"/>
    </row>
    <row r="441" spans="11:15" ht="15.75" customHeight="1">
      <c r="K441" s="65"/>
      <c r="L441" s="65"/>
      <c r="M441" s="65"/>
      <c r="N441" s="65"/>
      <c r="O441" s="65"/>
    </row>
    <row r="442" spans="11:15" ht="15.75" customHeight="1">
      <c r="K442" s="65"/>
      <c r="L442" s="65"/>
      <c r="M442" s="65"/>
      <c r="N442" s="65"/>
      <c r="O442" s="65"/>
    </row>
    <row r="443" spans="11:15" ht="15.75" customHeight="1">
      <c r="K443" s="65"/>
      <c r="L443" s="65"/>
      <c r="M443" s="65"/>
      <c r="N443" s="65"/>
      <c r="O443" s="65"/>
    </row>
    <row r="444" spans="11:15" ht="15.75" customHeight="1">
      <c r="K444" s="65"/>
      <c r="L444" s="65"/>
      <c r="M444" s="65"/>
      <c r="N444" s="65"/>
      <c r="O444" s="65"/>
    </row>
    <row r="445" spans="11:15" ht="15.75" customHeight="1">
      <c r="K445" s="65"/>
      <c r="L445" s="65"/>
      <c r="M445" s="65"/>
      <c r="N445" s="65"/>
      <c r="O445" s="65"/>
    </row>
    <row r="446" spans="11:15" ht="15.75" customHeight="1">
      <c r="K446" s="65"/>
      <c r="L446" s="65"/>
      <c r="M446" s="65"/>
      <c r="N446" s="65"/>
      <c r="O446" s="65"/>
    </row>
    <row r="447" spans="11:15" ht="15.75" customHeight="1">
      <c r="K447" s="65"/>
      <c r="L447" s="65"/>
      <c r="M447" s="65"/>
      <c r="N447" s="65"/>
      <c r="O447" s="65"/>
    </row>
    <row r="448" spans="11:15" ht="15.75" customHeight="1">
      <c r="K448" s="65"/>
      <c r="L448" s="65"/>
      <c r="M448" s="65"/>
      <c r="N448" s="65"/>
      <c r="O448" s="65"/>
    </row>
    <row r="449" spans="11:15" ht="15.75" customHeight="1">
      <c r="K449" s="65"/>
      <c r="L449" s="65"/>
      <c r="M449" s="65"/>
      <c r="N449" s="65"/>
      <c r="O449" s="65"/>
    </row>
    <row r="450" spans="11:15" ht="15.75" customHeight="1">
      <c r="K450" s="65"/>
      <c r="L450" s="65"/>
      <c r="M450" s="65"/>
      <c r="N450" s="65"/>
      <c r="O450" s="65"/>
    </row>
    <row r="451" spans="11:15" ht="15.75" customHeight="1">
      <c r="K451" s="65"/>
      <c r="L451" s="65"/>
      <c r="M451" s="65"/>
      <c r="N451" s="65"/>
      <c r="O451" s="65"/>
    </row>
    <row r="452" spans="11:15" ht="15.75" customHeight="1">
      <c r="K452" s="65"/>
      <c r="L452" s="65"/>
      <c r="M452" s="65"/>
      <c r="N452" s="65"/>
      <c r="O452" s="65"/>
    </row>
    <row r="453" spans="11:15" ht="15.75" customHeight="1">
      <c r="K453" s="65"/>
      <c r="L453" s="65"/>
      <c r="M453" s="65"/>
      <c r="N453" s="65"/>
      <c r="O453" s="65"/>
    </row>
    <row r="454" spans="11:15" ht="15.75" customHeight="1">
      <c r="K454" s="65"/>
      <c r="L454" s="65"/>
      <c r="M454" s="65"/>
      <c r="N454" s="65"/>
      <c r="O454" s="65"/>
    </row>
    <row r="455" spans="11:15" ht="15.75" customHeight="1">
      <c r="K455" s="65"/>
      <c r="L455" s="65"/>
      <c r="M455" s="65"/>
      <c r="N455" s="65"/>
      <c r="O455" s="65"/>
    </row>
    <row r="456" spans="11:15" ht="15.75" customHeight="1">
      <c r="K456" s="65"/>
      <c r="L456" s="65"/>
      <c r="M456" s="65"/>
      <c r="N456" s="65"/>
      <c r="O456" s="65"/>
    </row>
    <row r="457" spans="11:15" ht="15.75" customHeight="1">
      <c r="K457" s="65"/>
      <c r="L457" s="65"/>
      <c r="M457" s="65"/>
      <c r="N457" s="65"/>
      <c r="O457" s="65"/>
    </row>
    <row r="458" spans="11:15" ht="15.75" customHeight="1">
      <c r="K458" s="65"/>
      <c r="L458" s="65"/>
      <c r="M458" s="65"/>
      <c r="N458" s="65"/>
      <c r="O458" s="65"/>
    </row>
    <row r="459" spans="11:15" ht="15.75" customHeight="1">
      <c r="K459" s="65"/>
      <c r="L459" s="65"/>
      <c r="M459" s="65"/>
      <c r="N459" s="65"/>
      <c r="O459" s="65"/>
    </row>
    <row r="460" spans="11:15" ht="15.75" customHeight="1">
      <c r="K460" s="65"/>
      <c r="L460" s="65"/>
      <c r="M460" s="65"/>
      <c r="N460" s="65"/>
      <c r="O460" s="65"/>
    </row>
    <row r="461" spans="11:15" ht="15.75" customHeight="1">
      <c r="K461" s="65"/>
      <c r="L461" s="65"/>
      <c r="M461" s="65"/>
      <c r="N461" s="65"/>
      <c r="O461" s="65"/>
    </row>
    <row r="462" spans="11:15" ht="15.75" customHeight="1">
      <c r="K462" s="65"/>
      <c r="L462" s="65"/>
      <c r="M462" s="65"/>
      <c r="N462" s="65"/>
      <c r="O462" s="65"/>
    </row>
    <row r="463" spans="11:15" ht="15.75" customHeight="1">
      <c r="K463" s="65"/>
      <c r="L463" s="65"/>
      <c r="M463" s="65"/>
      <c r="N463" s="65"/>
      <c r="O463" s="65"/>
    </row>
    <row r="464" spans="11:15" ht="15.75" customHeight="1">
      <c r="K464" s="65"/>
      <c r="L464" s="65"/>
      <c r="M464" s="65"/>
      <c r="N464" s="65"/>
      <c r="O464" s="65"/>
    </row>
    <row r="465" spans="11:15" ht="15.75" customHeight="1">
      <c r="K465" s="65"/>
      <c r="L465" s="65"/>
      <c r="M465" s="65"/>
      <c r="N465" s="65"/>
      <c r="O465" s="65"/>
    </row>
    <row r="466" spans="11:15" ht="15.75" customHeight="1">
      <c r="K466" s="65"/>
      <c r="L466" s="65"/>
      <c r="M466" s="65"/>
      <c r="N466" s="65"/>
      <c r="O466" s="65"/>
    </row>
    <row r="467" spans="11:15" ht="15.75" customHeight="1">
      <c r="K467" s="65"/>
      <c r="L467" s="65"/>
      <c r="M467" s="65"/>
      <c r="N467" s="65"/>
      <c r="O467" s="65"/>
    </row>
    <row r="468" spans="11:15" ht="15.75" customHeight="1">
      <c r="K468" s="65"/>
      <c r="L468" s="65"/>
      <c r="M468" s="65"/>
      <c r="N468" s="65"/>
      <c r="O468" s="65"/>
    </row>
    <row r="469" spans="11:15" ht="15.75" customHeight="1">
      <c r="K469" s="65"/>
      <c r="L469" s="65"/>
      <c r="M469" s="65"/>
      <c r="N469" s="65"/>
      <c r="O469" s="65"/>
    </row>
    <row r="470" spans="11:15" ht="15.75" customHeight="1">
      <c r="K470" s="65"/>
      <c r="L470" s="65"/>
      <c r="M470" s="65"/>
      <c r="N470" s="65"/>
      <c r="O470" s="65"/>
    </row>
    <row r="471" spans="11:15" ht="15.75" customHeight="1">
      <c r="K471" s="65"/>
      <c r="L471" s="65"/>
      <c r="M471" s="65"/>
      <c r="N471" s="65"/>
      <c r="O471" s="65"/>
    </row>
    <row r="472" spans="11:15" ht="15.75" customHeight="1">
      <c r="K472" s="65"/>
      <c r="L472" s="65"/>
      <c r="M472" s="65"/>
      <c r="N472" s="65"/>
      <c r="O472" s="65"/>
    </row>
    <row r="473" spans="11:15" ht="15.75" customHeight="1">
      <c r="K473" s="65"/>
      <c r="L473" s="65"/>
      <c r="M473" s="65"/>
      <c r="N473" s="65"/>
      <c r="O473" s="65"/>
    </row>
    <row r="474" spans="11:15" ht="15.75" customHeight="1">
      <c r="K474" s="65"/>
      <c r="L474" s="65"/>
      <c r="M474" s="65"/>
      <c r="N474" s="65"/>
      <c r="O474" s="65"/>
    </row>
    <row r="475" spans="11:15" ht="15.75" customHeight="1">
      <c r="K475" s="65"/>
      <c r="L475" s="65"/>
      <c r="M475" s="65"/>
      <c r="N475" s="65"/>
      <c r="O475" s="65"/>
    </row>
    <row r="476" spans="11:15" ht="15.75" customHeight="1">
      <c r="K476" s="65"/>
      <c r="L476" s="65"/>
      <c r="M476" s="65"/>
      <c r="N476" s="65"/>
      <c r="O476" s="65"/>
    </row>
    <row r="477" spans="11:15" ht="15.75" customHeight="1">
      <c r="K477" s="65"/>
      <c r="L477" s="65"/>
      <c r="M477" s="65"/>
      <c r="N477" s="65"/>
      <c r="O477" s="65"/>
    </row>
    <row r="478" spans="11:15" ht="15.75" customHeight="1">
      <c r="K478" s="65"/>
      <c r="L478" s="65"/>
      <c r="M478" s="65"/>
      <c r="N478" s="65"/>
      <c r="O478" s="65"/>
    </row>
    <row r="479" spans="11:15" ht="15.75" customHeight="1">
      <c r="K479" s="65"/>
      <c r="L479" s="65"/>
      <c r="M479" s="65"/>
      <c r="N479" s="65"/>
      <c r="O479" s="65"/>
    </row>
    <row r="480" spans="11:15" ht="15.75" customHeight="1">
      <c r="K480" s="65"/>
      <c r="L480" s="65"/>
      <c r="M480" s="65"/>
      <c r="N480" s="65"/>
      <c r="O480" s="65"/>
    </row>
    <row r="481" spans="11:15" ht="15.75" customHeight="1">
      <c r="K481" s="65"/>
      <c r="L481" s="65"/>
      <c r="M481" s="65"/>
      <c r="N481" s="65"/>
      <c r="O481" s="65"/>
    </row>
    <row r="482" spans="11:15" ht="15.75" customHeight="1">
      <c r="K482" s="65"/>
      <c r="L482" s="65"/>
      <c r="M482" s="65"/>
      <c r="N482" s="65"/>
      <c r="O482" s="65"/>
    </row>
    <row r="483" spans="11:15" ht="15.75" customHeight="1">
      <c r="K483" s="65"/>
      <c r="L483" s="65"/>
      <c r="M483" s="65"/>
      <c r="N483" s="65"/>
      <c r="O483" s="65"/>
    </row>
    <row r="484" spans="11:15" ht="15.75" customHeight="1">
      <c r="K484" s="65"/>
      <c r="L484" s="65"/>
      <c r="M484" s="65"/>
      <c r="N484" s="65"/>
      <c r="O484" s="65"/>
    </row>
    <row r="485" spans="11:15" ht="15.75" customHeight="1">
      <c r="K485" s="65"/>
      <c r="L485" s="65"/>
      <c r="M485" s="65"/>
      <c r="N485" s="65"/>
      <c r="O485" s="65"/>
    </row>
    <row r="486" spans="11:15" ht="15.75" customHeight="1">
      <c r="K486" s="65"/>
      <c r="L486" s="65"/>
      <c r="M486" s="65"/>
      <c r="N486" s="65"/>
      <c r="O486" s="65"/>
    </row>
    <row r="487" spans="11:15" ht="15.75" customHeight="1">
      <c r="K487" s="65"/>
      <c r="L487" s="65"/>
      <c r="M487" s="65"/>
      <c r="N487" s="65"/>
      <c r="O487" s="65"/>
    </row>
    <row r="488" spans="11:15" ht="15.75" customHeight="1">
      <c r="K488" s="65"/>
      <c r="L488" s="65"/>
      <c r="M488" s="65"/>
      <c r="N488" s="65"/>
      <c r="O488" s="65"/>
    </row>
    <row r="489" spans="11:15" ht="15.75" customHeight="1">
      <c r="K489" s="65"/>
      <c r="L489" s="65"/>
      <c r="M489" s="65"/>
      <c r="N489" s="65"/>
      <c r="O489" s="65"/>
    </row>
    <row r="490" spans="11:15" ht="15.75" customHeight="1">
      <c r="K490" s="65"/>
      <c r="L490" s="65"/>
      <c r="M490" s="65"/>
      <c r="N490" s="65"/>
      <c r="O490" s="65"/>
    </row>
    <row r="491" spans="11:15" ht="15.75" customHeight="1">
      <c r="K491" s="65"/>
      <c r="L491" s="65"/>
      <c r="M491" s="65"/>
      <c r="N491" s="65"/>
      <c r="O491" s="65"/>
    </row>
    <row r="492" spans="11:15" ht="15.75" customHeight="1">
      <c r="K492" s="65"/>
      <c r="L492" s="65"/>
      <c r="M492" s="65"/>
      <c r="N492" s="65"/>
      <c r="O492" s="65"/>
    </row>
    <row r="493" spans="11:15" ht="15.75" customHeight="1">
      <c r="K493" s="65"/>
      <c r="L493" s="65"/>
      <c r="M493" s="65"/>
      <c r="N493" s="65"/>
      <c r="O493" s="65"/>
    </row>
    <row r="494" spans="11:15" ht="15.75" customHeight="1">
      <c r="K494" s="65"/>
      <c r="L494" s="65"/>
      <c r="M494" s="65"/>
      <c r="N494" s="65"/>
      <c r="O494" s="65"/>
    </row>
    <row r="495" spans="11:15" ht="15.75" customHeight="1">
      <c r="K495" s="65"/>
      <c r="L495" s="65"/>
      <c r="M495" s="65"/>
      <c r="N495" s="65"/>
      <c r="O495" s="65"/>
    </row>
    <row r="496" spans="11:15" ht="15.75" customHeight="1">
      <c r="K496" s="65"/>
      <c r="L496" s="65"/>
      <c r="M496" s="65"/>
      <c r="N496" s="65"/>
      <c r="O496" s="65"/>
    </row>
    <row r="497" spans="11:15" ht="15.75" customHeight="1">
      <c r="K497" s="65"/>
      <c r="L497" s="65"/>
      <c r="M497" s="65"/>
      <c r="N497" s="65"/>
      <c r="O497" s="65"/>
    </row>
    <row r="498" spans="11:15" ht="15.75" customHeight="1">
      <c r="K498" s="65"/>
      <c r="L498" s="65"/>
      <c r="M498" s="65"/>
      <c r="N498" s="65"/>
      <c r="O498" s="65"/>
    </row>
    <row r="499" spans="11:15" ht="15.75" customHeight="1">
      <c r="K499" s="65"/>
      <c r="L499" s="65"/>
      <c r="M499" s="65"/>
      <c r="N499" s="65"/>
      <c r="O499" s="65"/>
    </row>
    <row r="500" spans="11:15" ht="15.75" customHeight="1">
      <c r="K500" s="65"/>
      <c r="L500" s="65"/>
      <c r="M500" s="65"/>
      <c r="N500" s="65"/>
      <c r="O500" s="65"/>
    </row>
    <row r="501" spans="11:15" ht="15.75" customHeight="1">
      <c r="K501" s="65"/>
      <c r="L501" s="65"/>
      <c r="M501" s="65"/>
      <c r="N501" s="65"/>
      <c r="O501" s="65"/>
    </row>
    <row r="502" spans="11:15" ht="15.75" customHeight="1">
      <c r="K502" s="65"/>
      <c r="L502" s="65"/>
      <c r="M502" s="65"/>
      <c r="N502" s="65"/>
      <c r="O502" s="65"/>
    </row>
    <row r="503" spans="11:15" ht="15.75" customHeight="1">
      <c r="K503" s="65"/>
      <c r="L503" s="65"/>
      <c r="M503" s="65"/>
      <c r="N503" s="65"/>
      <c r="O503" s="65"/>
    </row>
    <row r="504" spans="11:15" ht="15.75" customHeight="1">
      <c r="K504" s="65"/>
      <c r="L504" s="65"/>
      <c r="M504" s="65"/>
      <c r="N504" s="65"/>
      <c r="O504" s="65"/>
    </row>
    <row r="505" spans="11:15" ht="15.75" customHeight="1">
      <c r="K505" s="65"/>
      <c r="L505" s="65"/>
      <c r="M505" s="65"/>
      <c r="N505" s="65"/>
      <c r="O505" s="65"/>
    </row>
    <row r="506" spans="11:15" ht="15.75" customHeight="1">
      <c r="K506" s="65"/>
      <c r="L506" s="65"/>
      <c r="M506" s="65"/>
      <c r="N506" s="65"/>
      <c r="O506" s="65"/>
    </row>
    <row r="507" spans="11:15" ht="15.75" customHeight="1">
      <c r="K507" s="65"/>
      <c r="L507" s="65"/>
      <c r="M507" s="65"/>
      <c r="N507" s="65"/>
      <c r="O507" s="65"/>
    </row>
    <row r="508" spans="11:15" ht="15.75" customHeight="1">
      <c r="K508" s="65"/>
      <c r="L508" s="65"/>
      <c r="M508" s="65"/>
      <c r="N508" s="65"/>
      <c r="O508" s="65"/>
    </row>
    <row r="509" spans="11:15" ht="15.75" customHeight="1">
      <c r="K509" s="65"/>
      <c r="L509" s="65"/>
      <c r="M509" s="65"/>
      <c r="N509" s="65"/>
      <c r="O509" s="65"/>
    </row>
    <row r="510" spans="11:15" ht="15.75" customHeight="1">
      <c r="K510" s="65"/>
      <c r="L510" s="65"/>
      <c r="M510" s="65"/>
      <c r="N510" s="65"/>
      <c r="O510" s="65"/>
    </row>
    <row r="511" spans="11:15" ht="15.75" customHeight="1">
      <c r="K511" s="65"/>
      <c r="L511" s="65"/>
      <c r="M511" s="65"/>
      <c r="N511" s="65"/>
      <c r="O511" s="65"/>
    </row>
    <row r="512" spans="11:15" ht="15.75" customHeight="1">
      <c r="K512" s="65"/>
      <c r="L512" s="65"/>
      <c r="M512" s="65"/>
      <c r="N512" s="65"/>
      <c r="O512" s="65"/>
    </row>
    <row r="513" spans="11:15" ht="15.75" customHeight="1">
      <c r="K513" s="65"/>
      <c r="L513" s="65"/>
      <c r="M513" s="65"/>
      <c r="N513" s="65"/>
      <c r="O513" s="65"/>
    </row>
    <row r="514" spans="11:15" ht="15.75" customHeight="1">
      <c r="K514" s="65"/>
      <c r="L514" s="65"/>
      <c r="M514" s="65"/>
      <c r="N514" s="65"/>
      <c r="O514" s="65"/>
    </row>
    <row r="515" spans="11:15" ht="15.75" customHeight="1">
      <c r="K515" s="65"/>
      <c r="L515" s="65"/>
      <c r="M515" s="65"/>
      <c r="N515" s="65"/>
      <c r="O515" s="65"/>
    </row>
    <row r="516" spans="11:15" ht="15.75" customHeight="1">
      <c r="K516" s="65"/>
      <c r="L516" s="65"/>
      <c r="M516" s="65"/>
      <c r="N516" s="65"/>
      <c r="O516" s="65"/>
    </row>
    <row r="517" spans="11:15" ht="15.75" customHeight="1">
      <c r="K517" s="65"/>
      <c r="L517" s="65"/>
      <c r="M517" s="65"/>
      <c r="N517" s="65"/>
      <c r="O517" s="65"/>
    </row>
    <row r="518" spans="11:15" ht="15.75" customHeight="1">
      <c r="K518" s="65"/>
      <c r="L518" s="65"/>
      <c r="M518" s="65"/>
      <c r="N518" s="65"/>
      <c r="O518" s="65"/>
    </row>
    <row r="519" spans="11:15" ht="15.75" customHeight="1">
      <c r="K519" s="65"/>
      <c r="L519" s="65"/>
      <c r="M519" s="65"/>
      <c r="N519" s="65"/>
      <c r="O519" s="65"/>
    </row>
    <row r="520" spans="11:15" ht="15.75" customHeight="1">
      <c r="K520" s="65"/>
      <c r="L520" s="65"/>
      <c r="M520" s="65"/>
      <c r="N520" s="65"/>
      <c r="O520" s="65"/>
    </row>
    <row r="521" spans="11:15" ht="15.75" customHeight="1">
      <c r="K521" s="65"/>
      <c r="L521" s="65"/>
      <c r="M521" s="65"/>
      <c r="N521" s="65"/>
      <c r="O521" s="65"/>
    </row>
    <row r="522" spans="11:15" ht="15.75" customHeight="1">
      <c r="K522" s="65"/>
      <c r="L522" s="65"/>
      <c r="M522" s="65"/>
      <c r="N522" s="65"/>
      <c r="O522" s="65"/>
    </row>
    <row r="523" spans="11:15" ht="15.75" customHeight="1">
      <c r="K523" s="65"/>
      <c r="L523" s="65"/>
      <c r="M523" s="65"/>
      <c r="N523" s="65"/>
      <c r="O523" s="65"/>
    </row>
    <row r="524" spans="11:15" ht="15.75" customHeight="1">
      <c r="K524" s="65"/>
      <c r="L524" s="65"/>
      <c r="M524" s="65"/>
      <c r="N524" s="65"/>
      <c r="O524" s="65"/>
    </row>
    <row r="525" spans="11:15" ht="15.75" customHeight="1">
      <c r="K525" s="65"/>
      <c r="L525" s="65"/>
      <c r="M525" s="65"/>
      <c r="N525" s="65"/>
      <c r="O525" s="65"/>
    </row>
    <row r="526" spans="11:15" ht="15.75" customHeight="1">
      <c r="K526" s="65"/>
      <c r="L526" s="65"/>
      <c r="M526" s="65"/>
      <c r="N526" s="65"/>
      <c r="O526" s="65"/>
    </row>
    <row r="527" spans="11:15" ht="15.75" customHeight="1">
      <c r="K527" s="65"/>
      <c r="L527" s="65"/>
      <c r="M527" s="65"/>
      <c r="N527" s="65"/>
      <c r="O527" s="65"/>
    </row>
    <row r="528" spans="11:15" ht="15.75" customHeight="1">
      <c r="K528" s="65"/>
      <c r="L528" s="65"/>
      <c r="M528" s="65"/>
      <c r="N528" s="65"/>
      <c r="O528" s="65"/>
    </row>
    <row r="529" spans="11:15" ht="15.75" customHeight="1">
      <c r="K529" s="65"/>
      <c r="L529" s="65"/>
      <c r="M529" s="65"/>
      <c r="N529" s="65"/>
      <c r="O529" s="65"/>
    </row>
    <row r="530" spans="11:15" ht="15.75" customHeight="1">
      <c r="K530" s="65"/>
      <c r="L530" s="65"/>
      <c r="M530" s="65"/>
      <c r="N530" s="65"/>
      <c r="O530" s="65"/>
    </row>
    <row r="531" spans="11:15" ht="15.75" customHeight="1">
      <c r="K531" s="65"/>
      <c r="L531" s="65"/>
      <c r="M531" s="65"/>
      <c r="N531" s="65"/>
      <c r="O531" s="65"/>
    </row>
    <row r="532" spans="11:15" ht="15.75" customHeight="1">
      <c r="K532" s="65"/>
      <c r="L532" s="65"/>
      <c r="M532" s="65"/>
      <c r="N532" s="65"/>
      <c r="O532" s="65"/>
    </row>
    <row r="533" spans="11:15" ht="15.75" customHeight="1">
      <c r="K533" s="65"/>
      <c r="L533" s="65"/>
      <c r="M533" s="65"/>
      <c r="N533" s="65"/>
      <c r="O533" s="65"/>
    </row>
    <row r="534" spans="11:15" ht="15.75" customHeight="1">
      <c r="K534" s="65"/>
      <c r="L534" s="65"/>
      <c r="M534" s="65"/>
      <c r="N534" s="65"/>
      <c r="O534" s="65"/>
    </row>
    <row r="535" spans="11:15" ht="15.75" customHeight="1">
      <c r="K535" s="65"/>
      <c r="L535" s="65"/>
      <c r="M535" s="65"/>
      <c r="N535" s="65"/>
      <c r="O535" s="65"/>
    </row>
    <row r="536" spans="11:15" ht="15.75" customHeight="1">
      <c r="K536" s="65"/>
      <c r="L536" s="65"/>
      <c r="M536" s="65"/>
      <c r="N536" s="65"/>
      <c r="O536" s="65"/>
    </row>
    <row r="537" spans="11:15" ht="15.75" customHeight="1">
      <c r="K537" s="65"/>
      <c r="L537" s="65"/>
      <c r="M537" s="65"/>
      <c r="N537" s="65"/>
      <c r="O537" s="65"/>
    </row>
    <row r="538" spans="11:15" ht="15.75" customHeight="1">
      <c r="K538" s="65"/>
      <c r="L538" s="65"/>
      <c r="M538" s="65"/>
      <c r="N538" s="65"/>
      <c r="O538" s="65"/>
    </row>
    <row r="539" spans="11:15" ht="15.75" customHeight="1">
      <c r="K539" s="65"/>
      <c r="L539" s="65"/>
      <c r="M539" s="65"/>
      <c r="N539" s="65"/>
      <c r="O539" s="65"/>
    </row>
    <row r="540" spans="11:15" ht="15.75" customHeight="1">
      <c r="K540" s="65"/>
      <c r="L540" s="65"/>
      <c r="M540" s="65"/>
      <c r="N540" s="65"/>
      <c r="O540" s="65"/>
    </row>
    <row r="541" spans="11:15" ht="15.75" customHeight="1">
      <c r="K541" s="65"/>
      <c r="L541" s="65"/>
      <c r="M541" s="65"/>
      <c r="N541" s="65"/>
      <c r="O541" s="65"/>
    </row>
    <row r="542" spans="11:15" ht="15.75" customHeight="1">
      <c r="K542" s="65"/>
      <c r="L542" s="65"/>
      <c r="M542" s="65"/>
      <c r="N542" s="65"/>
      <c r="O542" s="65"/>
    </row>
    <row r="543" spans="11:15" ht="15.75" customHeight="1">
      <c r="K543" s="65"/>
      <c r="L543" s="65"/>
      <c r="M543" s="65"/>
      <c r="N543" s="65"/>
      <c r="O543" s="65"/>
    </row>
    <row r="544" spans="11:15" ht="15.75" customHeight="1">
      <c r="K544" s="65"/>
      <c r="L544" s="65"/>
      <c r="M544" s="65"/>
      <c r="N544" s="65"/>
      <c r="O544" s="65"/>
    </row>
    <row r="545" spans="11:15" ht="15.75" customHeight="1">
      <c r="K545" s="65"/>
      <c r="L545" s="65"/>
      <c r="M545" s="65"/>
      <c r="N545" s="65"/>
      <c r="O545" s="65"/>
    </row>
    <row r="546" spans="11:15" ht="15.75" customHeight="1">
      <c r="K546" s="65"/>
      <c r="L546" s="65"/>
      <c r="M546" s="65"/>
      <c r="N546" s="65"/>
      <c r="O546" s="65"/>
    </row>
    <row r="547" spans="11:15" ht="15.75" customHeight="1">
      <c r="K547" s="65"/>
      <c r="L547" s="65"/>
      <c r="M547" s="65"/>
      <c r="N547" s="65"/>
      <c r="O547" s="65"/>
    </row>
    <row r="548" spans="11:15" ht="15.75" customHeight="1">
      <c r="K548" s="65"/>
      <c r="L548" s="65"/>
      <c r="M548" s="65"/>
      <c r="N548" s="65"/>
      <c r="O548" s="65"/>
    </row>
    <row r="549" spans="11:15" ht="15.75" customHeight="1">
      <c r="K549" s="65"/>
      <c r="L549" s="65"/>
      <c r="M549" s="65"/>
      <c r="N549" s="65"/>
      <c r="O549" s="65"/>
    </row>
    <row r="550" spans="11:15" ht="15.75" customHeight="1">
      <c r="K550" s="65"/>
      <c r="L550" s="65"/>
      <c r="M550" s="65"/>
      <c r="N550" s="65"/>
      <c r="O550" s="65"/>
    </row>
    <row r="551" spans="11:15" ht="15.75" customHeight="1">
      <c r="K551" s="65"/>
      <c r="L551" s="65"/>
      <c r="M551" s="65"/>
      <c r="N551" s="65"/>
      <c r="O551" s="65"/>
    </row>
    <row r="552" spans="11:15" ht="15.75" customHeight="1">
      <c r="K552" s="65"/>
      <c r="L552" s="65"/>
      <c r="M552" s="65"/>
      <c r="N552" s="65"/>
      <c r="O552" s="65"/>
    </row>
    <row r="553" spans="11:15" ht="15.75" customHeight="1">
      <c r="K553" s="65"/>
      <c r="L553" s="65"/>
      <c r="M553" s="65"/>
      <c r="N553" s="65"/>
      <c r="O553" s="65"/>
    </row>
    <row r="554" spans="11:15" ht="15.75" customHeight="1">
      <c r="K554" s="65"/>
      <c r="L554" s="65"/>
      <c r="M554" s="65"/>
      <c r="N554" s="65"/>
      <c r="O554" s="65"/>
    </row>
    <row r="555" spans="11:15" ht="15.75" customHeight="1">
      <c r="K555" s="65"/>
      <c r="L555" s="65"/>
      <c r="M555" s="65"/>
      <c r="N555" s="65"/>
      <c r="O555" s="65"/>
    </row>
    <row r="556" spans="11:15" ht="15.75" customHeight="1">
      <c r="K556" s="65"/>
      <c r="L556" s="65"/>
      <c r="M556" s="65"/>
      <c r="N556" s="65"/>
      <c r="O556" s="65"/>
    </row>
    <row r="557" spans="11:15" ht="15.75" customHeight="1">
      <c r="K557" s="65"/>
      <c r="L557" s="65"/>
      <c r="M557" s="65"/>
      <c r="N557" s="65"/>
      <c r="O557" s="65"/>
    </row>
    <row r="558" spans="11:15" ht="15.75" customHeight="1">
      <c r="K558" s="65"/>
      <c r="L558" s="65"/>
      <c r="M558" s="65"/>
      <c r="N558" s="65"/>
      <c r="O558" s="65"/>
    </row>
    <row r="559" spans="11:15" ht="15.75" customHeight="1">
      <c r="K559" s="65"/>
      <c r="L559" s="65"/>
      <c r="M559" s="65"/>
      <c r="N559" s="65"/>
      <c r="O559" s="65"/>
    </row>
    <row r="560" spans="11:15" ht="15.75" customHeight="1">
      <c r="K560" s="65"/>
      <c r="L560" s="65"/>
      <c r="M560" s="65"/>
      <c r="N560" s="65"/>
      <c r="O560" s="65"/>
    </row>
    <row r="561" spans="11:15" ht="15.75" customHeight="1">
      <c r="K561" s="65"/>
      <c r="L561" s="65"/>
      <c r="M561" s="65"/>
      <c r="N561" s="65"/>
      <c r="O561" s="65"/>
    </row>
    <row r="562" spans="11:15" ht="15.75" customHeight="1">
      <c r="K562" s="65"/>
      <c r="L562" s="65"/>
      <c r="M562" s="65"/>
      <c r="N562" s="65"/>
      <c r="O562" s="65"/>
    </row>
    <row r="563" spans="11:15" ht="15.75" customHeight="1">
      <c r="K563" s="65"/>
      <c r="L563" s="65"/>
      <c r="M563" s="65"/>
      <c r="N563" s="65"/>
      <c r="O563" s="65"/>
    </row>
    <row r="564" spans="11:15" ht="15.75" customHeight="1">
      <c r="K564" s="65"/>
      <c r="L564" s="65"/>
      <c r="M564" s="65"/>
      <c r="N564" s="65"/>
      <c r="O564" s="65"/>
    </row>
    <row r="565" spans="11:15" ht="15.75" customHeight="1">
      <c r="K565" s="65"/>
      <c r="L565" s="65"/>
      <c r="M565" s="65"/>
      <c r="N565" s="65"/>
      <c r="O565" s="65"/>
    </row>
    <row r="566" spans="11:15" ht="15.75" customHeight="1">
      <c r="K566" s="65"/>
      <c r="L566" s="65"/>
      <c r="M566" s="65"/>
      <c r="N566" s="65"/>
      <c r="O566" s="65"/>
    </row>
    <row r="567" spans="11:15" ht="15.75" customHeight="1">
      <c r="K567" s="65"/>
      <c r="L567" s="65"/>
      <c r="M567" s="65"/>
      <c r="N567" s="65"/>
      <c r="O567" s="65"/>
    </row>
    <row r="568" spans="11:15" ht="15.75" customHeight="1">
      <c r="K568" s="65"/>
      <c r="L568" s="65"/>
      <c r="M568" s="65"/>
      <c r="N568" s="65"/>
      <c r="O568" s="65"/>
    </row>
    <row r="569" spans="11:15" ht="15.75" customHeight="1">
      <c r="K569" s="65"/>
      <c r="L569" s="65"/>
      <c r="M569" s="65"/>
      <c r="N569" s="65"/>
      <c r="O569" s="65"/>
    </row>
    <row r="570" spans="11:15" ht="15.75" customHeight="1">
      <c r="K570" s="65"/>
      <c r="L570" s="65"/>
      <c r="M570" s="65"/>
      <c r="N570" s="65"/>
      <c r="O570" s="65"/>
    </row>
    <row r="571" spans="11:15" ht="15.75" customHeight="1">
      <c r="K571" s="65"/>
      <c r="L571" s="65"/>
      <c r="M571" s="65"/>
      <c r="N571" s="65"/>
      <c r="O571" s="65"/>
    </row>
    <row r="572" spans="11:15" ht="15.75" customHeight="1">
      <c r="K572" s="65"/>
      <c r="L572" s="65"/>
      <c r="M572" s="65"/>
      <c r="N572" s="65"/>
      <c r="O572" s="65"/>
    </row>
    <row r="573" spans="11:15" ht="15.75" customHeight="1">
      <c r="K573" s="65"/>
      <c r="L573" s="65"/>
      <c r="M573" s="65"/>
      <c r="N573" s="65"/>
      <c r="O573" s="65"/>
    </row>
    <row r="574" spans="11:15" ht="15.75" customHeight="1">
      <c r="K574" s="65"/>
      <c r="L574" s="65"/>
      <c r="M574" s="65"/>
      <c r="N574" s="65"/>
      <c r="O574" s="65"/>
    </row>
    <row r="575" spans="11:15" ht="15.75" customHeight="1">
      <c r="K575" s="65"/>
      <c r="L575" s="65"/>
      <c r="M575" s="65"/>
      <c r="N575" s="65"/>
      <c r="O575" s="65"/>
    </row>
    <row r="576" spans="11:15" ht="15.75" customHeight="1">
      <c r="K576" s="65"/>
      <c r="L576" s="65"/>
      <c r="M576" s="65"/>
      <c r="N576" s="65"/>
      <c r="O576" s="65"/>
    </row>
    <row r="577" spans="11:15" ht="15.75" customHeight="1">
      <c r="K577" s="65"/>
      <c r="L577" s="65"/>
      <c r="M577" s="65"/>
      <c r="N577" s="65"/>
      <c r="O577" s="65"/>
    </row>
    <row r="578" spans="11:15" ht="15.75" customHeight="1">
      <c r="K578" s="65"/>
      <c r="L578" s="65"/>
      <c r="M578" s="65"/>
      <c r="N578" s="65"/>
      <c r="O578" s="65"/>
    </row>
    <row r="579" spans="11:15" ht="15.75" customHeight="1">
      <c r="K579" s="65"/>
      <c r="L579" s="65"/>
      <c r="M579" s="65"/>
      <c r="N579" s="65"/>
      <c r="O579" s="65"/>
    </row>
    <row r="580" spans="11:15" ht="15.75" customHeight="1">
      <c r="K580" s="65"/>
      <c r="L580" s="65"/>
      <c r="M580" s="65"/>
      <c r="N580" s="65"/>
      <c r="O580" s="65"/>
    </row>
    <row r="581" spans="11:15" ht="15.75" customHeight="1">
      <c r="K581" s="65"/>
      <c r="L581" s="65"/>
      <c r="M581" s="65"/>
      <c r="N581" s="65"/>
      <c r="O581" s="65"/>
    </row>
    <row r="582" spans="11:15" ht="15.75" customHeight="1">
      <c r="K582" s="65"/>
      <c r="L582" s="65"/>
      <c r="M582" s="65"/>
      <c r="N582" s="65"/>
      <c r="O582" s="65"/>
    </row>
    <row r="583" spans="11:15" ht="15.75" customHeight="1">
      <c r="K583" s="65"/>
      <c r="L583" s="65"/>
      <c r="M583" s="65"/>
      <c r="N583" s="65"/>
      <c r="O583" s="65"/>
    </row>
    <row r="584" spans="11:15" ht="15.75" customHeight="1">
      <c r="K584" s="65"/>
      <c r="L584" s="65"/>
      <c r="M584" s="65"/>
      <c r="N584" s="65"/>
      <c r="O584" s="65"/>
    </row>
    <row r="585" spans="11:15" ht="15.75" customHeight="1">
      <c r="K585" s="65"/>
      <c r="L585" s="65"/>
      <c r="M585" s="65"/>
      <c r="N585" s="65"/>
      <c r="O585" s="65"/>
    </row>
    <row r="586" spans="11:15" ht="15.75" customHeight="1">
      <c r="K586" s="65"/>
      <c r="L586" s="65"/>
      <c r="M586" s="65"/>
      <c r="N586" s="65"/>
      <c r="O586" s="65"/>
    </row>
    <row r="587" spans="11:15" ht="15.75" customHeight="1">
      <c r="K587" s="65"/>
      <c r="L587" s="65"/>
      <c r="M587" s="65"/>
      <c r="N587" s="65"/>
      <c r="O587" s="65"/>
    </row>
    <row r="588" spans="11:15" ht="15.75" customHeight="1">
      <c r="K588" s="65"/>
      <c r="L588" s="65"/>
      <c r="M588" s="65"/>
      <c r="N588" s="65"/>
      <c r="O588" s="65"/>
    </row>
    <row r="589" spans="11:15" ht="15.75" customHeight="1">
      <c r="K589" s="65"/>
      <c r="L589" s="65"/>
      <c r="M589" s="65"/>
      <c r="N589" s="65"/>
      <c r="O589" s="65"/>
    </row>
    <row r="590" spans="11:15" ht="15.75" customHeight="1">
      <c r="K590" s="65"/>
      <c r="L590" s="65"/>
      <c r="M590" s="65"/>
      <c r="N590" s="65"/>
      <c r="O590" s="65"/>
    </row>
    <row r="591" spans="11:15" ht="15.75" customHeight="1">
      <c r="K591" s="65"/>
      <c r="L591" s="65"/>
      <c r="M591" s="65"/>
      <c r="N591" s="65"/>
      <c r="O591" s="65"/>
    </row>
    <row r="592" spans="11:15" ht="15.75" customHeight="1">
      <c r="K592" s="65"/>
      <c r="L592" s="65"/>
      <c r="M592" s="65"/>
      <c r="N592" s="65"/>
      <c r="O592" s="65"/>
    </row>
    <row r="593" spans="11:15" ht="15.75" customHeight="1">
      <c r="K593" s="65"/>
      <c r="L593" s="65"/>
      <c r="M593" s="65"/>
      <c r="N593" s="65"/>
      <c r="O593" s="65"/>
    </row>
    <row r="594" spans="11:15" ht="15.75" customHeight="1">
      <c r="K594" s="65"/>
      <c r="L594" s="65"/>
      <c r="M594" s="65"/>
      <c r="N594" s="65"/>
      <c r="O594" s="65"/>
    </row>
    <row r="595" spans="11:15" ht="15.75" customHeight="1">
      <c r="K595" s="65"/>
      <c r="L595" s="65"/>
      <c r="M595" s="65"/>
      <c r="N595" s="65"/>
      <c r="O595" s="65"/>
    </row>
    <row r="596" spans="11:15" ht="15.75" customHeight="1">
      <c r="K596" s="65"/>
      <c r="L596" s="65"/>
      <c r="M596" s="65"/>
      <c r="N596" s="65"/>
      <c r="O596" s="65"/>
    </row>
    <row r="597" spans="11:15" ht="15.75" customHeight="1">
      <c r="K597" s="65"/>
      <c r="L597" s="65"/>
      <c r="M597" s="65"/>
      <c r="N597" s="65"/>
      <c r="O597" s="65"/>
    </row>
    <row r="598" spans="11:15" ht="15.75" customHeight="1">
      <c r="K598" s="65"/>
      <c r="L598" s="65"/>
      <c r="M598" s="65"/>
      <c r="N598" s="65"/>
      <c r="O598" s="65"/>
    </row>
    <row r="599" spans="11:15" ht="15.75" customHeight="1">
      <c r="K599" s="65"/>
      <c r="L599" s="65"/>
      <c r="M599" s="65"/>
      <c r="N599" s="65"/>
      <c r="O599" s="65"/>
    </row>
    <row r="600" spans="11:15" ht="15.75" customHeight="1">
      <c r="K600" s="65"/>
      <c r="L600" s="65"/>
      <c r="M600" s="65"/>
      <c r="N600" s="65"/>
      <c r="O600" s="65"/>
    </row>
    <row r="601" spans="11:15" ht="15.75" customHeight="1">
      <c r="K601" s="65"/>
      <c r="L601" s="65"/>
      <c r="M601" s="65"/>
      <c r="N601" s="65"/>
      <c r="O601" s="65"/>
    </row>
    <row r="602" spans="11:15" ht="15.75" customHeight="1">
      <c r="K602" s="65"/>
      <c r="L602" s="65"/>
      <c r="M602" s="65"/>
      <c r="N602" s="65"/>
      <c r="O602" s="65"/>
    </row>
    <row r="603" spans="11:15" ht="15.75" customHeight="1">
      <c r="K603" s="65"/>
      <c r="L603" s="65"/>
      <c r="M603" s="65"/>
      <c r="N603" s="65"/>
      <c r="O603" s="65"/>
    </row>
    <row r="604" spans="11:15" ht="15.75" customHeight="1">
      <c r="K604" s="65"/>
      <c r="L604" s="65"/>
      <c r="M604" s="65"/>
      <c r="N604" s="65"/>
      <c r="O604" s="65"/>
    </row>
    <row r="605" spans="11:15" ht="15.75" customHeight="1">
      <c r="K605" s="65"/>
      <c r="L605" s="65"/>
      <c r="M605" s="65"/>
      <c r="N605" s="65"/>
      <c r="O605" s="65"/>
    </row>
    <row r="606" spans="11:15" ht="15.75" customHeight="1">
      <c r="K606" s="65"/>
      <c r="L606" s="65"/>
      <c r="M606" s="65"/>
      <c r="N606" s="65"/>
      <c r="O606" s="65"/>
    </row>
    <row r="607" spans="11:15" ht="15.75" customHeight="1">
      <c r="K607" s="65"/>
      <c r="L607" s="65"/>
      <c r="M607" s="65"/>
      <c r="N607" s="65"/>
      <c r="O607" s="65"/>
    </row>
    <row r="608" spans="11:15" ht="15.75" customHeight="1">
      <c r="K608" s="65"/>
      <c r="L608" s="65"/>
      <c r="M608" s="65"/>
      <c r="N608" s="65"/>
      <c r="O608" s="65"/>
    </row>
    <row r="609" spans="11:15" ht="15.75" customHeight="1">
      <c r="K609" s="65"/>
      <c r="L609" s="65"/>
      <c r="M609" s="65"/>
      <c r="N609" s="65"/>
      <c r="O609" s="65"/>
    </row>
    <row r="610" spans="11:15" ht="15.75" customHeight="1">
      <c r="K610" s="65"/>
      <c r="L610" s="65"/>
      <c r="M610" s="65"/>
      <c r="N610" s="65"/>
      <c r="O610" s="65"/>
    </row>
    <row r="611" spans="11:15" ht="15.75" customHeight="1">
      <c r="K611" s="65"/>
      <c r="L611" s="65"/>
      <c r="M611" s="65"/>
      <c r="N611" s="65"/>
      <c r="O611" s="65"/>
    </row>
    <row r="612" spans="11:15" ht="15.75" customHeight="1">
      <c r="K612" s="65"/>
      <c r="L612" s="65"/>
      <c r="M612" s="65"/>
      <c r="N612" s="65"/>
      <c r="O612" s="65"/>
    </row>
    <row r="613" spans="11:15" ht="15.75" customHeight="1">
      <c r="K613" s="65"/>
      <c r="L613" s="65"/>
      <c r="M613" s="65"/>
      <c r="N613" s="65"/>
      <c r="O613" s="65"/>
    </row>
    <row r="614" spans="11:15" ht="15.75" customHeight="1">
      <c r="K614" s="65"/>
      <c r="L614" s="65"/>
      <c r="M614" s="65"/>
      <c r="N614" s="65"/>
      <c r="O614" s="65"/>
    </row>
    <row r="615" spans="11:15" ht="15.75" customHeight="1">
      <c r="K615" s="65"/>
      <c r="L615" s="65"/>
      <c r="M615" s="65"/>
      <c r="N615" s="65"/>
      <c r="O615" s="65"/>
    </row>
    <row r="616" spans="11:15" ht="15.75" customHeight="1">
      <c r="K616" s="65"/>
      <c r="L616" s="65"/>
      <c r="M616" s="65"/>
      <c r="N616" s="65"/>
      <c r="O616" s="65"/>
    </row>
    <row r="617" spans="11:15" ht="15.75" customHeight="1">
      <c r="K617" s="65"/>
      <c r="L617" s="65"/>
      <c r="M617" s="65"/>
      <c r="N617" s="65"/>
      <c r="O617" s="65"/>
    </row>
    <row r="618" spans="11:15" ht="15.75" customHeight="1">
      <c r="K618" s="65"/>
      <c r="L618" s="65"/>
      <c r="M618" s="65"/>
      <c r="N618" s="65"/>
      <c r="O618" s="65"/>
    </row>
    <row r="619" spans="11:15" ht="15.75" customHeight="1">
      <c r="K619" s="65"/>
      <c r="L619" s="65"/>
      <c r="M619" s="65"/>
      <c r="N619" s="65"/>
      <c r="O619" s="65"/>
    </row>
    <row r="620" spans="11:15" ht="15.75" customHeight="1">
      <c r="K620" s="65"/>
      <c r="L620" s="65"/>
      <c r="M620" s="65"/>
      <c r="N620" s="65"/>
      <c r="O620" s="65"/>
    </row>
    <row r="621" spans="11:15" ht="15.75" customHeight="1">
      <c r="K621" s="65"/>
      <c r="L621" s="65"/>
      <c r="M621" s="65"/>
      <c r="N621" s="65"/>
      <c r="O621" s="65"/>
    </row>
    <row r="622" spans="11:15" ht="15.75" customHeight="1">
      <c r="K622" s="65"/>
      <c r="L622" s="65"/>
      <c r="M622" s="65"/>
      <c r="N622" s="65"/>
      <c r="O622" s="65"/>
    </row>
    <row r="623" spans="11:15" ht="15.75" customHeight="1">
      <c r="K623" s="65"/>
      <c r="L623" s="65"/>
      <c r="M623" s="65"/>
      <c r="N623" s="65"/>
      <c r="O623" s="65"/>
    </row>
    <row r="624" spans="11:15" ht="15.75" customHeight="1">
      <c r="K624" s="65"/>
      <c r="L624" s="65"/>
      <c r="M624" s="65"/>
      <c r="N624" s="65"/>
      <c r="O624" s="65"/>
    </row>
    <row r="625" spans="11:15" ht="15.75" customHeight="1">
      <c r="K625" s="65"/>
      <c r="L625" s="65"/>
      <c r="M625" s="65"/>
      <c r="N625" s="65"/>
      <c r="O625" s="65"/>
    </row>
    <row r="626" spans="11:15" ht="15.75" customHeight="1">
      <c r="K626" s="65"/>
      <c r="L626" s="65"/>
      <c r="M626" s="65"/>
      <c r="N626" s="65"/>
      <c r="O626" s="65"/>
    </row>
    <row r="627" spans="11:15" ht="15.75" customHeight="1">
      <c r="K627" s="65"/>
      <c r="L627" s="65"/>
      <c r="M627" s="65"/>
      <c r="N627" s="65"/>
      <c r="O627" s="65"/>
    </row>
    <row r="628" spans="11:15" ht="15.75" customHeight="1">
      <c r="K628" s="65"/>
      <c r="L628" s="65"/>
      <c r="M628" s="65"/>
      <c r="N628" s="65"/>
      <c r="O628" s="65"/>
    </row>
    <row r="629" spans="11:15" ht="15.75" customHeight="1">
      <c r="K629" s="65"/>
      <c r="L629" s="65"/>
      <c r="M629" s="65"/>
      <c r="N629" s="65"/>
      <c r="O629" s="65"/>
    </row>
    <row r="630" spans="11:15" ht="15.75" customHeight="1">
      <c r="K630" s="65"/>
      <c r="L630" s="65"/>
      <c r="M630" s="65"/>
      <c r="N630" s="65"/>
      <c r="O630" s="65"/>
    </row>
    <row r="631" spans="11:15" ht="15.75" customHeight="1">
      <c r="K631" s="65"/>
      <c r="L631" s="65"/>
      <c r="M631" s="65"/>
      <c r="N631" s="65"/>
      <c r="O631" s="65"/>
    </row>
    <row r="632" spans="11:15" ht="15.75" customHeight="1">
      <c r="K632" s="65"/>
      <c r="L632" s="65"/>
      <c r="M632" s="65"/>
      <c r="N632" s="65"/>
      <c r="O632" s="65"/>
    </row>
    <row r="633" spans="11:15" ht="15.75" customHeight="1">
      <c r="K633" s="65"/>
      <c r="L633" s="65"/>
      <c r="M633" s="65"/>
      <c r="N633" s="65"/>
      <c r="O633" s="65"/>
    </row>
    <row r="634" spans="11:15" ht="15.75" customHeight="1">
      <c r="K634" s="65"/>
      <c r="L634" s="65"/>
      <c r="M634" s="65"/>
      <c r="N634" s="65"/>
      <c r="O634" s="65"/>
    </row>
    <row r="635" spans="11:15" ht="15.75" customHeight="1">
      <c r="K635" s="65"/>
      <c r="L635" s="65"/>
      <c r="M635" s="65"/>
      <c r="N635" s="65"/>
      <c r="O635" s="65"/>
    </row>
    <row r="636" spans="11:15" ht="15.75" customHeight="1">
      <c r="K636" s="65"/>
      <c r="L636" s="65"/>
      <c r="M636" s="65"/>
      <c r="N636" s="65"/>
      <c r="O636" s="65"/>
    </row>
    <row r="637" spans="11:15" ht="15.75" customHeight="1">
      <c r="K637" s="65"/>
      <c r="L637" s="65"/>
      <c r="M637" s="65"/>
      <c r="N637" s="65"/>
      <c r="O637" s="65"/>
    </row>
    <row r="638" spans="11:15" ht="15.75" customHeight="1">
      <c r="K638" s="65"/>
      <c r="L638" s="65"/>
      <c r="M638" s="65"/>
      <c r="N638" s="65"/>
      <c r="O638" s="65"/>
    </row>
    <row r="639" spans="11:15" ht="15.75" customHeight="1">
      <c r="K639" s="65"/>
      <c r="L639" s="65"/>
      <c r="M639" s="65"/>
      <c r="N639" s="65"/>
      <c r="O639" s="65"/>
    </row>
    <row r="640" spans="11:15" ht="15.75" customHeight="1">
      <c r="K640" s="65"/>
      <c r="L640" s="65"/>
      <c r="M640" s="65"/>
      <c r="N640" s="65"/>
      <c r="O640" s="65"/>
    </row>
    <row r="641" spans="11:15" ht="15.75" customHeight="1">
      <c r="K641" s="65"/>
      <c r="L641" s="65"/>
      <c r="M641" s="65"/>
      <c r="N641" s="65"/>
      <c r="O641" s="65"/>
    </row>
    <row r="642" spans="11:15" ht="15.75" customHeight="1">
      <c r="K642" s="65"/>
      <c r="L642" s="65"/>
      <c r="M642" s="65"/>
      <c r="N642" s="65"/>
      <c r="O642" s="65"/>
    </row>
    <row r="643" spans="11:15" ht="15.75" customHeight="1">
      <c r="K643" s="65"/>
      <c r="L643" s="65"/>
      <c r="M643" s="65"/>
      <c r="N643" s="65"/>
      <c r="O643" s="65"/>
    </row>
    <row r="644" spans="11:15" ht="15.75" customHeight="1">
      <c r="K644" s="65"/>
      <c r="L644" s="65"/>
      <c r="M644" s="65"/>
      <c r="N644" s="65"/>
      <c r="O644" s="65"/>
    </row>
    <row r="645" spans="11:15" ht="15.75" customHeight="1">
      <c r="K645" s="65"/>
      <c r="L645" s="65"/>
      <c r="M645" s="65"/>
      <c r="N645" s="65"/>
      <c r="O645" s="65"/>
    </row>
    <row r="646" spans="11:15" ht="15.75" customHeight="1">
      <c r="K646" s="65"/>
      <c r="L646" s="65"/>
      <c r="M646" s="65"/>
      <c r="N646" s="65"/>
      <c r="O646" s="65"/>
    </row>
    <row r="647" spans="11:15" ht="15.75" customHeight="1">
      <c r="K647" s="65"/>
      <c r="L647" s="65"/>
      <c r="M647" s="65"/>
      <c r="N647" s="65"/>
      <c r="O647" s="65"/>
    </row>
    <row r="648" spans="11:15" ht="15.75" customHeight="1">
      <c r="K648" s="65"/>
      <c r="L648" s="65"/>
      <c r="M648" s="65"/>
      <c r="N648" s="65"/>
      <c r="O648" s="65"/>
    </row>
    <row r="649" spans="11:15" ht="15.75" customHeight="1">
      <c r="K649" s="65"/>
      <c r="L649" s="65"/>
      <c r="M649" s="65"/>
      <c r="N649" s="65"/>
      <c r="O649" s="65"/>
    </row>
    <row r="650" spans="11:15" ht="15.75" customHeight="1">
      <c r="K650" s="65"/>
      <c r="L650" s="65"/>
      <c r="M650" s="65"/>
      <c r="N650" s="65"/>
      <c r="O650" s="65"/>
    </row>
    <row r="651" spans="11:15" ht="15.75" customHeight="1">
      <c r="K651" s="65"/>
      <c r="L651" s="65"/>
      <c r="M651" s="65"/>
      <c r="N651" s="65"/>
      <c r="O651" s="65"/>
    </row>
    <row r="652" spans="11:15" ht="15.75" customHeight="1">
      <c r="K652" s="65"/>
      <c r="L652" s="65"/>
      <c r="M652" s="65"/>
      <c r="N652" s="65"/>
      <c r="O652" s="65"/>
    </row>
    <row r="653" spans="11:15" ht="15.75" customHeight="1">
      <c r="K653" s="65"/>
      <c r="L653" s="65"/>
      <c r="M653" s="65"/>
      <c r="N653" s="65"/>
      <c r="O653" s="65"/>
    </row>
    <row r="654" spans="11:15" ht="15.75" customHeight="1">
      <c r="K654" s="65"/>
      <c r="L654" s="65"/>
      <c r="M654" s="65"/>
      <c r="N654" s="65"/>
      <c r="O654" s="65"/>
    </row>
    <row r="655" spans="11:15" ht="15.75" customHeight="1">
      <c r="K655" s="65"/>
      <c r="L655" s="65"/>
      <c r="M655" s="65"/>
      <c r="N655" s="65"/>
      <c r="O655" s="65"/>
    </row>
    <row r="656" spans="11:15" ht="15.75" customHeight="1">
      <c r="K656" s="65"/>
      <c r="L656" s="65"/>
      <c r="M656" s="65"/>
      <c r="N656" s="65"/>
      <c r="O656" s="65"/>
    </row>
    <row r="657" spans="11:15" ht="15.75" customHeight="1">
      <c r="K657" s="65"/>
      <c r="L657" s="65"/>
      <c r="M657" s="65"/>
      <c r="N657" s="65"/>
      <c r="O657" s="65"/>
    </row>
    <row r="658" spans="11:15" ht="15.75" customHeight="1">
      <c r="K658" s="65"/>
      <c r="L658" s="65"/>
      <c r="M658" s="65"/>
      <c r="N658" s="65"/>
      <c r="O658" s="65"/>
    </row>
    <row r="659" spans="11:15" ht="15.75" customHeight="1">
      <c r="K659" s="65"/>
      <c r="L659" s="65"/>
      <c r="M659" s="65"/>
      <c r="N659" s="65"/>
      <c r="O659" s="65"/>
    </row>
    <row r="660" spans="11:15" ht="15.75" customHeight="1">
      <c r="K660" s="65"/>
      <c r="L660" s="65"/>
      <c r="M660" s="65"/>
      <c r="N660" s="65"/>
      <c r="O660" s="65"/>
    </row>
    <row r="661" spans="11:15" ht="15.75" customHeight="1">
      <c r="K661" s="65"/>
      <c r="L661" s="65"/>
      <c r="M661" s="65"/>
      <c r="N661" s="65"/>
      <c r="O661" s="65"/>
    </row>
    <row r="662" spans="11:15" ht="15.75" customHeight="1">
      <c r="K662" s="65"/>
      <c r="L662" s="65"/>
      <c r="M662" s="65"/>
      <c r="N662" s="65"/>
      <c r="O662" s="65"/>
    </row>
    <row r="663" spans="11:15" ht="15.75" customHeight="1">
      <c r="K663" s="65"/>
      <c r="L663" s="65"/>
      <c r="M663" s="65"/>
      <c r="N663" s="65"/>
      <c r="O663" s="65"/>
    </row>
    <row r="664" spans="11:15" ht="15.75" customHeight="1">
      <c r="K664" s="65"/>
      <c r="L664" s="65"/>
      <c r="M664" s="65"/>
      <c r="N664" s="65"/>
      <c r="O664" s="65"/>
    </row>
    <row r="665" spans="11:15" ht="15.75" customHeight="1">
      <c r="K665" s="65"/>
      <c r="L665" s="65"/>
      <c r="M665" s="65"/>
      <c r="N665" s="65"/>
      <c r="O665" s="65"/>
    </row>
    <row r="666" spans="11:15" ht="15.75" customHeight="1">
      <c r="K666" s="65"/>
      <c r="L666" s="65"/>
      <c r="M666" s="65"/>
      <c r="N666" s="65"/>
      <c r="O666" s="65"/>
    </row>
    <row r="667" spans="11:15" ht="15.75" customHeight="1">
      <c r="K667" s="65"/>
      <c r="L667" s="65"/>
      <c r="M667" s="65"/>
      <c r="N667" s="65"/>
      <c r="O667" s="65"/>
    </row>
    <row r="668" spans="11:15" ht="15.75" customHeight="1">
      <c r="K668" s="65"/>
      <c r="L668" s="65"/>
      <c r="M668" s="65"/>
      <c r="N668" s="65"/>
      <c r="O668" s="65"/>
    </row>
    <row r="669" spans="11:15" ht="15.75" customHeight="1">
      <c r="K669" s="65"/>
      <c r="L669" s="65"/>
      <c r="M669" s="65"/>
      <c r="N669" s="65"/>
      <c r="O669" s="65"/>
    </row>
    <row r="670" spans="11:15" ht="15.75" customHeight="1">
      <c r="K670" s="65"/>
      <c r="L670" s="65"/>
      <c r="M670" s="65"/>
      <c r="N670" s="65"/>
      <c r="O670" s="65"/>
    </row>
    <row r="671" spans="11:15" ht="15.75" customHeight="1">
      <c r="K671" s="65"/>
      <c r="L671" s="65"/>
      <c r="M671" s="65"/>
      <c r="N671" s="65"/>
      <c r="O671" s="65"/>
    </row>
    <row r="672" spans="11:15" ht="15.75" customHeight="1">
      <c r="K672" s="65"/>
      <c r="L672" s="65"/>
      <c r="M672" s="65"/>
      <c r="N672" s="65"/>
      <c r="O672" s="65"/>
    </row>
    <row r="673" spans="11:15" ht="15.75" customHeight="1">
      <c r="K673" s="65"/>
      <c r="L673" s="65"/>
      <c r="M673" s="65"/>
      <c r="N673" s="65"/>
      <c r="O673" s="65"/>
    </row>
    <row r="674" spans="11:15" ht="15.75" customHeight="1">
      <c r="K674" s="65"/>
      <c r="L674" s="65"/>
      <c r="M674" s="65"/>
      <c r="N674" s="65"/>
      <c r="O674" s="65"/>
    </row>
    <row r="675" spans="11:15" ht="15.75" customHeight="1">
      <c r="K675" s="65"/>
      <c r="L675" s="65"/>
      <c r="M675" s="65"/>
      <c r="N675" s="65"/>
      <c r="O675" s="65"/>
    </row>
    <row r="676" spans="11:15" ht="15.75" customHeight="1">
      <c r="K676" s="65"/>
      <c r="L676" s="65"/>
      <c r="M676" s="65"/>
      <c r="N676" s="65"/>
      <c r="O676" s="65"/>
    </row>
    <row r="677" spans="11:15" ht="15.75" customHeight="1">
      <c r="K677" s="65"/>
      <c r="L677" s="65"/>
      <c r="M677" s="65"/>
      <c r="N677" s="65"/>
      <c r="O677" s="65"/>
    </row>
    <row r="678" spans="11:15" ht="15.75" customHeight="1">
      <c r="K678" s="65"/>
      <c r="L678" s="65"/>
      <c r="M678" s="65"/>
      <c r="N678" s="65"/>
      <c r="O678" s="65"/>
    </row>
    <row r="679" spans="11:15" ht="15.75" customHeight="1">
      <c r="K679" s="65"/>
      <c r="L679" s="65"/>
      <c r="M679" s="65"/>
      <c r="N679" s="65"/>
      <c r="O679" s="65"/>
    </row>
    <row r="680" spans="11:15" ht="15.75" customHeight="1">
      <c r="K680" s="65"/>
      <c r="L680" s="65"/>
      <c r="M680" s="65"/>
      <c r="N680" s="65"/>
      <c r="O680" s="65"/>
    </row>
    <row r="681" spans="11:15" ht="15.75" customHeight="1">
      <c r="K681" s="65"/>
      <c r="L681" s="65"/>
      <c r="M681" s="65"/>
      <c r="N681" s="65"/>
      <c r="O681" s="65"/>
    </row>
    <row r="682" spans="11:15" ht="15.75" customHeight="1">
      <c r="K682" s="65"/>
      <c r="L682" s="65"/>
      <c r="M682" s="65"/>
      <c r="N682" s="65"/>
      <c r="O682" s="65"/>
    </row>
    <row r="683" spans="11:15" ht="15.75" customHeight="1">
      <c r="K683" s="65"/>
      <c r="L683" s="65"/>
      <c r="M683" s="65"/>
      <c r="N683" s="65"/>
      <c r="O683" s="65"/>
    </row>
    <row r="684" spans="11:15" ht="15.75" customHeight="1">
      <c r="K684" s="65"/>
      <c r="L684" s="65"/>
      <c r="M684" s="65"/>
      <c r="N684" s="65"/>
      <c r="O684" s="65"/>
    </row>
    <row r="685" spans="11:15" ht="15.75" customHeight="1">
      <c r="K685" s="65"/>
      <c r="L685" s="65"/>
      <c r="M685" s="65"/>
      <c r="N685" s="65"/>
      <c r="O685" s="65"/>
    </row>
    <row r="686" spans="11:15" ht="15.75" customHeight="1">
      <c r="K686" s="65"/>
      <c r="L686" s="65"/>
      <c r="M686" s="65"/>
      <c r="N686" s="65"/>
      <c r="O686" s="65"/>
    </row>
    <row r="687" spans="11:15" ht="15.75" customHeight="1">
      <c r="K687" s="65"/>
      <c r="L687" s="65"/>
      <c r="M687" s="65"/>
      <c r="N687" s="65"/>
      <c r="O687" s="65"/>
    </row>
    <row r="688" spans="11:15" ht="15.75" customHeight="1">
      <c r="K688" s="65"/>
      <c r="L688" s="65"/>
      <c r="M688" s="65"/>
      <c r="N688" s="65"/>
      <c r="O688" s="65"/>
    </row>
    <row r="689" spans="11:15" ht="15.75" customHeight="1">
      <c r="K689" s="65"/>
      <c r="L689" s="65"/>
      <c r="M689" s="65"/>
      <c r="N689" s="65"/>
      <c r="O689" s="65"/>
    </row>
    <row r="690" spans="11:15" ht="15.75" customHeight="1">
      <c r="K690" s="65"/>
      <c r="L690" s="65"/>
      <c r="M690" s="65"/>
      <c r="N690" s="65"/>
      <c r="O690" s="65"/>
    </row>
    <row r="691" spans="11:15" ht="15.75" customHeight="1">
      <c r="K691" s="65"/>
      <c r="L691" s="65"/>
      <c r="M691" s="65"/>
      <c r="N691" s="65"/>
      <c r="O691" s="65"/>
    </row>
    <row r="692" spans="11:15" ht="15.75" customHeight="1">
      <c r="K692" s="65"/>
      <c r="L692" s="65"/>
      <c r="M692" s="65"/>
      <c r="N692" s="65"/>
      <c r="O692" s="65"/>
    </row>
    <row r="693" spans="11:15" ht="15.75" customHeight="1">
      <c r="K693" s="65"/>
      <c r="L693" s="65"/>
      <c r="M693" s="65"/>
      <c r="N693" s="65"/>
      <c r="O693" s="65"/>
    </row>
    <row r="694" spans="11:15" ht="15.75" customHeight="1">
      <c r="K694" s="65"/>
      <c r="L694" s="65"/>
      <c r="M694" s="65"/>
      <c r="N694" s="65"/>
      <c r="O694" s="65"/>
    </row>
    <row r="695" spans="11:15" ht="15.75" customHeight="1">
      <c r="K695" s="65"/>
      <c r="L695" s="65"/>
      <c r="M695" s="65"/>
      <c r="N695" s="65"/>
      <c r="O695" s="65"/>
    </row>
    <row r="696" spans="11:15" ht="15.75" customHeight="1">
      <c r="K696" s="65"/>
      <c r="L696" s="65"/>
      <c r="M696" s="65"/>
      <c r="N696" s="65"/>
      <c r="O696" s="65"/>
    </row>
    <row r="697" spans="11:15" ht="15.75" customHeight="1">
      <c r="K697" s="65"/>
      <c r="L697" s="65"/>
      <c r="M697" s="65"/>
      <c r="N697" s="65"/>
      <c r="O697" s="65"/>
    </row>
    <row r="698" spans="11:15" ht="15.75" customHeight="1">
      <c r="K698" s="65"/>
      <c r="L698" s="65"/>
      <c r="M698" s="65"/>
      <c r="N698" s="65"/>
      <c r="O698" s="65"/>
    </row>
    <row r="699" spans="11:15" ht="15.75" customHeight="1">
      <c r="K699" s="65"/>
      <c r="L699" s="65"/>
      <c r="M699" s="65"/>
      <c r="N699" s="65"/>
      <c r="O699" s="65"/>
    </row>
    <row r="700" spans="11:15" ht="15.75" customHeight="1">
      <c r="K700" s="65"/>
      <c r="L700" s="65"/>
      <c r="M700" s="65"/>
      <c r="N700" s="65"/>
      <c r="O700" s="65"/>
    </row>
    <row r="701" spans="11:15" ht="15.75" customHeight="1">
      <c r="K701" s="65"/>
      <c r="L701" s="65"/>
      <c r="M701" s="65"/>
      <c r="N701" s="65"/>
      <c r="O701" s="65"/>
    </row>
    <row r="702" spans="11:15" ht="15.75" customHeight="1">
      <c r="K702" s="65"/>
      <c r="L702" s="65"/>
      <c r="M702" s="65"/>
      <c r="N702" s="65"/>
      <c r="O702" s="65"/>
    </row>
    <row r="703" spans="11:15" ht="15.75" customHeight="1">
      <c r="K703" s="65"/>
      <c r="L703" s="65"/>
      <c r="M703" s="65"/>
      <c r="N703" s="65"/>
      <c r="O703" s="65"/>
    </row>
    <row r="704" spans="11:15" ht="15.75" customHeight="1">
      <c r="K704" s="65"/>
      <c r="L704" s="65"/>
      <c r="M704" s="65"/>
      <c r="N704" s="65"/>
      <c r="O704" s="65"/>
    </row>
    <row r="705" spans="11:15" ht="15.75" customHeight="1">
      <c r="K705" s="65"/>
      <c r="L705" s="65"/>
      <c r="M705" s="65"/>
      <c r="N705" s="65"/>
      <c r="O705" s="65"/>
    </row>
    <row r="706" spans="11:15" ht="15.75" customHeight="1">
      <c r="K706" s="65"/>
      <c r="L706" s="65"/>
      <c r="M706" s="65"/>
      <c r="N706" s="65"/>
      <c r="O706" s="65"/>
    </row>
    <row r="707" spans="11:15" ht="15.75" customHeight="1">
      <c r="K707" s="65"/>
      <c r="L707" s="65"/>
      <c r="M707" s="65"/>
      <c r="N707" s="65"/>
      <c r="O707" s="65"/>
    </row>
    <row r="708" spans="11:15" ht="15.75" customHeight="1">
      <c r="K708" s="65"/>
      <c r="L708" s="65"/>
      <c r="M708" s="65"/>
      <c r="N708" s="65"/>
      <c r="O708" s="65"/>
    </row>
    <row r="709" spans="11:15" ht="15.75" customHeight="1">
      <c r="K709" s="65"/>
      <c r="L709" s="65"/>
      <c r="M709" s="65"/>
      <c r="N709" s="65"/>
      <c r="O709" s="65"/>
    </row>
    <row r="710" spans="11:15" ht="15.75" customHeight="1">
      <c r="K710" s="65"/>
      <c r="L710" s="65"/>
      <c r="M710" s="65"/>
      <c r="N710" s="65"/>
      <c r="O710" s="65"/>
    </row>
    <row r="711" spans="11:15" ht="15.75" customHeight="1">
      <c r="K711" s="65"/>
      <c r="L711" s="65"/>
      <c r="M711" s="65"/>
      <c r="N711" s="65"/>
      <c r="O711" s="65"/>
    </row>
    <row r="712" spans="11:15" ht="15.75" customHeight="1">
      <c r="K712" s="65"/>
      <c r="L712" s="65"/>
      <c r="M712" s="65"/>
      <c r="N712" s="65"/>
      <c r="O712" s="65"/>
    </row>
    <row r="713" spans="11:15" ht="15.75" customHeight="1">
      <c r="K713" s="65"/>
      <c r="L713" s="65"/>
      <c r="M713" s="65"/>
      <c r="N713" s="65"/>
      <c r="O713" s="65"/>
    </row>
    <row r="714" spans="11:15" ht="15.75" customHeight="1">
      <c r="K714" s="65"/>
      <c r="L714" s="65"/>
      <c r="M714" s="65"/>
      <c r="N714" s="65"/>
      <c r="O714" s="65"/>
    </row>
    <row r="715" spans="11:15" ht="15.75" customHeight="1">
      <c r="K715" s="65"/>
      <c r="L715" s="65"/>
      <c r="M715" s="65"/>
      <c r="N715" s="65"/>
      <c r="O715" s="65"/>
    </row>
    <row r="716" spans="11:15" ht="15.75" customHeight="1">
      <c r="K716" s="65"/>
      <c r="L716" s="65"/>
      <c r="M716" s="65"/>
      <c r="N716" s="65"/>
      <c r="O716" s="65"/>
    </row>
    <row r="717" spans="11:15" ht="15.75" customHeight="1">
      <c r="K717" s="65"/>
      <c r="L717" s="65"/>
      <c r="M717" s="65"/>
      <c r="N717" s="65"/>
      <c r="O717" s="65"/>
    </row>
    <row r="718" spans="11:15" ht="15.75" customHeight="1">
      <c r="K718" s="65"/>
      <c r="L718" s="65"/>
      <c r="M718" s="65"/>
      <c r="N718" s="65"/>
      <c r="O718" s="65"/>
    </row>
    <row r="719" spans="11:15" ht="15.75" customHeight="1">
      <c r="K719" s="65"/>
      <c r="L719" s="65"/>
      <c r="M719" s="65"/>
      <c r="N719" s="65"/>
      <c r="O719" s="65"/>
    </row>
    <row r="720" spans="11:15" ht="15.75" customHeight="1">
      <c r="K720" s="65"/>
      <c r="L720" s="65"/>
      <c r="M720" s="65"/>
      <c r="N720" s="65"/>
      <c r="O720" s="65"/>
    </row>
    <row r="721" spans="11:15" ht="15.75" customHeight="1">
      <c r="K721" s="65"/>
      <c r="L721" s="65"/>
      <c r="M721" s="65"/>
      <c r="N721" s="65"/>
      <c r="O721" s="65"/>
    </row>
    <row r="722" spans="11:15" ht="15.75" customHeight="1">
      <c r="K722" s="65"/>
      <c r="L722" s="65"/>
      <c r="M722" s="65"/>
      <c r="N722" s="65"/>
      <c r="O722" s="65"/>
    </row>
    <row r="723" spans="11:15" ht="15.75" customHeight="1">
      <c r="K723" s="65"/>
      <c r="L723" s="65"/>
      <c r="M723" s="65"/>
      <c r="N723" s="65"/>
      <c r="O723" s="65"/>
    </row>
    <row r="724" spans="11:15" ht="15.75" customHeight="1">
      <c r="K724" s="65"/>
      <c r="L724" s="65"/>
      <c r="M724" s="65"/>
      <c r="N724" s="65"/>
      <c r="O724" s="65"/>
    </row>
    <row r="725" spans="11:15" ht="15.75" customHeight="1">
      <c r="K725" s="65"/>
      <c r="L725" s="65"/>
      <c r="M725" s="65"/>
      <c r="N725" s="65"/>
      <c r="O725" s="65"/>
    </row>
    <row r="726" spans="11:15" ht="15.75" customHeight="1">
      <c r="K726" s="65"/>
      <c r="L726" s="65"/>
      <c r="M726" s="65"/>
      <c r="N726" s="65"/>
      <c r="O726" s="65"/>
    </row>
    <row r="727" spans="11:15" ht="15.75" customHeight="1">
      <c r="K727" s="65"/>
      <c r="L727" s="65"/>
      <c r="M727" s="65"/>
      <c r="N727" s="65"/>
      <c r="O727" s="65"/>
    </row>
    <row r="728" spans="11:15" ht="15.75" customHeight="1">
      <c r="K728" s="65"/>
      <c r="L728" s="65"/>
      <c r="M728" s="65"/>
      <c r="N728" s="65"/>
      <c r="O728" s="65"/>
    </row>
    <row r="729" spans="11:15" ht="15.75" customHeight="1">
      <c r="K729" s="65"/>
      <c r="L729" s="65"/>
      <c r="M729" s="65"/>
      <c r="N729" s="65"/>
      <c r="O729" s="65"/>
    </row>
    <row r="730" spans="11:15" ht="15.75" customHeight="1">
      <c r="K730" s="65"/>
      <c r="L730" s="65"/>
      <c r="M730" s="65"/>
      <c r="N730" s="65"/>
      <c r="O730" s="65"/>
    </row>
    <row r="731" spans="11:15" ht="15.75" customHeight="1">
      <c r="K731" s="65"/>
      <c r="L731" s="65"/>
      <c r="M731" s="65"/>
      <c r="N731" s="65"/>
      <c r="O731" s="65"/>
    </row>
    <row r="732" spans="11:15" ht="15.75" customHeight="1">
      <c r="K732" s="65"/>
      <c r="L732" s="65"/>
      <c r="M732" s="65"/>
      <c r="N732" s="65"/>
      <c r="O732" s="65"/>
    </row>
    <row r="733" spans="11:15" ht="15.75" customHeight="1">
      <c r="K733" s="65"/>
      <c r="L733" s="65"/>
      <c r="M733" s="65"/>
      <c r="N733" s="65"/>
      <c r="O733" s="65"/>
    </row>
    <row r="734" spans="11:15" ht="15.75" customHeight="1">
      <c r="K734" s="65"/>
      <c r="L734" s="65"/>
      <c r="M734" s="65"/>
      <c r="N734" s="65"/>
      <c r="O734" s="65"/>
    </row>
    <row r="735" spans="11:15" ht="15.75" customHeight="1">
      <c r="K735" s="65"/>
      <c r="L735" s="65"/>
      <c r="M735" s="65"/>
      <c r="N735" s="65"/>
      <c r="O735" s="65"/>
    </row>
    <row r="736" spans="11:15" ht="15.75" customHeight="1">
      <c r="K736" s="65"/>
      <c r="L736" s="65"/>
      <c r="M736" s="65"/>
      <c r="N736" s="65"/>
      <c r="O736" s="65"/>
    </row>
    <row r="737" spans="11:15" ht="15.75" customHeight="1">
      <c r="K737" s="65"/>
      <c r="L737" s="65"/>
      <c r="M737" s="65"/>
      <c r="N737" s="65"/>
      <c r="O737" s="65"/>
    </row>
    <row r="738" spans="11:15" ht="15.75" customHeight="1">
      <c r="K738" s="65"/>
      <c r="L738" s="65"/>
      <c r="M738" s="65"/>
      <c r="N738" s="65"/>
      <c r="O738" s="65"/>
    </row>
    <row r="739" spans="11:15" ht="15.75" customHeight="1">
      <c r="K739" s="65"/>
      <c r="L739" s="65"/>
      <c r="M739" s="65"/>
      <c r="N739" s="65"/>
      <c r="O739" s="65"/>
    </row>
    <row r="740" spans="11:15" ht="15.75" customHeight="1">
      <c r="K740" s="65"/>
      <c r="L740" s="65"/>
      <c r="M740" s="65"/>
      <c r="N740" s="65"/>
      <c r="O740" s="65"/>
    </row>
    <row r="741" spans="11:15" ht="15.75" customHeight="1">
      <c r="K741" s="65"/>
      <c r="L741" s="65"/>
      <c r="M741" s="65"/>
      <c r="N741" s="65"/>
      <c r="O741" s="65"/>
    </row>
    <row r="742" spans="11:15" ht="15.75" customHeight="1">
      <c r="K742" s="65"/>
      <c r="L742" s="65"/>
      <c r="M742" s="65"/>
      <c r="N742" s="65"/>
      <c r="O742" s="65"/>
    </row>
    <row r="743" spans="11:15" ht="15.75" customHeight="1">
      <c r="K743" s="65"/>
      <c r="L743" s="65"/>
      <c r="M743" s="65"/>
      <c r="N743" s="65"/>
      <c r="O743" s="65"/>
    </row>
    <row r="744" spans="11:15" ht="15.75" customHeight="1">
      <c r="K744" s="65"/>
      <c r="L744" s="65"/>
      <c r="M744" s="65"/>
      <c r="N744" s="65"/>
      <c r="O744" s="65"/>
    </row>
    <row r="745" spans="11:15" ht="15.75" customHeight="1">
      <c r="K745" s="65"/>
      <c r="L745" s="65"/>
      <c r="M745" s="65"/>
      <c r="N745" s="65"/>
      <c r="O745" s="65"/>
    </row>
    <row r="746" spans="11:15" ht="15.75" customHeight="1">
      <c r="K746" s="65"/>
      <c r="L746" s="65"/>
      <c r="M746" s="65"/>
      <c r="N746" s="65"/>
      <c r="O746" s="65"/>
    </row>
    <row r="747" spans="11:15" ht="15.75" customHeight="1">
      <c r="K747" s="65"/>
      <c r="L747" s="65"/>
      <c r="M747" s="65"/>
      <c r="N747" s="65"/>
      <c r="O747" s="65"/>
    </row>
    <row r="748" spans="11:15" ht="15.75" customHeight="1">
      <c r="K748" s="65"/>
      <c r="L748" s="65"/>
      <c r="M748" s="65"/>
      <c r="N748" s="65"/>
      <c r="O748" s="65"/>
    </row>
    <row r="749" spans="11:15" ht="15.75" customHeight="1">
      <c r="K749" s="65"/>
      <c r="L749" s="65"/>
      <c r="M749" s="65"/>
      <c r="N749" s="65"/>
      <c r="O749" s="65"/>
    </row>
    <row r="750" spans="11:15" ht="15.75" customHeight="1">
      <c r="K750" s="65"/>
      <c r="L750" s="65"/>
      <c r="M750" s="65"/>
      <c r="N750" s="65"/>
      <c r="O750" s="65"/>
    </row>
    <row r="751" spans="11:15" ht="15.75" customHeight="1">
      <c r="K751" s="65"/>
      <c r="L751" s="65"/>
      <c r="M751" s="65"/>
      <c r="N751" s="65"/>
      <c r="O751" s="65"/>
    </row>
    <row r="752" spans="11:15" ht="15.75" customHeight="1">
      <c r="K752" s="65"/>
      <c r="L752" s="65"/>
      <c r="M752" s="65"/>
      <c r="N752" s="65"/>
      <c r="O752" s="65"/>
    </row>
    <row r="753" spans="11:15" ht="15.75" customHeight="1">
      <c r="K753" s="65"/>
      <c r="L753" s="65"/>
      <c r="M753" s="65"/>
      <c r="N753" s="65"/>
      <c r="O753" s="65"/>
    </row>
    <row r="754" spans="11:15" ht="15.75" customHeight="1">
      <c r="K754" s="65"/>
      <c r="L754" s="65"/>
      <c r="M754" s="65"/>
      <c r="N754" s="65"/>
      <c r="O754" s="65"/>
    </row>
    <row r="755" spans="11:15" ht="15.75" customHeight="1">
      <c r="K755" s="65"/>
      <c r="L755" s="65"/>
      <c r="M755" s="65"/>
      <c r="N755" s="65"/>
      <c r="O755" s="65"/>
    </row>
    <row r="756" spans="11:15" ht="15.75" customHeight="1">
      <c r="K756" s="65"/>
      <c r="L756" s="65"/>
      <c r="M756" s="65"/>
      <c r="N756" s="65"/>
      <c r="O756" s="65"/>
    </row>
    <row r="757" spans="11:15" ht="15.75" customHeight="1">
      <c r="K757" s="65"/>
      <c r="L757" s="65"/>
      <c r="M757" s="65"/>
      <c r="N757" s="65"/>
      <c r="O757" s="65"/>
    </row>
    <row r="758" spans="11:15" ht="15.75" customHeight="1">
      <c r="K758" s="65"/>
      <c r="L758" s="65"/>
      <c r="M758" s="65"/>
      <c r="N758" s="65"/>
      <c r="O758" s="65"/>
    </row>
    <row r="759" spans="11:15" ht="15.75" customHeight="1">
      <c r="K759" s="65"/>
      <c r="L759" s="65"/>
      <c r="M759" s="65"/>
      <c r="N759" s="65"/>
      <c r="O759" s="65"/>
    </row>
    <row r="760" spans="11:15" ht="15.75" customHeight="1">
      <c r="K760" s="65"/>
      <c r="L760" s="65"/>
      <c r="M760" s="65"/>
      <c r="N760" s="65"/>
      <c r="O760" s="65"/>
    </row>
    <row r="761" spans="11:15" ht="15.75" customHeight="1">
      <c r="K761" s="65"/>
      <c r="L761" s="65"/>
      <c r="M761" s="65"/>
      <c r="N761" s="65"/>
      <c r="O761" s="65"/>
    </row>
    <row r="762" spans="11:15" ht="15.75" customHeight="1">
      <c r="K762" s="65"/>
      <c r="L762" s="65"/>
      <c r="M762" s="65"/>
      <c r="N762" s="65"/>
      <c r="O762" s="65"/>
    </row>
    <row r="763" spans="11:15" ht="15.75" customHeight="1">
      <c r="K763" s="65"/>
      <c r="L763" s="65"/>
      <c r="M763" s="65"/>
      <c r="N763" s="65"/>
      <c r="O763" s="65"/>
    </row>
    <row r="764" spans="11:15" ht="15.75" customHeight="1">
      <c r="K764" s="65"/>
      <c r="L764" s="65"/>
      <c r="M764" s="65"/>
      <c r="N764" s="65"/>
      <c r="O764" s="65"/>
    </row>
    <row r="765" spans="11:15" ht="15.75" customHeight="1">
      <c r="K765" s="65"/>
      <c r="L765" s="65"/>
      <c r="M765" s="65"/>
      <c r="N765" s="65"/>
      <c r="O765" s="65"/>
    </row>
    <row r="766" spans="11:15" ht="15.75" customHeight="1">
      <c r="K766" s="65"/>
      <c r="L766" s="65"/>
      <c r="M766" s="65"/>
      <c r="N766" s="65"/>
      <c r="O766" s="65"/>
    </row>
    <row r="767" spans="11:15" ht="15.75" customHeight="1">
      <c r="K767" s="65"/>
      <c r="L767" s="65"/>
      <c r="M767" s="65"/>
      <c r="N767" s="65"/>
      <c r="O767" s="65"/>
    </row>
    <row r="768" spans="11:15" ht="15.75" customHeight="1">
      <c r="K768" s="65"/>
      <c r="L768" s="65"/>
      <c r="M768" s="65"/>
      <c r="N768" s="65"/>
      <c r="O768" s="65"/>
    </row>
    <row r="769" spans="11:15" ht="15.75" customHeight="1">
      <c r="K769" s="65"/>
      <c r="L769" s="65"/>
      <c r="M769" s="65"/>
      <c r="N769" s="65"/>
      <c r="O769" s="65"/>
    </row>
    <row r="770" spans="11:15" ht="15.75" customHeight="1">
      <c r="K770" s="65"/>
      <c r="L770" s="65"/>
      <c r="M770" s="65"/>
      <c r="N770" s="65"/>
      <c r="O770" s="65"/>
    </row>
    <row r="771" spans="11:15" ht="15.75" customHeight="1">
      <c r="K771" s="65"/>
      <c r="L771" s="65"/>
      <c r="M771" s="65"/>
      <c r="N771" s="65"/>
      <c r="O771" s="65"/>
    </row>
    <row r="772" spans="11:15" ht="15.75" customHeight="1">
      <c r="K772" s="65"/>
      <c r="L772" s="65"/>
      <c r="M772" s="65"/>
      <c r="N772" s="65"/>
      <c r="O772" s="65"/>
    </row>
    <row r="773" spans="11:15" ht="15.75" customHeight="1">
      <c r="K773" s="65"/>
      <c r="L773" s="65"/>
      <c r="M773" s="65"/>
      <c r="N773" s="65"/>
      <c r="O773" s="65"/>
    </row>
    <row r="774" spans="11:15" ht="15.75" customHeight="1">
      <c r="K774" s="65"/>
      <c r="L774" s="65"/>
      <c r="M774" s="65"/>
      <c r="N774" s="65"/>
      <c r="O774" s="65"/>
    </row>
    <row r="775" spans="11:15" ht="15.75" customHeight="1">
      <c r="K775" s="65"/>
      <c r="L775" s="65"/>
      <c r="M775" s="65"/>
      <c r="N775" s="65"/>
      <c r="O775" s="65"/>
    </row>
    <row r="776" spans="11:15" ht="15.75" customHeight="1">
      <c r="K776" s="65"/>
      <c r="L776" s="65"/>
      <c r="M776" s="65"/>
      <c r="N776" s="65"/>
      <c r="O776" s="65"/>
    </row>
    <row r="777" spans="11:15" ht="15.75" customHeight="1">
      <c r="K777" s="65"/>
      <c r="L777" s="65"/>
      <c r="M777" s="65"/>
      <c r="N777" s="65"/>
      <c r="O777" s="65"/>
    </row>
    <row r="778" spans="11:15" ht="15.75" customHeight="1">
      <c r="K778" s="65"/>
      <c r="L778" s="65"/>
      <c r="M778" s="65"/>
      <c r="N778" s="65"/>
      <c r="O778" s="65"/>
    </row>
    <row r="779" spans="11:15" ht="15.75" customHeight="1">
      <c r="K779" s="65"/>
      <c r="L779" s="65"/>
      <c r="M779" s="65"/>
      <c r="N779" s="65"/>
      <c r="O779" s="65"/>
    </row>
    <row r="780" spans="11:15" ht="15.75" customHeight="1">
      <c r="K780" s="65"/>
      <c r="L780" s="65"/>
      <c r="M780" s="65"/>
      <c r="N780" s="65"/>
      <c r="O780" s="65"/>
    </row>
    <row r="781" spans="11:15" ht="15.75" customHeight="1">
      <c r="K781" s="65"/>
      <c r="L781" s="65"/>
      <c r="M781" s="65"/>
      <c r="N781" s="65"/>
      <c r="O781" s="65"/>
    </row>
    <row r="782" spans="11:15" ht="15.75" customHeight="1">
      <c r="K782" s="65"/>
      <c r="L782" s="65"/>
      <c r="M782" s="65"/>
      <c r="N782" s="65"/>
      <c r="O782" s="65"/>
    </row>
    <row r="783" spans="11:15" ht="15.75" customHeight="1">
      <c r="K783" s="65"/>
      <c r="L783" s="65"/>
      <c r="M783" s="65"/>
      <c r="N783" s="65"/>
      <c r="O783" s="65"/>
    </row>
    <row r="784" spans="11:15" ht="15.75" customHeight="1">
      <c r="K784" s="65"/>
      <c r="L784" s="65"/>
      <c r="M784" s="65"/>
      <c r="N784" s="65"/>
      <c r="O784" s="65"/>
    </row>
    <row r="785" spans="11:15" ht="15.75" customHeight="1">
      <c r="K785" s="65"/>
      <c r="L785" s="65"/>
      <c r="M785" s="65"/>
      <c r="N785" s="65"/>
      <c r="O785" s="65"/>
    </row>
    <row r="786" spans="11:15" ht="15.75" customHeight="1">
      <c r="K786" s="65"/>
      <c r="L786" s="65"/>
      <c r="M786" s="65"/>
      <c r="N786" s="65"/>
      <c r="O786" s="65"/>
    </row>
    <row r="787" spans="11:15" ht="15.75" customHeight="1">
      <c r="K787" s="65"/>
      <c r="L787" s="65"/>
      <c r="M787" s="65"/>
      <c r="N787" s="65"/>
      <c r="O787" s="65"/>
    </row>
    <row r="788" spans="11:15" ht="15.75" customHeight="1">
      <c r="K788" s="65"/>
      <c r="L788" s="65"/>
      <c r="M788" s="65"/>
      <c r="N788" s="65"/>
      <c r="O788" s="65"/>
    </row>
    <row r="789" spans="11:15" ht="15.75" customHeight="1">
      <c r="K789" s="65"/>
      <c r="L789" s="65"/>
      <c r="M789" s="65"/>
      <c r="N789" s="65"/>
      <c r="O789" s="65"/>
    </row>
    <row r="790" spans="11:15" ht="15.75" customHeight="1">
      <c r="K790" s="65"/>
      <c r="L790" s="65"/>
      <c r="M790" s="65"/>
      <c r="N790" s="65"/>
      <c r="O790" s="65"/>
    </row>
    <row r="791" spans="11:15" ht="15.75" customHeight="1">
      <c r="K791" s="65"/>
      <c r="L791" s="65"/>
      <c r="M791" s="65"/>
      <c r="N791" s="65"/>
      <c r="O791" s="65"/>
    </row>
    <row r="792" spans="11:15" ht="15.75" customHeight="1">
      <c r="K792" s="65"/>
      <c r="L792" s="65"/>
      <c r="M792" s="65"/>
      <c r="N792" s="65"/>
      <c r="O792" s="65"/>
    </row>
    <row r="793" spans="11:15" ht="15.75" customHeight="1">
      <c r="K793" s="65"/>
      <c r="L793" s="65"/>
      <c r="M793" s="65"/>
      <c r="N793" s="65"/>
      <c r="O793" s="65"/>
    </row>
    <row r="794" spans="11:15" ht="15.75" customHeight="1">
      <c r="K794" s="65"/>
      <c r="L794" s="65"/>
      <c r="M794" s="65"/>
      <c r="N794" s="65"/>
      <c r="O794" s="65"/>
    </row>
    <row r="795" spans="11:15" ht="15.75" customHeight="1">
      <c r="K795" s="65"/>
      <c r="L795" s="65"/>
      <c r="M795" s="65"/>
      <c r="N795" s="65"/>
      <c r="O795" s="65"/>
    </row>
    <row r="796" spans="11:15" ht="15.75" customHeight="1">
      <c r="K796" s="65"/>
      <c r="L796" s="65"/>
      <c r="M796" s="65"/>
      <c r="N796" s="65"/>
      <c r="O796" s="65"/>
    </row>
    <row r="797" spans="11:15" ht="15.75" customHeight="1">
      <c r="K797" s="65"/>
      <c r="L797" s="65"/>
      <c r="M797" s="65"/>
      <c r="N797" s="65"/>
      <c r="O797" s="65"/>
    </row>
    <row r="798" spans="11:15" ht="15.75" customHeight="1">
      <c r="K798" s="65"/>
      <c r="L798" s="65"/>
      <c r="M798" s="65"/>
      <c r="N798" s="65"/>
      <c r="O798" s="65"/>
    </row>
    <row r="799" spans="11:15" ht="15.75" customHeight="1">
      <c r="K799" s="65"/>
      <c r="L799" s="65"/>
      <c r="M799" s="65"/>
      <c r="N799" s="65"/>
      <c r="O799" s="65"/>
    </row>
    <row r="800" spans="11:15" ht="15.75" customHeight="1">
      <c r="K800" s="65"/>
      <c r="L800" s="65"/>
      <c r="M800" s="65"/>
      <c r="N800" s="65"/>
      <c r="O800" s="65"/>
    </row>
    <row r="801" spans="11:15" ht="15.75" customHeight="1">
      <c r="K801" s="65"/>
      <c r="L801" s="65"/>
      <c r="M801" s="65"/>
      <c r="N801" s="65"/>
      <c r="O801" s="65"/>
    </row>
    <row r="802" spans="11:15" ht="15.75" customHeight="1">
      <c r="K802" s="65"/>
      <c r="L802" s="65"/>
      <c r="M802" s="65"/>
      <c r="N802" s="65"/>
      <c r="O802" s="65"/>
    </row>
    <row r="803" spans="11:15" ht="15.75" customHeight="1">
      <c r="K803" s="65"/>
      <c r="L803" s="65"/>
      <c r="M803" s="65"/>
      <c r="N803" s="65"/>
      <c r="O803" s="65"/>
    </row>
    <row r="804" spans="11:15" ht="15.75" customHeight="1">
      <c r="K804" s="65"/>
      <c r="L804" s="65"/>
      <c r="M804" s="65"/>
      <c r="N804" s="65"/>
      <c r="O804" s="65"/>
    </row>
    <row r="805" spans="11:15" ht="15.75" customHeight="1">
      <c r="K805" s="65"/>
      <c r="L805" s="65"/>
      <c r="M805" s="65"/>
      <c r="N805" s="65"/>
      <c r="O805" s="65"/>
    </row>
    <row r="806" spans="11:15" ht="15.75" customHeight="1">
      <c r="K806" s="65"/>
      <c r="L806" s="65"/>
      <c r="M806" s="65"/>
      <c r="N806" s="65"/>
      <c r="O806" s="65"/>
    </row>
    <row r="807" spans="11:15" ht="15.75" customHeight="1">
      <c r="K807" s="65"/>
      <c r="L807" s="65"/>
      <c r="M807" s="65"/>
      <c r="N807" s="65"/>
      <c r="O807" s="65"/>
    </row>
    <row r="808" spans="11:15" ht="15.75" customHeight="1">
      <c r="K808" s="65"/>
      <c r="L808" s="65"/>
      <c r="M808" s="65"/>
      <c r="N808" s="65"/>
      <c r="O808" s="65"/>
    </row>
    <row r="809" spans="11:15" ht="15.75" customHeight="1">
      <c r="K809" s="65"/>
      <c r="L809" s="65"/>
      <c r="M809" s="65"/>
      <c r="N809" s="65"/>
      <c r="O809" s="65"/>
    </row>
    <row r="810" spans="11:15" ht="15.75" customHeight="1">
      <c r="K810" s="65"/>
      <c r="L810" s="65"/>
      <c r="M810" s="65"/>
      <c r="N810" s="65"/>
      <c r="O810" s="65"/>
    </row>
    <row r="811" spans="11:15" ht="15.75" customHeight="1">
      <c r="K811" s="65"/>
      <c r="L811" s="65"/>
      <c r="M811" s="65"/>
      <c r="N811" s="65"/>
      <c r="O811" s="65"/>
    </row>
    <row r="812" spans="11:15" ht="15.75" customHeight="1">
      <c r="K812" s="65"/>
      <c r="L812" s="65"/>
      <c r="M812" s="65"/>
      <c r="N812" s="65"/>
      <c r="O812" s="65"/>
    </row>
    <row r="813" spans="11:15" ht="15.75" customHeight="1">
      <c r="K813" s="65"/>
      <c r="L813" s="65"/>
      <c r="M813" s="65"/>
      <c r="N813" s="65"/>
      <c r="O813" s="65"/>
    </row>
    <row r="814" spans="11:15" ht="15.75" customHeight="1">
      <c r="K814" s="65"/>
      <c r="L814" s="65"/>
      <c r="M814" s="65"/>
      <c r="N814" s="65"/>
      <c r="O814" s="65"/>
    </row>
    <row r="815" spans="11:15" ht="15.75" customHeight="1">
      <c r="K815" s="65"/>
      <c r="L815" s="65"/>
      <c r="M815" s="65"/>
      <c r="N815" s="65"/>
      <c r="O815" s="65"/>
    </row>
    <row r="816" spans="11:15" ht="15.75" customHeight="1">
      <c r="K816" s="65"/>
      <c r="L816" s="65"/>
      <c r="M816" s="65"/>
      <c r="N816" s="65"/>
      <c r="O816" s="65"/>
    </row>
    <row r="817" spans="11:15" ht="15.75" customHeight="1">
      <c r="K817" s="65"/>
      <c r="L817" s="65"/>
      <c r="M817" s="65"/>
      <c r="N817" s="65"/>
      <c r="O817" s="65"/>
    </row>
    <row r="818" spans="11:15" ht="15.75" customHeight="1">
      <c r="K818" s="65"/>
      <c r="L818" s="65"/>
      <c r="M818" s="65"/>
      <c r="N818" s="65"/>
      <c r="O818" s="65"/>
    </row>
    <row r="819" spans="11:15" ht="15.75" customHeight="1">
      <c r="K819" s="65"/>
      <c r="L819" s="65"/>
      <c r="M819" s="65"/>
      <c r="N819" s="65"/>
      <c r="O819" s="65"/>
    </row>
    <row r="820" spans="11:15" ht="15.75" customHeight="1">
      <c r="K820" s="65"/>
      <c r="L820" s="65"/>
      <c r="M820" s="65"/>
      <c r="N820" s="65"/>
      <c r="O820" s="65"/>
    </row>
    <row r="821" spans="11:15" ht="15.75" customHeight="1">
      <c r="K821" s="65"/>
      <c r="L821" s="65"/>
      <c r="M821" s="65"/>
      <c r="N821" s="65"/>
      <c r="O821" s="65"/>
    </row>
    <row r="822" spans="11:15" ht="15.75" customHeight="1">
      <c r="K822" s="65"/>
      <c r="L822" s="65"/>
      <c r="M822" s="65"/>
      <c r="N822" s="65"/>
      <c r="O822" s="65"/>
    </row>
    <row r="823" spans="11:15" ht="15.75" customHeight="1">
      <c r="K823" s="65"/>
      <c r="L823" s="65"/>
      <c r="M823" s="65"/>
      <c r="N823" s="65"/>
      <c r="O823" s="65"/>
    </row>
    <row r="824" spans="11:15" ht="15.75" customHeight="1">
      <c r="K824" s="65"/>
      <c r="L824" s="65"/>
      <c r="M824" s="65"/>
      <c r="N824" s="65"/>
      <c r="O824" s="65"/>
    </row>
    <row r="825" spans="11:15" ht="15.75" customHeight="1">
      <c r="K825" s="65"/>
      <c r="L825" s="65"/>
      <c r="M825" s="65"/>
      <c r="N825" s="65"/>
      <c r="O825" s="65"/>
    </row>
    <row r="826" spans="11:15" ht="15.75" customHeight="1">
      <c r="K826" s="65"/>
      <c r="L826" s="65"/>
      <c r="M826" s="65"/>
      <c r="N826" s="65"/>
      <c r="O826" s="65"/>
    </row>
    <row r="827" spans="11:15" ht="15.75" customHeight="1">
      <c r="K827" s="65"/>
      <c r="L827" s="65"/>
      <c r="M827" s="65"/>
      <c r="N827" s="65"/>
      <c r="O827" s="65"/>
    </row>
    <row r="828" spans="11:15" ht="15.75" customHeight="1">
      <c r="K828" s="65"/>
      <c r="L828" s="65"/>
      <c r="M828" s="65"/>
      <c r="N828" s="65"/>
      <c r="O828" s="65"/>
    </row>
    <row r="829" spans="11:15" ht="15.75" customHeight="1">
      <c r="K829" s="65"/>
      <c r="L829" s="65"/>
      <c r="M829" s="65"/>
      <c r="N829" s="65"/>
      <c r="O829" s="65"/>
    </row>
    <row r="830" spans="11:15" ht="15.75" customHeight="1">
      <c r="K830" s="65"/>
      <c r="L830" s="65"/>
      <c r="M830" s="65"/>
      <c r="N830" s="65"/>
      <c r="O830" s="65"/>
    </row>
    <row r="831" spans="11:15" ht="15.75" customHeight="1">
      <c r="K831" s="65"/>
      <c r="L831" s="65"/>
      <c r="M831" s="65"/>
      <c r="N831" s="65"/>
      <c r="O831" s="65"/>
    </row>
    <row r="832" spans="11:15" ht="15.75" customHeight="1">
      <c r="K832" s="65"/>
      <c r="L832" s="65"/>
      <c r="M832" s="65"/>
      <c r="N832" s="65"/>
      <c r="O832" s="65"/>
    </row>
    <row r="833" spans="11:15" ht="15.75" customHeight="1">
      <c r="K833" s="65"/>
      <c r="L833" s="65"/>
      <c r="M833" s="65"/>
      <c r="N833" s="65"/>
      <c r="O833" s="65"/>
    </row>
    <row r="834" spans="11:15" ht="15.75" customHeight="1">
      <c r="K834" s="65"/>
      <c r="L834" s="65"/>
      <c r="M834" s="65"/>
      <c r="N834" s="65"/>
      <c r="O834" s="65"/>
    </row>
    <row r="835" spans="11:15" ht="15.75" customHeight="1">
      <c r="K835" s="65"/>
      <c r="L835" s="65"/>
      <c r="M835" s="65"/>
      <c r="N835" s="65"/>
      <c r="O835" s="65"/>
    </row>
    <row r="836" spans="11:15" ht="15.75" customHeight="1">
      <c r="K836" s="65"/>
      <c r="L836" s="65"/>
      <c r="M836" s="65"/>
      <c r="N836" s="65"/>
      <c r="O836" s="65"/>
    </row>
    <row r="837" spans="11:15" ht="15.75" customHeight="1">
      <c r="K837" s="65"/>
      <c r="L837" s="65"/>
      <c r="M837" s="65"/>
      <c r="N837" s="65"/>
      <c r="O837" s="65"/>
    </row>
    <row r="838" spans="11:15" ht="15.75" customHeight="1">
      <c r="K838" s="65"/>
      <c r="L838" s="65"/>
      <c r="M838" s="65"/>
      <c r="N838" s="65"/>
      <c r="O838" s="65"/>
    </row>
    <row r="839" spans="11:15" ht="15.75" customHeight="1">
      <c r="K839" s="65"/>
      <c r="L839" s="65"/>
      <c r="M839" s="65"/>
      <c r="N839" s="65"/>
      <c r="O839" s="65"/>
    </row>
    <row r="840" spans="11:15" ht="15.75" customHeight="1">
      <c r="K840" s="65"/>
      <c r="L840" s="65"/>
      <c r="M840" s="65"/>
      <c r="N840" s="65"/>
      <c r="O840" s="65"/>
    </row>
    <row r="841" spans="11:15" ht="15.75" customHeight="1">
      <c r="K841" s="65"/>
      <c r="L841" s="65"/>
      <c r="M841" s="65"/>
      <c r="N841" s="65"/>
      <c r="O841" s="65"/>
    </row>
    <row r="842" spans="11:15" ht="15.75" customHeight="1">
      <c r="K842" s="65"/>
      <c r="L842" s="65"/>
      <c r="M842" s="65"/>
      <c r="N842" s="65"/>
      <c r="O842" s="65"/>
    </row>
    <row r="843" spans="11:15" ht="15.75" customHeight="1">
      <c r="K843" s="65"/>
      <c r="L843" s="65"/>
      <c r="M843" s="65"/>
      <c r="N843" s="65"/>
      <c r="O843" s="65"/>
    </row>
    <row r="844" spans="11:15" ht="15.75" customHeight="1">
      <c r="K844" s="65"/>
      <c r="L844" s="65"/>
      <c r="M844" s="65"/>
      <c r="N844" s="65"/>
      <c r="O844" s="65"/>
    </row>
    <row r="845" spans="11:15" ht="15.75" customHeight="1">
      <c r="K845" s="65"/>
      <c r="L845" s="65"/>
      <c r="M845" s="65"/>
      <c r="N845" s="65"/>
      <c r="O845" s="65"/>
    </row>
    <row r="846" spans="11:15" ht="15.75" customHeight="1">
      <c r="K846" s="65"/>
      <c r="L846" s="65"/>
      <c r="M846" s="65"/>
      <c r="N846" s="65"/>
      <c r="O846" s="65"/>
    </row>
    <row r="847" spans="11:15" ht="15.75" customHeight="1">
      <c r="K847" s="65"/>
      <c r="L847" s="65"/>
      <c r="M847" s="65"/>
      <c r="N847" s="65"/>
      <c r="O847" s="65"/>
    </row>
    <row r="848" spans="11:15" ht="15.75" customHeight="1">
      <c r="K848" s="65"/>
      <c r="L848" s="65"/>
      <c r="M848" s="65"/>
      <c r="N848" s="65"/>
      <c r="O848" s="65"/>
    </row>
    <row r="849" spans="11:15" ht="15.75" customHeight="1">
      <c r="K849" s="65"/>
      <c r="L849" s="65"/>
      <c r="M849" s="65"/>
      <c r="N849" s="65"/>
      <c r="O849" s="65"/>
    </row>
    <row r="850" spans="11:15" ht="15.75" customHeight="1">
      <c r="K850" s="65"/>
      <c r="L850" s="65"/>
      <c r="M850" s="65"/>
      <c r="N850" s="65"/>
      <c r="O850" s="65"/>
    </row>
    <row r="851" spans="11:15" ht="15.75" customHeight="1">
      <c r="K851" s="65"/>
      <c r="L851" s="65"/>
      <c r="M851" s="65"/>
      <c r="N851" s="65"/>
      <c r="O851" s="65"/>
    </row>
    <row r="852" spans="11:15" ht="15.75" customHeight="1">
      <c r="K852" s="65"/>
      <c r="L852" s="65"/>
      <c r="M852" s="65"/>
      <c r="N852" s="65"/>
      <c r="O852" s="65"/>
    </row>
    <row r="853" spans="11:15" ht="15.75" customHeight="1">
      <c r="K853" s="65"/>
      <c r="L853" s="65"/>
      <c r="M853" s="65"/>
      <c r="N853" s="65"/>
      <c r="O853" s="65"/>
    </row>
    <row r="854" spans="11:15" ht="15.75" customHeight="1">
      <c r="K854" s="65"/>
      <c r="L854" s="65"/>
      <c r="M854" s="65"/>
      <c r="N854" s="65"/>
      <c r="O854" s="65"/>
    </row>
    <row r="855" spans="11:15" ht="15.75" customHeight="1">
      <c r="K855" s="65"/>
      <c r="L855" s="65"/>
      <c r="M855" s="65"/>
      <c r="N855" s="65"/>
      <c r="O855" s="65"/>
    </row>
    <row r="856" spans="11:15" ht="15.75" customHeight="1">
      <c r="K856" s="65"/>
      <c r="L856" s="65"/>
      <c r="M856" s="65"/>
      <c r="N856" s="65"/>
      <c r="O856" s="65"/>
    </row>
    <row r="857" spans="11:15" ht="15.75" customHeight="1">
      <c r="K857" s="65"/>
      <c r="L857" s="65"/>
      <c r="M857" s="65"/>
      <c r="N857" s="65"/>
      <c r="O857" s="65"/>
    </row>
    <row r="858" spans="11:15" ht="15.75" customHeight="1">
      <c r="K858" s="65"/>
      <c r="L858" s="65"/>
      <c r="M858" s="65"/>
      <c r="N858" s="65"/>
      <c r="O858" s="65"/>
    </row>
    <row r="859" spans="11:15" ht="15.75" customHeight="1">
      <c r="K859" s="65"/>
      <c r="L859" s="65"/>
      <c r="M859" s="65"/>
      <c r="N859" s="65"/>
      <c r="O859" s="65"/>
    </row>
    <row r="860" spans="11:15" ht="15.75" customHeight="1">
      <c r="K860" s="65"/>
      <c r="L860" s="65"/>
      <c r="M860" s="65"/>
      <c r="N860" s="65"/>
      <c r="O860" s="65"/>
    </row>
    <row r="861" spans="11:15" ht="15.75" customHeight="1">
      <c r="K861" s="65"/>
      <c r="L861" s="65"/>
      <c r="M861" s="65"/>
      <c r="N861" s="65"/>
      <c r="O861" s="65"/>
    </row>
    <row r="862" spans="11:15" ht="15.75" customHeight="1">
      <c r="K862" s="65"/>
      <c r="L862" s="65"/>
      <c r="M862" s="65"/>
      <c r="N862" s="65"/>
      <c r="O862" s="65"/>
    </row>
    <row r="863" spans="11:15" ht="15.75" customHeight="1">
      <c r="K863" s="65"/>
      <c r="L863" s="65"/>
      <c r="M863" s="65"/>
      <c r="N863" s="65"/>
      <c r="O863" s="65"/>
    </row>
    <row r="864" spans="11:15" ht="15.75" customHeight="1">
      <c r="K864" s="65"/>
      <c r="L864" s="65"/>
      <c r="M864" s="65"/>
      <c r="N864" s="65"/>
      <c r="O864" s="65"/>
    </row>
    <row r="865" spans="11:15" ht="15.75" customHeight="1">
      <c r="K865" s="65"/>
      <c r="L865" s="65"/>
      <c r="M865" s="65"/>
      <c r="N865" s="65"/>
      <c r="O865" s="65"/>
    </row>
    <row r="866" spans="11:15" ht="15.75" customHeight="1">
      <c r="K866" s="65"/>
      <c r="L866" s="65"/>
      <c r="M866" s="65"/>
      <c r="N866" s="65"/>
      <c r="O866" s="65"/>
    </row>
    <row r="867" spans="11:15" ht="15.75" customHeight="1">
      <c r="K867" s="65"/>
      <c r="L867" s="65"/>
      <c r="M867" s="65"/>
      <c r="N867" s="65"/>
      <c r="O867" s="65"/>
    </row>
    <row r="868" spans="11:15" ht="15.75" customHeight="1">
      <c r="K868" s="65"/>
      <c r="L868" s="65"/>
      <c r="M868" s="65"/>
      <c r="N868" s="65"/>
      <c r="O868" s="65"/>
    </row>
    <row r="869" spans="11:15" ht="15.75" customHeight="1">
      <c r="K869" s="65"/>
      <c r="L869" s="65"/>
      <c r="M869" s="65"/>
      <c r="N869" s="65"/>
      <c r="O869" s="65"/>
    </row>
    <row r="870" spans="11:15" ht="15.75" customHeight="1">
      <c r="K870" s="65"/>
      <c r="L870" s="65"/>
      <c r="M870" s="65"/>
      <c r="N870" s="65"/>
      <c r="O870" s="65"/>
    </row>
    <row r="871" spans="11:15" ht="15.75" customHeight="1">
      <c r="K871" s="65"/>
      <c r="L871" s="65"/>
      <c r="M871" s="65"/>
      <c r="N871" s="65"/>
      <c r="O871" s="65"/>
    </row>
    <row r="872" spans="11:15" ht="15.75" customHeight="1">
      <c r="K872" s="65"/>
      <c r="L872" s="65"/>
      <c r="M872" s="65"/>
      <c r="N872" s="65"/>
      <c r="O872" s="65"/>
    </row>
    <row r="873" spans="11:15" ht="15.75" customHeight="1">
      <c r="K873" s="65"/>
      <c r="L873" s="65"/>
      <c r="M873" s="65"/>
      <c r="N873" s="65"/>
      <c r="O873" s="65"/>
    </row>
    <row r="874" spans="11:15" ht="15.75" customHeight="1">
      <c r="K874" s="65"/>
      <c r="L874" s="65"/>
      <c r="M874" s="65"/>
      <c r="N874" s="65"/>
      <c r="O874" s="65"/>
    </row>
    <row r="875" spans="11:15" ht="15.75" customHeight="1">
      <c r="K875" s="65"/>
      <c r="L875" s="65"/>
      <c r="M875" s="65"/>
      <c r="N875" s="65"/>
      <c r="O875" s="65"/>
    </row>
    <row r="876" spans="11:15" ht="15.75" customHeight="1">
      <c r="K876" s="65"/>
      <c r="L876" s="65"/>
      <c r="M876" s="65"/>
      <c r="N876" s="65"/>
      <c r="O876" s="65"/>
    </row>
    <row r="877" spans="11:15" ht="15.75" customHeight="1">
      <c r="K877" s="65"/>
      <c r="L877" s="65"/>
      <c r="M877" s="65"/>
      <c r="N877" s="65"/>
      <c r="O877" s="65"/>
    </row>
    <row r="878" spans="11:15" ht="15.75" customHeight="1">
      <c r="K878" s="65"/>
      <c r="L878" s="65"/>
      <c r="M878" s="65"/>
      <c r="N878" s="65"/>
      <c r="O878" s="65"/>
    </row>
    <row r="879" spans="11:15" ht="15.75" customHeight="1">
      <c r="K879" s="65"/>
      <c r="L879" s="65"/>
      <c r="M879" s="65"/>
      <c r="N879" s="65"/>
      <c r="O879" s="65"/>
    </row>
    <row r="880" spans="11:15" ht="15.75" customHeight="1">
      <c r="K880" s="65"/>
      <c r="L880" s="65"/>
      <c r="M880" s="65"/>
      <c r="N880" s="65"/>
      <c r="O880" s="65"/>
    </row>
    <row r="881" spans="11:15" ht="15.75" customHeight="1">
      <c r="K881" s="65"/>
      <c r="L881" s="65"/>
      <c r="M881" s="65"/>
      <c r="N881" s="65"/>
      <c r="O881" s="65"/>
    </row>
    <row r="882" spans="11:15" ht="15.75" customHeight="1">
      <c r="K882" s="65"/>
      <c r="L882" s="65"/>
      <c r="M882" s="65"/>
      <c r="N882" s="65"/>
      <c r="O882" s="65"/>
    </row>
    <row r="883" spans="11:15" ht="15.75" customHeight="1">
      <c r="K883" s="65"/>
      <c r="L883" s="65"/>
      <c r="M883" s="65"/>
      <c r="N883" s="65"/>
      <c r="O883" s="65"/>
    </row>
    <row r="884" spans="11:15" ht="15.75" customHeight="1">
      <c r="K884" s="65"/>
      <c r="L884" s="65"/>
      <c r="M884" s="65"/>
      <c r="N884" s="65"/>
      <c r="O884" s="65"/>
    </row>
    <row r="885" spans="11:15" ht="15.75" customHeight="1">
      <c r="K885" s="65"/>
      <c r="L885" s="65"/>
      <c r="M885" s="65"/>
      <c r="N885" s="65"/>
      <c r="O885" s="65"/>
    </row>
    <row r="886" spans="11:15" ht="15.75" customHeight="1">
      <c r="K886" s="65"/>
      <c r="L886" s="65"/>
      <c r="M886" s="65"/>
      <c r="N886" s="65"/>
      <c r="O886" s="65"/>
    </row>
    <row r="887" spans="11:15" ht="15.75" customHeight="1">
      <c r="K887" s="65"/>
      <c r="L887" s="65"/>
      <c r="M887" s="65"/>
      <c r="N887" s="65"/>
      <c r="O887" s="65"/>
    </row>
    <row r="888" spans="11:15" ht="15.75" customHeight="1">
      <c r="K888" s="65"/>
      <c r="L888" s="65"/>
      <c r="M888" s="65"/>
      <c r="N888" s="65"/>
      <c r="O888" s="65"/>
    </row>
    <row r="889" spans="11:15" ht="15.75" customHeight="1">
      <c r="K889" s="65"/>
      <c r="L889" s="65"/>
      <c r="M889" s="65"/>
      <c r="N889" s="65"/>
      <c r="O889" s="65"/>
    </row>
    <row r="890" spans="11:15" ht="15.75" customHeight="1">
      <c r="K890" s="65"/>
      <c r="L890" s="65"/>
      <c r="M890" s="65"/>
      <c r="N890" s="65"/>
      <c r="O890" s="65"/>
    </row>
    <row r="891" spans="11:15" ht="15.75" customHeight="1">
      <c r="K891" s="65"/>
      <c r="L891" s="65"/>
      <c r="M891" s="65"/>
      <c r="N891" s="65"/>
      <c r="O891" s="65"/>
    </row>
    <row r="892" spans="11:15" ht="15.75" customHeight="1">
      <c r="K892" s="65"/>
      <c r="L892" s="65"/>
      <c r="M892" s="65"/>
      <c r="N892" s="65"/>
      <c r="O892" s="65"/>
    </row>
    <row r="893" spans="11:15" ht="15.75" customHeight="1">
      <c r="K893" s="65"/>
      <c r="L893" s="65"/>
      <c r="M893" s="65"/>
      <c r="N893" s="65"/>
      <c r="O893" s="65"/>
    </row>
    <row r="894" spans="11:15" ht="15.75" customHeight="1">
      <c r="K894" s="65"/>
      <c r="L894" s="65"/>
      <c r="M894" s="65"/>
      <c r="N894" s="65"/>
      <c r="O894" s="65"/>
    </row>
    <row r="895" spans="11:15" ht="15.75" customHeight="1">
      <c r="K895" s="65"/>
      <c r="L895" s="65"/>
      <c r="M895" s="65"/>
      <c r="N895" s="65"/>
      <c r="O895" s="65"/>
    </row>
    <row r="896" spans="11:15" ht="15.75" customHeight="1">
      <c r="K896" s="65"/>
      <c r="L896" s="65"/>
      <c r="M896" s="65"/>
      <c r="N896" s="65"/>
      <c r="O896" s="65"/>
    </row>
    <row r="897" spans="11:15" ht="15.75" customHeight="1">
      <c r="K897" s="65"/>
      <c r="L897" s="65"/>
      <c r="M897" s="65"/>
      <c r="N897" s="65"/>
      <c r="O897" s="65"/>
    </row>
    <row r="898" spans="11:15" ht="15.75" customHeight="1">
      <c r="K898" s="65"/>
      <c r="L898" s="65"/>
      <c r="M898" s="65"/>
      <c r="N898" s="65"/>
      <c r="O898" s="65"/>
    </row>
    <row r="899" spans="11:15" ht="15.75" customHeight="1">
      <c r="K899" s="65"/>
      <c r="L899" s="65"/>
      <c r="M899" s="65"/>
      <c r="N899" s="65"/>
      <c r="O899" s="65"/>
    </row>
    <row r="900" spans="11:15" ht="15.75" customHeight="1">
      <c r="K900" s="65"/>
      <c r="L900" s="65"/>
      <c r="M900" s="65"/>
      <c r="N900" s="65"/>
      <c r="O900" s="65"/>
    </row>
    <row r="901" spans="11:15" ht="15.75" customHeight="1">
      <c r="K901" s="65"/>
      <c r="L901" s="65"/>
      <c r="M901" s="65"/>
      <c r="N901" s="65"/>
      <c r="O901" s="65"/>
    </row>
    <row r="902" spans="11:15" ht="15.75" customHeight="1">
      <c r="K902" s="65"/>
      <c r="L902" s="65"/>
      <c r="M902" s="65"/>
      <c r="N902" s="65"/>
      <c r="O902" s="65"/>
    </row>
    <row r="903" spans="11:15" ht="15.75" customHeight="1">
      <c r="K903" s="65"/>
      <c r="L903" s="65"/>
      <c r="M903" s="65"/>
      <c r="N903" s="65"/>
      <c r="O903" s="65"/>
    </row>
    <row r="904" spans="11:15" ht="15.75" customHeight="1">
      <c r="K904" s="65"/>
      <c r="L904" s="65"/>
      <c r="M904" s="65"/>
      <c r="N904" s="65"/>
      <c r="O904" s="65"/>
    </row>
    <row r="905" spans="11:15" ht="15.75" customHeight="1">
      <c r="K905" s="65"/>
      <c r="L905" s="65"/>
      <c r="M905" s="65"/>
      <c r="N905" s="65"/>
      <c r="O905" s="65"/>
    </row>
    <row r="906" spans="11:15" ht="15.75" customHeight="1">
      <c r="K906" s="65"/>
      <c r="L906" s="65"/>
      <c r="M906" s="65"/>
      <c r="N906" s="65"/>
      <c r="O906" s="65"/>
    </row>
    <row r="907" spans="11:15" ht="15.75" customHeight="1">
      <c r="K907" s="65"/>
      <c r="L907" s="65"/>
      <c r="M907" s="65"/>
      <c r="N907" s="65"/>
      <c r="O907" s="65"/>
    </row>
    <row r="908" spans="11:15" ht="15.75" customHeight="1">
      <c r="K908" s="65"/>
      <c r="L908" s="65"/>
      <c r="M908" s="65"/>
      <c r="N908" s="65"/>
      <c r="O908" s="65"/>
    </row>
    <row r="909" spans="11:15" ht="15.75" customHeight="1">
      <c r="K909" s="65"/>
      <c r="L909" s="65"/>
      <c r="M909" s="65"/>
      <c r="N909" s="65"/>
      <c r="O909" s="65"/>
    </row>
    <row r="910" spans="11:15" ht="15.75" customHeight="1">
      <c r="K910" s="65"/>
      <c r="L910" s="65"/>
      <c r="M910" s="65"/>
      <c r="N910" s="65"/>
      <c r="O910" s="65"/>
    </row>
    <row r="911" spans="11:15" ht="15.75" customHeight="1">
      <c r="K911" s="65"/>
      <c r="L911" s="65"/>
      <c r="M911" s="65"/>
      <c r="N911" s="65"/>
      <c r="O911" s="65"/>
    </row>
    <row r="912" spans="11:15" ht="15.75" customHeight="1">
      <c r="K912" s="65"/>
      <c r="L912" s="65"/>
      <c r="M912" s="65"/>
      <c r="N912" s="65"/>
      <c r="O912" s="65"/>
    </row>
    <row r="913" spans="11:15" ht="15.75" customHeight="1">
      <c r="K913" s="65"/>
      <c r="L913" s="65"/>
      <c r="M913" s="65"/>
      <c r="N913" s="65"/>
      <c r="O913" s="65"/>
    </row>
    <row r="914" spans="11:15" ht="15.75" customHeight="1">
      <c r="K914" s="65"/>
      <c r="L914" s="65"/>
      <c r="M914" s="65"/>
      <c r="N914" s="65"/>
      <c r="O914" s="65"/>
    </row>
    <row r="915" spans="11:15" ht="15.75" customHeight="1">
      <c r="K915" s="65"/>
      <c r="L915" s="65"/>
      <c r="M915" s="65"/>
      <c r="N915" s="65"/>
      <c r="O915" s="65"/>
    </row>
    <row r="916" spans="11:15" ht="15.75" customHeight="1">
      <c r="K916" s="65"/>
      <c r="L916" s="65"/>
      <c r="M916" s="65"/>
      <c r="N916" s="65"/>
      <c r="O916" s="65"/>
    </row>
    <row r="917" spans="11:15" ht="15.75" customHeight="1">
      <c r="K917" s="65"/>
      <c r="L917" s="65"/>
      <c r="M917" s="65"/>
      <c r="N917" s="65"/>
      <c r="O917" s="65"/>
    </row>
    <row r="918" spans="11:15" ht="15.75" customHeight="1">
      <c r="K918" s="65"/>
      <c r="L918" s="65"/>
      <c r="M918" s="65"/>
      <c r="N918" s="65"/>
      <c r="O918" s="65"/>
    </row>
    <row r="919" spans="11:15" ht="15.75" customHeight="1">
      <c r="K919" s="65"/>
      <c r="L919" s="65"/>
      <c r="M919" s="65"/>
      <c r="N919" s="65"/>
      <c r="O919" s="65"/>
    </row>
    <row r="920" spans="11:15" ht="15.75" customHeight="1">
      <c r="K920" s="65"/>
      <c r="L920" s="65"/>
      <c r="M920" s="65"/>
      <c r="N920" s="65"/>
      <c r="O920" s="65"/>
    </row>
    <row r="921" spans="11:15" ht="15.75" customHeight="1">
      <c r="K921" s="65"/>
      <c r="L921" s="65"/>
      <c r="M921" s="65"/>
      <c r="N921" s="65"/>
      <c r="O921" s="65"/>
    </row>
    <row r="922" spans="11:15" ht="15.75" customHeight="1">
      <c r="K922" s="65"/>
      <c r="L922" s="65"/>
      <c r="M922" s="65"/>
      <c r="N922" s="65"/>
      <c r="O922" s="65"/>
    </row>
    <row r="923" spans="11:15" ht="15.75" customHeight="1">
      <c r="K923" s="65"/>
      <c r="L923" s="65"/>
      <c r="M923" s="65"/>
      <c r="N923" s="65"/>
      <c r="O923" s="65"/>
    </row>
    <row r="924" spans="11:15" ht="15.75" customHeight="1">
      <c r="K924" s="65"/>
      <c r="L924" s="65"/>
      <c r="M924" s="65"/>
      <c r="N924" s="65"/>
      <c r="O924" s="65"/>
    </row>
    <row r="925" spans="11:15" ht="15.75" customHeight="1">
      <c r="K925" s="65"/>
      <c r="L925" s="65"/>
      <c r="M925" s="65"/>
      <c r="N925" s="65"/>
      <c r="O925" s="65"/>
    </row>
    <row r="926" spans="11:15" ht="15.75" customHeight="1">
      <c r="K926" s="65"/>
      <c r="L926" s="65"/>
      <c r="M926" s="65"/>
      <c r="N926" s="65"/>
      <c r="O926" s="65"/>
    </row>
    <row r="927" spans="11:15" ht="15.75" customHeight="1">
      <c r="K927" s="65"/>
      <c r="L927" s="65"/>
      <c r="M927" s="65"/>
      <c r="N927" s="65"/>
      <c r="O927" s="65"/>
    </row>
    <row r="928" spans="11:15" ht="15.75" customHeight="1">
      <c r="K928" s="65"/>
      <c r="L928" s="65"/>
      <c r="M928" s="65"/>
      <c r="N928" s="65"/>
      <c r="O928" s="65"/>
    </row>
    <row r="929" spans="11:15" ht="15.75" customHeight="1">
      <c r="K929" s="65"/>
      <c r="L929" s="65"/>
      <c r="M929" s="65"/>
      <c r="N929" s="65"/>
      <c r="O929" s="65"/>
    </row>
    <row r="930" spans="11:15" ht="15.75" customHeight="1">
      <c r="K930" s="65"/>
      <c r="L930" s="65"/>
      <c r="M930" s="65"/>
      <c r="N930" s="65"/>
      <c r="O930" s="65"/>
    </row>
    <row r="931" spans="11:15" ht="15.75" customHeight="1">
      <c r="K931" s="65"/>
      <c r="L931" s="65"/>
      <c r="M931" s="65"/>
      <c r="N931" s="65"/>
      <c r="O931" s="65"/>
    </row>
    <row r="932" spans="11:15" ht="15.75" customHeight="1">
      <c r="K932" s="65"/>
      <c r="L932" s="65"/>
      <c r="M932" s="65"/>
      <c r="N932" s="65"/>
      <c r="O932" s="65"/>
    </row>
    <row r="933" spans="11:15" ht="15.75" customHeight="1">
      <c r="K933" s="65"/>
      <c r="L933" s="65"/>
      <c r="M933" s="65"/>
      <c r="N933" s="65"/>
      <c r="O933" s="65"/>
    </row>
    <row r="934" spans="11:15" ht="15.75" customHeight="1">
      <c r="K934" s="65"/>
      <c r="L934" s="65"/>
      <c r="M934" s="65"/>
      <c r="N934" s="65"/>
      <c r="O934" s="65"/>
    </row>
    <row r="935" spans="11:15" ht="15.75" customHeight="1">
      <c r="K935" s="65"/>
      <c r="L935" s="65"/>
      <c r="M935" s="65"/>
      <c r="N935" s="65"/>
      <c r="O935" s="65"/>
    </row>
    <row r="936" spans="11:15" ht="15.75" customHeight="1">
      <c r="K936" s="65"/>
      <c r="L936" s="65"/>
      <c r="M936" s="65"/>
      <c r="N936" s="65"/>
      <c r="O936" s="65"/>
    </row>
    <row r="937" spans="11:15" ht="15.75" customHeight="1">
      <c r="K937" s="65"/>
      <c r="L937" s="65"/>
      <c r="M937" s="65"/>
      <c r="N937" s="65"/>
      <c r="O937" s="65"/>
    </row>
    <row r="938" spans="11:15" ht="15.75" customHeight="1">
      <c r="K938" s="65"/>
      <c r="L938" s="65"/>
      <c r="M938" s="65"/>
      <c r="N938" s="65"/>
      <c r="O938" s="65"/>
    </row>
    <row r="939" spans="11:15" ht="15.75" customHeight="1">
      <c r="K939" s="65"/>
      <c r="L939" s="65"/>
      <c r="M939" s="65"/>
      <c r="N939" s="65"/>
      <c r="O939" s="65"/>
    </row>
    <row r="940" spans="11:15" ht="15.75" customHeight="1">
      <c r="K940" s="65"/>
      <c r="L940" s="65"/>
      <c r="M940" s="65"/>
      <c r="N940" s="65"/>
      <c r="O940" s="65"/>
    </row>
    <row r="941" spans="11:15" ht="15.75" customHeight="1">
      <c r="K941" s="65"/>
      <c r="L941" s="65"/>
      <c r="M941" s="65"/>
      <c r="N941" s="65"/>
      <c r="O941" s="65"/>
    </row>
    <row r="942" spans="11:15" ht="15.75" customHeight="1">
      <c r="K942" s="65"/>
      <c r="L942" s="65"/>
      <c r="M942" s="65"/>
      <c r="N942" s="65"/>
      <c r="O942" s="65"/>
    </row>
    <row r="943" spans="11:15" ht="15.75" customHeight="1">
      <c r="K943" s="65"/>
      <c r="L943" s="65"/>
      <c r="M943" s="65"/>
      <c r="N943" s="65"/>
      <c r="O943" s="65"/>
    </row>
    <row r="944" spans="11:15" ht="15.75" customHeight="1">
      <c r="K944" s="65"/>
      <c r="L944" s="65"/>
      <c r="M944" s="65"/>
      <c r="N944" s="65"/>
      <c r="O944" s="65"/>
    </row>
    <row r="945" spans="11:15" ht="15.75" customHeight="1">
      <c r="K945" s="65"/>
      <c r="L945" s="65"/>
      <c r="M945" s="65"/>
      <c r="N945" s="65"/>
      <c r="O945" s="65"/>
    </row>
    <row r="946" spans="11:15" ht="15.75" customHeight="1">
      <c r="K946" s="65"/>
      <c r="L946" s="65"/>
      <c r="M946" s="65"/>
      <c r="N946" s="65"/>
      <c r="O946" s="65"/>
    </row>
    <row r="947" spans="11:15" ht="15.75" customHeight="1">
      <c r="K947" s="65"/>
      <c r="L947" s="65"/>
      <c r="M947" s="65"/>
      <c r="N947" s="65"/>
      <c r="O947" s="65"/>
    </row>
    <row r="948" spans="11:15" ht="15.75" customHeight="1">
      <c r="K948" s="65"/>
      <c r="L948" s="65"/>
      <c r="M948" s="65"/>
      <c r="N948" s="65"/>
      <c r="O948" s="65"/>
    </row>
    <row r="949" spans="11:15" ht="15.75" customHeight="1">
      <c r="K949" s="65"/>
      <c r="L949" s="65"/>
      <c r="M949" s="65"/>
      <c r="N949" s="65"/>
      <c r="O949" s="65"/>
    </row>
    <row r="950" spans="11:15" ht="15.75" customHeight="1">
      <c r="K950" s="65"/>
      <c r="L950" s="65"/>
      <c r="M950" s="65"/>
      <c r="N950" s="65"/>
      <c r="O950" s="65"/>
    </row>
    <row r="951" spans="11:15" ht="15.75" customHeight="1">
      <c r="K951" s="65"/>
      <c r="L951" s="65"/>
      <c r="M951" s="65"/>
      <c r="N951" s="65"/>
      <c r="O951" s="65"/>
    </row>
    <row r="952" spans="11:15" ht="15.75" customHeight="1">
      <c r="K952" s="65"/>
      <c r="L952" s="65"/>
      <c r="M952" s="65"/>
      <c r="N952" s="65"/>
      <c r="O952" s="65"/>
    </row>
    <row r="953" spans="11:15" ht="15.75" customHeight="1">
      <c r="K953" s="65"/>
      <c r="L953" s="65"/>
      <c r="M953" s="65"/>
      <c r="N953" s="65"/>
      <c r="O953" s="65"/>
    </row>
    <row r="954" spans="11:15" ht="15.75" customHeight="1">
      <c r="K954" s="65"/>
      <c r="L954" s="65"/>
      <c r="M954" s="65"/>
      <c r="N954" s="65"/>
      <c r="O954" s="65"/>
    </row>
    <row r="955" spans="11:15" ht="15.75" customHeight="1">
      <c r="K955" s="65"/>
      <c r="L955" s="65"/>
      <c r="M955" s="65"/>
      <c r="N955" s="65"/>
      <c r="O955" s="65"/>
    </row>
    <row r="956" spans="11:15" ht="15.75" customHeight="1">
      <c r="K956" s="65"/>
      <c r="L956" s="65"/>
      <c r="M956" s="65"/>
      <c r="N956" s="65"/>
      <c r="O956" s="65"/>
    </row>
    <row r="957" spans="11:15" ht="15.75" customHeight="1">
      <c r="K957" s="65"/>
      <c r="L957" s="65"/>
      <c r="M957" s="65"/>
      <c r="N957" s="65"/>
      <c r="O957" s="65"/>
    </row>
    <row r="958" spans="11:15" ht="15.75" customHeight="1">
      <c r="K958" s="65"/>
      <c r="L958" s="65"/>
      <c r="M958" s="65"/>
      <c r="N958" s="65"/>
      <c r="O958" s="65"/>
    </row>
    <row r="959" spans="11:15" ht="15.75" customHeight="1">
      <c r="K959" s="65"/>
      <c r="L959" s="65"/>
      <c r="M959" s="65"/>
      <c r="N959" s="65"/>
      <c r="O959" s="65"/>
    </row>
    <row r="960" spans="11:15" ht="15.75" customHeight="1">
      <c r="K960" s="65"/>
      <c r="L960" s="65"/>
      <c r="M960" s="65"/>
      <c r="N960" s="65"/>
      <c r="O960" s="65"/>
    </row>
    <row r="961" spans="11:15" ht="15.75" customHeight="1">
      <c r="K961" s="65"/>
      <c r="L961" s="65"/>
      <c r="M961" s="65"/>
      <c r="N961" s="65"/>
      <c r="O961" s="65"/>
    </row>
    <row r="962" spans="11:15" ht="15.75" customHeight="1">
      <c r="K962" s="65"/>
      <c r="L962" s="65"/>
      <c r="M962" s="65"/>
      <c r="N962" s="65"/>
      <c r="O962" s="65"/>
    </row>
    <row r="963" spans="11:15" ht="15.75" customHeight="1">
      <c r="K963" s="65"/>
      <c r="L963" s="65"/>
      <c r="M963" s="65"/>
      <c r="N963" s="65"/>
      <c r="O963" s="65"/>
    </row>
    <row r="964" spans="11:15" ht="15.75" customHeight="1">
      <c r="K964" s="65"/>
      <c r="L964" s="65"/>
      <c r="M964" s="65"/>
      <c r="N964" s="65"/>
      <c r="O964" s="65"/>
    </row>
    <row r="965" spans="11:15" ht="15.75" customHeight="1">
      <c r="K965" s="65"/>
      <c r="L965" s="65"/>
      <c r="M965" s="65"/>
      <c r="N965" s="65"/>
      <c r="O965" s="65"/>
    </row>
    <row r="966" spans="11:15" ht="15.75" customHeight="1">
      <c r="K966" s="65"/>
      <c r="L966" s="65"/>
      <c r="M966" s="65"/>
      <c r="N966" s="65"/>
      <c r="O966" s="65"/>
    </row>
    <row r="967" spans="11:15" ht="15.75" customHeight="1">
      <c r="K967" s="65"/>
      <c r="L967" s="65"/>
      <c r="M967" s="65"/>
      <c r="N967" s="65"/>
      <c r="O967" s="65"/>
    </row>
    <row r="968" spans="11:15" ht="15.75" customHeight="1">
      <c r="K968" s="65"/>
      <c r="L968" s="65"/>
      <c r="M968" s="65"/>
      <c r="N968" s="65"/>
      <c r="O968" s="65"/>
    </row>
    <row r="969" spans="11:15" ht="15.75" customHeight="1">
      <c r="K969" s="65"/>
      <c r="L969" s="65"/>
      <c r="M969" s="65"/>
      <c r="N969" s="65"/>
      <c r="O969" s="65"/>
    </row>
    <row r="970" spans="11:15" ht="15.75" customHeight="1">
      <c r="K970" s="65"/>
      <c r="L970" s="65"/>
      <c r="M970" s="65"/>
      <c r="N970" s="65"/>
      <c r="O970" s="65"/>
    </row>
    <row r="971" spans="11:15" ht="15.75" customHeight="1">
      <c r="K971" s="65"/>
      <c r="L971" s="65"/>
      <c r="M971" s="65"/>
      <c r="N971" s="65"/>
      <c r="O971" s="65"/>
    </row>
    <row r="972" spans="11:15" ht="15.75" customHeight="1">
      <c r="K972" s="65"/>
      <c r="L972" s="65"/>
      <c r="M972" s="65"/>
      <c r="N972" s="65"/>
      <c r="O972" s="65"/>
    </row>
    <row r="973" spans="11:15" ht="15.75" customHeight="1">
      <c r="K973" s="65"/>
      <c r="L973" s="65"/>
      <c r="M973" s="65"/>
      <c r="N973" s="65"/>
      <c r="O973" s="65"/>
    </row>
    <row r="974" spans="11:15" ht="15.75" customHeight="1">
      <c r="K974" s="65"/>
      <c r="L974" s="65"/>
      <c r="M974" s="65"/>
      <c r="N974" s="65"/>
      <c r="O974" s="65"/>
    </row>
    <row r="975" spans="11:15" ht="15.75" customHeight="1">
      <c r="K975" s="65"/>
      <c r="L975" s="65"/>
      <c r="M975" s="65"/>
      <c r="N975" s="65"/>
      <c r="O975" s="65"/>
    </row>
    <row r="976" spans="11:15" ht="15.75" customHeight="1">
      <c r="K976" s="65"/>
      <c r="L976" s="65"/>
      <c r="M976" s="65"/>
      <c r="N976" s="65"/>
      <c r="O976" s="65"/>
    </row>
    <row r="977" spans="11:15" ht="15.75" customHeight="1">
      <c r="K977" s="65"/>
      <c r="L977" s="65"/>
      <c r="M977" s="65"/>
      <c r="N977" s="65"/>
      <c r="O977" s="65"/>
    </row>
    <row r="978" spans="11:15" ht="15.75" customHeight="1">
      <c r="K978" s="65"/>
      <c r="L978" s="65"/>
      <c r="M978" s="65"/>
      <c r="N978" s="65"/>
      <c r="O978" s="65"/>
    </row>
    <row r="979" spans="11:15" ht="15.75" customHeight="1">
      <c r="K979" s="65"/>
      <c r="L979" s="65"/>
      <c r="M979" s="65"/>
      <c r="N979" s="65"/>
      <c r="O979" s="65"/>
    </row>
    <row r="980" spans="11:15" ht="15.75" customHeight="1">
      <c r="K980" s="65"/>
      <c r="L980" s="65"/>
      <c r="M980" s="65"/>
      <c r="N980" s="65"/>
      <c r="O980" s="65"/>
    </row>
    <row r="981" spans="11:15" ht="15.75" customHeight="1">
      <c r="K981" s="65"/>
      <c r="L981" s="65"/>
      <c r="M981" s="65"/>
      <c r="N981" s="65"/>
      <c r="O981" s="65"/>
    </row>
    <row r="982" spans="11:15" ht="15.75" customHeight="1">
      <c r="K982" s="65"/>
      <c r="L982" s="65"/>
      <c r="M982" s="65"/>
      <c r="N982" s="65"/>
      <c r="O982" s="65"/>
    </row>
    <row r="983" spans="11:15" ht="15.75" customHeight="1">
      <c r="K983" s="65"/>
      <c r="L983" s="65"/>
      <c r="M983" s="65"/>
      <c r="N983" s="65"/>
      <c r="O983" s="65"/>
    </row>
    <row r="984" spans="11:15" ht="15.75" customHeight="1">
      <c r="K984" s="65"/>
      <c r="L984" s="65"/>
      <c r="M984" s="65"/>
      <c r="N984" s="65"/>
      <c r="O984" s="65"/>
    </row>
    <row r="985" spans="11:15" ht="15.75" customHeight="1">
      <c r="K985" s="65"/>
      <c r="L985" s="65"/>
      <c r="M985" s="65"/>
      <c r="N985" s="65"/>
      <c r="O985" s="65"/>
    </row>
    <row r="986" spans="11:15" ht="15.75" customHeight="1">
      <c r="K986" s="65"/>
      <c r="L986" s="65"/>
      <c r="M986" s="65"/>
      <c r="N986" s="65"/>
      <c r="O986" s="65"/>
    </row>
    <row r="987" spans="11:15" ht="15.75" customHeight="1">
      <c r="K987" s="65"/>
      <c r="L987" s="65"/>
      <c r="M987" s="65"/>
      <c r="N987" s="65"/>
      <c r="O987" s="65"/>
    </row>
    <row r="988" spans="11:15" ht="15.75" customHeight="1">
      <c r="K988" s="65"/>
      <c r="L988" s="65"/>
      <c r="M988" s="65"/>
      <c r="N988" s="65"/>
      <c r="O988" s="65"/>
    </row>
    <row r="989" spans="11:15" ht="15.75" customHeight="1">
      <c r="K989" s="65"/>
      <c r="L989" s="65"/>
      <c r="M989" s="65"/>
      <c r="N989" s="65"/>
      <c r="O989" s="65"/>
    </row>
    <row r="990" spans="11:15" ht="15.75" customHeight="1">
      <c r="K990" s="65"/>
      <c r="L990" s="65"/>
      <c r="M990" s="65"/>
      <c r="N990" s="65"/>
      <c r="O990" s="65"/>
    </row>
    <row r="991" spans="11:15" ht="15.75" customHeight="1">
      <c r="K991" s="65"/>
      <c r="L991" s="65"/>
      <c r="M991" s="65"/>
      <c r="N991" s="65"/>
      <c r="O991" s="65"/>
    </row>
    <row r="992" spans="11:15" ht="15.75" customHeight="1">
      <c r="K992" s="65"/>
      <c r="L992" s="65"/>
      <c r="M992" s="65"/>
      <c r="N992" s="65"/>
      <c r="O992" s="65"/>
    </row>
    <row r="993" spans="11:15" ht="15.75" customHeight="1">
      <c r="K993" s="65"/>
      <c r="L993" s="65"/>
      <c r="M993" s="65"/>
      <c r="N993" s="65"/>
      <c r="O993" s="65"/>
    </row>
    <row r="994" spans="11:15" ht="15.75" customHeight="1">
      <c r="K994" s="65"/>
      <c r="L994" s="65"/>
      <c r="M994" s="65"/>
      <c r="N994" s="65"/>
      <c r="O994" s="65"/>
    </row>
    <row r="995" spans="11:15" ht="15.75" customHeight="1">
      <c r="K995" s="65"/>
      <c r="L995" s="65"/>
      <c r="M995" s="65"/>
      <c r="N995" s="65"/>
      <c r="O995" s="65"/>
    </row>
    <row r="996" spans="11:15" ht="15.75" customHeight="1">
      <c r="K996" s="65"/>
      <c r="L996" s="65"/>
      <c r="M996" s="65"/>
      <c r="N996" s="65"/>
      <c r="O996" s="65"/>
    </row>
    <row r="997" spans="11:15" ht="15.75" customHeight="1">
      <c r="K997" s="65"/>
      <c r="L997" s="65"/>
      <c r="M997" s="65"/>
      <c r="N997" s="65"/>
      <c r="O997" s="65"/>
    </row>
    <row r="998" spans="11:15" ht="15.75" customHeight="1">
      <c r="K998" s="65"/>
      <c r="L998" s="65"/>
      <c r="M998" s="65"/>
      <c r="N998" s="65"/>
      <c r="O998" s="65"/>
    </row>
    <row r="999" spans="11:15" ht="15.75" customHeight="1">
      <c r="K999" s="65"/>
      <c r="L999" s="65"/>
      <c r="M999" s="65"/>
      <c r="N999" s="65"/>
      <c r="O999" s="65"/>
    </row>
    <row r="1000" spans="11:15" ht="15.75" customHeight="1">
      <c r="K1000" s="65"/>
      <c r="L1000" s="65"/>
      <c r="M1000" s="65"/>
      <c r="N1000" s="65"/>
      <c r="O1000" s="65"/>
    </row>
  </sheetData>
  <mergeCells count="1">
    <mergeCell ref="A1:A2"/>
  </mergeCells>
  <hyperlinks>
    <hyperlink ref="Q4" r:id="rId1" xr:uid="{00000000-0004-0000-0200-000000000000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8306C"/>
  </sheetPr>
  <dimension ref="A1:AD100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64" sqref="I64"/>
    </sheetView>
  </sheetViews>
  <sheetFormatPr defaultColWidth="14.42578125" defaultRowHeight="15" customHeight="1"/>
  <cols>
    <col min="1" max="1" width="61.28515625" customWidth="1"/>
    <col min="2" max="15" width="11.7109375" customWidth="1"/>
    <col min="16" max="16" width="18.42578125" customWidth="1"/>
    <col min="17" max="17" width="77.5703125" customWidth="1"/>
    <col min="18" max="18" width="37.140625" customWidth="1"/>
    <col min="19" max="30" width="8.85546875" customWidth="1"/>
  </cols>
  <sheetData>
    <row r="1" spans="1:30">
      <c r="A1" s="430" t="s">
        <v>95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3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9" t="s">
        <v>21</v>
      </c>
      <c r="Q3" s="29" t="s">
        <v>22</v>
      </c>
      <c r="R3" s="29" t="s">
        <v>23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5" t="s">
        <v>96</v>
      </c>
      <c r="B4" s="32"/>
      <c r="C4" s="32">
        <v>103</v>
      </c>
      <c r="D4" s="32">
        <v>112</v>
      </c>
      <c r="E4" s="32">
        <v>115</v>
      </c>
      <c r="F4" s="32">
        <v>98</v>
      </c>
      <c r="G4" s="32">
        <v>94</v>
      </c>
      <c r="H4" s="32">
        <v>96</v>
      </c>
      <c r="I4" s="32">
        <v>95</v>
      </c>
      <c r="J4" s="32">
        <v>100</v>
      </c>
      <c r="K4" s="32">
        <v>91</v>
      </c>
      <c r="L4" s="32">
        <v>85</v>
      </c>
      <c r="M4" s="32">
        <v>75</v>
      </c>
      <c r="N4" s="32">
        <v>72</v>
      </c>
      <c r="O4" s="32">
        <v>59</v>
      </c>
      <c r="P4" s="34" t="s">
        <v>52</v>
      </c>
      <c r="Q4" s="71" t="s">
        <v>97</v>
      </c>
      <c r="R4" s="34" t="s">
        <v>98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>
      <c r="A5" s="35" t="s">
        <v>99</v>
      </c>
      <c r="B5" s="36"/>
      <c r="C5" s="36"/>
      <c r="D5" s="36"/>
      <c r="E5" s="36"/>
      <c r="F5" s="36"/>
      <c r="G5" s="36"/>
      <c r="H5" s="32">
        <v>6</v>
      </c>
      <c r="I5" s="32">
        <v>0</v>
      </c>
      <c r="J5" s="32">
        <v>0</v>
      </c>
      <c r="K5" s="32">
        <v>0</v>
      </c>
      <c r="L5" s="36"/>
      <c r="M5" s="32">
        <v>9</v>
      </c>
      <c r="N5" s="36"/>
      <c r="O5" s="32">
        <v>3</v>
      </c>
      <c r="P5" s="34" t="s">
        <v>100</v>
      </c>
      <c r="Q5" s="55" t="s">
        <v>101</v>
      </c>
      <c r="R5" s="34" t="s">
        <v>98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41" t="s">
        <v>42</v>
      </c>
      <c r="B6" s="72"/>
      <c r="C6" s="72"/>
      <c r="D6" s="72"/>
      <c r="E6" s="72"/>
      <c r="F6" s="72"/>
      <c r="G6" s="73">
        <v>16</v>
      </c>
      <c r="H6" s="74">
        <v>15</v>
      </c>
      <c r="I6" s="74">
        <v>10</v>
      </c>
      <c r="J6" s="74">
        <v>12</v>
      </c>
      <c r="K6" s="74">
        <v>12</v>
      </c>
      <c r="L6" s="75"/>
      <c r="M6" s="74">
        <v>14</v>
      </c>
      <c r="N6" s="75"/>
      <c r="O6" s="74">
        <v>3</v>
      </c>
      <c r="P6" s="76" t="s">
        <v>100</v>
      </c>
      <c r="Q6" s="77" t="s">
        <v>102</v>
      </c>
      <c r="R6" s="34" t="s">
        <v>98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ht="30">
      <c r="A7" s="35" t="s">
        <v>103</v>
      </c>
      <c r="B7" s="36"/>
      <c r="C7" s="32">
        <v>35</v>
      </c>
      <c r="D7" s="32">
        <v>37</v>
      </c>
      <c r="E7" s="32">
        <v>38</v>
      </c>
      <c r="F7" s="32">
        <v>35</v>
      </c>
      <c r="G7" s="32">
        <v>36</v>
      </c>
      <c r="H7" s="32">
        <v>37</v>
      </c>
      <c r="I7" s="32">
        <v>36</v>
      </c>
      <c r="J7" s="32">
        <v>38</v>
      </c>
      <c r="K7" s="32">
        <v>37</v>
      </c>
      <c r="L7" s="32">
        <v>33</v>
      </c>
      <c r="M7" s="32">
        <v>32</v>
      </c>
      <c r="N7" s="32">
        <v>29</v>
      </c>
      <c r="O7" s="32">
        <v>29</v>
      </c>
      <c r="P7" s="34" t="s">
        <v>52</v>
      </c>
      <c r="Q7" s="78" t="s">
        <v>104</v>
      </c>
      <c r="R7" s="34" t="s">
        <v>98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379" t="s">
        <v>562</v>
      </c>
      <c r="B8" s="380"/>
      <c r="C8" s="380"/>
      <c r="D8" s="380"/>
      <c r="E8" s="380"/>
      <c r="F8" s="380"/>
      <c r="G8" s="380"/>
      <c r="H8" s="380"/>
      <c r="I8" s="380"/>
      <c r="J8" s="380"/>
      <c r="K8" s="382">
        <v>2.5630000000000002</v>
      </c>
      <c r="L8" s="382">
        <v>2.5139999999999998</v>
      </c>
      <c r="M8" s="382">
        <v>2.4089999999999998</v>
      </c>
      <c r="N8" s="382">
        <v>2.2549999999999999</v>
      </c>
      <c r="O8" s="382">
        <v>2.0859999999999999</v>
      </c>
      <c r="P8" s="34" t="s">
        <v>52</v>
      </c>
      <c r="Q8" s="381" t="s">
        <v>97</v>
      </c>
      <c r="R8" s="34" t="s">
        <v>98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7"/>
      <c r="P9" s="49"/>
      <c r="Q9" s="49"/>
      <c r="R9" s="50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51" t="s">
        <v>50</v>
      </c>
      <c r="B10" s="51">
        <v>2010</v>
      </c>
      <c r="C10" s="51">
        <v>2011</v>
      </c>
      <c r="D10" s="51">
        <v>2012</v>
      </c>
      <c r="E10" s="51">
        <v>2013</v>
      </c>
      <c r="F10" s="51">
        <v>2014</v>
      </c>
      <c r="G10" s="51">
        <v>2015</v>
      </c>
      <c r="H10" s="51">
        <v>2016</v>
      </c>
      <c r="I10" s="51">
        <v>2017</v>
      </c>
      <c r="J10" s="51">
        <v>2018</v>
      </c>
      <c r="K10" s="51">
        <v>2019</v>
      </c>
      <c r="L10" s="51">
        <v>2020</v>
      </c>
      <c r="M10" s="51">
        <v>2021</v>
      </c>
      <c r="N10" s="51">
        <v>2022</v>
      </c>
      <c r="O10" s="51">
        <v>2023</v>
      </c>
      <c r="P10" s="79" t="s">
        <v>21</v>
      </c>
      <c r="Q10" s="79" t="s">
        <v>22</v>
      </c>
      <c r="R10" s="79" t="s">
        <v>23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</row>
    <row r="11" spans="1:30" ht="30">
      <c r="A11" s="35" t="s">
        <v>105</v>
      </c>
      <c r="B11" s="59">
        <v>0.34350000000000003</v>
      </c>
      <c r="C11" s="59">
        <v>0.96750000000000003</v>
      </c>
      <c r="D11" s="59">
        <v>0.96960000000000002</v>
      </c>
      <c r="E11" s="59">
        <v>1.3580000000000001</v>
      </c>
      <c r="F11" s="59">
        <v>1.268</v>
      </c>
      <c r="G11" s="59">
        <v>1.266</v>
      </c>
      <c r="H11" s="59">
        <v>1.569</v>
      </c>
      <c r="I11" s="59">
        <v>1.5960000000000001</v>
      </c>
      <c r="J11" s="59">
        <v>1.857</v>
      </c>
      <c r="K11" s="59">
        <v>1.7250000000000001</v>
      </c>
      <c r="L11" s="59">
        <v>1.8149999999999999</v>
      </c>
      <c r="M11" s="59">
        <v>1.7090000000000001</v>
      </c>
      <c r="N11" s="59">
        <v>1.6220000000000001</v>
      </c>
      <c r="O11" s="59">
        <v>1.6990000000000001</v>
      </c>
      <c r="P11" s="34" t="s">
        <v>52</v>
      </c>
      <c r="Q11" s="78" t="s">
        <v>106</v>
      </c>
      <c r="R11" s="34" t="s">
        <v>27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 ht="30">
      <c r="A12" s="35" t="s">
        <v>107</v>
      </c>
      <c r="B12" s="59">
        <v>0.25863034148161967</v>
      </c>
      <c r="C12" s="59">
        <v>0.88561298749766748</v>
      </c>
      <c r="D12" s="59">
        <v>0.90128755364806867</v>
      </c>
      <c r="E12" s="59">
        <v>1.4263855196865085</v>
      </c>
      <c r="F12" s="59">
        <v>1.4185508836553156</v>
      </c>
      <c r="G12" s="59">
        <v>1.496923860652847</v>
      </c>
      <c r="H12" s="59">
        <v>2.0847211881343313</v>
      </c>
      <c r="I12" s="59">
        <v>1.9828363180375406</v>
      </c>
      <c r="J12" s="59">
        <v>1.9044633410400094</v>
      </c>
      <c r="K12" s="80">
        <v>1.8129999999999999</v>
      </c>
      <c r="L12" s="81">
        <v>1.8759999999999999</v>
      </c>
      <c r="M12" s="81">
        <v>1.71</v>
      </c>
      <c r="N12" s="81">
        <v>1.6579999999999999</v>
      </c>
      <c r="O12" s="81">
        <v>1.9390000000000001</v>
      </c>
      <c r="P12" s="34" t="s">
        <v>52</v>
      </c>
      <c r="Q12" s="55" t="s">
        <v>59</v>
      </c>
      <c r="R12" s="34" t="s">
        <v>108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 ht="30">
      <c r="A13" s="35" t="s">
        <v>523</v>
      </c>
      <c r="B13" s="59">
        <v>23.687999999999999</v>
      </c>
      <c r="C13" s="59">
        <v>37.380000000000003</v>
      </c>
      <c r="D13" s="59">
        <v>35.826000000000001</v>
      </c>
      <c r="E13" s="59">
        <v>342.38400000000001</v>
      </c>
      <c r="F13" s="59">
        <v>192.27600000000001</v>
      </c>
      <c r="G13" s="59">
        <v>352.75799999999998</v>
      </c>
      <c r="H13" s="59">
        <v>708.91800000000001</v>
      </c>
      <c r="I13" s="59">
        <v>393.70800000000003</v>
      </c>
      <c r="J13" s="59">
        <v>166.69800000000001</v>
      </c>
      <c r="K13" s="59">
        <v>171.27600000000001</v>
      </c>
      <c r="L13" s="59">
        <v>196.72799999999998</v>
      </c>
      <c r="M13" s="59">
        <v>210.21</v>
      </c>
      <c r="N13" s="59">
        <v>249.9</v>
      </c>
      <c r="O13" s="59">
        <v>501.01799999999997</v>
      </c>
      <c r="P13" s="34" t="s">
        <v>52</v>
      </c>
      <c r="Q13" s="190" t="s">
        <v>109</v>
      </c>
      <c r="R13" s="34" t="s">
        <v>110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ht="30">
      <c r="A14" s="35" t="s">
        <v>524</v>
      </c>
      <c r="B14" s="59">
        <v>108.696</v>
      </c>
      <c r="C14" s="59">
        <v>75.558000000000007</v>
      </c>
      <c r="D14" s="59">
        <v>128.352</v>
      </c>
      <c r="E14" s="59">
        <v>196.35</v>
      </c>
      <c r="F14" s="59">
        <v>82.908000000000001</v>
      </c>
      <c r="G14" s="59">
        <v>87.822000000000003</v>
      </c>
      <c r="H14" s="59">
        <v>88.116</v>
      </c>
      <c r="I14" s="59">
        <v>93.156000000000006</v>
      </c>
      <c r="J14" s="59">
        <v>103.74</v>
      </c>
      <c r="K14" s="59">
        <v>114.66</v>
      </c>
      <c r="L14" s="59">
        <v>145.23599999999999</v>
      </c>
      <c r="M14" s="59">
        <v>186.98400000000001</v>
      </c>
      <c r="N14" s="59">
        <v>238.18200000000002</v>
      </c>
      <c r="O14" s="59">
        <v>251.16</v>
      </c>
      <c r="P14" s="34" t="s">
        <v>52</v>
      </c>
      <c r="Q14" s="55" t="s">
        <v>109</v>
      </c>
      <c r="R14" s="34" t="s">
        <v>111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35" t="s">
        <v>112</v>
      </c>
      <c r="B15" s="32">
        <v>644</v>
      </c>
      <c r="C15" s="32">
        <v>627</v>
      </c>
      <c r="D15" s="32">
        <v>675</v>
      </c>
      <c r="E15" s="32">
        <v>757</v>
      </c>
      <c r="F15" s="32">
        <v>783</v>
      </c>
      <c r="G15" s="32">
        <v>713</v>
      </c>
      <c r="H15" s="32">
        <v>716</v>
      </c>
      <c r="I15" s="32">
        <v>704</v>
      </c>
      <c r="J15" s="32">
        <v>680</v>
      </c>
      <c r="K15" s="32">
        <v>611</v>
      </c>
      <c r="L15" s="32">
        <v>712</v>
      </c>
      <c r="M15" s="32">
        <v>730</v>
      </c>
      <c r="N15" s="32">
        <v>1193</v>
      </c>
      <c r="O15" s="32">
        <v>1700</v>
      </c>
      <c r="P15" s="34" t="s">
        <v>68</v>
      </c>
      <c r="Q15" s="55" t="s">
        <v>73</v>
      </c>
      <c r="R15" s="39" t="s">
        <v>27</v>
      </c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9"/>
      <c r="Q16" s="49"/>
      <c r="R16" s="50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>
      <c r="A17" s="51" t="s">
        <v>71</v>
      </c>
      <c r="B17" s="51">
        <v>2010</v>
      </c>
      <c r="C17" s="51">
        <v>2011</v>
      </c>
      <c r="D17" s="51">
        <v>2012</v>
      </c>
      <c r="E17" s="51">
        <v>2013</v>
      </c>
      <c r="F17" s="51">
        <v>2014</v>
      </c>
      <c r="G17" s="51">
        <v>2015</v>
      </c>
      <c r="H17" s="51">
        <v>2016</v>
      </c>
      <c r="I17" s="51">
        <v>2017</v>
      </c>
      <c r="J17" s="51">
        <v>2018</v>
      </c>
      <c r="K17" s="51">
        <v>2019</v>
      </c>
      <c r="L17" s="51">
        <v>2020</v>
      </c>
      <c r="M17" s="51">
        <v>2021</v>
      </c>
      <c r="N17" s="51">
        <v>2022</v>
      </c>
      <c r="O17" s="51">
        <v>2023</v>
      </c>
      <c r="P17" s="79" t="s">
        <v>21</v>
      </c>
      <c r="Q17" s="79" t="s">
        <v>22</v>
      </c>
      <c r="R17" s="79" t="s">
        <v>23</v>
      </c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>
      <c r="A18" s="35" t="s">
        <v>113</v>
      </c>
      <c r="B18" s="82">
        <v>3.436375</v>
      </c>
      <c r="C18" s="82">
        <v>5.1727083333333335</v>
      </c>
      <c r="D18" s="82">
        <v>4.5162500000000003</v>
      </c>
      <c r="E18" s="82">
        <v>4.6016666666666666</v>
      </c>
      <c r="F18" s="82">
        <v>3.4550000000000001</v>
      </c>
      <c r="G18" s="82">
        <v>2.8358333333333334</v>
      </c>
      <c r="H18" s="82">
        <v>3.2391666666666672</v>
      </c>
      <c r="I18" s="82">
        <v>3.2724999999999991</v>
      </c>
      <c r="J18" s="82">
        <v>3.1016666666666666</v>
      </c>
      <c r="K18" s="82">
        <f>AVERAGE(3.03,
3.11,
2.95,
2.87,
2.83,
2.8,
2.87,
2.89,
2.9,
2.93,
2.97,
3.17
)</f>
        <v>2.9433333333333334</v>
      </c>
      <c r="L18" s="82">
        <f>AVERAGE(3.25,
3.1,
2.97,
2.71,
2.67,
2.8,
2.88,
3.12,
2.99,
3.09,
3.39,
3.51
)</f>
        <v>3.0399999999999996</v>
      </c>
      <c r="M18" s="82">
        <f>AVERAGE(4.13,
4.42,
4.91,
5.41,
6.05,
5.97,
5.88,
5.56,
5.28,
5.45,
5.57,
5.45
)</f>
        <v>5.3400000000000007</v>
      </c>
      <c r="N18" s="82">
        <f>AVERAGE(5.46,
5.93,
6.48,
6.78,
7.09,
6.97,
6.57,
6.71,
6.79,
6.81,
6.72,
5.87
)</f>
        <v>6.5150000000000006</v>
      </c>
      <c r="O18" s="82">
        <f>AVERAGE(5.73,
5.54,
5.09,
5.12,
4.99,
5.33,
5.66,
5.65,
5.47,
4.45,
4.49,
4.56
)</f>
        <v>5.1733333333333329</v>
      </c>
      <c r="P18" s="34" t="s">
        <v>68</v>
      </c>
      <c r="Q18" s="55" t="s">
        <v>73</v>
      </c>
      <c r="R18" s="34" t="s">
        <v>98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>
      <c r="A19" s="35" t="s">
        <v>114</v>
      </c>
      <c r="B19" s="82">
        <v>3.6274999999999999</v>
      </c>
      <c r="C19" s="82">
        <v>4.125</v>
      </c>
      <c r="D19" s="82">
        <v>4.2275</v>
      </c>
      <c r="E19" s="82">
        <v>4.2125000000000004</v>
      </c>
      <c r="F19" s="82">
        <v>4.18</v>
      </c>
      <c r="G19" s="82">
        <v>3.6150000000000002</v>
      </c>
      <c r="H19" s="82">
        <v>3</v>
      </c>
      <c r="I19" s="82">
        <v>3.12</v>
      </c>
      <c r="J19" s="82">
        <v>3.4625000000000004</v>
      </c>
      <c r="K19" s="82">
        <v>3.5350000000000001</v>
      </c>
      <c r="L19" s="82">
        <f>AVERAGE(3.65,3.44,3.08,3.26
)</f>
        <v>3.3574999999999999</v>
      </c>
      <c r="M19" s="82">
        <f>AVERAGE(3.11,3.49,3.56,3.73
)</f>
        <v>3.4725000000000001</v>
      </c>
      <c r="N19" s="82">
        <f>AVERAGE(3.88,4.96,5.48,5.15
)</f>
        <v>4.8674999999999997</v>
      </c>
      <c r="O19" s="82">
        <f>AVERAGE(5.11,4.85,4.44,4.76
)</f>
        <v>4.7900000000000009</v>
      </c>
      <c r="P19" s="31" t="s">
        <v>115</v>
      </c>
      <c r="Q19" s="83" t="s">
        <v>78</v>
      </c>
      <c r="R19" s="34" t="s">
        <v>98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>
      <c r="A20" s="35" t="s">
        <v>116</v>
      </c>
      <c r="B20" s="82">
        <v>2.8</v>
      </c>
      <c r="C20" s="82">
        <v>3.5300000000000002</v>
      </c>
      <c r="D20" s="82">
        <v>3.6875</v>
      </c>
      <c r="E20" s="82">
        <v>3.6675</v>
      </c>
      <c r="F20" s="82">
        <v>3.5975000000000001</v>
      </c>
      <c r="G20" s="82">
        <v>2.6349999999999998</v>
      </c>
      <c r="H20" s="82">
        <v>2.1674999999999995</v>
      </c>
      <c r="I20" s="82">
        <v>2.3025000000000002</v>
      </c>
      <c r="J20" s="82">
        <v>2.6675</v>
      </c>
      <c r="K20" s="82">
        <v>2.4849999999999999</v>
      </c>
      <c r="L20" s="82">
        <f>AVERAGE(2.6,2.13,2.11,2.06
)</f>
        <v>2.2250000000000001</v>
      </c>
      <c r="M20" s="82">
        <f>AVERAGE(2.18,2.53,2.74,2.96
)</f>
        <v>2.6025</v>
      </c>
      <c r="N20" s="82">
        <f>AVERAGE(3.08,4.16,4.8,4.4
)</f>
        <v>4.1099999999999994</v>
      </c>
      <c r="O20" s="82">
        <f>AVERAGE(4.01,3.62,3.4,3.98
)</f>
        <v>3.7524999999999999</v>
      </c>
      <c r="P20" s="31" t="s">
        <v>115</v>
      </c>
      <c r="Q20" s="83" t="s">
        <v>78</v>
      </c>
      <c r="R20" s="34" t="s">
        <v>98</v>
      </c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>
      <c r="A21" s="35" t="s">
        <v>117</v>
      </c>
      <c r="B21" s="82">
        <v>2.67</v>
      </c>
      <c r="C21" s="82">
        <v>4.1675000000000004</v>
      </c>
      <c r="D21" s="82">
        <v>3.5525000000000002</v>
      </c>
      <c r="E21" s="82">
        <v>3.5349999999999997</v>
      </c>
      <c r="F21" s="82">
        <v>3.4850000000000003</v>
      </c>
      <c r="G21" s="82">
        <v>2.5549999999999997</v>
      </c>
      <c r="H21" s="82">
        <v>2.0724999999999998</v>
      </c>
      <c r="I21" s="82">
        <v>2.3075000000000001</v>
      </c>
      <c r="J21" s="82">
        <v>2.8025000000000002</v>
      </c>
      <c r="K21" s="82">
        <f>AVERAGE(2.65,2.75,2.71,2.74)</f>
        <v>2.7124999999999999</v>
      </c>
      <c r="L21" s="82">
        <f>AVERAGE(2.71,2.33,2.2,2.13
)</f>
        <v>2.3425000000000002</v>
      </c>
      <c r="M21" s="82">
        <f>AVERAGE(2.35,2.77,2.9,3.1
)</f>
        <v>2.78</v>
      </c>
      <c r="N21" s="82">
        <f>AVERAGE(3.22,4.5,5.02,4.6
)</f>
        <v>4.335</v>
      </c>
      <c r="O21" s="82">
        <f>AVERAGE(4.08,3.78,3.45,4.02
)</f>
        <v>3.8324999999999996</v>
      </c>
      <c r="P21" s="31" t="s">
        <v>115</v>
      </c>
      <c r="Q21" s="83" t="s">
        <v>78</v>
      </c>
      <c r="R21" s="34" t="s">
        <v>98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ht="15.75" customHeight="1">
      <c r="A22" s="35" t="s">
        <v>118</v>
      </c>
      <c r="B22" s="43">
        <v>418.51851851851853</v>
      </c>
      <c r="C22" s="43">
        <v>462.96296296296299</v>
      </c>
      <c r="D22" s="43">
        <v>533.33333333333337</v>
      </c>
      <c r="E22" s="43">
        <v>481.48148148148147</v>
      </c>
      <c r="F22" s="43">
        <v>374.07407407407408</v>
      </c>
      <c r="G22" s="43">
        <v>331.48148148148147</v>
      </c>
      <c r="H22" s="43">
        <v>350.74074074074076</v>
      </c>
      <c r="I22" s="43">
        <v>345.55555555555554</v>
      </c>
      <c r="J22" s="43">
        <v>314.07407407407408</v>
      </c>
      <c r="K22" s="43">
        <v>329.81481277799998</v>
      </c>
      <c r="L22" s="43">
        <f>AVERAGE(317.407,400)</f>
        <v>358.70349999999996</v>
      </c>
      <c r="M22" s="43">
        <f>AVERAGE(400,492.59259)</f>
        <v>446.29629499999999</v>
      </c>
      <c r="N22" s="43">
        <f>AVERAGE(529.62,492.59259)</f>
        <v>511.10629499999999</v>
      </c>
      <c r="O22" s="43">
        <v>529.62</v>
      </c>
      <c r="P22" s="84" t="s">
        <v>68</v>
      </c>
      <c r="Q22" s="55" t="s">
        <v>119</v>
      </c>
      <c r="R22" s="34" t="s">
        <v>120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35" t="s">
        <v>121</v>
      </c>
      <c r="B23" s="36"/>
      <c r="C23" s="36"/>
      <c r="D23" s="36"/>
      <c r="E23" s="36"/>
      <c r="F23" s="32">
        <v>49500</v>
      </c>
      <c r="G23" s="32">
        <v>49500</v>
      </c>
      <c r="H23" s="32">
        <v>61100</v>
      </c>
      <c r="I23" s="32">
        <v>62200</v>
      </c>
      <c r="J23" s="32">
        <v>72300</v>
      </c>
      <c r="K23" s="32">
        <v>67300</v>
      </c>
      <c r="L23" s="32">
        <v>70860</v>
      </c>
      <c r="M23" s="32">
        <v>63900</v>
      </c>
      <c r="N23" s="32">
        <v>63180</v>
      </c>
      <c r="O23" s="32">
        <v>66261</v>
      </c>
      <c r="P23" s="34" t="s">
        <v>122</v>
      </c>
      <c r="Q23" s="64" t="s">
        <v>123</v>
      </c>
      <c r="R23" s="34" t="s">
        <v>98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365"/>
      <c r="O24" s="27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85"/>
      <c r="Q25" s="85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337"/>
      <c r="M26" s="337"/>
      <c r="N26" s="337"/>
      <c r="O26" s="27"/>
      <c r="P26" s="85"/>
      <c r="Q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7"/>
      <c r="P27" s="85"/>
      <c r="Q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7"/>
      <c r="P28" s="85"/>
      <c r="Q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336"/>
      <c r="O29" s="27"/>
      <c r="P29" s="8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K112" s="65"/>
      <c r="L112" s="65"/>
      <c r="M112" s="65"/>
      <c r="N112" s="65"/>
      <c r="O112" s="65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K113" s="65"/>
      <c r="L113" s="65"/>
      <c r="M113" s="65"/>
      <c r="N113" s="65"/>
      <c r="O113" s="65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K114" s="65"/>
      <c r="L114" s="65"/>
      <c r="M114" s="65"/>
      <c r="N114" s="65"/>
      <c r="O114" s="65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K115" s="65"/>
      <c r="L115" s="65"/>
      <c r="M115" s="65"/>
      <c r="N115" s="65"/>
      <c r="O115" s="65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K116" s="65"/>
      <c r="L116" s="65"/>
      <c r="M116" s="65"/>
      <c r="N116" s="65"/>
      <c r="O116" s="65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K117" s="65"/>
      <c r="L117" s="65"/>
      <c r="M117" s="65"/>
      <c r="N117" s="65"/>
      <c r="O117" s="65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K118" s="65"/>
      <c r="L118" s="65"/>
      <c r="M118" s="65"/>
      <c r="N118" s="65"/>
      <c r="O118" s="65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K119" s="65"/>
      <c r="L119" s="65"/>
      <c r="M119" s="65"/>
      <c r="N119" s="65"/>
      <c r="O119" s="65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26"/>
      <c r="C120" s="26"/>
      <c r="D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26"/>
      <c r="C121" s="26"/>
      <c r="D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26"/>
      <c r="D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26"/>
      <c r="D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26"/>
      <c r="D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26"/>
      <c r="D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26"/>
      <c r="D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26"/>
      <c r="D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26"/>
      <c r="D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26"/>
      <c r="D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26"/>
      <c r="C136" s="26"/>
      <c r="D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26"/>
      <c r="C137" s="26"/>
      <c r="D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26"/>
      <c r="C138" s="26"/>
      <c r="D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26"/>
      <c r="C139" s="26"/>
      <c r="D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26"/>
      <c r="C140" s="26"/>
      <c r="D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26"/>
      <c r="C141" s="26"/>
      <c r="D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26"/>
      <c r="C142" s="26"/>
      <c r="D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26"/>
      <c r="C143" s="26"/>
      <c r="D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26"/>
      <c r="C144" s="26"/>
      <c r="D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  <row r="1001" spans="1:30" ht="15.7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</row>
  </sheetData>
  <mergeCells count="1">
    <mergeCell ref="A1:A2"/>
  </mergeCells>
  <hyperlinks>
    <hyperlink ref="Q4" r:id="rId1" xr:uid="{00000000-0004-0000-0300-000000000000}"/>
    <hyperlink ref="Q5" r:id="rId2" xr:uid="{00000000-0004-0000-0300-000001000000}"/>
    <hyperlink ref="Q6" r:id="rId3" xr:uid="{00000000-0004-0000-0300-000002000000}"/>
    <hyperlink ref="Q7" r:id="rId4" xr:uid="{00000000-0004-0000-0300-000003000000}"/>
    <hyperlink ref="Q11" r:id="rId5" xr:uid="{00000000-0004-0000-0300-000004000000}"/>
    <hyperlink ref="Q12" r:id="rId6" xr:uid="{00000000-0004-0000-0300-000005000000}"/>
    <hyperlink ref="Q13" r:id="rId7" xr:uid="{00000000-0004-0000-0300-000006000000}"/>
    <hyperlink ref="Q15" r:id="rId8" xr:uid="{00000000-0004-0000-0300-000007000000}"/>
    <hyperlink ref="Q18" r:id="rId9" xr:uid="{00000000-0004-0000-0300-000008000000}"/>
    <hyperlink ref="Q19" r:id="rId10" xr:uid="{00000000-0004-0000-0300-000009000000}"/>
    <hyperlink ref="Q20" r:id="rId11" xr:uid="{00000000-0004-0000-0300-00000A000000}"/>
    <hyperlink ref="Q21" r:id="rId12" xr:uid="{00000000-0004-0000-0300-00000B000000}"/>
    <hyperlink ref="Q22" r:id="rId13" xr:uid="{00000000-0004-0000-0300-00000C000000}"/>
    <hyperlink ref="Q23" r:id="rId14" xr:uid="{00000000-0004-0000-0300-00000D000000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8306C"/>
  </sheetPr>
  <dimension ref="A1:AM1002"/>
  <sheetViews>
    <sheetView zoomScaleNormal="100" workbookViewId="0">
      <selection activeCell="F66" sqref="F66"/>
    </sheetView>
  </sheetViews>
  <sheetFormatPr defaultColWidth="14.42578125" defaultRowHeight="15" customHeight="1"/>
  <cols>
    <col min="1" max="1" width="48.140625" customWidth="1"/>
    <col min="2" max="11" width="8.7109375" customWidth="1"/>
    <col min="12" max="16" width="9.140625" customWidth="1"/>
    <col min="17" max="17" width="17.28515625" customWidth="1"/>
    <col min="18" max="18" width="76.28515625" customWidth="1"/>
    <col min="19" max="19" width="27.85546875" customWidth="1"/>
    <col min="20" max="39" width="8.7109375" customWidth="1"/>
  </cols>
  <sheetData>
    <row r="1" spans="1:39">
      <c r="A1" s="430" t="s">
        <v>124</v>
      </c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</row>
    <row r="2" spans="1:39">
      <c r="A2" s="432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86"/>
    </row>
    <row r="3" spans="1:39" ht="14.25" customHeight="1">
      <c r="A3" s="51" t="s">
        <v>50</v>
      </c>
      <c r="B3" s="28">
        <v>2009</v>
      </c>
      <c r="C3" s="28">
        <v>2010</v>
      </c>
      <c r="D3" s="28">
        <v>2011</v>
      </c>
      <c r="E3" s="28">
        <v>2012</v>
      </c>
      <c r="F3" s="28">
        <v>2013</v>
      </c>
      <c r="G3" s="28">
        <v>2014</v>
      </c>
      <c r="H3" s="28">
        <v>2015</v>
      </c>
      <c r="I3" s="28">
        <v>2016</v>
      </c>
      <c r="J3" s="28">
        <v>2017</v>
      </c>
      <c r="K3" s="28">
        <v>2018</v>
      </c>
      <c r="L3" s="28">
        <v>2019</v>
      </c>
      <c r="M3" s="28">
        <v>2020</v>
      </c>
      <c r="N3" s="28">
        <v>2021</v>
      </c>
      <c r="O3" s="28">
        <v>2022</v>
      </c>
      <c r="P3" s="28">
        <v>2023</v>
      </c>
      <c r="Q3" s="29" t="s">
        <v>21</v>
      </c>
      <c r="R3" s="29" t="s">
        <v>22</v>
      </c>
      <c r="S3" s="29" t="s">
        <v>23</v>
      </c>
    </row>
    <row r="4" spans="1:39">
      <c r="A4" s="218" t="s">
        <v>125</v>
      </c>
      <c r="B4" s="219"/>
      <c r="C4" s="219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1"/>
      <c r="R4" s="222"/>
      <c r="S4" s="87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</row>
    <row r="5" spans="1:39">
      <c r="A5" s="35" t="s">
        <v>126</v>
      </c>
      <c r="B5" s="36"/>
      <c r="C5" s="36"/>
      <c r="D5" s="43">
        <v>1004.9</v>
      </c>
      <c r="E5" s="43">
        <v>1025.2</v>
      </c>
      <c r="F5" s="43">
        <v>1040.2</v>
      </c>
      <c r="G5" s="43">
        <v>1056.5</v>
      </c>
      <c r="H5" s="43">
        <v>1088.8</v>
      </c>
      <c r="I5" s="43">
        <v>1113.3</v>
      </c>
      <c r="J5" s="43">
        <v>1095.3</v>
      </c>
      <c r="K5" s="43">
        <v>1025.5999999999999</v>
      </c>
      <c r="L5" s="43">
        <v>1133.9000000000001</v>
      </c>
      <c r="M5" s="43">
        <v>1146.5</v>
      </c>
      <c r="N5" s="43">
        <v>957.1</v>
      </c>
      <c r="O5" s="43">
        <v>918</v>
      </c>
      <c r="P5" s="43">
        <v>1039.5999999999999</v>
      </c>
      <c r="Q5" s="35" t="s">
        <v>127</v>
      </c>
      <c r="R5" s="71" t="s">
        <v>510</v>
      </c>
      <c r="S5" s="34" t="s">
        <v>511</v>
      </c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</row>
    <row r="6" spans="1:39">
      <c r="A6" s="35" t="s">
        <v>128</v>
      </c>
      <c r="B6" s="36"/>
      <c r="C6" s="36"/>
      <c r="D6" s="43">
        <v>2646.2</v>
      </c>
      <c r="E6" s="43">
        <v>2608.6999999999998</v>
      </c>
      <c r="F6" s="43">
        <v>2589.3000000000002</v>
      </c>
      <c r="G6" s="43">
        <v>2441.4</v>
      </c>
      <c r="H6" s="43">
        <v>2385.6999999999998</v>
      </c>
      <c r="I6" s="43">
        <v>2559.5</v>
      </c>
      <c r="J6" s="43">
        <v>2594.9</v>
      </c>
      <c r="K6" s="43">
        <v>2770.8</v>
      </c>
      <c r="L6" s="43">
        <v>2767.4</v>
      </c>
      <c r="M6" s="43">
        <v>2601.9</v>
      </c>
      <c r="N6" s="43">
        <v>2860.8</v>
      </c>
      <c r="O6" s="43">
        <v>2834.2</v>
      </c>
      <c r="P6" s="43">
        <v>2793.1</v>
      </c>
      <c r="Q6" s="35" t="s">
        <v>127</v>
      </c>
      <c r="R6" s="71" t="s">
        <v>510</v>
      </c>
      <c r="S6" s="34" t="s">
        <v>511</v>
      </c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</row>
    <row r="7" spans="1:39">
      <c r="A7" s="35" t="s">
        <v>129</v>
      </c>
      <c r="B7" s="36"/>
      <c r="C7" s="36"/>
      <c r="D7" s="43">
        <v>721.5</v>
      </c>
      <c r="E7" s="43">
        <v>720</v>
      </c>
      <c r="F7" s="43">
        <v>718</v>
      </c>
      <c r="G7" s="43">
        <v>707.3</v>
      </c>
      <c r="H7" s="43">
        <v>758.7</v>
      </c>
      <c r="I7" s="43">
        <v>787.6</v>
      </c>
      <c r="J7" s="43">
        <v>750.5</v>
      </c>
      <c r="K7" s="43">
        <v>736.8</v>
      </c>
      <c r="L7" s="43">
        <v>768.9</v>
      </c>
      <c r="M7" s="43">
        <v>734.2</v>
      </c>
      <c r="N7" s="43">
        <v>697.6</v>
      </c>
      <c r="O7" s="43">
        <v>745.9</v>
      </c>
      <c r="P7" s="43">
        <v>741</v>
      </c>
      <c r="Q7" s="35" t="s">
        <v>127</v>
      </c>
      <c r="R7" s="71" t="s">
        <v>510</v>
      </c>
      <c r="S7" s="34" t="s">
        <v>511</v>
      </c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</row>
    <row r="8" spans="1:39">
      <c r="A8" s="35" t="s">
        <v>130</v>
      </c>
      <c r="B8" s="36"/>
      <c r="C8" s="36"/>
      <c r="D8" s="43">
        <v>906.4</v>
      </c>
      <c r="E8" s="43">
        <v>885.9</v>
      </c>
      <c r="F8" s="43">
        <v>896.4</v>
      </c>
      <c r="G8" s="43">
        <v>933.2</v>
      </c>
      <c r="H8" s="43">
        <v>926.4</v>
      </c>
      <c r="I8" s="43">
        <v>916.4</v>
      </c>
      <c r="J8" s="43">
        <v>913</v>
      </c>
      <c r="K8" s="43">
        <v>990.7</v>
      </c>
      <c r="L8" s="43">
        <v>1348.3</v>
      </c>
      <c r="M8" s="43">
        <v>1346</v>
      </c>
      <c r="N8" s="43">
        <v>1349.9</v>
      </c>
      <c r="O8" s="43">
        <v>1359.3</v>
      </c>
      <c r="P8" s="36"/>
      <c r="Q8" s="35" t="s">
        <v>127</v>
      </c>
      <c r="R8" s="223" t="s">
        <v>510</v>
      </c>
      <c r="S8" s="34" t="s">
        <v>511</v>
      </c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</row>
    <row r="9" spans="1:39">
      <c r="A9" s="35" t="s">
        <v>132</v>
      </c>
      <c r="B9" s="36"/>
      <c r="C9" s="36"/>
      <c r="D9" s="43">
        <v>345.2</v>
      </c>
      <c r="E9" s="43">
        <v>348.6</v>
      </c>
      <c r="F9" s="43">
        <v>346.7</v>
      </c>
      <c r="G9" s="43">
        <v>333.9</v>
      </c>
      <c r="H9" s="43">
        <v>341.7</v>
      </c>
      <c r="I9" s="43">
        <v>336</v>
      </c>
      <c r="J9" s="43">
        <v>369.2</v>
      </c>
      <c r="K9" s="43">
        <v>285.89999999999998</v>
      </c>
      <c r="L9" s="43">
        <v>209.4</v>
      </c>
      <c r="M9" s="43">
        <v>207.2</v>
      </c>
      <c r="N9" s="43">
        <v>229.2</v>
      </c>
      <c r="O9" s="43">
        <v>175.6</v>
      </c>
      <c r="P9" s="43">
        <v>135.19999999999999</v>
      </c>
      <c r="Q9" s="35" t="s">
        <v>127</v>
      </c>
      <c r="R9" s="64" t="s">
        <v>510</v>
      </c>
      <c r="S9" s="34" t="s">
        <v>511</v>
      </c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</row>
    <row r="10" spans="1:39">
      <c r="A10" s="218" t="s">
        <v>133</v>
      </c>
      <c r="B10" s="51">
        <v>2009</v>
      </c>
      <c r="C10" s="51">
        <v>2010</v>
      </c>
      <c r="D10" s="51">
        <v>2011</v>
      </c>
      <c r="E10" s="51">
        <v>2012</v>
      </c>
      <c r="F10" s="51">
        <v>2013</v>
      </c>
      <c r="G10" s="51">
        <v>2014</v>
      </c>
      <c r="H10" s="51">
        <v>2015</v>
      </c>
      <c r="I10" s="51">
        <v>2016</v>
      </c>
      <c r="J10" s="51">
        <v>2017</v>
      </c>
      <c r="K10" s="51">
        <v>2018</v>
      </c>
      <c r="L10" s="28">
        <v>2019</v>
      </c>
      <c r="M10" s="28">
        <v>2020</v>
      </c>
      <c r="N10" s="28">
        <v>2021</v>
      </c>
      <c r="O10" s="28">
        <v>2022</v>
      </c>
      <c r="P10" s="28">
        <v>2023</v>
      </c>
      <c r="Q10" s="35"/>
      <c r="R10" s="55"/>
      <c r="S10" s="87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</row>
    <row r="11" spans="1:39">
      <c r="A11" s="35" t="s">
        <v>126</v>
      </c>
      <c r="B11" s="36"/>
      <c r="C11" s="36"/>
      <c r="D11" s="43">
        <v>896</v>
      </c>
      <c r="E11" s="43">
        <v>931.4</v>
      </c>
      <c r="F11" s="43">
        <v>952.6</v>
      </c>
      <c r="G11" s="43">
        <v>959</v>
      </c>
      <c r="H11" s="43">
        <v>983.7</v>
      </c>
      <c r="I11" s="43">
        <v>999.4</v>
      </c>
      <c r="J11" s="43">
        <v>1000.9</v>
      </c>
      <c r="K11" s="43">
        <v>979.4</v>
      </c>
      <c r="L11" s="32">
        <v>74.099999999999994</v>
      </c>
      <c r="M11" s="32">
        <v>78.5</v>
      </c>
      <c r="N11" s="342">
        <v>139.4</v>
      </c>
      <c r="O11" s="342">
        <v>73.3</v>
      </c>
      <c r="P11" s="36"/>
      <c r="Q11" s="35" t="s">
        <v>127</v>
      </c>
      <c r="R11" s="64" t="s">
        <v>131</v>
      </c>
      <c r="S11" s="87" t="s">
        <v>27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</row>
    <row r="12" spans="1:39">
      <c r="A12" s="35" t="s">
        <v>128</v>
      </c>
      <c r="B12" s="36"/>
      <c r="C12" s="36"/>
      <c r="D12" s="43">
        <v>1792.3</v>
      </c>
      <c r="E12" s="43">
        <v>1934.5</v>
      </c>
      <c r="F12" s="43">
        <v>1990.3</v>
      </c>
      <c r="G12" s="43">
        <v>1899.6</v>
      </c>
      <c r="H12" s="43">
        <v>1846.8</v>
      </c>
      <c r="I12" s="43">
        <v>2084.4</v>
      </c>
      <c r="J12" s="43">
        <v>2116.1</v>
      </c>
      <c r="K12" s="43">
        <v>2150</v>
      </c>
      <c r="L12" s="43">
        <v>132.6</v>
      </c>
      <c r="M12" s="43">
        <v>166.9</v>
      </c>
      <c r="N12" s="343">
        <v>604.70000000000005</v>
      </c>
      <c r="O12" s="343">
        <v>794.6</v>
      </c>
      <c r="P12" s="36"/>
      <c r="Q12" s="35" t="s">
        <v>127</v>
      </c>
      <c r="R12" s="224" t="s">
        <v>131</v>
      </c>
      <c r="S12" s="87" t="s">
        <v>27</v>
      </c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</row>
    <row r="13" spans="1:39">
      <c r="A13" s="35" t="s">
        <v>129</v>
      </c>
      <c r="B13" s="36"/>
      <c r="C13" s="36"/>
      <c r="D13" s="43">
        <v>442.4</v>
      </c>
      <c r="E13" s="43">
        <v>526.4</v>
      </c>
      <c r="F13" s="43">
        <v>498.5</v>
      </c>
      <c r="G13" s="43">
        <v>492.5</v>
      </c>
      <c r="H13" s="43">
        <v>505.9</v>
      </c>
      <c r="I13" s="43">
        <v>534.79999999999995</v>
      </c>
      <c r="J13" s="43">
        <v>491.4</v>
      </c>
      <c r="K13" s="43">
        <v>475</v>
      </c>
      <c r="L13" s="43">
        <v>243.2</v>
      </c>
      <c r="M13" s="43">
        <v>277.60000000000002</v>
      </c>
      <c r="N13" s="343">
        <v>314.8</v>
      </c>
      <c r="O13" s="343">
        <v>300.2</v>
      </c>
      <c r="P13" s="36"/>
      <c r="Q13" s="35" t="s">
        <v>127</v>
      </c>
      <c r="R13" s="225" t="s">
        <v>134</v>
      </c>
      <c r="S13" s="87" t="s">
        <v>27</v>
      </c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spans="1:39">
      <c r="A14" s="35" t="s">
        <v>130</v>
      </c>
      <c r="B14" s="36"/>
      <c r="C14" s="36"/>
      <c r="D14" s="43">
        <v>126.5</v>
      </c>
      <c r="E14" s="43">
        <v>146</v>
      </c>
      <c r="F14" s="43">
        <v>80.599999999999994</v>
      </c>
      <c r="G14" s="43">
        <v>123.7</v>
      </c>
      <c r="H14" s="43">
        <v>126.5</v>
      </c>
      <c r="I14" s="43">
        <v>23.1</v>
      </c>
      <c r="J14" s="43">
        <v>0</v>
      </c>
      <c r="K14" s="43">
        <v>0</v>
      </c>
      <c r="L14" s="43">
        <v>655.7</v>
      </c>
      <c r="M14" s="43">
        <v>477.6</v>
      </c>
      <c r="N14" s="343">
        <v>1535.2</v>
      </c>
      <c r="O14" s="343">
        <v>2273.1</v>
      </c>
      <c r="P14" s="36"/>
      <c r="Q14" s="35" t="s">
        <v>127</v>
      </c>
      <c r="R14" s="223" t="s">
        <v>131</v>
      </c>
      <c r="S14" s="87" t="s">
        <v>27</v>
      </c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</row>
    <row r="15" spans="1:39">
      <c r="A15" s="44" t="s">
        <v>135</v>
      </c>
      <c r="B15" s="36"/>
      <c r="C15" s="36"/>
      <c r="D15" s="89">
        <f t="shared" ref="D15:O15" si="0">SUM(D11:D14)</f>
        <v>3257.2000000000003</v>
      </c>
      <c r="E15" s="89">
        <f t="shared" si="0"/>
        <v>3538.3</v>
      </c>
      <c r="F15" s="89">
        <f t="shared" si="0"/>
        <v>3522</v>
      </c>
      <c r="G15" s="89">
        <f t="shared" si="0"/>
        <v>3474.7999999999997</v>
      </c>
      <c r="H15" s="89">
        <f t="shared" si="0"/>
        <v>3462.9</v>
      </c>
      <c r="I15" s="89">
        <f t="shared" si="0"/>
        <v>3641.7000000000003</v>
      </c>
      <c r="J15" s="89">
        <f t="shared" si="0"/>
        <v>3608.4</v>
      </c>
      <c r="K15" s="89">
        <f t="shared" si="0"/>
        <v>3604.4</v>
      </c>
      <c r="L15" s="89">
        <f t="shared" si="0"/>
        <v>1105.5999999999999</v>
      </c>
      <c r="M15" s="89">
        <f t="shared" si="0"/>
        <v>1000.6</v>
      </c>
      <c r="N15" s="89">
        <f t="shared" ref="N15" si="1">SUM(N11:N14)</f>
        <v>2594.1000000000004</v>
      </c>
      <c r="O15" s="89">
        <f t="shared" si="0"/>
        <v>3441.2</v>
      </c>
      <c r="P15" s="36"/>
      <c r="Q15" s="35" t="s">
        <v>136</v>
      </c>
      <c r="R15" s="64"/>
      <c r="S15" s="87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</row>
    <row r="16" spans="1:39">
      <c r="A16" s="218" t="s">
        <v>137</v>
      </c>
      <c r="B16" s="51">
        <v>2009</v>
      </c>
      <c r="C16" s="51">
        <v>2010</v>
      </c>
      <c r="D16" s="51">
        <v>2011</v>
      </c>
      <c r="E16" s="51">
        <v>2012</v>
      </c>
      <c r="F16" s="51">
        <v>2013</v>
      </c>
      <c r="G16" s="51">
        <v>2014</v>
      </c>
      <c r="H16" s="51">
        <v>2015</v>
      </c>
      <c r="I16" s="51">
        <v>2016</v>
      </c>
      <c r="J16" s="51">
        <v>2017</v>
      </c>
      <c r="K16" s="51">
        <v>2018</v>
      </c>
      <c r="L16" s="28">
        <v>2019</v>
      </c>
      <c r="M16" s="28">
        <v>2020</v>
      </c>
      <c r="N16" s="28">
        <v>2021</v>
      </c>
      <c r="O16" s="28">
        <v>2022</v>
      </c>
      <c r="P16" s="28">
        <v>2023</v>
      </c>
      <c r="Q16" s="226"/>
      <c r="R16" s="55"/>
      <c r="S16" s="87"/>
    </row>
    <row r="17" spans="1:39" ht="45">
      <c r="A17" s="35" t="s">
        <v>138</v>
      </c>
      <c r="B17" s="43">
        <v>61.234987222299331</v>
      </c>
      <c r="C17" s="43">
        <v>45.359249794295806</v>
      </c>
      <c r="D17" s="43">
        <v>108.86219950630993</v>
      </c>
      <c r="E17" s="43">
        <v>79.832279637960625</v>
      </c>
      <c r="F17" s="43">
        <v>73.028392168816254</v>
      </c>
      <c r="G17" s="43">
        <v>79.832279637960625</v>
      </c>
      <c r="H17" s="43">
        <v>89.35772209476275</v>
      </c>
      <c r="I17" s="43">
        <v>99.790349547450759</v>
      </c>
      <c r="J17" s="43">
        <v>72.121207172930326</v>
      </c>
      <c r="K17" s="43">
        <v>51.255952267554257</v>
      </c>
      <c r="L17" s="43">
        <v>73.934229017034895</v>
      </c>
      <c r="M17" s="43">
        <v>78.471502144131705</v>
      </c>
      <c r="N17" s="43">
        <v>139.70648936643099</v>
      </c>
      <c r="O17" s="43">
        <v>73.481984666759203</v>
      </c>
      <c r="P17" s="43">
        <v>76.801000000000002</v>
      </c>
      <c r="Q17" s="35" t="s">
        <v>52</v>
      </c>
      <c r="R17" s="378" t="s">
        <v>139</v>
      </c>
      <c r="S17" s="87" t="s">
        <v>140</v>
      </c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</row>
    <row r="18" spans="1:39" ht="45">
      <c r="A18" s="35" t="s">
        <v>141</v>
      </c>
      <c r="B18" s="43">
        <v>240.85761640771071</v>
      </c>
      <c r="C18" s="43">
        <v>77.11072465030287</v>
      </c>
      <c r="D18" s="43">
        <v>195.4983666134149</v>
      </c>
      <c r="E18" s="43">
        <v>174.63311170803883</v>
      </c>
      <c r="F18" s="43">
        <v>210.92051154347547</v>
      </c>
      <c r="G18" s="43">
        <v>172.36514921832406</v>
      </c>
      <c r="H18" s="43">
        <v>195.04477411547197</v>
      </c>
      <c r="I18" s="43">
        <v>150.59270931706206</v>
      </c>
      <c r="J18" s="43">
        <v>156.48941179032053</v>
      </c>
      <c r="K18" s="43">
        <v>219.5387690043917</v>
      </c>
      <c r="L18" s="43">
        <v>132.4465943127251</v>
      </c>
      <c r="M18" s="43">
        <v>166.92203924300799</v>
      </c>
      <c r="N18" s="43">
        <v>734.81984666759195</v>
      </c>
      <c r="O18" s="43">
        <v>898.56673842499902</v>
      </c>
      <c r="P18" s="43">
        <v>1904.018</v>
      </c>
      <c r="Q18" s="35" t="s">
        <v>52</v>
      </c>
      <c r="R18" s="290" t="s">
        <v>142</v>
      </c>
      <c r="S18" s="87" t="s">
        <v>140</v>
      </c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</row>
    <row r="19" spans="1:39" ht="45">
      <c r="A19" s="35" t="s">
        <v>143</v>
      </c>
      <c r="B19" s="43">
        <v>151.49989431294802</v>
      </c>
      <c r="C19" s="43">
        <v>151.04630181500505</v>
      </c>
      <c r="D19" s="43">
        <v>241.76480140359661</v>
      </c>
      <c r="E19" s="43">
        <v>185.06573916072688</v>
      </c>
      <c r="F19" s="43">
        <v>212.28128903730436</v>
      </c>
      <c r="G19" s="43">
        <v>193.6839966216431</v>
      </c>
      <c r="H19" s="43">
        <v>267.16598128840229</v>
      </c>
      <c r="I19" s="43">
        <v>262.17646381102975</v>
      </c>
      <c r="J19" s="43">
        <v>268.07316628428822</v>
      </c>
      <c r="K19" s="43">
        <v>280.32016372874807</v>
      </c>
      <c r="L19" s="43">
        <v>243.12114572472822</v>
      </c>
      <c r="M19" s="43">
        <v>277.59860874109</v>
      </c>
      <c r="N19" s="43">
        <v>315.24678607035497</v>
      </c>
      <c r="O19" s="43">
        <v>301.18541863412401</v>
      </c>
      <c r="P19" s="43">
        <v>270.27</v>
      </c>
      <c r="Q19" s="35" t="s">
        <v>52</v>
      </c>
      <c r="R19" s="290" t="s">
        <v>142</v>
      </c>
      <c r="S19" s="87" t="s">
        <v>140</v>
      </c>
      <c r="AF19" s="228"/>
      <c r="AG19" s="228"/>
      <c r="AH19" s="228"/>
      <c r="AI19" s="228"/>
      <c r="AJ19" s="228"/>
      <c r="AK19" s="228"/>
    </row>
    <row r="20" spans="1:39" ht="45">
      <c r="A20" s="35" t="s">
        <v>144</v>
      </c>
      <c r="B20" s="43">
        <v>70.760429679101463</v>
      </c>
      <c r="C20" s="43">
        <v>111.58375449396769</v>
      </c>
      <c r="D20" s="43">
        <v>213.64206653113325</v>
      </c>
      <c r="E20" s="43">
        <v>303.90697362178184</v>
      </c>
      <c r="F20" s="43">
        <v>474.45775284833417</v>
      </c>
      <c r="G20" s="43">
        <v>487.15834279073698</v>
      </c>
      <c r="H20" s="43">
        <v>568.80499242046949</v>
      </c>
      <c r="I20" s="43">
        <v>630.03997964276869</v>
      </c>
      <c r="J20" s="43">
        <v>667.23456447409137</v>
      </c>
      <c r="K20" s="43">
        <v>756.59228656885398</v>
      </c>
      <c r="L20" s="43">
        <v>655.42920815714979</v>
      </c>
      <c r="M20" s="43">
        <v>477.632900333934</v>
      </c>
      <c r="N20" s="43">
        <v>1539.4929380184001</v>
      </c>
      <c r="O20" s="43">
        <v>2272.0448221962702</v>
      </c>
      <c r="P20" s="43">
        <v>3092.8</v>
      </c>
      <c r="Q20" s="35" t="s">
        <v>52</v>
      </c>
      <c r="R20" s="190" t="s">
        <v>142</v>
      </c>
      <c r="S20" s="87" t="s">
        <v>140</v>
      </c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</row>
    <row r="21" spans="1:39" ht="45">
      <c r="A21" s="35" t="s">
        <v>145</v>
      </c>
      <c r="B21" s="43">
        <v>37.648177329265515</v>
      </c>
      <c r="C21" s="43">
        <v>37.194584831322565</v>
      </c>
      <c r="D21" s="43">
        <v>127.00589942402827</v>
      </c>
      <c r="E21" s="43">
        <v>152.86067180677688</v>
      </c>
      <c r="F21" s="43">
        <v>148.3247468273473</v>
      </c>
      <c r="G21" s="43">
        <v>97.975979555678947</v>
      </c>
      <c r="H21" s="43">
        <v>80.739464633846524</v>
      </c>
      <c r="I21" s="43">
        <v>31.297882358064104</v>
      </c>
      <c r="J21" s="43">
        <v>29.02991986834931</v>
      </c>
      <c r="K21" s="43">
        <v>100.24394204539374</v>
      </c>
      <c r="L21" s="43" t="s">
        <v>146</v>
      </c>
      <c r="M21" s="43">
        <v>16.782922423889399</v>
      </c>
      <c r="N21" s="43">
        <v>35.833807337493603</v>
      </c>
      <c r="O21" s="43">
        <v>28.130671506352002</v>
      </c>
      <c r="P21" s="43">
        <v>35.700000000000003</v>
      </c>
      <c r="Q21" s="35" t="s">
        <v>52</v>
      </c>
      <c r="R21" s="55" t="s">
        <v>142</v>
      </c>
      <c r="S21" s="87" t="s">
        <v>140</v>
      </c>
      <c r="AF21" s="228"/>
      <c r="AG21" s="228"/>
      <c r="AH21" s="228"/>
      <c r="AI21" s="228"/>
      <c r="AJ21" s="228"/>
      <c r="AK21" s="228"/>
    </row>
    <row r="22" spans="1:39" ht="15.75" customHeight="1">
      <c r="A22" s="44" t="s">
        <v>135</v>
      </c>
      <c r="B22" s="89">
        <f t="shared" ref="B22:P22" si="2">SUM(B17:B21)</f>
        <v>562.00110495132503</v>
      </c>
      <c r="C22" s="89">
        <f t="shared" si="2"/>
        <v>422.29461558489402</v>
      </c>
      <c r="D22" s="89">
        <f t="shared" si="2"/>
        <v>886.77333347848298</v>
      </c>
      <c r="E22" s="89">
        <f t="shared" si="2"/>
        <v>896.29877593528499</v>
      </c>
      <c r="F22" s="89">
        <f t="shared" si="2"/>
        <v>1119.0126924252775</v>
      </c>
      <c r="G22" s="89">
        <f t="shared" si="2"/>
        <v>1031.0157478243439</v>
      </c>
      <c r="H22" s="89">
        <f t="shared" si="2"/>
        <v>1201.112934552953</v>
      </c>
      <c r="I22" s="89">
        <f t="shared" si="2"/>
        <v>1173.8973846763754</v>
      </c>
      <c r="J22" s="89">
        <f t="shared" si="2"/>
        <v>1192.9482695899796</v>
      </c>
      <c r="K22" s="89">
        <f t="shared" si="2"/>
        <v>1407.9511136149417</v>
      </c>
      <c r="L22" s="89">
        <f t="shared" si="2"/>
        <v>1104.931177211638</v>
      </c>
      <c r="M22" s="89">
        <f t="shared" si="2"/>
        <v>1017.4079728860531</v>
      </c>
      <c r="N22" s="89">
        <f t="shared" si="2"/>
        <v>2765.0998674602715</v>
      </c>
      <c r="O22" s="89">
        <f t="shared" si="2"/>
        <v>3573.4096354285043</v>
      </c>
      <c r="P22" s="89">
        <f t="shared" si="2"/>
        <v>5379.5889999999999</v>
      </c>
      <c r="Q22" s="221" t="s">
        <v>136</v>
      </c>
      <c r="R22" s="229"/>
      <c r="S22" s="87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</row>
    <row r="23" spans="1:39" ht="15.75" customHeight="1">
      <c r="A23" s="218" t="s">
        <v>147</v>
      </c>
      <c r="B23" s="51">
        <v>2009</v>
      </c>
      <c r="C23" s="51">
        <v>2010</v>
      </c>
      <c r="D23" s="51">
        <v>2011</v>
      </c>
      <c r="E23" s="51">
        <v>2012</v>
      </c>
      <c r="F23" s="51">
        <v>2013</v>
      </c>
      <c r="G23" s="51">
        <v>2014</v>
      </c>
      <c r="H23" s="51">
        <v>2015</v>
      </c>
      <c r="I23" s="51">
        <v>2016</v>
      </c>
      <c r="J23" s="51">
        <v>2017</v>
      </c>
      <c r="K23" s="51">
        <v>2018</v>
      </c>
      <c r="L23" s="230">
        <v>2019</v>
      </c>
      <c r="M23" s="28">
        <v>2020</v>
      </c>
      <c r="N23" s="28">
        <v>2021</v>
      </c>
      <c r="O23" s="28">
        <v>2022</v>
      </c>
      <c r="P23" s="28">
        <v>2023</v>
      </c>
      <c r="Q23" s="231"/>
      <c r="R23" s="222"/>
      <c r="S23" s="87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</row>
    <row r="24" spans="1:39" ht="15.75" customHeight="1">
      <c r="A24" s="35" t="s">
        <v>126</v>
      </c>
      <c r="B24" s="36"/>
      <c r="C24" s="36"/>
      <c r="D24" s="36"/>
      <c r="E24" s="43">
        <v>14.5</v>
      </c>
      <c r="F24" s="43">
        <v>14.9</v>
      </c>
      <c r="G24" s="43">
        <v>18.399999999999999</v>
      </c>
      <c r="H24" s="43">
        <v>16.399999999999999</v>
      </c>
      <c r="I24" s="43">
        <v>14.7</v>
      </c>
      <c r="J24" s="43">
        <v>16.100000000000001</v>
      </c>
      <c r="K24" s="43">
        <v>14.8</v>
      </c>
      <c r="L24" s="43">
        <v>12.9</v>
      </c>
      <c r="M24" s="43">
        <v>19</v>
      </c>
      <c r="N24" s="43">
        <v>17</v>
      </c>
      <c r="O24" s="43">
        <v>17</v>
      </c>
      <c r="P24" s="43">
        <v>19.2</v>
      </c>
      <c r="Q24" s="35" t="s">
        <v>127</v>
      </c>
      <c r="R24" s="71" t="s">
        <v>510</v>
      </c>
      <c r="S24" s="34" t="s">
        <v>511</v>
      </c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</row>
    <row r="25" spans="1:39" ht="15.75" customHeight="1">
      <c r="A25" s="35" t="s">
        <v>128</v>
      </c>
      <c r="B25" s="36"/>
      <c r="C25" s="36"/>
      <c r="D25" s="43">
        <f>598.4+60</f>
        <v>658.4</v>
      </c>
      <c r="E25" s="43">
        <f>486.7+75.4</f>
        <v>562.1</v>
      </c>
      <c r="F25" s="43">
        <v>453.4</v>
      </c>
      <c r="G25" s="43">
        <v>443.3</v>
      </c>
      <c r="H25" s="43">
        <v>407.90000000000003</v>
      </c>
      <c r="I25" s="43">
        <v>403.4</v>
      </c>
      <c r="J25" s="43">
        <v>402.3</v>
      </c>
      <c r="K25" s="43">
        <v>445.4</v>
      </c>
      <c r="L25" s="43">
        <f>301+121.4</f>
        <v>422.4</v>
      </c>
      <c r="M25" s="43">
        <v>299.7</v>
      </c>
      <c r="N25" s="43">
        <v>187.7</v>
      </c>
      <c r="O25" s="43">
        <v>214.6</v>
      </c>
      <c r="P25" s="43">
        <f>108.4+45.7</f>
        <v>154.10000000000002</v>
      </c>
      <c r="Q25" s="35" t="s">
        <v>127</v>
      </c>
      <c r="R25" s="71" t="s">
        <v>510</v>
      </c>
      <c r="S25" s="34" t="s">
        <v>511</v>
      </c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</row>
    <row r="26" spans="1:39" ht="15.75" customHeight="1">
      <c r="A26" s="35" t="s">
        <v>129</v>
      </c>
      <c r="B26" s="36"/>
      <c r="C26" s="36"/>
      <c r="D26" s="43">
        <f>34.8+2.5</f>
        <v>37.299999999999997</v>
      </c>
      <c r="E26" s="43">
        <f>24.8+1.4</f>
        <v>26.2</v>
      </c>
      <c r="F26" s="43">
        <v>29.9</v>
      </c>
      <c r="G26" s="43">
        <v>22</v>
      </c>
      <c r="H26" s="43">
        <v>20</v>
      </c>
      <c r="I26" s="43">
        <v>19.5</v>
      </c>
      <c r="J26" s="43">
        <v>18</v>
      </c>
      <c r="K26" s="43">
        <v>17.2</v>
      </c>
      <c r="L26" s="43">
        <v>22.5</v>
      </c>
      <c r="M26" s="43">
        <v>18.100000000000001</v>
      </c>
      <c r="N26" s="43">
        <v>81.3</v>
      </c>
      <c r="O26" s="43">
        <v>26.7</v>
      </c>
      <c r="P26" s="43">
        <v>0.107</v>
      </c>
      <c r="Q26" s="35" t="s">
        <v>127</v>
      </c>
      <c r="R26" s="71" t="s">
        <v>510</v>
      </c>
      <c r="S26" s="34" t="s">
        <v>511</v>
      </c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</row>
    <row r="27" spans="1:39" ht="15.75" customHeight="1">
      <c r="A27" s="35" t="s">
        <v>130</v>
      </c>
      <c r="B27" s="36"/>
      <c r="C27" s="36"/>
      <c r="D27" s="285">
        <v>566.20000000000005</v>
      </c>
      <c r="E27" s="285">
        <v>452.1</v>
      </c>
      <c r="F27" s="285">
        <v>361</v>
      </c>
      <c r="G27" s="285">
        <v>333.1</v>
      </c>
      <c r="H27" s="285">
        <v>253</v>
      </c>
      <c r="I27" s="285">
        <v>286.2</v>
      </c>
      <c r="J27" s="285">
        <v>300.2</v>
      </c>
      <c r="K27" s="285">
        <v>360.7</v>
      </c>
      <c r="L27" s="285">
        <v>448.2</v>
      </c>
      <c r="M27" s="285">
        <v>766.3</v>
      </c>
      <c r="N27" s="285">
        <v>761.1</v>
      </c>
      <c r="O27" s="285">
        <v>489.9</v>
      </c>
      <c r="P27" s="285">
        <v>192.4</v>
      </c>
      <c r="Q27" s="35" t="s">
        <v>127</v>
      </c>
      <c r="R27" s="71" t="s">
        <v>510</v>
      </c>
      <c r="S27" s="34" t="s">
        <v>511</v>
      </c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</row>
    <row r="28" spans="1:39" ht="15.75" customHeight="1">
      <c r="A28" s="44" t="s">
        <v>135</v>
      </c>
      <c r="B28" s="36"/>
      <c r="C28" s="164"/>
      <c r="D28" s="205">
        <f t="shared" ref="D28:O28" si="3">SUM(D24:D27)</f>
        <v>1261.9000000000001</v>
      </c>
      <c r="E28" s="205">
        <f t="shared" si="3"/>
        <v>1054.9000000000001</v>
      </c>
      <c r="F28" s="205">
        <f t="shared" si="3"/>
        <v>859.19999999999993</v>
      </c>
      <c r="G28" s="205">
        <f t="shared" si="3"/>
        <v>816.8</v>
      </c>
      <c r="H28" s="205">
        <f t="shared" si="3"/>
        <v>697.3</v>
      </c>
      <c r="I28" s="205">
        <f t="shared" si="3"/>
        <v>723.8</v>
      </c>
      <c r="J28" s="205">
        <f t="shared" si="3"/>
        <v>736.6</v>
      </c>
      <c r="K28" s="205">
        <f t="shared" si="3"/>
        <v>838.09999999999991</v>
      </c>
      <c r="L28" s="205">
        <f t="shared" si="3"/>
        <v>906</v>
      </c>
      <c r="M28" s="205">
        <f t="shared" si="3"/>
        <v>1103.0999999999999</v>
      </c>
      <c r="N28" s="205">
        <f t="shared" si="3"/>
        <v>1047.0999999999999</v>
      </c>
      <c r="O28" s="205">
        <f t="shared" si="3"/>
        <v>748.2</v>
      </c>
      <c r="P28" s="205">
        <f>SUM(P24:P27)</f>
        <v>365.80700000000002</v>
      </c>
      <c r="Q28" s="221" t="s">
        <v>136</v>
      </c>
      <c r="R28" s="338"/>
      <c r="S28" s="320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</row>
    <row r="29" spans="1:39" ht="15.75" customHeight="1">
      <c r="A29" s="218" t="s">
        <v>148</v>
      </c>
      <c r="B29" s="51">
        <v>2009</v>
      </c>
      <c r="C29" s="339">
        <v>2010</v>
      </c>
      <c r="D29" s="287">
        <v>2011</v>
      </c>
      <c r="E29" s="287">
        <v>2012</v>
      </c>
      <c r="F29" s="287">
        <v>2013</v>
      </c>
      <c r="G29" s="287">
        <v>2014</v>
      </c>
      <c r="H29" s="287">
        <v>2015</v>
      </c>
      <c r="I29" s="287">
        <v>2016</v>
      </c>
      <c r="J29" s="287">
        <v>2017</v>
      </c>
      <c r="K29" s="287">
        <v>2018</v>
      </c>
      <c r="L29" s="287">
        <v>2019</v>
      </c>
      <c r="M29" s="287">
        <v>2020</v>
      </c>
      <c r="N29" s="287">
        <v>2021</v>
      </c>
      <c r="O29" s="287">
        <v>2022</v>
      </c>
      <c r="P29" s="287">
        <v>2023</v>
      </c>
      <c r="Q29" s="231"/>
      <c r="R29" s="222"/>
      <c r="S29" s="87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</row>
    <row r="30" spans="1:39" ht="15.75" customHeight="1">
      <c r="A30" s="35" t="s">
        <v>126</v>
      </c>
      <c r="B30" s="36"/>
      <c r="C30" s="164"/>
      <c r="D30" s="261"/>
      <c r="E30" s="205">
        <v>0.5</v>
      </c>
      <c r="F30" s="213">
        <v>0.4</v>
      </c>
      <c r="G30" s="213">
        <v>4.4000000000000004</v>
      </c>
      <c r="H30" s="213">
        <v>6.4</v>
      </c>
      <c r="I30" s="213">
        <v>5.8</v>
      </c>
      <c r="J30" s="213">
        <v>19.5</v>
      </c>
      <c r="K30" s="213">
        <v>5.69</v>
      </c>
      <c r="L30" s="213">
        <v>3.5</v>
      </c>
      <c r="M30" s="213">
        <v>2.1</v>
      </c>
      <c r="N30" s="213">
        <v>1.3</v>
      </c>
      <c r="O30" s="213">
        <v>3</v>
      </c>
      <c r="P30" s="213">
        <v>2.2999999999999998</v>
      </c>
      <c r="Q30" s="340" t="s">
        <v>127</v>
      </c>
      <c r="R30" s="71" t="s">
        <v>510</v>
      </c>
      <c r="S30" s="34" t="s">
        <v>511</v>
      </c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</row>
    <row r="31" spans="1:39" ht="15.75" customHeight="1">
      <c r="A31" s="35" t="s">
        <v>128</v>
      </c>
      <c r="B31" s="36"/>
      <c r="C31" s="164"/>
      <c r="D31" s="261"/>
      <c r="E31" s="205">
        <v>62.6</v>
      </c>
      <c r="F31" s="205">
        <v>59.5</v>
      </c>
      <c r="G31" s="205">
        <v>62.6</v>
      </c>
      <c r="H31" s="205">
        <v>64</v>
      </c>
      <c r="I31" s="205">
        <v>78.900000000000006</v>
      </c>
      <c r="J31" s="205">
        <v>99.8</v>
      </c>
      <c r="K31" s="205">
        <v>139.30000000000001</v>
      </c>
      <c r="L31" s="205">
        <v>192</v>
      </c>
      <c r="M31" s="205">
        <v>243.1</v>
      </c>
      <c r="N31" s="205">
        <v>333.3</v>
      </c>
      <c r="O31" s="205">
        <v>554.1</v>
      </c>
      <c r="P31" s="205">
        <v>795</v>
      </c>
      <c r="Q31" s="340" t="s">
        <v>127</v>
      </c>
      <c r="R31" s="71" t="s">
        <v>510</v>
      </c>
      <c r="S31" s="34" t="s">
        <v>511</v>
      </c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</row>
    <row r="32" spans="1:39" ht="15.75" customHeight="1">
      <c r="A32" s="35" t="s">
        <v>129</v>
      </c>
      <c r="B32" s="36"/>
      <c r="C32" s="164"/>
      <c r="D32" s="261"/>
      <c r="E32" s="205">
        <v>17.7</v>
      </c>
      <c r="F32" s="205">
        <v>21.8</v>
      </c>
      <c r="G32" s="205">
        <v>20.8</v>
      </c>
      <c r="H32" s="205">
        <v>34.4</v>
      </c>
      <c r="I32" s="205">
        <v>28.8</v>
      </c>
      <c r="J32" s="205">
        <v>27</v>
      </c>
      <c r="K32" s="205">
        <v>35.799999999999997</v>
      </c>
      <c r="L32" s="205">
        <v>27.2</v>
      </c>
      <c r="M32" s="205">
        <v>23</v>
      </c>
      <c r="N32" s="205">
        <v>45.3</v>
      </c>
      <c r="O32" s="205">
        <v>70.5</v>
      </c>
      <c r="P32" s="205">
        <v>71.5</v>
      </c>
      <c r="Q32" s="340" t="s">
        <v>127</v>
      </c>
      <c r="R32" s="71" t="s">
        <v>510</v>
      </c>
      <c r="S32" s="34" t="s">
        <v>511</v>
      </c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</row>
    <row r="33" spans="1:39" ht="15.75" customHeight="1">
      <c r="A33" s="35" t="s">
        <v>130</v>
      </c>
      <c r="B33" s="36"/>
      <c r="C33" s="164"/>
      <c r="D33" s="261"/>
      <c r="E33" s="205">
        <v>16.100000000000001</v>
      </c>
      <c r="F33" s="205">
        <v>20.6</v>
      </c>
      <c r="G33" s="205">
        <v>17.2</v>
      </c>
      <c r="H33" s="205">
        <v>22.4</v>
      </c>
      <c r="I33" s="205">
        <v>23</v>
      </c>
      <c r="J33" s="205">
        <v>38.700000000000003</v>
      </c>
      <c r="K33" s="205">
        <v>62.9</v>
      </c>
      <c r="L33" s="205">
        <v>88</v>
      </c>
      <c r="M33" s="205">
        <v>83</v>
      </c>
      <c r="N33" s="205">
        <v>129.5</v>
      </c>
      <c r="O33" s="205">
        <v>395.6</v>
      </c>
      <c r="P33" s="205">
        <v>1405.6</v>
      </c>
      <c r="Q33" s="341" t="s">
        <v>127</v>
      </c>
      <c r="R33" s="71" t="s">
        <v>510</v>
      </c>
      <c r="S33" s="34" t="s">
        <v>511</v>
      </c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</row>
    <row r="34" spans="1:39" ht="15.75" customHeight="1">
      <c r="A34" s="44" t="s">
        <v>135</v>
      </c>
      <c r="B34" s="36"/>
      <c r="C34" s="164"/>
      <c r="D34" s="261"/>
      <c r="E34" s="205">
        <f>SUM(E30:E33)</f>
        <v>96.9</v>
      </c>
      <c r="F34" s="205">
        <f t="shared" ref="F34:P34" si="4">SUM(F30:F33)</f>
        <v>102.30000000000001</v>
      </c>
      <c r="G34" s="205">
        <f t="shared" si="4"/>
        <v>105</v>
      </c>
      <c r="H34" s="205">
        <f t="shared" si="4"/>
        <v>127.20000000000002</v>
      </c>
      <c r="I34" s="205">
        <f t="shared" si="4"/>
        <v>136.5</v>
      </c>
      <c r="J34" s="205">
        <f t="shared" si="4"/>
        <v>185</v>
      </c>
      <c r="K34" s="205">
        <f t="shared" si="4"/>
        <v>243.69000000000003</v>
      </c>
      <c r="L34" s="205">
        <f t="shared" si="4"/>
        <v>310.7</v>
      </c>
      <c r="M34" s="205">
        <f t="shared" si="4"/>
        <v>351.2</v>
      </c>
      <c r="N34" s="205">
        <f t="shared" si="4"/>
        <v>509.40000000000003</v>
      </c>
      <c r="O34" s="205">
        <f>SUM(O30:O33)</f>
        <v>1023.2</v>
      </c>
      <c r="P34" s="205">
        <f t="shared" si="4"/>
        <v>2274.3999999999996</v>
      </c>
      <c r="Q34" s="221" t="s">
        <v>136</v>
      </c>
      <c r="R34" s="71"/>
      <c r="S34" s="34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</row>
    <row r="35" spans="1:39" ht="15.75" customHeight="1">
      <c r="A35" s="232" t="s">
        <v>149</v>
      </c>
      <c r="B35" s="51">
        <v>2009</v>
      </c>
      <c r="C35" s="51">
        <v>2010</v>
      </c>
      <c r="D35" s="262">
        <v>2011</v>
      </c>
      <c r="E35" s="262">
        <v>2012</v>
      </c>
      <c r="F35" s="262">
        <v>2013</v>
      </c>
      <c r="G35" s="262">
        <v>2014</v>
      </c>
      <c r="H35" s="262">
        <v>2015</v>
      </c>
      <c r="I35" s="262">
        <v>2016</v>
      </c>
      <c r="J35" s="262">
        <v>2017</v>
      </c>
      <c r="K35" s="262">
        <v>2018</v>
      </c>
      <c r="L35" s="262">
        <v>2019</v>
      </c>
      <c r="M35" s="262">
        <v>2020</v>
      </c>
      <c r="N35" s="262">
        <v>2021</v>
      </c>
      <c r="O35" s="262">
        <v>2022</v>
      </c>
      <c r="P35" s="262">
        <v>2023</v>
      </c>
      <c r="Q35" s="91"/>
      <c r="R35" s="31"/>
      <c r="S35" s="31"/>
    </row>
    <row r="36" spans="1:39" ht="15.75" customHeight="1">
      <c r="A36" s="35" t="s">
        <v>150</v>
      </c>
      <c r="B36" s="36"/>
      <c r="C36" s="36"/>
      <c r="D36" s="227">
        <f t="shared" ref="D36:O36" si="5">D17/(D5)*100</f>
        <v>10.833137576506113</v>
      </c>
      <c r="E36" s="227">
        <f t="shared" si="5"/>
        <v>7.7869956728404812</v>
      </c>
      <c r="F36" s="227">
        <f t="shared" si="5"/>
        <v>7.0206106680269418</v>
      </c>
      <c r="G36" s="227">
        <f t="shared" si="5"/>
        <v>7.5562971734936699</v>
      </c>
      <c r="H36" s="227">
        <f t="shared" si="5"/>
        <v>8.2069913753455879</v>
      </c>
      <c r="I36" s="227">
        <f t="shared" si="5"/>
        <v>8.9634734166397898</v>
      </c>
      <c r="J36" s="227">
        <f t="shared" si="5"/>
        <v>6.5846076118807941</v>
      </c>
      <c r="K36" s="227">
        <f t="shared" si="5"/>
        <v>4.9976552522966324</v>
      </c>
      <c r="L36" s="227">
        <f t="shared" si="5"/>
        <v>6.520348268545276</v>
      </c>
      <c r="M36" s="227">
        <f t="shared" si="5"/>
        <v>6.8444397857943056</v>
      </c>
      <c r="N36" s="227">
        <f t="shared" si="5"/>
        <v>14.596853972043778</v>
      </c>
      <c r="O36" s="227">
        <f t="shared" si="5"/>
        <v>8.0045734931110246</v>
      </c>
      <c r="P36" s="227">
        <f t="shared" ref="P36" si="6">P17/(P5)*100</f>
        <v>7.3875529049634485</v>
      </c>
      <c r="Q36" s="35" t="s">
        <v>136</v>
      </c>
      <c r="R36" s="31"/>
      <c r="S36" s="31"/>
    </row>
    <row r="37" spans="1:39" ht="15.75" customHeight="1">
      <c r="A37" s="35" t="s">
        <v>151</v>
      </c>
      <c r="B37" s="36"/>
      <c r="C37" s="36"/>
      <c r="D37" s="227">
        <f t="shared" ref="D37:O37" si="7">D18/(D6)*100</f>
        <v>7.3878908099695755</v>
      </c>
      <c r="E37" s="227">
        <f t="shared" si="7"/>
        <v>6.6942581250446134</v>
      </c>
      <c r="F37" s="227">
        <f t="shared" si="7"/>
        <v>8.1458506756063578</v>
      </c>
      <c r="G37" s="227">
        <f t="shared" si="7"/>
        <v>7.0600945858246931</v>
      </c>
      <c r="H37" s="227">
        <f t="shared" si="7"/>
        <v>8.1755784095012771</v>
      </c>
      <c r="I37" s="227">
        <f t="shared" si="7"/>
        <v>5.8836768633351069</v>
      </c>
      <c r="J37" s="227">
        <f t="shared" si="7"/>
        <v>6.0306528879849139</v>
      </c>
      <c r="K37" s="227">
        <f t="shared" si="7"/>
        <v>7.9232990112744224</v>
      </c>
      <c r="L37" s="227">
        <f t="shared" si="7"/>
        <v>4.7859577333498988</v>
      </c>
      <c r="M37" s="227">
        <f t="shared" si="7"/>
        <v>6.4153902626160875</v>
      </c>
      <c r="N37" s="227">
        <f t="shared" si="7"/>
        <v>25.685816787877236</v>
      </c>
      <c r="O37" s="227">
        <f t="shared" si="7"/>
        <v>31.704422356396833</v>
      </c>
      <c r="P37" s="227">
        <f t="shared" ref="P37" si="8">P18/(P6)*100</f>
        <v>68.16862983781462</v>
      </c>
      <c r="Q37" s="35" t="s">
        <v>136</v>
      </c>
      <c r="R37" s="31"/>
      <c r="S37" s="31"/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  <c r="AI37" s="228"/>
      <c r="AJ37" s="228"/>
      <c r="AK37" s="228"/>
      <c r="AL37" s="228"/>
      <c r="AM37" s="228"/>
    </row>
    <row r="38" spans="1:39" ht="15.75" customHeight="1">
      <c r="A38" s="35" t="s">
        <v>152</v>
      </c>
      <c r="B38" s="36"/>
      <c r="C38" s="36"/>
      <c r="D38" s="227">
        <f t="shared" ref="D38:O38" si="9">D19/(D7)*100</f>
        <v>33.508634983173472</v>
      </c>
      <c r="E38" s="227">
        <f t="shared" si="9"/>
        <v>25.703574883434289</v>
      </c>
      <c r="F38" s="227">
        <f t="shared" si="9"/>
        <v>29.565639141685846</v>
      </c>
      <c r="G38" s="227">
        <f t="shared" si="9"/>
        <v>27.383570849942473</v>
      </c>
      <c r="H38" s="227">
        <f t="shared" si="9"/>
        <v>35.213652469803911</v>
      </c>
      <c r="I38" s="227">
        <f t="shared" si="9"/>
        <v>33.288022322375539</v>
      </c>
      <c r="J38" s="227">
        <f t="shared" si="9"/>
        <v>35.719275987246931</v>
      </c>
      <c r="K38" s="227">
        <f t="shared" si="9"/>
        <v>38.045624827463101</v>
      </c>
      <c r="L38" s="227">
        <f t="shared" si="9"/>
        <v>31.619345262677623</v>
      </c>
      <c r="M38" s="227">
        <f t="shared" si="9"/>
        <v>37.809671580099426</v>
      </c>
      <c r="N38" s="227">
        <f t="shared" si="9"/>
        <v>45.190192957332989</v>
      </c>
      <c r="O38" s="227">
        <f t="shared" si="9"/>
        <v>40.378793220823702</v>
      </c>
      <c r="P38" s="227">
        <f t="shared" ref="P38" si="10">P19/(P7)*100</f>
        <v>36.473684210526315</v>
      </c>
      <c r="Q38" s="35" t="s">
        <v>136</v>
      </c>
      <c r="R38" s="31"/>
      <c r="S38" s="31"/>
    </row>
    <row r="39" spans="1:39" ht="15.75" customHeight="1">
      <c r="A39" s="35" t="s">
        <v>153</v>
      </c>
      <c r="B39" s="36"/>
      <c r="C39" s="36"/>
      <c r="D39" s="227">
        <f t="shared" ref="D39:N39" si="11">D20/(D8)*100</f>
        <v>23.570395689666071</v>
      </c>
      <c r="E39" s="227">
        <f t="shared" si="11"/>
        <v>34.304884707278681</v>
      </c>
      <c r="F39" s="227">
        <f t="shared" si="11"/>
        <v>52.929245074557585</v>
      </c>
      <c r="G39" s="227">
        <f t="shared" si="11"/>
        <v>52.202994298192984</v>
      </c>
      <c r="H39" s="227">
        <f t="shared" si="11"/>
        <v>61.399502636061044</v>
      </c>
      <c r="I39" s="227">
        <f t="shared" si="11"/>
        <v>68.751634618372833</v>
      </c>
      <c r="J39" s="227">
        <f t="shared" si="11"/>
        <v>73.081551421039578</v>
      </c>
      <c r="K39" s="227">
        <f t="shared" si="11"/>
        <v>76.369464678394465</v>
      </c>
      <c r="L39" s="227">
        <f t="shared" si="11"/>
        <v>48.611526229856103</v>
      </c>
      <c r="M39" s="227">
        <f t="shared" si="11"/>
        <v>35.485356636993608</v>
      </c>
      <c r="N39" s="227">
        <f t="shared" si="11"/>
        <v>114.0449617022298</v>
      </c>
      <c r="O39" s="227">
        <f>O20/(O8)*100</f>
        <v>167.14815141589568</v>
      </c>
      <c r="P39" s="36"/>
      <c r="Q39" s="35" t="s">
        <v>136</v>
      </c>
      <c r="R39" s="31"/>
      <c r="S39" s="31"/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  <c r="AI39" s="228"/>
      <c r="AJ39" s="228"/>
      <c r="AK39" s="228"/>
      <c r="AL39" s="228"/>
      <c r="AM39" s="228"/>
    </row>
    <row r="40" spans="1:39" ht="15.75" customHeight="1">
      <c r="A40" s="45"/>
      <c r="B40" s="46"/>
      <c r="C40" s="46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49"/>
      <c r="R40" s="49"/>
      <c r="S40" s="50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</row>
    <row r="41" spans="1:39" ht="15.75" customHeight="1">
      <c r="A41" s="28" t="s">
        <v>71</v>
      </c>
      <c r="B41" s="28">
        <v>2009</v>
      </c>
      <c r="C41" s="28">
        <v>2010</v>
      </c>
      <c r="D41" s="28">
        <v>2011</v>
      </c>
      <c r="E41" s="28">
        <v>2012</v>
      </c>
      <c r="F41" s="28">
        <v>2013</v>
      </c>
      <c r="G41" s="28">
        <v>2014</v>
      </c>
      <c r="H41" s="28">
        <v>2015</v>
      </c>
      <c r="I41" s="28">
        <v>2016</v>
      </c>
      <c r="J41" s="28">
        <v>2017</v>
      </c>
      <c r="K41" s="28">
        <v>2018</v>
      </c>
      <c r="L41" s="28">
        <v>2019</v>
      </c>
      <c r="M41" s="28">
        <v>2020</v>
      </c>
      <c r="N41" s="28">
        <v>2021</v>
      </c>
      <c r="O41" s="28">
        <v>2022</v>
      </c>
      <c r="P41" s="28">
        <v>2023</v>
      </c>
      <c r="Q41" s="29" t="s">
        <v>21</v>
      </c>
      <c r="R41" s="29" t="s">
        <v>22</v>
      </c>
      <c r="S41" s="29" t="s">
        <v>23</v>
      </c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</row>
    <row r="42" spans="1:39" ht="15.75" customHeight="1">
      <c r="A42" s="93" t="s">
        <v>154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</row>
    <row r="43" spans="1:39" ht="15.75" customHeight="1">
      <c r="A43" s="35" t="s">
        <v>155</v>
      </c>
      <c r="B43" s="36"/>
      <c r="C43" s="36"/>
      <c r="D43" s="108">
        <v>992</v>
      </c>
      <c r="E43" s="108">
        <v>864</v>
      </c>
      <c r="F43" s="108">
        <v>793</v>
      </c>
      <c r="G43" s="108">
        <v>660</v>
      </c>
      <c r="H43" s="108">
        <v>502</v>
      </c>
      <c r="I43" s="108">
        <v>546</v>
      </c>
      <c r="J43" s="108">
        <v>605</v>
      </c>
      <c r="K43" s="108">
        <v>566</v>
      </c>
      <c r="L43" s="108">
        <v>564</v>
      </c>
      <c r="M43" s="108">
        <v>558</v>
      </c>
      <c r="N43" s="108">
        <v>1038</v>
      </c>
      <c r="O43" s="108">
        <v>1376</v>
      </c>
      <c r="P43" s="108">
        <v>1095</v>
      </c>
      <c r="Q43" s="35" t="s">
        <v>127</v>
      </c>
      <c r="R43" s="293" t="s">
        <v>510</v>
      </c>
      <c r="S43" s="34" t="s">
        <v>511</v>
      </c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8"/>
      <c r="AK43" s="228"/>
      <c r="AL43" s="228"/>
      <c r="AM43" s="228"/>
    </row>
    <row r="44" spans="1:39" ht="15.75" customHeight="1">
      <c r="A44" s="35" t="s">
        <v>156</v>
      </c>
      <c r="B44" s="36"/>
      <c r="C44" s="36"/>
      <c r="D44" s="108">
        <v>1180</v>
      </c>
      <c r="E44" s="108">
        <v>1034</v>
      </c>
      <c r="F44" s="108">
        <v>966</v>
      </c>
      <c r="G44" s="108">
        <v>803</v>
      </c>
      <c r="H44" s="108">
        <v>563</v>
      </c>
      <c r="I44" s="108">
        <v>746</v>
      </c>
      <c r="J44" s="108">
        <v>731</v>
      </c>
      <c r="K44" s="108">
        <v>662</v>
      </c>
      <c r="L44" s="108">
        <v>748</v>
      </c>
      <c r="M44" s="108">
        <v>828</v>
      </c>
      <c r="N44" s="108">
        <v>1444</v>
      </c>
      <c r="O44" s="108">
        <v>1817</v>
      </c>
      <c r="P44" s="108">
        <v>1557</v>
      </c>
      <c r="Q44" s="35" t="s">
        <v>127</v>
      </c>
      <c r="R44" s="71" t="s">
        <v>510</v>
      </c>
      <c r="S44" s="34" t="s">
        <v>511</v>
      </c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  <c r="AI44" s="228"/>
      <c r="AJ44" s="228"/>
      <c r="AK44" s="228"/>
      <c r="AL44" s="228"/>
      <c r="AM44" s="228"/>
    </row>
    <row r="45" spans="1:39" ht="15.75" customHeight="1">
      <c r="A45" s="35" t="s">
        <v>157</v>
      </c>
      <c r="B45" s="36"/>
      <c r="C45" s="36"/>
      <c r="D45" s="108">
        <v>1020</v>
      </c>
      <c r="E45" s="108">
        <v>926</v>
      </c>
      <c r="F45" s="108">
        <v>846</v>
      </c>
      <c r="G45" s="108">
        <v>711</v>
      </c>
      <c r="H45" s="108">
        <v>498</v>
      </c>
      <c r="I45" s="108">
        <v>537</v>
      </c>
      <c r="J45" s="108">
        <v>549</v>
      </c>
      <c r="K45" s="108">
        <v>463</v>
      </c>
      <c r="L45" s="108">
        <v>512</v>
      </c>
      <c r="M45" s="108">
        <v>534</v>
      </c>
      <c r="N45" s="108">
        <v>1066</v>
      </c>
      <c r="O45" s="108">
        <v>1462</v>
      </c>
      <c r="P45" s="108">
        <v>1174</v>
      </c>
      <c r="Q45" s="35" t="s">
        <v>127</v>
      </c>
      <c r="R45" s="71" t="s">
        <v>510</v>
      </c>
      <c r="S45" s="34" t="s">
        <v>511</v>
      </c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  <c r="AI45" s="228"/>
      <c r="AJ45" s="228"/>
      <c r="AK45" s="228"/>
      <c r="AL45" s="228"/>
      <c r="AM45" s="228"/>
    </row>
    <row r="46" spans="1:39" ht="15.75" customHeight="1">
      <c r="A46" s="35" t="s">
        <v>158</v>
      </c>
      <c r="B46" s="36"/>
      <c r="C46" s="36"/>
      <c r="D46" s="108">
        <v>932</v>
      </c>
      <c r="E46" s="108">
        <v>788</v>
      </c>
      <c r="F46" s="108">
        <v>727</v>
      </c>
      <c r="G46" s="108">
        <v>612</v>
      </c>
      <c r="H46" s="108">
        <v>462</v>
      </c>
      <c r="I46" s="108">
        <v>505</v>
      </c>
      <c r="J46" s="108">
        <v>524</v>
      </c>
      <c r="K46" s="108">
        <v>408</v>
      </c>
      <c r="L46" s="108">
        <v>466</v>
      </c>
      <c r="M46" s="108">
        <v>461</v>
      </c>
      <c r="N46" s="108">
        <v>893</v>
      </c>
      <c r="O46" s="108">
        <v>1266</v>
      </c>
      <c r="P46" s="108">
        <v>1027</v>
      </c>
      <c r="Q46" s="35" t="s">
        <v>127</v>
      </c>
      <c r="R46" s="71" t="s">
        <v>510</v>
      </c>
      <c r="S46" s="34" t="s">
        <v>511</v>
      </c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  <c r="AI46" s="228"/>
      <c r="AJ46" s="228"/>
      <c r="AK46" s="228"/>
      <c r="AL46" s="228"/>
      <c r="AM46" s="228"/>
    </row>
    <row r="47" spans="1:39" ht="15.75" customHeight="1">
      <c r="L47" s="65"/>
      <c r="M47" s="65"/>
      <c r="N47" s="65"/>
      <c r="O47" s="65"/>
      <c r="P47" s="65"/>
    </row>
    <row r="48" spans="1:39" ht="15.75" customHeight="1">
      <c r="L48" s="65"/>
      <c r="M48" s="65"/>
      <c r="N48" s="65"/>
      <c r="O48" s="65"/>
      <c r="P48" s="65"/>
    </row>
    <row r="49" spans="12:16" ht="15.75" customHeight="1">
      <c r="L49" s="65"/>
      <c r="M49" s="65"/>
      <c r="N49" s="65"/>
      <c r="O49" s="86"/>
      <c r="P49" s="65"/>
    </row>
    <row r="50" spans="12:16" ht="15.75" customHeight="1">
      <c r="L50" s="65"/>
      <c r="M50" s="65"/>
      <c r="N50" s="65"/>
      <c r="O50" s="65"/>
      <c r="P50" s="65"/>
    </row>
    <row r="51" spans="12:16" ht="15.75" customHeight="1">
      <c r="L51" s="65"/>
      <c r="M51" s="65"/>
      <c r="N51" s="65"/>
      <c r="O51" s="65"/>
      <c r="P51" s="65"/>
    </row>
    <row r="52" spans="12:16" ht="15.75" customHeight="1">
      <c r="L52" s="65"/>
      <c r="M52" s="65"/>
      <c r="N52" s="65"/>
      <c r="O52" s="65"/>
      <c r="P52" s="65"/>
    </row>
    <row r="53" spans="12:16" ht="15.75" customHeight="1">
      <c r="L53" s="65"/>
      <c r="M53" s="65"/>
      <c r="N53" s="65"/>
      <c r="O53" s="65"/>
      <c r="P53" s="65"/>
    </row>
    <row r="54" spans="12:16" ht="15.75" customHeight="1">
      <c r="L54" s="65"/>
      <c r="M54" s="65"/>
      <c r="N54" s="65"/>
      <c r="O54" s="65"/>
      <c r="P54" s="65"/>
    </row>
    <row r="55" spans="12:16" ht="15.75" customHeight="1">
      <c r="L55" s="65"/>
      <c r="M55" s="65"/>
      <c r="N55" s="65"/>
      <c r="O55" s="65"/>
      <c r="P55" s="65"/>
    </row>
    <row r="56" spans="12:16" ht="15.75" customHeight="1">
      <c r="L56" s="65"/>
      <c r="M56" s="65"/>
      <c r="N56" s="65"/>
      <c r="O56" s="65"/>
      <c r="P56" s="65"/>
    </row>
    <row r="57" spans="12:16" ht="15.75" customHeight="1">
      <c r="L57" s="65"/>
      <c r="M57" s="65"/>
      <c r="N57" s="65"/>
      <c r="O57" s="65"/>
      <c r="P57" s="65"/>
    </row>
    <row r="58" spans="12:16" ht="15.75" customHeight="1">
      <c r="L58" s="65"/>
      <c r="M58" s="65"/>
      <c r="N58" s="65"/>
      <c r="O58" s="65"/>
      <c r="P58" s="65"/>
    </row>
    <row r="59" spans="12:16" ht="15.75" customHeight="1">
      <c r="L59" s="65"/>
      <c r="M59" s="65"/>
      <c r="N59" s="65"/>
      <c r="O59" s="65"/>
      <c r="P59" s="65"/>
    </row>
    <row r="60" spans="12:16" ht="15.75" customHeight="1">
      <c r="L60" s="65"/>
      <c r="M60" s="65"/>
      <c r="N60" s="65"/>
      <c r="O60" s="65"/>
      <c r="P60" s="65"/>
    </row>
    <row r="61" spans="12:16" ht="15.75" customHeight="1">
      <c r="L61" s="65"/>
      <c r="M61" s="65"/>
      <c r="N61" s="65"/>
      <c r="O61" s="65"/>
      <c r="P61" s="65"/>
    </row>
    <row r="62" spans="12:16" ht="15.75" customHeight="1">
      <c r="L62" s="65"/>
      <c r="M62" s="65"/>
      <c r="N62" s="65"/>
      <c r="O62" s="65"/>
      <c r="P62" s="65"/>
    </row>
    <row r="63" spans="12:16" ht="15.75" customHeight="1">
      <c r="L63" s="65"/>
      <c r="M63" s="65"/>
      <c r="N63" s="65"/>
      <c r="O63" s="65"/>
      <c r="P63" s="65"/>
    </row>
    <row r="64" spans="12:16" ht="15.75" customHeight="1">
      <c r="L64" s="65"/>
      <c r="M64" s="65"/>
      <c r="N64" s="65"/>
      <c r="O64" s="65"/>
      <c r="P64" s="65"/>
    </row>
    <row r="65" spans="12:16" ht="15.75" customHeight="1">
      <c r="L65" s="65"/>
      <c r="M65" s="65"/>
      <c r="N65" s="65"/>
      <c r="O65" s="65"/>
      <c r="P65" s="65"/>
    </row>
    <row r="66" spans="12:16" ht="15.75" customHeight="1">
      <c r="L66" s="65"/>
      <c r="M66" s="65"/>
      <c r="N66" s="65"/>
      <c r="O66" s="65"/>
      <c r="P66" s="65"/>
    </row>
    <row r="67" spans="12:16" ht="15.75" customHeight="1">
      <c r="L67" s="65"/>
      <c r="M67" s="65"/>
      <c r="N67" s="65"/>
      <c r="O67" s="65"/>
      <c r="P67" s="65"/>
    </row>
    <row r="68" spans="12:16" ht="15.75" customHeight="1">
      <c r="L68" s="65"/>
      <c r="M68" s="65"/>
      <c r="N68" s="65"/>
      <c r="O68" s="65"/>
      <c r="P68" s="65"/>
    </row>
    <row r="69" spans="12:16" ht="15.75" customHeight="1">
      <c r="L69" s="65"/>
      <c r="M69" s="65"/>
      <c r="N69" s="65"/>
      <c r="O69" s="65"/>
      <c r="P69" s="65"/>
    </row>
    <row r="70" spans="12:16" ht="15.75" customHeight="1">
      <c r="L70" s="65"/>
      <c r="M70" s="65"/>
      <c r="N70" s="65"/>
      <c r="O70" s="65"/>
      <c r="P70" s="65"/>
    </row>
    <row r="71" spans="12:16" ht="15.75" customHeight="1">
      <c r="L71" s="65"/>
      <c r="M71" s="65"/>
      <c r="N71" s="65"/>
      <c r="O71" s="65"/>
      <c r="P71" s="65"/>
    </row>
    <row r="72" spans="12:16" ht="15.75" customHeight="1">
      <c r="L72" s="65"/>
      <c r="M72" s="65"/>
      <c r="N72" s="65"/>
      <c r="O72" s="65"/>
      <c r="P72" s="65"/>
    </row>
    <row r="73" spans="12:16" ht="15.75" customHeight="1">
      <c r="L73" s="65"/>
      <c r="M73" s="65"/>
      <c r="N73" s="65"/>
      <c r="O73" s="65"/>
      <c r="P73" s="65"/>
    </row>
    <row r="74" spans="12:16" ht="15.75" customHeight="1">
      <c r="L74" s="65"/>
      <c r="M74" s="65"/>
      <c r="N74" s="65"/>
      <c r="O74" s="65"/>
      <c r="P74" s="65"/>
    </row>
    <row r="75" spans="12:16" ht="15.75" customHeight="1">
      <c r="L75" s="65"/>
      <c r="M75" s="65"/>
      <c r="N75" s="65"/>
      <c r="O75" s="65"/>
      <c r="P75" s="65"/>
    </row>
    <row r="76" spans="12:16" ht="15.75" customHeight="1">
      <c r="L76" s="65"/>
      <c r="M76" s="65"/>
      <c r="N76" s="65"/>
      <c r="O76" s="65"/>
      <c r="P76" s="65"/>
    </row>
    <row r="77" spans="12:16" ht="15.75" customHeight="1">
      <c r="L77" s="65"/>
      <c r="M77" s="65"/>
      <c r="N77" s="65"/>
      <c r="O77" s="65"/>
      <c r="P77" s="65"/>
    </row>
    <row r="78" spans="12:16" ht="15.75" customHeight="1">
      <c r="L78" s="65"/>
      <c r="M78" s="65"/>
      <c r="N78" s="65"/>
      <c r="O78" s="65"/>
      <c r="P78" s="65"/>
    </row>
    <row r="79" spans="12:16" ht="15.75" customHeight="1">
      <c r="L79" s="65"/>
      <c r="M79" s="65"/>
      <c r="N79" s="65"/>
      <c r="O79" s="65"/>
      <c r="P79" s="65"/>
    </row>
    <row r="80" spans="12:16" ht="15.75" customHeight="1">
      <c r="L80" s="65"/>
      <c r="M80" s="65"/>
      <c r="N80" s="65"/>
      <c r="O80" s="65"/>
      <c r="P80" s="65"/>
    </row>
    <row r="81" spans="12:16" ht="15.75" customHeight="1">
      <c r="L81" s="65"/>
      <c r="M81" s="65"/>
      <c r="N81" s="65"/>
      <c r="O81" s="65"/>
      <c r="P81" s="65"/>
    </row>
    <row r="82" spans="12:16" ht="15.75" customHeight="1">
      <c r="L82" s="65"/>
      <c r="M82" s="65"/>
      <c r="N82" s="65"/>
      <c r="O82" s="65"/>
      <c r="P82" s="65"/>
    </row>
    <row r="83" spans="12:16" ht="15.75" customHeight="1">
      <c r="L83" s="65"/>
      <c r="M83" s="65"/>
      <c r="N83" s="65"/>
      <c r="O83" s="65"/>
      <c r="P83" s="65"/>
    </row>
    <row r="84" spans="12:16" ht="15.75" customHeight="1">
      <c r="L84" s="65"/>
      <c r="M84" s="65"/>
      <c r="N84" s="65"/>
      <c r="O84" s="65"/>
      <c r="P84" s="65"/>
    </row>
    <row r="85" spans="12:16" ht="15.75" customHeight="1">
      <c r="L85" s="65"/>
      <c r="M85" s="65"/>
      <c r="N85" s="65"/>
      <c r="O85" s="65"/>
      <c r="P85" s="65"/>
    </row>
    <row r="86" spans="12:16" ht="15.75" customHeight="1">
      <c r="L86" s="65"/>
      <c r="M86" s="65"/>
      <c r="N86" s="65"/>
      <c r="O86" s="65"/>
      <c r="P86" s="65"/>
    </row>
    <row r="87" spans="12:16" ht="15.75" customHeight="1">
      <c r="L87" s="65"/>
      <c r="M87" s="65"/>
      <c r="N87" s="65"/>
      <c r="O87" s="65"/>
      <c r="P87" s="65"/>
    </row>
    <row r="88" spans="12:16" ht="15.75" customHeight="1">
      <c r="L88" s="65"/>
      <c r="M88" s="65"/>
      <c r="N88" s="65"/>
      <c r="O88" s="65"/>
      <c r="P88" s="65"/>
    </row>
    <row r="89" spans="12:16" ht="15.75" customHeight="1">
      <c r="L89" s="65"/>
      <c r="M89" s="65"/>
      <c r="N89" s="65"/>
      <c r="O89" s="65"/>
      <c r="P89" s="65"/>
    </row>
    <row r="90" spans="12:16" ht="15.75" customHeight="1">
      <c r="L90" s="65"/>
      <c r="M90" s="65"/>
      <c r="N90" s="65"/>
      <c r="O90" s="65"/>
      <c r="P90" s="65"/>
    </row>
    <row r="91" spans="12:16" ht="15.75" customHeight="1">
      <c r="L91" s="65"/>
      <c r="M91" s="65"/>
      <c r="N91" s="65"/>
      <c r="O91" s="65"/>
      <c r="P91" s="65"/>
    </row>
    <row r="92" spans="12:16" ht="15.75" customHeight="1">
      <c r="L92" s="65"/>
      <c r="M92" s="65"/>
      <c r="N92" s="65"/>
      <c r="O92" s="65"/>
      <c r="P92" s="65"/>
    </row>
    <row r="93" spans="12:16" ht="15.75" customHeight="1">
      <c r="L93" s="65"/>
      <c r="M93" s="65"/>
      <c r="N93" s="65"/>
      <c r="O93" s="65"/>
      <c r="P93" s="65"/>
    </row>
    <row r="94" spans="12:16" ht="15.75" customHeight="1">
      <c r="L94" s="65"/>
      <c r="M94" s="65"/>
      <c r="N94" s="65"/>
      <c r="O94" s="65"/>
      <c r="P94" s="65"/>
    </row>
    <row r="95" spans="12:16" ht="15.75" customHeight="1">
      <c r="L95" s="65"/>
      <c r="M95" s="65"/>
      <c r="N95" s="65"/>
      <c r="O95" s="65"/>
      <c r="P95" s="65"/>
    </row>
    <row r="96" spans="12:16" ht="15.75" customHeight="1">
      <c r="L96" s="65"/>
      <c r="M96" s="65"/>
      <c r="N96" s="65"/>
      <c r="O96" s="65"/>
      <c r="P96" s="65"/>
    </row>
    <row r="97" spans="12:16" ht="15.75" customHeight="1">
      <c r="L97" s="65"/>
      <c r="M97" s="65"/>
      <c r="N97" s="65"/>
      <c r="O97" s="65"/>
      <c r="P97" s="65"/>
    </row>
    <row r="98" spans="12:16" ht="15.75" customHeight="1">
      <c r="L98" s="65"/>
      <c r="M98" s="65"/>
      <c r="N98" s="65"/>
      <c r="O98" s="65"/>
      <c r="P98" s="65"/>
    </row>
    <row r="99" spans="12:16" ht="15.75" customHeight="1">
      <c r="L99" s="65"/>
      <c r="M99" s="65"/>
      <c r="N99" s="65"/>
      <c r="O99" s="65"/>
      <c r="P99" s="65"/>
    </row>
    <row r="100" spans="12:16" ht="15.75" customHeight="1">
      <c r="L100" s="65"/>
      <c r="M100" s="65"/>
      <c r="N100" s="65"/>
      <c r="O100" s="65"/>
      <c r="P100" s="65"/>
    </row>
    <row r="101" spans="12:16" ht="15.75" customHeight="1">
      <c r="L101" s="65"/>
      <c r="M101" s="65"/>
      <c r="N101" s="65"/>
      <c r="O101" s="65"/>
      <c r="P101" s="65"/>
    </row>
    <row r="102" spans="12:16" ht="15.75" customHeight="1">
      <c r="L102" s="65"/>
      <c r="M102" s="65"/>
      <c r="N102" s="65"/>
      <c r="O102" s="65"/>
      <c r="P102" s="65"/>
    </row>
    <row r="103" spans="12:16" ht="15.75" customHeight="1">
      <c r="L103" s="65"/>
      <c r="M103" s="65"/>
      <c r="N103" s="65"/>
      <c r="O103" s="65"/>
      <c r="P103" s="65"/>
    </row>
    <row r="104" spans="12:16" ht="15.75" customHeight="1">
      <c r="L104" s="65"/>
      <c r="M104" s="65"/>
      <c r="N104" s="65"/>
      <c r="O104" s="65"/>
      <c r="P104" s="65"/>
    </row>
    <row r="105" spans="12:16" ht="15.75" customHeight="1">
      <c r="L105" s="65"/>
      <c r="M105" s="65"/>
      <c r="N105" s="65"/>
      <c r="O105" s="65"/>
      <c r="P105" s="65"/>
    </row>
    <row r="106" spans="12:16" ht="15.75" customHeight="1">
      <c r="L106" s="65"/>
      <c r="M106" s="65"/>
      <c r="N106" s="65"/>
      <c r="O106" s="65"/>
      <c r="P106" s="65"/>
    </row>
    <row r="107" spans="12:16" ht="15.75" customHeight="1">
      <c r="L107" s="65"/>
      <c r="M107" s="65"/>
      <c r="N107" s="65"/>
      <c r="O107" s="65"/>
      <c r="P107" s="65"/>
    </row>
    <row r="108" spans="12:16" ht="15.75" customHeight="1">
      <c r="L108" s="65"/>
      <c r="M108" s="65"/>
      <c r="N108" s="65"/>
      <c r="O108" s="65"/>
      <c r="P108" s="65"/>
    </row>
    <row r="109" spans="12:16" ht="15.75" customHeight="1">
      <c r="L109" s="65"/>
      <c r="M109" s="65"/>
      <c r="N109" s="65"/>
      <c r="O109" s="65"/>
      <c r="P109" s="65"/>
    </row>
    <row r="110" spans="12:16" ht="15.75" customHeight="1">
      <c r="L110" s="65"/>
      <c r="M110" s="65"/>
      <c r="N110" s="65"/>
      <c r="O110" s="65"/>
      <c r="P110" s="65"/>
    </row>
    <row r="111" spans="12:16" ht="15.75" customHeight="1">
      <c r="L111" s="65"/>
      <c r="M111" s="65"/>
      <c r="N111" s="65"/>
      <c r="O111" s="65"/>
      <c r="P111" s="65"/>
    </row>
    <row r="112" spans="12:16" ht="15.75" customHeight="1">
      <c r="L112" s="65"/>
      <c r="M112" s="65"/>
      <c r="N112" s="65"/>
      <c r="O112" s="65"/>
      <c r="P112" s="65"/>
    </row>
    <row r="113" spans="12:16" ht="15.75" customHeight="1">
      <c r="L113" s="65"/>
      <c r="M113" s="65"/>
      <c r="N113" s="65"/>
      <c r="O113" s="65"/>
      <c r="P113" s="65"/>
    </row>
    <row r="114" spans="12:16" ht="15.75" customHeight="1">
      <c r="L114" s="65"/>
      <c r="M114" s="65"/>
      <c r="N114" s="65"/>
      <c r="O114" s="65"/>
      <c r="P114" s="65"/>
    </row>
    <row r="115" spans="12:16" ht="15.75" customHeight="1">
      <c r="L115" s="65"/>
      <c r="M115" s="65"/>
      <c r="N115" s="65"/>
      <c r="O115" s="65"/>
      <c r="P115" s="65"/>
    </row>
    <row r="116" spans="12:16" ht="15.75" customHeight="1">
      <c r="L116" s="65"/>
      <c r="M116" s="65"/>
      <c r="N116" s="65"/>
      <c r="O116" s="65"/>
      <c r="P116" s="65"/>
    </row>
    <row r="117" spans="12:16" ht="15.75" customHeight="1">
      <c r="L117" s="65"/>
      <c r="M117" s="65"/>
      <c r="N117" s="65"/>
      <c r="O117" s="65"/>
      <c r="P117" s="65"/>
    </row>
    <row r="118" spans="12:16" ht="15.75" customHeight="1">
      <c r="L118" s="65"/>
      <c r="M118" s="65"/>
      <c r="N118" s="65"/>
      <c r="O118" s="65"/>
      <c r="P118" s="65"/>
    </row>
    <row r="119" spans="12:16" ht="15.75" customHeight="1">
      <c r="L119" s="65"/>
      <c r="M119" s="65"/>
      <c r="N119" s="65"/>
      <c r="O119" s="65"/>
      <c r="P119" s="65"/>
    </row>
    <row r="120" spans="12:16" ht="15.75" customHeight="1">
      <c r="L120" s="65"/>
      <c r="M120" s="65"/>
      <c r="N120" s="65"/>
      <c r="O120" s="65"/>
      <c r="P120" s="65"/>
    </row>
    <row r="121" spans="12:16" ht="15.75" customHeight="1">
      <c r="L121" s="65"/>
      <c r="M121" s="65"/>
      <c r="N121" s="65"/>
      <c r="O121" s="65"/>
      <c r="P121" s="65"/>
    </row>
    <row r="122" spans="12:16" ht="15.75" customHeight="1">
      <c r="L122" s="65"/>
      <c r="M122" s="65"/>
      <c r="N122" s="65"/>
      <c r="O122" s="65"/>
      <c r="P122" s="65"/>
    </row>
    <row r="123" spans="12:16" ht="15.75" customHeight="1">
      <c r="L123" s="65"/>
      <c r="M123" s="65"/>
      <c r="N123" s="65"/>
      <c r="O123" s="65"/>
      <c r="P123" s="65"/>
    </row>
    <row r="124" spans="12:16" ht="15.75" customHeight="1">
      <c r="L124" s="65"/>
      <c r="M124" s="65"/>
      <c r="N124" s="65"/>
      <c r="O124" s="65"/>
      <c r="P124" s="65"/>
    </row>
    <row r="125" spans="12:16" ht="15.75" customHeight="1">
      <c r="L125" s="65"/>
      <c r="M125" s="65"/>
      <c r="N125" s="65"/>
      <c r="O125" s="65"/>
      <c r="P125" s="65"/>
    </row>
    <row r="126" spans="12:16" ht="15.75" customHeight="1">
      <c r="L126" s="65"/>
      <c r="M126" s="65"/>
      <c r="N126" s="65"/>
      <c r="O126" s="65"/>
      <c r="P126" s="65"/>
    </row>
    <row r="127" spans="12:16" ht="15.75" customHeight="1">
      <c r="L127" s="65"/>
      <c r="M127" s="65"/>
      <c r="N127" s="65"/>
      <c r="O127" s="65"/>
      <c r="P127" s="65"/>
    </row>
    <row r="128" spans="12:16" ht="15.75" customHeight="1">
      <c r="L128" s="65"/>
      <c r="M128" s="65"/>
      <c r="N128" s="65"/>
      <c r="O128" s="65"/>
      <c r="P128" s="65"/>
    </row>
    <row r="129" spans="2:16" ht="15.75" customHeight="1">
      <c r="L129" s="65"/>
      <c r="M129" s="65"/>
      <c r="N129" s="65"/>
      <c r="O129" s="65"/>
      <c r="P129" s="65"/>
    </row>
    <row r="130" spans="2:16" ht="15.75" customHeight="1">
      <c r="L130" s="65"/>
      <c r="M130" s="65"/>
      <c r="N130" s="65"/>
      <c r="O130" s="65"/>
      <c r="P130" s="65"/>
    </row>
    <row r="131" spans="2:16" ht="15.75" customHeight="1">
      <c r="L131" s="65"/>
      <c r="M131" s="65"/>
      <c r="N131" s="65"/>
      <c r="O131" s="65"/>
      <c r="P131" s="65"/>
    </row>
    <row r="132" spans="2:16" ht="15.75" customHeight="1">
      <c r="L132" s="65"/>
      <c r="M132" s="65"/>
      <c r="N132" s="65"/>
      <c r="O132" s="65"/>
      <c r="P132" s="65"/>
    </row>
    <row r="133" spans="2:16" ht="15.75" customHeight="1">
      <c r="B133" s="94"/>
      <c r="L133" s="65"/>
      <c r="M133" s="65"/>
      <c r="N133" s="65"/>
      <c r="O133" s="65"/>
      <c r="P133" s="65"/>
    </row>
    <row r="134" spans="2:16" ht="15.75" customHeight="1">
      <c r="L134" s="65"/>
      <c r="M134" s="65"/>
      <c r="N134" s="65"/>
      <c r="O134" s="65"/>
      <c r="P134" s="65"/>
    </row>
    <row r="135" spans="2:16" ht="15.75" customHeight="1">
      <c r="L135" s="65"/>
      <c r="M135" s="65"/>
      <c r="N135" s="65"/>
      <c r="O135" s="65"/>
      <c r="P135" s="65"/>
    </row>
    <row r="136" spans="2:16" ht="15.75" customHeight="1">
      <c r="L136" s="65"/>
      <c r="M136" s="65"/>
      <c r="N136" s="65"/>
      <c r="O136" s="65"/>
      <c r="P136" s="65"/>
    </row>
    <row r="137" spans="2:16" ht="15.75" customHeight="1">
      <c r="L137" s="65"/>
      <c r="M137" s="65"/>
      <c r="N137" s="65"/>
      <c r="O137" s="65"/>
      <c r="P137" s="65"/>
    </row>
    <row r="138" spans="2:16" ht="15.75" customHeight="1">
      <c r="L138" s="65"/>
      <c r="M138" s="65"/>
      <c r="N138" s="65"/>
      <c r="O138" s="65"/>
      <c r="P138" s="65"/>
    </row>
    <row r="139" spans="2:16" ht="15.75" customHeight="1">
      <c r="B139" s="94"/>
      <c r="L139" s="65"/>
      <c r="M139" s="65"/>
      <c r="N139" s="65"/>
      <c r="O139" s="65"/>
      <c r="P139" s="65"/>
    </row>
    <row r="140" spans="2:16" ht="15.75" customHeight="1">
      <c r="B140" s="94"/>
      <c r="L140" s="65"/>
      <c r="M140" s="65"/>
      <c r="N140" s="65"/>
      <c r="O140" s="65"/>
      <c r="P140" s="65"/>
    </row>
    <row r="141" spans="2:16" ht="15.75" customHeight="1">
      <c r="L141" s="65"/>
      <c r="M141" s="65"/>
      <c r="N141" s="65"/>
      <c r="O141" s="65"/>
      <c r="P141" s="65"/>
    </row>
    <row r="142" spans="2:16" ht="15.75" customHeight="1">
      <c r="B142" s="95"/>
      <c r="L142" s="65"/>
      <c r="M142" s="65"/>
      <c r="N142" s="65"/>
      <c r="O142" s="65"/>
      <c r="P142" s="65"/>
    </row>
    <row r="143" spans="2:16" ht="15.75" customHeight="1">
      <c r="L143" s="65"/>
      <c r="M143" s="65"/>
      <c r="N143" s="65"/>
      <c r="O143" s="65"/>
      <c r="P143" s="65"/>
    </row>
    <row r="144" spans="2:16" ht="15.75" customHeight="1">
      <c r="B144" s="94"/>
      <c r="L144" s="65"/>
      <c r="M144" s="65"/>
      <c r="N144" s="65"/>
      <c r="O144" s="65"/>
      <c r="P144" s="65"/>
    </row>
    <row r="145" spans="2:16" ht="15.75" customHeight="1">
      <c r="L145" s="65"/>
      <c r="M145" s="65"/>
      <c r="N145" s="65"/>
      <c r="O145" s="65"/>
      <c r="P145" s="65"/>
    </row>
    <row r="146" spans="2:16" ht="15.75" customHeight="1">
      <c r="B146" s="96"/>
      <c r="L146" s="65"/>
      <c r="M146" s="65"/>
      <c r="N146" s="65"/>
      <c r="O146" s="65"/>
      <c r="P146" s="65"/>
    </row>
    <row r="147" spans="2:16" ht="15.75" customHeight="1">
      <c r="L147" s="65"/>
      <c r="M147" s="65"/>
      <c r="N147" s="65"/>
      <c r="O147" s="65"/>
      <c r="P147" s="65"/>
    </row>
    <row r="148" spans="2:16" ht="15.75" customHeight="1">
      <c r="L148" s="65"/>
      <c r="M148" s="65"/>
      <c r="N148" s="65"/>
      <c r="O148" s="65"/>
      <c r="P148" s="65"/>
    </row>
    <row r="149" spans="2:16" ht="15.75" customHeight="1">
      <c r="L149" s="65"/>
      <c r="M149" s="65"/>
      <c r="N149" s="65"/>
      <c r="O149" s="65"/>
      <c r="P149" s="65"/>
    </row>
    <row r="150" spans="2:16" ht="15.75" customHeight="1">
      <c r="L150" s="65"/>
      <c r="M150" s="65"/>
      <c r="N150" s="65"/>
      <c r="O150" s="65"/>
      <c r="P150" s="65"/>
    </row>
    <row r="151" spans="2:16" ht="15.75" customHeight="1">
      <c r="B151" s="94"/>
      <c r="L151" s="65"/>
      <c r="M151" s="65"/>
      <c r="N151" s="65"/>
      <c r="O151" s="65"/>
      <c r="P151" s="65"/>
    </row>
    <row r="152" spans="2:16" ht="15.75" customHeight="1">
      <c r="B152" s="97"/>
      <c r="L152" s="65"/>
      <c r="M152" s="65"/>
      <c r="N152" s="65"/>
      <c r="O152" s="65"/>
      <c r="P152" s="65"/>
    </row>
    <row r="153" spans="2:16" ht="15.75" customHeight="1">
      <c r="L153" s="65"/>
      <c r="M153" s="65"/>
      <c r="N153" s="65"/>
      <c r="O153" s="65"/>
      <c r="P153" s="65"/>
    </row>
    <row r="154" spans="2:16" ht="15.75" customHeight="1">
      <c r="B154" s="97"/>
      <c r="L154" s="65"/>
      <c r="M154" s="65"/>
      <c r="N154" s="65"/>
      <c r="O154" s="65"/>
      <c r="P154" s="65"/>
    </row>
    <row r="155" spans="2:16" ht="15.75" customHeight="1">
      <c r="L155" s="65"/>
      <c r="M155" s="65"/>
      <c r="N155" s="65"/>
      <c r="O155" s="65"/>
      <c r="P155" s="65"/>
    </row>
    <row r="156" spans="2:16" ht="15.75" customHeight="1">
      <c r="L156" s="65"/>
      <c r="M156" s="65"/>
      <c r="N156" s="65"/>
      <c r="O156" s="65"/>
      <c r="P156" s="65"/>
    </row>
    <row r="157" spans="2:16" ht="15.75" customHeight="1">
      <c r="B157" s="94"/>
      <c r="L157" s="65"/>
      <c r="M157" s="65"/>
      <c r="N157" s="65"/>
      <c r="O157" s="65"/>
      <c r="P157" s="65"/>
    </row>
    <row r="158" spans="2:16" ht="15.75" customHeight="1">
      <c r="B158" s="65"/>
      <c r="L158" s="65"/>
      <c r="M158" s="65"/>
      <c r="N158" s="65"/>
      <c r="O158" s="65"/>
      <c r="P158" s="65"/>
    </row>
    <row r="159" spans="2:16" ht="15.75" customHeight="1">
      <c r="L159" s="65"/>
      <c r="M159" s="65"/>
      <c r="N159" s="65"/>
      <c r="O159" s="65"/>
      <c r="P159" s="65"/>
    </row>
    <row r="160" spans="2:16" ht="15.75" customHeight="1">
      <c r="L160" s="65"/>
      <c r="M160" s="65"/>
      <c r="N160" s="65"/>
      <c r="O160" s="65"/>
      <c r="P160" s="65"/>
    </row>
    <row r="161" spans="12:16" ht="15.75" customHeight="1">
      <c r="L161" s="65"/>
      <c r="M161" s="65"/>
      <c r="N161" s="65"/>
      <c r="O161" s="65"/>
      <c r="P161" s="65"/>
    </row>
    <row r="162" spans="12:16" ht="15.75" customHeight="1">
      <c r="L162" s="65"/>
      <c r="M162" s="65"/>
      <c r="N162" s="65"/>
      <c r="O162" s="65"/>
      <c r="P162" s="65"/>
    </row>
    <row r="163" spans="12:16" ht="15.75" customHeight="1">
      <c r="L163" s="65"/>
      <c r="M163" s="65"/>
      <c r="N163" s="65"/>
      <c r="O163" s="65"/>
      <c r="P163" s="65"/>
    </row>
    <row r="164" spans="12:16" ht="15.75" customHeight="1">
      <c r="L164" s="65"/>
      <c r="M164" s="65"/>
      <c r="N164" s="65"/>
      <c r="O164" s="65"/>
      <c r="P164" s="65"/>
    </row>
    <row r="165" spans="12:16" ht="15.75" customHeight="1">
      <c r="L165" s="65"/>
      <c r="M165" s="65"/>
      <c r="N165" s="65"/>
      <c r="O165" s="65"/>
      <c r="P165" s="65"/>
    </row>
    <row r="166" spans="12:16" ht="15.75" customHeight="1">
      <c r="L166" s="65"/>
      <c r="M166" s="65"/>
      <c r="N166" s="65"/>
      <c r="O166" s="65"/>
      <c r="P166" s="65"/>
    </row>
    <row r="167" spans="12:16" ht="15.75" customHeight="1">
      <c r="L167" s="65"/>
      <c r="M167" s="65"/>
      <c r="N167" s="65"/>
      <c r="O167" s="65"/>
      <c r="P167" s="65"/>
    </row>
    <row r="168" spans="12:16" ht="15.75" customHeight="1">
      <c r="L168" s="65"/>
      <c r="M168" s="65"/>
      <c r="N168" s="65"/>
      <c r="O168" s="65"/>
      <c r="P168" s="65"/>
    </row>
    <row r="169" spans="12:16" ht="15.75" customHeight="1">
      <c r="L169" s="65"/>
      <c r="M169" s="65"/>
      <c r="N169" s="65"/>
      <c r="O169" s="65"/>
      <c r="P169" s="65"/>
    </row>
    <row r="170" spans="12:16" ht="15.75" customHeight="1">
      <c r="L170" s="65"/>
      <c r="M170" s="65"/>
      <c r="N170" s="65"/>
      <c r="O170" s="65"/>
      <c r="P170" s="65"/>
    </row>
    <row r="171" spans="12:16" ht="15.75" customHeight="1">
      <c r="L171" s="65"/>
      <c r="M171" s="65"/>
      <c r="N171" s="65"/>
      <c r="O171" s="65"/>
      <c r="P171" s="65"/>
    </row>
    <row r="172" spans="12:16" ht="15.75" customHeight="1">
      <c r="L172" s="65"/>
      <c r="M172" s="65"/>
      <c r="N172" s="65"/>
      <c r="O172" s="65"/>
      <c r="P172" s="65"/>
    </row>
    <row r="173" spans="12:16" ht="15.75" customHeight="1">
      <c r="L173" s="65"/>
      <c r="M173" s="65"/>
      <c r="N173" s="65"/>
      <c r="O173" s="65"/>
      <c r="P173" s="65"/>
    </row>
    <row r="174" spans="12:16" ht="15.75" customHeight="1">
      <c r="L174" s="65"/>
      <c r="M174" s="65"/>
      <c r="N174" s="65"/>
      <c r="O174" s="65"/>
      <c r="P174" s="65"/>
    </row>
    <row r="175" spans="12:16" ht="15.75" customHeight="1">
      <c r="L175" s="65"/>
      <c r="M175" s="65"/>
      <c r="N175" s="65"/>
      <c r="O175" s="65"/>
      <c r="P175" s="65"/>
    </row>
    <row r="176" spans="12:16" ht="15.75" customHeight="1">
      <c r="L176" s="65"/>
      <c r="M176" s="65"/>
      <c r="N176" s="65"/>
      <c r="O176" s="65"/>
      <c r="P176" s="65"/>
    </row>
    <row r="177" spans="12:16" ht="15.75" customHeight="1">
      <c r="L177" s="65"/>
      <c r="M177" s="65"/>
      <c r="N177" s="65"/>
      <c r="O177" s="65"/>
      <c r="P177" s="65"/>
    </row>
    <row r="178" spans="12:16" ht="15.75" customHeight="1">
      <c r="L178" s="65"/>
      <c r="M178" s="65"/>
      <c r="N178" s="65"/>
      <c r="O178" s="65"/>
      <c r="P178" s="65"/>
    </row>
    <row r="179" spans="12:16" ht="15.75" customHeight="1">
      <c r="L179" s="65"/>
      <c r="M179" s="65"/>
      <c r="N179" s="65"/>
      <c r="O179" s="65"/>
      <c r="P179" s="65"/>
    </row>
    <row r="180" spans="12:16" ht="15.75" customHeight="1">
      <c r="L180" s="65"/>
      <c r="M180" s="65"/>
      <c r="N180" s="65"/>
      <c r="O180" s="65"/>
      <c r="P180" s="65"/>
    </row>
    <row r="181" spans="12:16" ht="15.75" customHeight="1">
      <c r="L181" s="65"/>
      <c r="M181" s="65"/>
      <c r="N181" s="65"/>
      <c r="O181" s="65"/>
      <c r="P181" s="65"/>
    </row>
    <row r="182" spans="12:16" ht="15.75" customHeight="1">
      <c r="L182" s="65"/>
      <c r="M182" s="65"/>
      <c r="N182" s="65"/>
      <c r="O182" s="65"/>
      <c r="P182" s="65"/>
    </row>
    <row r="183" spans="12:16" ht="15.75" customHeight="1">
      <c r="L183" s="65"/>
      <c r="M183" s="65"/>
      <c r="N183" s="65"/>
      <c r="O183" s="65"/>
      <c r="P183" s="65"/>
    </row>
    <row r="184" spans="12:16" ht="15.75" customHeight="1">
      <c r="L184" s="65"/>
      <c r="M184" s="65"/>
      <c r="N184" s="65"/>
      <c r="O184" s="65"/>
      <c r="P184" s="65"/>
    </row>
    <row r="185" spans="12:16" ht="15.75" customHeight="1">
      <c r="L185" s="65"/>
      <c r="M185" s="65"/>
      <c r="N185" s="65"/>
      <c r="O185" s="65"/>
      <c r="P185" s="65"/>
    </row>
    <row r="186" spans="12:16" ht="15.75" customHeight="1">
      <c r="L186" s="65"/>
      <c r="M186" s="65"/>
      <c r="N186" s="65"/>
      <c r="O186" s="65"/>
      <c r="P186" s="65"/>
    </row>
    <row r="187" spans="12:16" ht="15.75" customHeight="1">
      <c r="L187" s="65"/>
      <c r="M187" s="65"/>
      <c r="N187" s="65"/>
      <c r="O187" s="65"/>
      <c r="P187" s="65"/>
    </row>
    <row r="188" spans="12:16" ht="15.75" customHeight="1">
      <c r="L188" s="65"/>
      <c r="M188" s="65"/>
      <c r="N188" s="65"/>
      <c r="O188" s="65"/>
      <c r="P188" s="65"/>
    </row>
    <row r="189" spans="12:16" ht="15.75" customHeight="1">
      <c r="L189" s="65"/>
      <c r="M189" s="65"/>
      <c r="N189" s="65"/>
      <c r="O189" s="65"/>
      <c r="P189" s="65"/>
    </row>
    <row r="190" spans="12:16" ht="15.75" customHeight="1">
      <c r="L190" s="65"/>
      <c r="M190" s="65"/>
      <c r="N190" s="65"/>
      <c r="O190" s="65"/>
      <c r="P190" s="65"/>
    </row>
    <row r="191" spans="12:16" ht="15.75" customHeight="1">
      <c r="L191" s="65"/>
      <c r="M191" s="65"/>
      <c r="N191" s="65"/>
      <c r="O191" s="65"/>
      <c r="P191" s="65"/>
    </row>
    <row r="192" spans="12:16" ht="15.75" customHeight="1">
      <c r="L192" s="65"/>
      <c r="M192" s="65"/>
      <c r="N192" s="65"/>
      <c r="O192" s="65"/>
      <c r="P192" s="65"/>
    </row>
    <row r="193" spans="12:16" ht="15.75" customHeight="1">
      <c r="L193" s="65"/>
      <c r="M193" s="65"/>
      <c r="N193" s="65"/>
      <c r="O193" s="65"/>
      <c r="P193" s="65"/>
    </row>
    <row r="194" spans="12:16" ht="15.75" customHeight="1">
      <c r="L194" s="65"/>
      <c r="M194" s="65"/>
      <c r="N194" s="65"/>
      <c r="O194" s="65"/>
      <c r="P194" s="65"/>
    </row>
    <row r="195" spans="12:16" ht="15.75" customHeight="1">
      <c r="L195" s="65"/>
      <c r="M195" s="65"/>
      <c r="N195" s="65"/>
      <c r="O195" s="65"/>
      <c r="P195" s="65"/>
    </row>
    <row r="196" spans="12:16" ht="15.75" customHeight="1">
      <c r="L196" s="65"/>
      <c r="M196" s="65"/>
      <c r="N196" s="65"/>
      <c r="O196" s="65"/>
      <c r="P196" s="65"/>
    </row>
    <row r="197" spans="12:16" ht="15.75" customHeight="1">
      <c r="L197" s="65"/>
      <c r="M197" s="65"/>
      <c r="N197" s="65"/>
      <c r="O197" s="65"/>
      <c r="P197" s="65"/>
    </row>
    <row r="198" spans="12:16" ht="15.75" customHeight="1">
      <c r="L198" s="65"/>
      <c r="M198" s="65"/>
      <c r="N198" s="65"/>
      <c r="O198" s="65"/>
      <c r="P198" s="65"/>
    </row>
    <row r="199" spans="12:16" ht="15.75" customHeight="1">
      <c r="L199" s="65"/>
      <c r="M199" s="65"/>
      <c r="N199" s="65"/>
      <c r="O199" s="65"/>
      <c r="P199" s="65"/>
    </row>
    <row r="200" spans="12:16" ht="15.75" customHeight="1">
      <c r="L200" s="65"/>
      <c r="M200" s="65"/>
      <c r="N200" s="65"/>
      <c r="O200" s="65"/>
      <c r="P200" s="65"/>
    </row>
    <row r="201" spans="12:16" ht="15.75" customHeight="1">
      <c r="L201" s="65"/>
      <c r="M201" s="65"/>
      <c r="N201" s="65"/>
      <c r="O201" s="65"/>
      <c r="P201" s="65"/>
    </row>
    <row r="202" spans="12:16" ht="15.75" customHeight="1">
      <c r="L202" s="65"/>
      <c r="M202" s="65"/>
      <c r="N202" s="65"/>
      <c r="O202" s="65"/>
      <c r="P202" s="65"/>
    </row>
    <row r="203" spans="12:16" ht="15.75" customHeight="1">
      <c r="L203" s="65"/>
      <c r="M203" s="65"/>
      <c r="N203" s="65"/>
      <c r="O203" s="65"/>
      <c r="P203" s="65"/>
    </row>
    <row r="204" spans="12:16" ht="15.75" customHeight="1">
      <c r="L204" s="65"/>
      <c r="M204" s="65"/>
      <c r="N204" s="65"/>
      <c r="O204" s="65"/>
      <c r="P204" s="65"/>
    </row>
    <row r="205" spans="12:16" ht="15.75" customHeight="1">
      <c r="L205" s="65"/>
      <c r="M205" s="65"/>
      <c r="N205" s="65"/>
      <c r="O205" s="65"/>
      <c r="P205" s="65"/>
    </row>
    <row r="206" spans="12:16" ht="15.75" customHeight="1">
      <c r="L206" s="65"/>
      <c r="M206" s="65"/>
      <c r="N206" s="65"/>
      <c r="O206" s="65"/>
      <c r="P206" s="65"/>
    </row>
    <row r="207" spans="12:16" ht="15.75" customHeight="1">
      <c r="L207" s="65"/>
      <c r="M207" s="65"/>
      <c r="N207" s="65"/>
      <c r="O207" s="65"/>
      <c r="P207" s="65"/>
    </row>
    <row r="208" spans="12:16" ht="15.75" customHeight="1">
      <c r="L208" s="65"/>
      <c r="M208" s="65"/>
      <c r="N208" s="65"/>
      <c r="O208" s="65"/>
      <c r="P208" s="65"/>
    </row>
    <row r="209" spans="12:16" ht="15.75" customHeight="1">
      <c r="L209" s="65"/>
      <c r="M209" s="65"/>
      <c r="N209" s="65"/>
      <c r="O209" s="65"/>
      <c r="P209" s="65"/>
    </row>
    <row r="210" spans="12:16" ht="15.75" customHeight="1">
      <c r="L210" s="65"/>
      <c r="M210" s="65"/>
      <c r="N210" s="65"/>
      <c r="O210" s="65"/>
      <c r="P210" s="65"/>
    </row>
    <row r="211" spans="12:16" ht="15.75" customHeight="1">
      <c r="L211" s="65"/>
      <c r="M211" s="65"/>
      <c r="N211" s="65"/>
      <c r="O211" s="65"/>
      <c r="P211" s="65"/>
    </row>
    <row r="212" spans="12:16" ht="15.75" customHeight="1">
      <c r="L212" s="65"/>
      <c r="M212" s="65"/>
      <c r="N212" s="65"/>
      <c r="O212" s="65"/>
      <c r="P212" s="65"/>
    </row>
    <row r="213" spans="12:16" ht="15.75" customHeight="1">
      <c r="L213" s="65"/>
      <c r="M213" s="65"/>
      <c r="N213" s="65"/>
      <c r="O213" s="65"/>
      <c r="P213" s="65"/>
    </row>
    <row r="214" spans="12:16" ht="15.75" customHeight="1">
      <c r="L214" s="65"/>
      <c r="M214" s="65"/>
      <c r="N214" s="65"/>
      <c r="O214" s="65"/>
      <c r="P214" s="65"/>
    </row>
    <row r="215" spans="12:16" ht="15.75" customHeight="1">
      <c r="L215" s="65"/>
      <c r="M215" s="65"/>
      <c r="N215" s="65"/>
      <c r="O215" s="65"/>
      <c r="P215" s="65"/>
    </row>
    <row r="216" spans="12:16" ht="15.75" customHeight="1">
      <c r="L216" s="65"/>
      <c r="M216" s="65"/>
      <c r="N216" s="65"/>
      <c r="O216" s="65"/>
      <c r="P216" s="65"/>
    </row>
    <row r="217" spans="12:16" ht="15.75" customHeight="1">
      <c r="L217" s="65"/>
      <c r="M217" s="65"/>
      <c r="N217" s="65"/>
      <c r="O217" s="65"/>
      <c r="P217" s="65"/>
    </row>
    <row r="218" spans="12:16" ht="15.75" customHeight="1">
      <c r="L218" s="65"/>
      <c r="M218" s="65"/>
      <c r="N218" s="65"/>
      <c r="O218" s="65"/>
      <c r="P218" s="65"/>
    </row>
    <row r="219" spans="12:16" ht="15.75" customHeight="1">
      <c r="L219" s="65"/>
      <c r="M219" s="65"/>
      <c r="N219" s="65"/>
      <c r="O219" s="65"/>
      <c r="P219" s="65"/>
    </row>
    <row r="220" spans="12:16" ht="15.75" customHeight="1">
      <c r="L220" s="65"/>
      <c r="M220" s="65"/>
      <c r="N220" s="65"/>
      <c r="O220" s="65"/>
      <c r="P220" s="65"/>
    </row>
    <row r="221" spans="12:16" ht="15.75" customHeight="1">
      <c r="L221" s="65"/>
      <c r="M221" s="65"/>
      <c r="N221" s="65"/>
      <c r="O221" s="65"/>
      <c r="P221" s="65"/>
    </row>
    <row r="222" spans="12:16" ht="15.75" customHeight="1">
      <c r="L222" s="65"/>
      <c r="M222" s="65"/>
      <c r="N222" s="65"/>
      <c r="O222" s="65"/>
      <c r="P222" s="65"/>
    </row>
    <row r="223" spans="12:16" ht="15.75" customHeight="1">
      <c r="L223" s="65"/>
      <c r="M223" s="65"/>
      <c r="N223" s="65"/>
      <c r="O223" s="65"/>
      <c r="P223" s="65"/>
    </row>
    <row r="224" spans="12:16" ht="15.75" customHeight="1">
      <c r="L224" s="65"/>
      <c r="M224" s="65"/>
      <c r="N224" s="65"/>
      <c r="O224" s="65"/>
      <c r="P224" s="65"/>
    </row>
    <row r="225" spans="12:16" ht="15.75" customHeight="1">
      <c r="L225" s="65"/>
      <c r="M225" s="65"/>
      <c r="N225" s="65"/>
      <c r="O225" s="65"/>
      <c r="P225" s="65"/>
    </row>
    <row r="226" spans="12:16" ht="15.75" customHeight="1">
      <c r="L226" s="65"/>
      <c r="M226" s="65"/>
      <c r="N226" s="65"/>
      <c r="O226" s="65"/>
      <c r="P226" s="65"/>
    </row>
    <row r="227" spans="12:16" ht="15.75" customHeight="1">
      <c r="L227" s="65"/>
      <c r="M227" s="65"/>
      <c r="N227" s="65"/>
      <c r="O227" s="65"/>
      <c r="P227" s="65"/>
    </row>
    <row r="228" spans="12:16" ht="15.75" customHeight="1">
      <c r="L228" s="65"/>
      <c r="M228" s="65"/>
      <c r="N228" s="65"/>
      <c r="O228" s="65"/>
      <c r="P228" s="65"/>
    </row>
    <row r="229" spans="12:16" ht="15.75" customHeight="1">
      <c r="L229" s="65"/>
      <c r="M229" s="65"/>
      <c r="N229" s="65"/>
      <c r="O229" s="65"/>
      <c r="P229" s="65"/>
    </row>
    <row r="230" spans="12:16" ht="15.75" customHeight="1">
      <c r="L230" s="65"/>
      <c r="M230" s="65"/>
      <c r="N230" s="65"/>
      <c r="O230" s="65"/>
      <c r="P230" s="65"/>
    </row>
    <row r="231" spans="12:16" ht="15.75" customHeight="1">
      <c r="L231" s="65"/>
      <c r="M231" s="65"/>
      <c r="N231" s="65"/>
      <c r="O231" s="65"/>
      <c r="P231" s="65"/>
    </row>
    <row r="232" spans="12:16" ht="15.75" customHeight="1">
      <c r="L232" s="65"/>
      <c r="M232" s="65"/>
      <c r="N232" s="65"/>
      <c r="O232" s="65"/>
      <c r="P232" s="65"/>
    </row>
    <row r="233" spans="12:16" ht="15.75" customHeight="1">
      <c r="L233" s="65"/>
      <c r="M233" s="65"/>
      <c r="N233" s="65"/>
      <c r="O233" s="65"/>
      <c r="P233" s="65"/>
    </row>
    <row r="234" spans="12:16" ht="15.75" customHeight="1">
      <c r="L234" s="65"/>
      <c r="M234" s="65"/>
      <c r="N234" s="65"/>
      <c r="O234" s="65"/>
      <c r="P234" s="65"/>
    </row>
    <row r="235" spans="12:16" ht="15.75" customHeight="1">
      <c r="L235" s="65"/>
      <c r="M235" s="65"/>
      <c r="N235" s="65"/>
      <c r="O235" s="65"/>
      <c r="P235" s="65"/>
    </row>
    <row r="236" spans="12:16" ht="15.75" customHeight="1">
      <c r="L236" s="65"/>
      <c r="M236" s="65"/>
      <c r="N236" s="65"/>
      <c r="O236" s="65"/>
      <c r="P236" s="65"/>
    </row>
    <row r="237" spans="12:16" ht="15.75" customHeight="1">
      <c r="L237" s="65"/>
      <c r="M237" s="65"/>
      <c r="N237" s="65"/>
      <c r="O237" s="65"/>
      <c r="P237" s="65"/>
    </row>
    <row r="238" spans="12:16" ht="15.75" customHeight="1">
      <c r="L238" s="65"/>
      <c r="M238" s="65"/>
      <c r="N238" s="65"/>
      <c r="O238" s="65"/>
      <c r="P238" s="65"/>
    </row>
    <row r="239" spans="12:16" ht="15.75" customHeight="1">
      <c r="L239" s="65"/>
      <c r="M239" s="65"/>
      <c r="N239" s="65"/>
      <c r="O239" s="65"/>
      <c r="P239" s="65"/>
    </row>
    <row r="240" spans="12:16" ht="15.75" customHeight="1">
      <c r="L240" s="65"/>
      <c r="M240" s="65"/>
      <c r="N240" s="65"/>
      <c r="O240" s="65"/>
      <c r="P240" s="65"/>
    </row>
    <row r="241" spans="12:16" ht="15.75" customHeight="1">
      <c r="L241" s="65"/>
      <c r="M241" s="65"/>
      <c r="N241" s="65"/>
      <c r="O241" s="65"/>
      <c r="P241" s="65"/>
    </row>
    <row r="242" spans="12:16" ht="15.75" customHeight="1">
      <c r="L242" s="65"/>
      <c r="M242" s="65"/>
      <c r="N242" s="65"/>
      <c r="O242" s="65"/>
      <c r="P242" s="65"/>
    </row>
    <row r="243" spans="12:16" ht="15.75" customHeight="1">
      <c r="L243" s="65"/>
      <c r="M243" s="65"/>
      <c r="N243" s="65"/>
      <c r="O243" s="65"/>
      <c r="P243" s="65"/>
    </row>
    <row r="244" spans="12:16" ht="15.75" customHeight="1">
      <c r="L244" s="65"/>
      <c r="M244" s="65"/>
      <c r="N244" s="65"/>
      <c r="O244" s="65"/>
      <c r="P244" s="65"/>
    </row>
    <row r="245" spans="12:16" ht="15.75" customHeight="1">
      <c r="L245" s="65"/>
      <c r="M245" s="65"/>
      <c r="N245" s="65"/>
      <c r="O245" s="65"/>
      <c r="P245" s="65"/>
    </row>
    <row r="246" spans="12:16" ht="15.75" customHeight="1">
      <c r="L246" s="65"/>
      <c r="M246" s="65"/>
      <c r="N246" s="65"/>
      <c r="O246" s="65"/>
      <c r="P246" s="65"/>
    </row>
    <row r="247" spans="12:16" ht="15.75" customHeight="1">
      <c r="L247" s="65"/>
      <c r="M247" s="65"/>
      <c r="N247" s="65"/>
      <c r="O247" s="65"/>
      <c r="P247" s="65"/>
    </row>
    <row r="248" spans="12:16" ht="15.75" customHeight="1">
      <c r="L248" s="65"/>
      <c r="M248" s="65"/>
      <c r="N248" s="65"/>
      <c r="O248" s="65"/>
      <c r="P248" s="65"/>
    </row>
    <row r="249" spans="12:16" ht="15.75" customHeight="1">
      <c r="L249" s="65"/>
      <c r="M249" s="65"/>
      <c r="N249" s="65"/>
      <c r="O249" s="65"/>
      <c r="P249" s="65"/>
    </row>
    <row r="250" spans="12:16" ht="15.75" customHeight="1">
      <c r="L250" s="65"/>
      <c r="M250" s="65"/>
      <c r="N250" s="65"/>
      <c r="O250" s="65"/>
      <c r="P250" s="65"/>
    </row>
    <row r="251" spans="12:16" ht="15.75" customHeight="1">
      <c r="L251" s="65"/>
      <c r="M251" s="65"/>
      <c r="N251" s="65"/>
      <c r="O251" s="65"/>
      <c r="P251" s="65"/>
    </row>
    <row r="252" spans="12:16" ht="15.75" customHeight="1">
      <c r="L252" s="65"/>
      <c r="M252" s="65"/>
      <c r="N252" s="65"/>
      <c r="O252" s="65"/>
      <c r="P252" s="65"/>
    </row>
    <row r="253" spans="12:16" ht="15.75" customHeight="1">
      <c r="L253" s="65"/>
      <c r="M253" s="65"/>
      <c r="N253" s="65"/>
      <c r="O253" s="65"/>
      <c r="P253" s="65"/>
    </row>
    <row r="254" spans="12:16" ht="15.75" customHeight="1">
      <c r="L254" s="65"/>
      <c r="M254" s="65"/>
      <c r="N254" s="65"/>
      <c r="O254" s="65"/>
      <c r="P254" s="65"/>
    </row>
    <row r="255" spans="12:16" ht="15.75" customHeight="1">
      <c r="L255" s="65"/>
      <c r="M255" s="65"/>
      <c r="N255" s="65"/>
      <c r="O255" s="65"/>
      <c r="P255" s="65"/>
    </row>
    <row r="256" spans="12:16" ht="15.75" customHeight="1">
      <c r="L256" s="65"/>
      <c r="M256" s="65"/>
      <c r="N256" s="65"/>
      <c r="O256" s="65"/>
      <c r="P256" s="65"/>
    </row>
    <row r="257" spans="12:16" ht="15.75" customHeight="1">
      <c r="L257" s="65"/>
      <c r="M257" s="65"/>
      <c r="N257" s="65"/>
      <c r="O257" s="65"/>
      <c r="P257" s="65"/>
    </row>
    <row r="258" spans="12:16" ht="15.75" customHeight="1">
      <c r="L258" s="65"/>
      <c r="M258" s="65"/>
      <c r="N258" s="65"/>
      <c r="O258" s="65"/>
      <c r="P258" s="65"/>
    </row>
    <row r="259" spans="12:16" ht="15.75" customHeight="1">
      <c r="L259" s="65"/>
      <c r="M259" s="65"/>
      <c r="N259" s="65"/>
      <c r="O259" s="65"/>
      <c r="P259" s="65"/>
    </row>
    <row r="260" spans="12:16" ht="15.75" customHeight="1">
      <c r="L260" s="65"/>
      <c r="M260" s="65"/>
      <c r="N260" s="65"/>
      <c r="O260" s="65"/>
      <c r="P260" s="65"/>
    </row>
    <row r="261" spans="12:16" ht="15.75" customHeight="1">
      <c r="L261" s="65"/>
      <c r="M261" s="65"/>
      <c r="N261" s="65"/>
      <c r="O261" s="65"/>
      <c r="P261" s="65"/>
    </row>
    <row r="262" spans="12:16" ht="15.75" customHeight="1">
      <c r="L262" s="65"/>
      <c r="M262" s="65"/>
      <c r="N262" s="65"/>
      <c r="O262" s="65"/>
      <c r="P262" s="65"/>
    </row>
    <row r="263" spans="12:16" ht="15.75" customHeight="1">
      <c r="L263" s="65"/>
      <c r="M263" s="65"/>
      <c r="N263" s="65"/>
      <c r="O263" s="65"/>
      <c r="P263" s="65"/>
    </row>
    <row r="264" spans="12:16" ht="15.75" customHeight="1">
      <c r="L264" s="65"/>
      <c r="M264" s="65"/>
      <c r="N264" s="65"/>
      <c r="O264" s="65"/>
      <c r="P264" s="65"/>
    </row>
    <row r="265" spans="12:16" ht="15.75" customHeight="1">
      <c r="L265" s="65"/>
      <c r="M265" s="65"/>
      <c r="N265" s="65"/>
      <c r="O265" s="65"/>
      <c r="P265" s="65"/>
    </row>
    <row r="266" spans="12:16" ht="15.75" customHeight="1">
      <c r="L266" s="65"/>
      <c r="M266" s="65"/>
      <c r="N266" s="65"/>
      <c r="O266" s="65"/>
      <c r="P266" s="65"/>
    </row>
    <row r="267" spans="12:16" ht="15.75" customHeight="1">
      <c r="L267" s="65"/>
      <c r="M267" s="65"/>
      <c r="N267" s="65"/>
      <c r="O267" s="65"/>
      <c r="P267" s="65"/>
    </row>
    <row r="268" spans="12:16" ht="15.75" customHeight="1">
      <c r="L268" s="65"/>
      <c r="M268" s="65"/>
      <c r="N268" s="65"/>
      <c r="O268" s="65"/>
      <c r="P268" s="65"/>
    </row>
    <row r="269" spans="12:16" ht="15.75" customHeight="1">
      <c r="L269" s="65"/>
      <c r="M269" s="65"/>
      <c r="N269" s="65"/>
      <c r="O269" s="65"/>
      <c r="P269" s="65"/>
    </row>
    <row r="270" spans="12:16" ht="15.75" customHeight="1">
      <c r="L270" s="65"/>
      <c r="M270" s="65"/>
      <c r="N270" s="65"/>
      <c r="O270" s="65"/>
      <c r="P270" s="65"/>
    </row>
    <row r="271" spans="12:16" ht="15.75" customHeight="1">
      <c r="L271" s="65"/>
      <c r="M271" s="65"/>
      <c r="N271" s="65"/>
      <c r="O271" s="65"/>
      <c r="P271" s="65"/>
    </row>
    <row r="272" spans="12:16" ht="15.75" customHeight="1">
      <c r="L272" s="65"/>
      <c r="M272" s="65"/>
      <c r="N272" s="65"/>
      <c r="O272" s="65"/>
      <c r="P272" s="65"/>
    </row>
    <row r="273" spans="12:16" ht="15.75" customHeight="1">
      <c r="L273" s="65"/>
      <c r="M273" s="65"/>
      <c r="N273" s="65"/>
      <c r="O273" s="65"/>
      <c r="P273" s="65"/>
    </row>
    <row r="274" spans="12:16" ht="15.75" customHeight="1">
      <c r="L274" s="65"/>
      <c r="M274" s="65"/>
      <c r="N274" s="65"/>
      <c r="O274" s="65"/>
      <c r="P274" s="65"/>
    </row>
    <row r="275" spans="12:16" ht="15.75" customHeight="1">
      <c r="L275" s="65"/>
      <c r="M275" s="65"/>
      <c r="N275" s="65"/>
      <c r="O275" s="65"/>
      <c r="P275" s="65"/>
    </row>
    <row r="276" spans="12:16" ht="15.75" customHeight="1">
      <c r="L276" s="65"/>
      <c r="M276" s="65"/>
      <c r="N276" s="65"/>
      <c r="O276" s="65"/>
      <c r="P276" s="65"/>
    </row>
    <row r="277" spans="12:16" ht="15.75" customHeight="1">
      <c r="L277" s="65"/>
      <c r="M277" s="65"/>
      <c r="N277" s="65"/>
      <c r="O277" s="65"/>
      <c r="P277" s="65"/>
    </row>
    <row r="278" spans="12:16" ht="15.75" customHeight="1">
      <c r="L278" s="65"/>
      <c r="M278" s="65"/>
      <c r="N278" s="65"/>
      <c r="O278" s="65"/>
      <c r="P278" s="65"/>
    </row>
    <row r="279" spans="12:16" ht="15.75" customHeight="1">
      <c r="L279" s="65"/>
      <c r="M279" s="65"/>
      <c r="N279" s="65"/>
      <c r="O279" s="65"/>
      <c r="P279" s="65"/>
    </row>
    <row r="280" spans="12:16" ht="15.75" customHeight="1">
      <c r="L280" s="65"/>
      <c r="M280" s="65"/>
      <c r="N280" s="65"/>
      <c r="O280" s="65"/>
      <c r="P280" s="65"/>
    </row>
    <row r="281" spans="12:16" ht="15.75" customHeight="1">
      <c r="L281" s="65"/>
      <c r="M281" s="65"/>
      <c r="N281" s="65"/>
      <c r="O281" s="65"/>
      <c r="P281" s="65"/>
    </row>
    <row r="282" spans="12:16" ht="15.75" customHeight="1">
      <c r="L282" s="65"/>
      <c r="M282" s="65"/>
      <c r="N282" s="65"/>
      <c r="O282" s="65"/>
      <c r="P282" s="65"/>
    </row>
    <row r="283" spans="12:16" ht="15.75" customHeight="1">
      <c r="L283" s="65"/>
      <c r="M283" s="65"/>
      <c r="N283" s="65"/>
      <c r="O283" s="65"/>
      <c r="P283" s="65"/>
    </row>
    <row r="284" spans="12:16" ht="15.75" customHeight="1">
      <c r="L284" s="65"/>
      <c r="M284" s="65"/>
      <c r="N284" s="65"/>
      <c r="O284" s="65"/>
      <c r="P284" s="65"/>
    </row>
    <row r="285" spans="12:16" ht="15.75" customHeight="1">
      <c r="L285" s="65"/>
      <c r="M285" s="65"/>
      <c r="N285" s="65"/>
      <c r="O285" s="65"/>
      <c r="P285" s="65"/>
    </row>
    <row r="286" spans="12:16" ht="15.75" customHeight="1">
      <c r="L286" s="65"/>
      <c r="M286" s="65"/>
      <c r="N286" s="65"/>
      <c r="O286" s="65"/>
      <c r="P286" s="65"/>
    </row>
    <row r="287" spans="12:16" ht="15.75" customHeight="1">
      <c r="L287" s="65"/>
      <c r="M287" s="65"/>
      <c r="N287" s="65"/>
      <c r="O287" s="65"/>
      <c r="P287" s="65"/>
    </row>
    <row r="288" spans="12:16" ht="15.75" customHeight="1">
      <c r="L288" s="65"/>
      <c r="M288" s="65"/>
      <c r="N288" s="65"/>
      <c r="O288" s="65"/>
      <c r="P288" s="65"/>
    </row>
    <row r="289" spans="12:16" ht="15.75" customHeight="1">
      <c r="L289" s="65"/>
      <c r="M289" s="65"/>
      <c r="N289" s="65"/>
      <c r="O289" s="65"/>
      <c r="P289" s="65"/>
    </row>
    <row r="290" spans="12:16" ht="15.75" customHeight="1">
      <c r="L290" s="65"/>
      <c r="M290" s="65"/>
      <c r="N290" s="65"/>
      <c r="O290" s="65"/>
      <c r="P290" s="65"/>
    </row>
    <row r="291" spans="12:16" ht="15.75" customHeight="1">
      <c r="L291" s="65"/>
      <c r="M291" s="65"/>
      <c r="N291" s="65"/>
      <c r="O291" s="65"/>
      <c r="P291" s="65"/>
    </row>
    <row r="292" spans="12:16" ht="15.75" customHeight="1">
      <c r="L292" s="65"/>
      <c r="M292" s="65"/>
      <c r="N292" s="65"/>
      <c r="O292" s="65"/>
      <c r="P292" s="65"/>
    </row>
    <row r="293" spans="12:16" ht="15.75" customHeight="1">
      <c r="L293" s="65"/>
      <c r="M293" s="65"/>
      <c r="N293" s="65"/>
      <c r="O293" s="65"/>
      <c r="P293" s="65"/>
    </row>
    <row r="294" spans="12:16" ht="15.75" customHeight="1">
      <c r="L294" s="65"/>
      <c r="M294" s="65"/>
      <c r="N294" s="65"/>
      <c r="O294" s="65"/>
      <c r="P294" s="65"/>
    </row>
    <row r="295" spans="12:16" ht="15.75" customHeight="1">
      <c r="L295" s="65"/>
      <c r="M295" s="65"/>
      <c r="N295" s="65"/>
      <c r="O295" s="65"/>
      <c r="P295" s="65"/>
    </row>
    <row r="296" spans="12:16" ht="15.75" customHeight="1">
      <c r="L296" s="65"/>
      <c r="M296" s="65"/>
      <c r="N296" s="65"/>
      <c r="O296" s="65"/>
      <c r="P296" s="65"/>
    </row>
    <row r="297" spans="12:16" ht="15.75" customHeight="1">
      <c r="L297" s="65"/>
      <c r="M297" s="65"/>
      <c r="N297" s="65"/>
      <c r="O297" s="65"/>
      <c r="P297" s="65"/>
    </row>
    <row r="298" spans="12:16" ht="15.75" customHeight="1">
      <c r="L298" s="65"/>
      <c r="M298" s="65"/>
      <c r="N298" s="65"/>
      <c r="O298" s="65"/>
      <c r="P298" s="65"/>
    </row>
    <row r="299" spans="12:16" ht="15.75" customHeight="1">
      <c r="L299" s="65"/>
      <c r="M299" s="65"/>
      <c r="N299" s="65"/>
      <c r="O299" s="65"/>
      <c r="P299" s="65"/>
    </row>
    <row r="300" spans="12:16" ht="15.75" customHeight="1">
      <c r="L300" s="65"/>
      <c r="M300" s="65"/>
      <c r="N300" s="65"/>
      <c r="O300" s="65"/>
      <c r="P300" s="65"/>
    </row>
    <row r="301" spans="12:16" ht="15.75" customHeight="1">
      <c r="L301" s="65"/>
      <c r="M301" s="65"/>
      <c r="N301" s="65"/>
      <c r="O301" s="65"/>
      <c r="P301" s="65"/>
    </row>
    <row r="302" spans="12:16" ht="15.75" customHeight="1">
      <c r="L302" s="65"/>
      <c r="M302" s="65"/>
      <c r="N302" s="65"/>
      <c r="O302" s="65"/>
      <c r="P302" s="65"/>
    </row>
    <row r="303" spans="12:16" ht="15.75" customHeight="1">
      <c r="L303" s="65"/>
      <c r="M303" s="65"/>
      <c r="N303" s="65"/>
      <c r="O303" s="65"/>
      <c r="P303" s="65"/>
    </row>
    <row r="304" spans="12:16" ht="15.75" customHeight="1">
      <c r="L304" s="65"/>
      <c r="M304" s="65"/>
      <c r="N304" s="65"/>
      <c r="O304" s="65"/>
      <c r="P304" s="65"/>
    </row>
    <row r="305" spans="12:16" ht="15.75" customHeight="1">
      <c r="L305" s="65"/>
      <c r="M305" s="65"/>
      <c r="N305" s="65"/>
      <c r="O305" s="65"/>
      <c r="P305" s="65"/>
    </row>
    <row r="306" spans="12:16" ht="15.75" customHeight="1">
      <c r="L306" s="65"/>
      <c r="M306" s="65"/>
      <c r="N306" s="65"/>
      <c r="O306" s="65"/>
      <c r="P306" s="65"/>
    </row>
    <row r="307" spans="12:16" ht="15.75" customHeight="1">
      <c r="L307" s="65"/>
      <c r="M307" s="65"/>
      <c r="N307" s="65"/>
      <c r="O307" s="65"/>
      <c r="P307" s="65"/>
    </row>
    <row r="308" spans="12:16" ht="15.75" customHeight="1">
      <c r="L308" s="65"/>
      <c r="M308" s="65"/>
      <c r="N308" s="65"/>
      <c r="O308" s="65"/>
      <c r="P308" s="65"/>
    </row>
    <row r="309" spans="12:16" ht="15.75" customHeight="1">
      <c r="L309" s="65"/>
      <c r="M309" s="65"/>
      <c r="N309" s="65"/>
      <c r="O309" s="65"/>
      <c r="P309" s="65"/>
    </row>
    <row r="310" spans="12:16" ht="15.75" customHeight="1">
      <c r="L310" s="65"/>
      <c r="M310" s="65"/>
      <c r="N310" s="65"/>
      <c r="O310" s="65"/>
      <c r="P310" s="65"/>
    </row>
    <row r="311" spans="12:16" ht="15.75" customHeight="1">
      <c r="L311" s="65"/>
      <c r="M311" s="65"/>
      <c r="N311" s="65"/>
      <c r="O311" s="65"/>
      <c r="P311" s="65"/>
    </row>
    <row r="312" spans="12:16" ht="15.75" customHeight="1">
      <c r="L312" s="65"/>
      <c r="M312" s="65"/>
      <c r="N312" s="65"/>
      <c r="O312" s="65"/>
      <c r="P312" s="65"/>
    </row>
    <row r="313" spans="12:16" ht="15.75" customHeight="1">
      <c r="L313" s="65"/>
      <c r="M313" s="65"/>
      <c r="N313" s="65"/>
      <c r="O313" s="65"/>
      <c r="P313" s="65"/>
    </row>
    <row r="314" spans="12:16" ht="15.75" customHeight="1">
      <c r="L314" s="65"/>
      <c r="M314" s="65"/>
      <c r="N314" s="65"/>
      <c r="O314" s="65"/>
      <c r="P314" s="65"/>
    </row>
    <row r="315" spans="12:16" ht="15.75" customHeight="1">
      <c r="L315" s="65"/>
      <c r="M315" s="65"/>
      <c r="N315" s="65"/>
      <c r="O315" s="65"/>
      <c r="P315" s="65"/>
    </row>
    <row r="316" spans="12:16" ht="15.75" customHeight="1">
      <c r="L316" s="65"/>
      <c r="M316" s="65"/>
      <c r="N316" s="65"/>
      <c r="O316" s="65"/>
      <c r="P316" s="65"/>
    </row>
    <row r="317" spans="12:16" ht="15.75" customHeight="1">
      <c r="L317" s="65"/>
      <c r="M317" s="65"/>
      <c r="N317" s="65"/>
      <c r="O317" s="65"/>
      <c r="P317" s="65"/>
    </row>
    <row r="318" spans="12:16" ht="15.75" customHeight="1">
      <c r="L318" s="65"/>
      <c r="M318" s="65"/>
      <c r="N318" s="65"/>
      <c r="O318" s="65"/>
      <c r="P318" s="65"/>
    </row>
    <row r="319" spans="12:16" ht="15.75" customHeight="1">
      <c r="L319" s="65"/>
      <c r="M319" s="65"/>
      <c r="N319" s="65"/>
      <c r="O319" s="65"/>
      <c r="P319" s="65"/>
    </row>
    <row r="320" spans="12:16" ht="15.75" customHeight="1">
      <c r="L320" s="65"/>
      <c r="M320" s="65"/>
      <c r="N320" s="65"/>
      <c r="O320" s="65"/>
      <c r="P320" s="65"/>
    </row>
    <row r="321" spans="12:16" ht="15.75" customHeight="1">
      <c r="L321" s="65"/>
      <c r="M321" s="65"/>
      <c r="N321" s="65"/>
      <c r="O321" s="65"/>
      <c r="P321" s="65"/>
    </row>
    <row r="322" spans="12:16" ht="15.75" customHeight="1">
      <c r="L322" s="65"/>
      <c r="M322" s="65"/>
      <c r="N322" s="65"/>
      <c r="O322" s="65"/>
      <c r="P322" s="65"/>
    </row>
    <row r="323" spans="12:16" ht="15.75" customHeight="1">
      <c r="L323" s="65"/>
      <c r="M323" s="65"/>
      <c r="N323" s="65"/>
      <c r="O323" s="65"/>
      <c r="P323" s="65"/>
    </row>
    <row r="324" spans="12:16" ht="15.75" customHeight="1">
      <c r="L324" s="65"/>
      <c r="M324" s="65"/>
      <c r="N324" s="65"/>
      <c r="O324" s="65"/>
      <c r="P324" s="65"/>
    </row>
    <row r="325" spans="12:16" ht="15.75" customHeight="1">
      <c r="L325" s="65"/>
      <c r="M325" s="65"/>
      <c r="N325" s="65"/>
      <c r="O325" s="65"/>
      <c r="P325" s="65"/>
    </row>
    <row r="326" spans="12:16" ht="15.75" customHeight="1">
      <c r="L326" s="65"/>
      <c r="M326" s="65"/>
      <c r="N326" s="65"/>
      <c r="O326" s="65"/>
      <c r="P326" s="65"/>
    </row>
    <row r="327" spans="12:16" ht="15.75" customHeight="1">
      <c r="L327" s="65"/>
      <c r="M327" s="65"/>
      <c r="N327" s="65"/>
      <c r="O327" s="65"/>
      <c r="P327" s="65"/>
    </row>
    <row r="328" spans="12:16" ht="15.75" customHeight="1">
      <c r="L328" s="65"/>
      <c r="M328" s="65"/>
      <c r="N328" s="65"/>
      <c r="O328" s="65"/>
      <c r="P328" s="65"/>
    </row>
    <row r="329" spans="12:16" ht="15.75" customHeight="1">
      <c r="L329" s="65"/>
      <c r="M329" s="65"/>
      <c r="N329" s="65"/>
      <c r="O329" s="65"/>
      <c r="P329" s="65"/>
    </row>
    <row r="330" spans="12:16" ht="15.75" customHeight="1">
      <c r="L330" s="65"/>
      <c r="M330" s="65"/>
      <c r="N330" s="65"/>
      <c r="O330" s="65"/>
      <c r="P330" s="65"/>
    </row>
    <row r="331" spans="12:16" ht="15.75" customHeight="1">
      <c r="L331" s="65"/>
      <c r="M331" s="65"/>
      <c r="N331" s="65"/>
      <c r="O331" s="65"/>
      <c r="P331" s="65"/>
    </row>
    <row r="332" spans="12:16" ht="15.75" customHeight="1">
      <c r="L332" s="65"/>
      <c r="M332" s="65"/>
      <c r="N332" s="65"/>
      <c r="O332" s="65"/>
      <c r="P332" s="65"/>
    </row>
    <row r="333" spans="12:16" ht="15.75" customHeight="1">
      <c r="L333" s="65"/>
      <c r="M333" s="65"/>
      <c r="N333" s="65"/>
      <c r="O333" s="65"/>
      <c r="P333" s="65"/>
    </row>
    <row r="334" spans="12:16" ht="15.75" customHeight="1">
      <c r="L334" s="65"/>
      <c r="M334" s="65"/>
      <c r="N334" s="65"/>
      <c r="O334" s="65"/>
      <c r="P334" s="65"/>
    </row>
    <row r="335" spans="12:16" ht="15.75" customHeight="1">
      <c r="L335" s="65"/>
      <c r="M335" s="65"/>
      <c r="N335" s="65"/>
      <c r="O335" s="65"/>
      <c r="P335" s="65"/>
    </row>
    <row r="336" spans="12:16" ht="15.75" customHeight="1">
      <c r="L336" s="65"/>
      <c r="M336" s="65"/>
      <c r="N336" s="65"/>
      <c r="O336" s="65"/>
      <c r="P336" s="65"/>
    </row>
    <row r="337" spans="12:16" ht="15.75" customHeight="1">
      <c r="L337" s="65"/>
      <c r="M337" s="65"/>
      <c r="N337" s="65"/>
      <c r="O337" s="65"/>
      <c r="P337" s="65"/>
    </row>
    <row r="338" spans="12:16" ht="15.75" customHeight="1">
      <c r="L338" s="65"/>
      <c r="M338" s="65"/>
      <c r="N338" s="65"/>
      <c r="O338" s="65"/>
      <c r="P338" s="65"/>
    </row>
    <row r="339" spans="12:16" ht="15.75" customHeight="1">
      <c r="L339" s="65"/>
      <c r="M339" s="65"/>
      <c r="N339" s="65"/>
      <c r="O339" s="65"/>
      <c r="P339" s="65"/>
    </row>
    <row r="340" spans="12:16" ht="15.75" customHeight="1">
      <c r="L340" s="65"/>
      <c r="M340" s="65"/>
      <c r="N340" s="65"/>
      <c r="O340" s="65"/>
      <c r="P340" s="65"/>
    </row>
    <row r="341" spans="12:16" ht="15.75" customHeight="1">
      <c r="L341" s="65"/>
      <c r="M341" s="65"/>
      <c r="N341" s="65"/>
      <c r="O341" s="65"/>
      <c r="P341" s="65"/>
    </row>
    <row r="342" spans="12:16" ht="15.75" customHeight="1">
      <c r="L342" s="65"/>
      <c r="M342" s="65"/>
      <c r="N342" s="65"/>
      <c r="O342" s="65"/>
      <c r="P342" s="65"/>
    </row>
    <row r="343" spans="12:16" ht="15.75" customHeight="1">
      <c r="L343" s="65"/>
      <c r="M343" s="65"/>
      <c r="N343" s="65"/>
      <c r="O343" s="65"/>
      <c r="P343" s="65"/>
    </row>
    <row r="344" spans="12:16" ht="15.75" customHeight="1">
      <c r="L344" s="65"/>
      <c r="M344" s="65"/>
      <c r="N344" s="65"/>
      <c r="O344" s="65"/>
      <c r="P344" s="65"/>
    </row>
    <row r="345" spans="12:16" ht="15.75" customHeight="1">
      <c r="L345" s="65"/>
      <c r="M345" s="65"/>
      <c r="N345" s="65"/>
      <c r="O345" s="65"/>
      <c r="P345" s="65"/>
    </row>
    <row r="346" spans="12:16" ht="15.75" customHeight="1">
      <c r="L346" s="65"/>
      <c r="M346" s="65"/>
      <c r="N346" s="65"/>
      <c r="O346" s="65"/>
      <c r="P346" s="65"/>
    </row>
    <row r="347" spans="12:16" ht="15.75" customHeight="1">
      <c r="L347" s="65"/>
      <c r="M347" s="65"/>
      <c r="N347" s="65"/>
      <c r="O347" s="65"/>
      <c r="P347" s="65"/>
    </row>
    <row r="348" spans="12:16" ht="15.75" customHeight="1">
      <c r="L348" s="65"/>
      <c r="M348" s="65"/>
      <c r="N348" s="65"/>
      <c r="O348" s="65"/>
      <c r="P348" s="65"/>
    </row>
    <row r="349" spans="12:16" ht="15.75" customHeight="1">
      <c r="L349" s="65"/>
      <c r="M349" s="65"/>
      <c r="N349" s="65"/>
      <c r="O349" s="65"/>
      <c r="P349" s="65"/>
    </row>
    <row r="350" spans="12:16" ht="15.75" customHeight="1">
      <c r="L350" s="65"/>
      <c r="M350" s="65"/>
      <c r="N350" s="65"/>
      <c r="O350" s="65"/>
      <c r="P350" s="65"/>
    </row>
    <row r="351" spans="12:16" ht="15.75" customHeight="1">
      <c r="L351" s="65"/>
      <c r="M351" s="65"/>
      <c r="N351" s="65"/>
      <c r="O351" s="65"/>
      <c r="P351" s="65"/>
    </row>
    <row r="352" spans="12:16" ht="15.75" customHeight="1">
      <c r="L352" s="65"/>
      <c r="M352" s="65"/>
      <c r="N352" s="65"/>
      <c r="O352" s="65"/>
      <c r="P352" s="65"/>
    </row>
    <row r="353" spans="12:16" ht="15.75" customHeight="1">
      <c r="L353" s="65"/>
      <c r="M353" s="65"/>
      <c r="N353" s="65"/>
      <c r="O353" s="65"/>
      <c r="P353" s="65"/>
    </row>
    <row r="354" spans="12:16" ht="15.75" customHeight="1">
      <c r="L354" s="65"/>
      <c r="M354" s="65"/>
      <c r="N354" s="65"/>
      <c r="O354" s="65"/>
      <c r="P354" s="65"/>
    </row>
    <row r="355" spans="12:16" ht="15.75" customHeight="1">
      <c r="L355" s="65"/>
      <c r="M355" s="65"/>
      <c r="N355" s="65"/>
      <c r="O355" s="65"/>
      <c r="P355" s="65"/>
    </row>
    <row r="356" spans="12:16" ht="15.75" customHeight="1">
      <c r="L356" s="65"/>
      <c r="M356" s="65"/>
      <c r="N356" s="65"/>
      <c r="O356" s="65"/>
      <c r="P356" s="65"/>
    </row>
    <row r="357" spans="12:16" ht="15.75" customHeight="1">
      <c r="L357" s="65"/>
      <c r="M357" s="65"/>
      <c r="N357" s="65"/>
      <c r="O357" s="65"/>
      <c r="P357" s="65"/>
    </row>
    <row r="358" spans="12:16" ht="15.75" customHeight="1">
      <c r="L358" s="65"/>
      <c r="M358" s="65"/>
      <c r="N358" s="65"/>
      <c r="O358" s="65"/>
      <c r="P358" s="65"/>
    </row>
    <row r="359" spans="12:16" ht="15.75" customHeight="1">
      <c r="L359" s="65"/>
      <c r="M359" s="65"/>
      <c r="N359" s="65"/>
      <c r="O359" s="65"/>
      <c r="P359" s="65"/>
    </row>
    <row r="360" spans="12:16" ht="15.75" customHeight="1">
      <c r="L360" s="65"/>
      <c r="M360" s="65"/>
      <c r="N360" s="65"/>
      <c r="O360" s="65"/>
      <c r="P360" s="65"/>
    </row>
    <row r="361" spans="12:16" ht="15.75" customHeight="1">
      <c r="L361" s="65"/>
      <c r="M361" s="65"/>
      <c r="N361" s="65"/>
      <c r="O361" s="65"/>
      <c r="P361" s="65"/>
    </row>
    <row r="362" spans="12:16" ht="15.75" customHeight="1">
      <c r="L362" s="65"/>
      <c r="M362" s="65"/>
      <c r="N362" s="65"/>
      <c r="O362" s="65"/>
      <c r="P362" s="65"/>
    </row>
    <row r="363" spans="12:16" ht="15.75" customHeight="1">
      <c r="L363" s="65"/>
      <c r="M363" s="65"/>
      <c r="N363" s="65"/>
      <c r="O363" s="65"/>
      <c r="P363" s="65"/>
    </row>
    <row r="364" spans="12:16" ht="15.75" customHeight="1">
      <c r="L364" s="65"/>
      <c r="M364" s="65"/>
      <c r="N364" s="65"/>
      <c r="O364" s="65"/>
      <c r="P364" s="65"/>
    </row>
    <row r="365" spans="12:16" ht="15.75" customHeight="1">
      <c r="L365" s="65"/>
      <c r="M365" s="65"/>
      <c r="N365" s="65"/>
      <c r="O365" s="65"/>
      <c r="P365" s="65"/>
    </row>
    <row r="366" spans="12:16" ht="15.75" customHeight="1">
      <c r="L366" s="65"/>
      <c r="M366" s="65"/>
      <c r="N366" s="65"/>
      <c r="O366" s="65"/>
      <c r="P366" s="65"/>
    </row>
    <row r="367" spans="12:16" ht="15.75" customHeight="1">
      <c r="L367" s="65"/>
      <c r="M367" s="65"/>
      <c r="N367" s="65"/>
      <c r="O367" s="65"/>
      <c r="P367" s="65"/>
    </row>
    <row r="368" spans="12:16" ht="15.75" customHeight="1">
      <c r="L368" s="65"/>
      <c r="M368" s="65"/>
      <c r="N368" s="65"/>
      <c r="O368" s="65"/>
      <c r="P368" s="65"/>
    </row>
    <row r="369" spans="12:16" ht="15.75" customHeight="1">
      <c r="L369" s="65"/>
      <c r="M369" s="65"/>
      <c r="N369" s="65"/>
      <c r="O369" s="65"/>
      <c r="P369" s="65"/>
    </row>
    <row r="370" spans="12:16" ht="15.75" customHeight="1">
      <c r="L370" s="65"/>
      <c r="M370" s="65"/>
      <c r="N370" s="65"/>
      <c r="O370" s="65"/>
      <c r="P370" s="65"/>
    </row>
    <row r="371" spans="12:16" ht="15.75" customHeight="1">
      <c r="L371" s="65"/>
      <c r="M371" s="65"/>
      <c r="N371" s="65"/>
      <c r="O371" s="65"/>
      <c r="P371" s="65"/>
    </row>
    <row r="372" spans="12:16" ht="15.75" customHeight="1">
      <c r="L372" s="65"/>
      <c r="M372" s="65"/>
      <c r="N372" s="65"/>
      <c r="O372" s="65"/>
      <c r="P372" s="65"/>
    </row>
    <row r="373" spans="12:16" ht="15.75" customHeight="1">
      <c r="L373" s="65"/>
      <c r="M373" s="65"/>
      <c r="N373" s="65"/>
      <c r="O373" s="65"/>
      <c r="P373" s="65"/>
    </row>
    <row r="374" spans="12:16" ht="15.75" customHeight="1">
      <c r="L374" s="65"/>
      <c r="M374" s="65"/>
      <c r="N374" s="65"/>
      <c r="O374" s="65"/>
      <c r="P374" s="65"/>
    </row>
    <row r="375" spans="12:16" ht="15.75" customHeight="1">
      <c r="L375" s="65"/>
      <c r="M375" s="65"/>
      <c r="N375" s="65"/>
      <c r="O375" s="65"/>
      <c r="P375" s="65"/>
    </row>
    <row r="376" spans="12:16" ht="15.75" customHeight="1">
      <c r="L376" s="65"/>
      <c r="M376" s="65"/>
      <c r="N376" s="65"/>
      <c r="O376" s="65"/>
      <c r="P376" s="65"/>
    </row>
    <row r="377" spans="12:16" ht="15.75" customHeight="1">
      <c r="L377" s="65"/>
      <c r="M377" s="65"/>
      <c r="N377" s="65"/>
      <c r="O377" s="65"/>
      <c r="P377" s="65"/>
    </row>
    <row r="378" spans="12:16" ht="15.75" customHeight="1">
      <c r="L378" s="65"/>
      <c r="M378" s="65"/>
      <c r="N378" s="65"/>
      <c r="O378" s="65"/>
      <c r="P378" s="65"/>
    </row>
    <row r="379" spans="12:16" ht="15.75" customHeight="1">
      <c r="L379" s="65"/>
      <c r="M379" s="65"/>
      <c r="N379" s="65"/>
      <c r="O379" s="65"/>
      <c r="P379" s="65"/>
    </row>
    <row r="380" spans="12:16" ht="15.75" customHeight="1">
      <c r="L380" s="65"/>
      <c r="M380" s="65"/>
      <c r="N380" s="65"/>
      <c r="O380" s="65"/>
      <c r="P380" s="65"/>
    </row>
    <row r="381" spans="12:16" ht="15.75" customHeight="1">
      <c r="L381" s="65"/>
      <c r="M381" s="65"/>
      <c r="N381" s="65"/>
      <c r="O381" s="65"/>
      <c r="P381" s="65"/>
    </row>
    <row r="382" spans="12:16" ht="15.75" customHeight="1">
      <c r="L382" s="65"/>
      <c r="M382" s="65"/>
      <c r="N382" s="65"/>
      <c r="O382" s="65"/>
      <c r="P382" s="65"/>
    </row>
    <row r="383" spans="12:16" ht="15.75" customHeight="1">
      <c r="L383" s="65"/>
      <c r="M383" s="65"/>
      <c r="N383" s="65"/>
      <c r="O383" s="65"/>
      <c r="P383" s="65"/>
    </row>
    <row r="384" spans="12:16" ht="15.75" customHeight="1">
      <c r="L384" s="65"/>
      <c r="M384" s="65"/>
      <c r="N384" s="65"/>
      <c r="O384" s="65"/>
      <c r="P384" s="65"/>
    </row>
    <row r="385" spans="12:16" ht="15.75" customHeight="1">
      <c r="L385" s="65"/>
      <c r="M385" s="65"/>
      <c r="N385" s="65"/>
      <c r="O385" s="65"/>
      <c r="P385" s="65"/>
    </row>
    <row r="386" spans="12:16" ht="15.75" customHeight="1">
      <c r="L386" s="65"/>
      <c r="M386" s="65"/>
      <c r="N386" s="65"/>
      <c r="O386" s="65"/>
      <c r="P386" s="65"/>
    </row>
    <row r="387" spans="12:16" ht="15.75" customHeight="1">
      <c r="L387" s="65"/>
      <c r="M387" s="65"/>
      <c r="N387" s="65"/>
      <c r="O387" s="65"/>
      <c r="P387" s="65"/>
    </row>
    <row r="388" spans="12:16" ht="15.75" customHeight="1">
      <c r="L388" s="65"/>
      <c r="M388" s="65"/>
      <c r="N388" s="65"/>
      <c r="O388" s="65"/>
      <c r="P388" s="65"/>
    </row>
    <row r="389" spans="12:16" ht="15.75" customHeight="1">
      <c r="L389" s="65"/>
      <c r="M389" s="65"/>
      <c r="N389" s="65"/>
      <c r="O389" s="65"/>
      <c r="P389" s="65"/>
    </row>
    <row r="390" spans="12:16" ht="15.75" customHeight="1">
      <c r="L390" s="65"/>
      <c r="M390" s="65"/>
      <c r="N390" s="65"/>
      <c r="O390" s="65"/>
      <c r="P390" s="65"/>
    </row>
    <row r="391" spans="12:16" ht="15.75" customHeight="1">
      <c r="L391" s="65"/>
      <c r="M391" s="65"/>
      <c r="N391" s="65"/>
      <c r="O391" s="65"/>
      <c r="P391" s="65"/>
    </row>
    <row r="392" spans="12:16" ht="15.75" customHeight="1">
      <c r="L392" s="65"/>
      <c r="M392" s="65"/>
      <c r="N392" s="65"/>
      <c r="O392" s="65"/>
      <c r="P392" s="65"/>
    </row>
    <row r="393" spans="12:16" ht="15.75" customHeight="1">
      <c r="L393" s="65"/>
      <c r="M393" s="65"/>
      <c r="N393" s="65"/>
      <c r="O393" s="65"/>
      <c r="P393" s="65"/>
    </row>
    <row r="394" spans="12:16" ht="15.75" customHeight="1">
      <c r="L394" s="65"/>
      <c r="M394" s="65"/>
      <c r="N394" s="65"/>
      <c r="O394" s="65"/>
      <c r="P394" s="65"/>
    </row>
    <row r="395" spans="12:16" ht="15.75" customHeight="1">
      <c r="L395" s="65"/>
      <c r="M395" s="65"/>
      <c r="N395" s="65"/>
      <c r="O395" s="65"/>
      <c r="P395" s="65"/>
    </row>
    <row r="396" spans="12:16" ht="15.75" customHeight="1">
      <c r="L396" s="65"/>
      <c r="M396" s="65"/>
      <c r="N396" s="65"/>
      <c r="O396" s="65"/>
      <c r="P396" s="65"/>
    </row>
    <row r="397" spans="12:16" ht="15.75" customHeight="1">
      <c r="L397" s="65"/>
      <c r="M397" s="65"/>
      <c r="N397" s="65"/>
      <c r="O397" s="65"/>
      <c r="P397" s="65"/>
    </row>
    <row r="398" spans="12:16" ht="15.75" customHeight="1">
      <c r="L398" s="65"/>
      <c r="M398" s="65"/>
      <c r="N398" s="65"/>
      <c r="O398" s="65"/>
      <c r="P398" s="65"/>
    </row>
    <row r="399" spans="12:16" ht="15.75" customHeight="1">
      <c r="L399" s="65"/>
      <c r="M399" s="65"/>
      <c r="N399" s="65"/>
      <c r="O399" s="65"/>
      <c r="P399" s="65"/>
    </row>
    <row r="400" spans="12:16" ht="15.75" customHeight="1">
      <c r="L400" s="65"/>
      <c r="M400" s="65"/>
      <c r="N400" s="65"/>
      <c r="O400" s="65"/>
      <c r="P400" s="65"/>
    </row>
    <row r="401" spans="12:16" ht="15.75" customHeight="1">
      <c r="L401" s="65"/>
      <c r="M401" s="65"/>
      <c r="N401" s="65"/>
      <c r="O401" s="65"/>
      <c r="P401" s="65"/>
    </row>
    <row r="402" spans="12:16" ht="15.75" customHeight="1">
      <c r="L402" s="65"/>
      <c r="M402" s="65"/>
      <c r="N402" s="65"/>
      <c r="O402" s="65"/>
      <c r="P402" s="65"/>
    </row>
    <row r="403" spans="12:16" ht="15.75" customHeight="1">
      <c r="L403" s="65"/>
      <c r="M403" s="65"/>
      <c r="N403" s="65"/>
      <c r="O403" s="65"/>
      <c r="P403" s="65"/>
    </row>
    <row r="404" spans="12:16" ht="15.75" customHeight="1">
      <c r="L404" s="65"/>
      <c r="M404" s="65"/>
      <c r="N404" s="65"/>
      <c r="O404" s="65"/>
      <c r="P404" s="65"/>
    </row>
    <row r="405" spans="12:16" ht="15.75" customHeight="1">
      <c r="L405" s="65"/>
      <c r="M405" s="65"/>
      <c r="N405" s="65"/>
      <c r="O405" s="65"/>
      <c r="P405" s="65"/>
    </row>
    <row r="406" spans="12:16" ht="15.75" customHeight="1">
      <c r="L406" s="65"/>
      <c r="M406" s="65"/>
      <c r="N406" s="65"/>
      <c r="O406" s="65"/>
      <c r="P406" s="65"/>
    </row>
    <row r="407" spans="12:16" ht="15.75" customHeight="1">
      <c r="L407" s="65"/>
      <c r="M407" s="65"/>
      <c r="N407" s="65"/>
      <c r="O407" s="65"/>
      <c r="P407" s="65"/>
    </row>
    <row r="408" spans="12:16" ht="15.75" customHeight="1">
      <c r="L408" s="65"/>
      <c r="M408" s="65"/>
      <c r="N408" s="65"/>
      <c r="O408" s="65"/>
      <c r="P408" s="65"/>
    </row>
    <row r="409" spans="12:16" ht="15.75" customHeight="1">
      <c r="L409" s="65"/>
      <c r="M409" s="65"/>
      <c r="N409" s="65"/>
      <c r="O409" s="65"/>
      <c r="P409" s="65"/>
    </row>
    <row r="410" spans="12:16" ht="15.75" customHeight="1">
      <c r="L410" s="65"/>
      <c r="M410" s="65"/>
      <c r="N410" s="65"/>
      <c r="O410" s="65"/>
      <c r="P410" s="65"/>
    </row>
    <row r="411" spans="12:16" ht="15.75" customHeight="1">
      <c r="L411" s="65"/>
      <c r="M411" s="65"/>
      <c r="N411" s="65"/>
      <c r="O411" s="65"/>
      <c r="P411" s="65"/>
    </row>
    <row r="412" spans="12:16" ht="15.75" customHeight="1">
      <c r="L412" s="65"/>
      <c r="M412" s="65"/>
      <c r="N412" s="65"/>
      <c r="O412" s="65"/>
      <c r="P412" s="65"/>
    </row>
    <row r="413" spans="12:16" ht="15.75" customHeight="1">
      <c r="L413" s="65"/>
      <c r="M413" s="65"/>
      <c r="N413" s="65"/>
      <c r="O413" s="65"/>
      <c r="P413" s="65"/>
    </row>
    <row r="414" spans="12:16" ht="15.75" customHeight="1">
      <c r="L414" s="65"/>
      <c r="M414" s="65"/>
      <c r="N414" s="65"/>
      <c r="O414" s="65"/>
      <c r="P414" s="65"/>
    </row>
    <row r="415" spans="12:16" ht="15.75" customHeight="1">
      <c r="L415" s="65"/>
      <c r="M415" s="65"/>
      <c r="N415" s="65"/>
      <c r="O415" s="65"/>
      <c r="P415" s="65"/>
    </row>
    <row r="416" spans="12:16" ht="15.75" customHeight="1">
      <c r="L416" s="65"/>
      <c r="M416" s="65"/>
      <c r="N416" s="65"/>
      <c r="O416" s="65"/>
      <c r="P416" s="65"/>
    </row>
    <row r="417" spans="12:16" ht="15.75" customHeight="1">
      <c r="L417" s="65"/>
      <c r="M417" s="65"/>
      <c r="N417" s="65"/>
      <c r="O417" s="65"/>
      <c r="P417" s="65"/>
    </row>
    <row r="418" spans="12:16" ht="15.75" customHeight="1">
      <c r="L418" s="65"/>
      <c r="M418" s="65"/>
      <c r="N418" s="65"/>
      <c r="O418" s="65"/>
      <c r="P418" s="65"/>
    </row>
    <row r="419" spans="12:16" ht="15.75" customHeight="1">
      <c r="L419" s="65"/>
      <c r="M419" s="65"/>
      <c r="N419" s="65"/>
      <c r="O419" s="65"/>
      <c r="P419" s="65"/>
    </row>
    <row r="420" spans="12:16" ht="15.75" customHeight="1">
      <c r="L420" s="65"/>
      <c r="M420" s="65"/>
      <c r="N420" s="65"/>
      <c r="O420" s="65"/>
      <c r="P420" s="65"/>
    </row>
    <row r="421" spans="12:16" ht="15.75" customHeight="1">
      <c r="L421" s="65"/>
      <c r="M421" s="65"/>
      <c r="N421" s="65"/>
      <c r="O421" s="65"/>
      <c r="P421" s="65"/>
    </row>
    <row r="422" spans="12:16" ht="15.75" customHeight="1">
      <c r="L422" s="65"/>
      <c r="M422" s="65"/>
      <c r="N422" s="65"/>
      <c r="O422" s="65"/>
      <c r="P422" s="65"/>
    </row>
    <row r="423" spans="12:16" ht="15.75" customHeight="1">
      <c r="L423" s="65"/>
      <c r="M423" s="65"/>
      <c r="N423" s="65"/>
      <c r="O423" s="65"/>
      <c r="P423" s="65"/>
    </row>
    <row r="424" spans="12:16" ht="15.75" customHeight="1">
      <c r="L424" s="65"/>
      <c r="M424" s="65"/>
      <c r="N424" s="65"/>
      <c r="O424" s="65"/>
      <c r="P424" s="65"/>
    </row>
    <row r="425" spans="12:16" ht="15.75" customHeight="1">
      <c r="L425" s="65"/>
      <c r="M425" s="65"/>
      <c r="N425" s="65"/>
      <c r="O425" s="65"/>
      <c r="P425" s="65"/>
    </row>
    <row r="426" spans="12:16" ht="15.75" customHeight="1">
      <c r="L426" s="65"/>
      <c r="M426" s="65"/>
      <c r="N426" s="65"/>
      <c r="O426" s="65"/>
      <c r="P426" s="65"/>
    </row>
    <row r="427" spans="12:16" ht="15.75" customHeight="1">
      <c r="L427" s="65"/>
      <c r="M427" s="65"/>
      <c r="N427" s="65"/>
      <c r="O427" s="65"/>
      <c r="P427" s="65"/>
    </row>
    <row r="428" spans="12:16" ht="15.75" customHeight="1">
      <c r="L428" s="65"/>
      <c r="M428" s="65"/>
      <c r="N428" s="65"/>
      <c r="O428" s="65"/>
      <c r="P428" s="65"/>
    </row>
    <row r="429" spans="12:16" ht="15.75" customHeight="1">
      <c r="L429" s="65"/>
      <c r="M429" s="65"/>
      <c r="N429" s="65"/>
      <c r="O429" s="65"/>
      <c r="P429" s="65"/>
    </row>
    <row r="430" spans="12:16" ht="15.75" customHeight="1">
      <c r="L430" s="65"/>
      <c r="M430" s="65"/>
      <c r="N430" s="65"/>
      <c r="O430" s="65"/>
      <c r="P430" s="65"/>
    </row>
    <row r="431" spans="12:16" ht="15.75" customHeight="1">
      <c r="L431" s="65"/>
      <c r="M431" s="65"/>
      <c r="N431" s="65"/>
      <c r="O431" s="65"/>
      <c r="P431" s="65"/>
    </row>
    <row r="432" spans="12:16" ht="15.75" customHeight="1">
      <c r="L432" s="65"/>
      <c r="M432" s="65"/>
      <c r="N432" s="65"/>
      <c r="O432" s="65"/>
      <c r="P432" s="65"/>
    </row>
    <row r="433" spans="12:16" ht="15.75" customHeight="1">
      <c r="L433" s="65"/>
      <c r="M433" s="65"/>
      <c r="N433" s="65"/>
      <c r="O433" s="65"/>
      <c r="P433" s="65"/>
    </row>
    <row r="434" spans="12:16" ht="15.75" customHeight="1">
      <c r="L434" s="65"/>
      <c r="M434" s="65"/>
      <c r="N434" s="65"/>
      <c r="O434" s="65"/>
      <c r="P434" s="65"/>
    </row>
    <row r="435" spans="12:16" ht="15.75" customHeight="1">
      <c r="L435" s="65"/>
      <c r="M435" s="65"/>
      <c r="N435" s="65"/>
      <c r="O435" s="65"/>
      <c r="P435" s="65"/>
    </row>
    <row r="436" spans="12:16" ht="15.75" customHeight="1">
      <c r="L436" s="65"/>
      <c r="M436" s="65"/>
      <c r="N436" s="65"/>
      <c r="O436" s="65"/>
      <c r="P436" s="65"/>
    </row>
    <row r="437" spans="12:16" ht="15.75" customHeight="1">
      <c r="L437" s="65"/>
      <c r="M437" s="65"/>
      <c r="N437" s="65"/>
      <c r="O437" s="65"/>
      <c r="P437" s="65"/>
    </row>
    <row r="438" spans="12:16" ht="15.75" customHeight="1">
      <c r="L438" s="65"/>
      <c r="M438" s="65"/>
      <c r="N438" s="65"/>
      <c r="O438" s="65"/>
      <c r="P438" s="65"/>
    </row>
    <row r="439" spans="12:16" ht="15.75" customHeight="1">
      <c r="L439" s="65"/>
      <c r="M439" s="65"/>
      <c r="N439" s="65"/>
      <c r="O439" s="65"/>
      <c r="P439" s="65"/>
    </row>
    <row r="440" spans="12:16" ht="15.75" customHeight="1">
      <c r="L440" s="65"/>
      <c r="M440" s="65"/>
      <c r="N440" s="65"/>
      <c r="O440" s="65"/>
      <c r="P440" s="65"/>
    </row>
    <row r="441" spans="12:16" ht="15.75" customHeight="1">
      <c r="L441" s="65"/>
      <c r="M441" s="65"/>
      <c r="N441" s="65"/>
      <c r="O441" s="65"/>
      <c r="P441" s="65"/>
    </row>
    <row r="442" spans="12:16" ht="15.75" customHeight="1">
      <c r="L442" s="65"/>
      <c r="M442" s="65"/>
      <c r="N442" s="65"/>
      <c r="O442" s="65"/>
      <c r="P442" s="65"/>
    </row>
    <row r="443" spans="12:16" ht="15.75" customHeight="1">
      <c r="L443" s="65"/>
      <c r="M443" s="65"/>
      <c r="N443" s="65"/>
      <c r="O443" s="65"/>
      <c r="P443" s="65"/>
    </row>
    <row r="444" spans="12:16" ht="15.75" customHeight="1">
      <c r="L444" s="65"/>
      <c r="M444" s="65"/>
      <c r="N444" s="65"/>
      <c r="O444" s="65"/>
      <c r="P444" s="65"/>
    </row>
    <row r="445" spans="12:16" ht="15.75" customHeight="1">
      <c r="L445" s="65"/>
      <c r="M445" s="65"/>
      <c r="N445" s="65"/>
      <c r="O445" s="65"/>
      <c r="P445" s="65"/>
    </row>
    <row r="446" spans="12:16" ht="15.75" customHeight="1">
      <c r="L446" s="65"/>
      <c r="M446" s="65"/>
      <c r="N446" s="65"/>
      <c r="O446" s="65"/>
      <c r="P446" s="65"/>
    </row>
    <row r="447" spans="12:16" ht="15.75" customHeight="1">
      <c r="L447" s="65"/>
      <c r="M447" s="65"/>
      <c r="N447" s="65"/>
      <c r="O447" s="65"/>
      <c r="P447" s="65"/>
    </row>
    <row r="448" spans="12:16" ht="15.75" customHeight="1">
      <c r="L448" s="65"/>
      <c r="M448" s="65"/>
      <c r="N448" s="65"/>
      <c r="O448" s="65"/>
      <c r="P448" s="65"/>
    </row>
    <row r="449" spans="12:16" ht="15.75" customHeight="1">
      <c r="L449" s="65"/>
      <c r="M449" s="65"/>
      <c r="N449" s="65"/>
      <c r="O449" s="65"/>
      <c r="P449" s="65"/>
    </row>
    <row r="450" spans="12:16" ht="15.75" customHeight="1">
      <c r="L450" s="65"/>
      <c r="M450" s="65"/>
      <c r="N450" s="65"/>
      <c r="O450" s="65"/>
      <c r="P450" s="65"/>
    </row>
    <row r="451" spans="12:16" ht="15.75" customHeight="1">
      <c r="L451" s="65"/>
      <c r="M451" s="65"/>
      <c r="N451" s="65"/>
      <c r="O451" s="65"/>
      <c r="P451" s="65"/>
    </row>
    <row r="452" spans="12:16" ht="15.75" customHeight="1">
      <c r="L452" s="65"/>
      <c r="M452" s="65"/>
      <c r="N452" s="65"/>
      <c r="O452" s="65"/>
      <c r="P452" s="65"/>
    </row>
    <row r="453" spans="12:16" ht="15.75" customHeight="1">
      <c r="L453" s="65"/>
      <c r="M453" s="65"/>
      <c r="N453" s="65"/>
      <c r="O453" s="65"/>
      <c r="P453" s="65"/>
    </row>
    <row r="454" spans="12:16" ht="15.75" customHeight="1">
      <c r="L454" s="65"/>
      <c r="M454" s="65"/>
      <c r="N454" s="65"/>
      <c r="O454" s="65"/>
      <c r="P454" s="65"/>
    </row>
    <row r="455" spans="12:16" ht="15.75" customHeight="1">
      <c r="L455" s="65"/>
      <c r="M455" s="65"/>
      <c r="N455" s="65"/>
      <c r="O455" s="65"/>
      <c r="P455" s="65"/>
    </row>
    <row r="456" spans="12:16" ht="15.75" customHeight="1">
      <c r="L456" s="65"/>
      <c r="M456" s="65"/>
      <c r="N456" s="65"/>
      <c r="O456" s="65"/>
      <c r="P456" s="65"/>
    </row>
    <row r="457" spans="12:16" ht="15.75" customHeight="1">
      <c r="L457" s="65"/>
      <c r="M457" s="65"/>
      <c r="N457" s="65"/>
      <c r="O457" s="65"/>
      <c r="P457" s="65"/>
    </row>
    <row r="458" spans="12:16" ht="15.75" customHeight="1">
      <c r="L458" s="65"/>
      <c r="M458" s="65"/>
      <c r="N458" s="65"/>
      <c r="O458" s="65"/>
      <c r="P458" s="65"/>
    </row>
    <row r="459" spans="12:16" ht="15.75" customHeight="1">
      <c r="L459" s="65"/>
      <c r="M459" s="65"/>
      <c r="N459" s="65"/>
      <c r="O459" s="65"/>
      <c r="P459" s="65"/>
    </row>
    <row r="460" spans="12:16" ht="15.75" customHeight="1">
      <c r="L460" s="65"/>
      <c r="M460" s="65"/>
      <c r="N460" s="65"/>
      <c r="O460" s="65"/>
      <c r="P460" s="65"/>
    </row>
    <row r="461" spans="12:16" ht="15.75" customHeight="1">
      <c r="L461" s="65"/>
      <c r="M461" s="65"/>
      <c r="N461" s="65"/>
      <c r="O461" s="65"/>
      <c r="P461" s="65"/>
    </row>
    <row r="462" spans="12:16" ht="15.75" customHeight="1">
      <c r="L462" s="65"/>
      <c r="M462" s="65"/>
      <c r="N462" s="65"/>
      <c r="O462" s="65"/>
      <c r="P462" s="65"/>
    </row>
    <row r="463" spans="12:16" ht="15.75" customHeight="1">
      <c r="L463" s="65"/>
      <c r="M463" s="65"/>
      <c r="N463" s="65"/>
      <c r="O463" s="65"/>
      <c r="P463" s="65"/>
    </row>
    <row r="464" spans="12:16" ht="15.75" customHeight="1">
      <c r="L464" s="65"/>
      <c r="M464" s="65"/>
      <c r="N464" s="65"/>
      <c r="O464" s="65"/>
      <c r="P464" s="65"/>
    </row>
    <row r="465" spans="12:16" ht="15.75" customHeight="1">
      <c r="L465" s="65"/>
      <c r="M465" s="65"/>
      <c r="N465" s="65"/>
      <c r="O465" s="65"/>
      <c r="P465" s="65"/>
    </row>
    <row r="466" spans="12:16" ht="15.75" customHeight="1">
      <c r="L466" s="65"/>
      <c r="M466" s="65"/>
      <c r="N466" s="65"/>
      <c r="O466" s="65"/>
      <c r="P466" s="65"/>
    </row>
    <row r="467" spans="12:16" ht="15.75" customHeight="1">
      <c r="L467" s="65"/>
      <c r="M467" s="65"/>
      <c r="N467" s="65"/>
      <c r="O467" s="65"/>
      <c r="P467" s="65"/>
    </row>
    <row r="468" spans="12:16" ht="15.75" customHeight="1">
      <c r="L468" s="65"/>
      <c r="M468" s="65"/>
      <c r="N468" s="65"/>
      <c r="O468" s="65"/>
      <c r="P468" s="65"/>
    </row>
    <row r="469" spans="12:16" ht="15.75" customHeight="1">
      <c r="L469" s="65"/>
      <c r="M469" s="65"/>
      <c r="N469" s="65"/>
      <c r="O469" s="65"/>
      <c r="P469" s="65"/>
    </row>
    <row r="470" spans="12:16" ht="15.75" customHeight="1">
      <c r="L470" s="65"/>
      <c r="M470" s="65"/>
      <c r="N470" s="65"/>
      <c r="O470" s="65"/>
      <c r="P470" s="65"/>
    </row>
    <row r="471" spans="12:16" ht="15.75" customHeight="1">
      <c r="L471" s="65"/>
      <c r="M471" s="65"/>
      <c r="N471" s="65"/>
      <c r="O471" s="65"/>
      <c r="P471" s="65"/>
    </row>
    <row r="472" spans="12:16" ht="15.75" customHeight="1">
      <c r="L472" s="65"/>
      <c r="M472" s="65"/>
      <c r="N472" s="65"/>
      <c r="O472" s="65"/>
      <c r="P472" s="65"/>
    </row>
    <row r="473" spans="12:16" ht="15.75" customHeight="1">
      <c r="L473" s="65"/>
      <c r="M473" s="65"/>
      <c r="N473" s="65"/>
      <c r="O473" s="65"/>
      <c r="P473" s="65"/>
    </row>
    <row r="474" spans="12:16" ht="15.75" customHeight="1">
      <c r="L474" s="65"/>
      <c r="M474" s="65"/>
      <c r="N474" s="65"/>
      <c r="O474" s="65"/>
      <c r="P474" s="65"/>
    </row>
    <row r="475" spans="12:16" ht="15.75" customHeight="1">
      <c r="L475" s="65"/>
      <c r="M475" s="65"/>
      <c r="N475" s="65"/>
      <c r="O475" s="65"/>
      <c r="P475" s="65"/>
    </row>
    <row r="476" spans="12:16" ht="15.75" customHeight="1">
      <c r="L476" s="65"/>
      <c r="M476" s="65"/>
      <c r="N476" s="65"/>
      <c r="O476" s="65"/>
      <c r="P476" s="65"/>
    </row>
    <row r="477" spans="12:16" ht="15.75" customHeight="1">
      <c r="L477" s="65"/>
      <c r="M477" s="65"/>
      <c r="N477" s="65"/>
      <c r="O477" s="65"/>
      <c r="P477" s="65"/>
    </row>
    <row r="478" spans="12:16" ht="15.75" customHeight="1">
      <c r="L478" s="65"/>
      <c r="M478" s="65"/>
      <c r="N478" s="65"/>
      <c r="O478" s="65"/>
      <c r="P478" s="65"/>
    </row>
    <row r="479" spans="12:16" ht="15.75" customHeight="1">
      <c r="L479" s="65"/>
      <c r="M479" s="65"/>
      <c r="N479" s="65"/>
      <c r="O479" s="65"/>
      <c r="P479" s="65"/>
    </row>
    <row r="480" spans="12:16" ht="15.75" customHeight="1">
      <c r="L480" s="65"/>
      <c r="M480" s="65"/>
      <c r="N480" s="65"/>
      <c r="O480" s="65"/>
      <c r="P480" s="65"/>
    </row>
    <row r="481" spans="12:16" ht="15.75" customHeight="1">
      <c r="L481" s="65"/>
      <c r="M481" s="65"/>
      <c r="N481" s="65"/>
      <c r="O481" s="65"/>
      <c r="P481" s="65"/>
    </row>
    <row r="482" spans="12:16" ht="15.75" customHeight="1">
      <c r="L482" s="65"/>
      <c r="M482" s="65"/>
      <c r="N482" s="65"/>
      <c r="O482" s="65"/>
      <c r="P482" s="65"/>
    </row>
    <row r="483" spans="12:16" ht="15.75" customHeight="1">
      <c r="L483" s="65"/>
      <c r="M483" s="65"/>
      <c r="N483" s="65"/>
      <c r="O483" s="65"/>
      <c r="P483" s="65"/>
    </row>
    <row r="484" spans="12:16" ht="15.75" customHeight="1">
      <c r="L484" s="65"/>
      <c r="M484" s="65"/>
      <c r="N484" s="65"/>
      <c r="O484" s="65"/>
      <c r="P484" s="65"/>
    </row>
    <row r="485" spans="12:16" ht="15.75" customHeight="1">
      <c r="L485" s="65"/>
      <c r="M485" s="65"/>
      <c r="N485" s="65"/>
      <c r="O485" s="65"/>
      <c r="P485" s="65"/>
    </row>
    <row r="486" spans="12:16" ht="15.75" customHeight="1">
      <c r="L486" s="65"/>
      <c r="M486" s="65"/>
      <c r="N486" s="65"/>
      <c r="O486" s="65"/>
      <c r="P486" s="65"/>
    </row>
    <row r="487" spans="12:16" ht="15.75" customHeight="1">
      <c r="L487" s="65"/>
      <c r="M487" s="65"/>
      <c r="N487" s="65"/>
      <c r="O487" s="65"/>
      <c r="P487" s="65"/>
    </row>
    <row r="488" spans="12:16" ht="15.75" customHeight="1">
      <c r="L488" s="65"/>
      <c r="M488" s="65"/>
      <c r="N488" s="65"/>
      <c r="O488" s="65"/>
      <c r="P488" s="65"/>
    </row>
    <row r="489" spans="12:16" ht="15.75" customHeight="1">
      <c r="L489" s="65"/>
      <c r="M489" s="65"/>
      <c r="N489" s="65"/>
      <c r="O489" s="65"/>
      <c r="P489" s="65"/>
    </row>
    <row r="490" spans="12:16" ht="15.75" customHeight="1">
      <c r="L490" s="65"/>
      <c r="M490" s="65"/>
      <c r="N490" s="65"/>
      <c r="O490" s="65"/>
      <c r="P490" s="65"/>
    </row>
    <row r="491" spans="12:16" ht="15.75" customHeight="1">
      <c r="L491" s="65"/>
      <c r="M491" s="65"/>
      <c r="N491" s="65"/>
      <c r="O491" s="65"/>
      <c r="P491" s="65"/>
    </row>
    <row r="492" spans="12:16" ht="15.75" customHeight="1">
      <c r="L492" s="65"/>
      <c r="M492" s="65"/>
      <c r="N492" s="65"/>
      <c r="O492" s="65"/>
      <c r="P492" s="65"/>
    </row>
    <row r="493" spans="12:16" ht="15.75" customHeight="1">
      <c r="L493" s="65"/>
      <c r="M493" s="65"/>
      <c r="N493" s="65"/>
      <c r="O493" s="65"/>
      <c r="P493" s="65"/>
    </row>
    <row r="494" spans="12:16" ht="15.75" customHeight="1">
      <c r="L494" s="65"/>
      <c r="M494" s="65"/>
      <c r="N494" s="65"/>
      <c r="O494" s="65"/>
      <c r="P494" s="65"/>
    </row>
    <row r="495" spans="12:16" ht="15.75" customHeight="1">
      <c r="L495" s="65"/>
      <c r="M495" s="65"/>
      <c r="N495" s="65"/>
      <c r="O495" s="65"/>
      <c r="P495" s="65"/>
    </row>
    <row r="496" spans="12:16" ht="15.75" customHeight="1">
      <c r="L496" s="65"/>
      <c r="M496" s="65"/>
      <c r="N496" s="65"/>
      <c r="O496" s="65"/>
      <c r="P496" s="65"/>
    </row>
    <row r="497" spans="12:16" ht="15.75" customHeight="1">
      <c r="L497" s="65"/>
      <c r="M497" s="65"/>
      <c r="N497" s="65"/>
      <c r="O497" s="65"/>
      <c r="P497" s="65"/>
    </row>
    <row r="498" spans="12:16" ht="15.75" customHeight="1">
      <c r="L498" s="65"/>
      <c r="M498" s="65"/>
      <c r="N498" s="65"/>
      <c r="O498" s="65"/>
      <c r="P498" s="65"/>
    </row>
    <row r="499" spans="12:16" ht="15.75" customHeight="1">
      <c r="L499" s="65"/>
      <c r="M499" s="65"/>
      <c r="N499" s="65"/>
      <c r="O499" s="65"/>
      <c r="P499" s="65"/>
    </row>
    <row r="500" spans="12:16" ht="15.75" customHeight="1">
      <c r="L500" s="65"/>
      <c r="M500" s="65"/>
      <c r="N500" s="65"/>
      <c r="O500" s="65"/>
      <c r="P500" s="65"/>
    </row>
    <row r="501" spans="12:16" ht="15.75" customHeight="1">
      <c r="L501" s="65"/>
      <c r="M501" s="65"/>
      <c r="N501" s="65"/>
      <c r="O501" s="65"/>
      <c r="P501" s="65"/>
    </row>
    <row r="502" spans="12:16" ht="15.75" customHeight="1">
      <c r="L502" s="65"/>
      <c r="M502" s="65"/>
      <c r="N502" s="65"/>
      <c r="O502" s="65"/>
      <c r="P502" s="65"/>
    </row>
    <row r="503" spans="12:16" ht="15.75" customHeight="1">
      <c r="L503" s="65"/>
      <c r="M503" s="65"/>
      <c r="N503" s="65"/>
      <c r="O503" s="65"/>
      <c r="P503" s="65"/>
    </row>
    <row r="504" spans="12:16" ht="15.75" customHeight="1">
      <c r="L504" s="65"/>
      <c r="M504" s="65"/>
      <c r="N504" s="65"/>
      <c r="O504" s="65"/>
      <c r="P504" s="65"/>
    </row>
    <row r="505" spans="12:16" ht="15.75" customHeight="1">
      <c r="L505" s="65"/>
      <c r="M505" s="65"/>
      <c r="N505" s="65"/>
      <c r="O505" s="65"/>
      <c r="P505" s="65"/>
    </row>
    <row r="506" spans="12:16" ht="15.75" customHeight="1">
      <c r="L506" s="65"/>
      <c r="M506" s="65"/>
      <c r="N506" s="65"/>
      <c r="O506" s="65"/>
      <c r="P506" s="65"/>
    </row>
    <row r="507" spans="12:16" ht="15.75" customHeight="1">
      <c r="L507" s="65"/>
      <c r="M507" s="65"/>
      <c r="N507" s="65"/>
      <c r="O507" s="65"/>
      <c r="P507" s="65"/>
    </row>
    <row r="508" spans="12:16" ht="15.75" customHeight="1">
      <c r="L508" s="65"/>
      <c r="M508" s="65"/>
      <c r="N508" s="65"/>
      <c r="O508" s="65"/>
      <c r="P508" s="65"/>
    </row>
    <row r="509" spans="12:16" ht="15.75" customHeight="1">
      <c r="L509" s="65"/>
      <c r="M509" s="65"/>
      <c r="N509" s="65"/>
      <c r="O509" s="65"/>
      <c r="P509" s="65"/>
    </row>
    <row r="510" spans="12:16" ht="15.75" customHeight="1">
      <c r="L510" s="65"/>
      <c r="M510" s="65"/>
      <c r="N510" s="65"/>
      <c r="O510" s="65"/>
      <c r="P510" s="65"/>
    </row>
    <row r="511" spans="12:16" ht="15.75" customHeight="1">
      <c r="L511" s="65"/>
      <c r="M511" s="65"/>
      <c r="N511" s="65"/>
      <c r="O511" s="65"/>
      <c r="P511" s="65"/>
    </row>
    <row r="512" spans="12:16" ht="15.75" customHeight="1">
      <c r="L512" s="65"/>
      <c r="M512" s="65"/>
      <c r="N512" s="65"/>
      <c r="O512" s="65"/>
      <c r="P512" s="65"/>
    </row>
    <row r="513" spans="12:16" ht="15.75" customHeight="1">
      <c r="L513" s="65"/>
      <c r="M513" s="65"/>
      <c r="N513" s="65"/>
      <c r="O513" s="65"/>
      <c r="P513" s="65"/>
    </row>
    <row r="514" spans="12:16" ht="15.75" customHeight="1">
      <c r="L514" s="65"/>
      <c r="M514" s="65"/>
      <c r="N514" s="65"/>
      <c r="O514" s="65"/>
      <c r="P514" s="65"/>
    </row>
    <row r="515" spans="12:16" ht="15.75" customHeight="1">
      <c r="L515" s="65"/>
      <c r="M515" s="65"/>
      <c r="N515" s="65"/>
      <c r="O515" s="65"/>
      <c r="P515" s="65"/>
    </row>
    <row r="516" spans="12:16" ht="15.75" customHeight="1">
      <c r="L516" s="65"/>
      <c r="M516" s="65"/>
      <c r="N516" s="65"/>
      <c r="O516" s="65"/>
      <c r="P516" s="65"/>
    </row>
    <row r="517" spans="12:16" ht="15.75" customHeight="1">
      <c r="L517" s="65"/>
      <c r="M517" s="65"/>
      <c r="N517" s="65"/>
      <c r="O517" s="65"/>
      <c r="P517" s="65"/>
    </row>
    <row r="518" spans="12:16" ht="15.75" customHeight="1">
      <c r="L518" s="65"/>
      <c r="M518" s="65"/>
      <c r="N518" s="65"/>
      <c r="O518" s="65"/>
      <c r="P518" s="65"/>
    </row>
    <row r="519" spans="12:16" ht="15.75" customHeight="1">
      <c r="L519" s="65"/>
      <c r="M519" s="65"/>
      <c r="N519" s="65"/>
      <c r="O519" s="65"/>
      <c r="P519" s="65"/>
    </row>
    <row r="520" spans="12:16" ht="15.75" customHeight="1">
      <c r="L520" s="65"/>
      <c r="M520" s="65"/>
      <c r="N520" s="65"/>
      <c r="O520" s="65"/>
      <c r="P520" s="65"/>
    </row>
    <row r="521" spans="12:16" ht="15.75" customHeight="1">
      <c r="L521" s="65"/>
      <c r="M521" s="65"/>
      <c r="N521" s="65"/>
      <c r="O521" s="65"/>
      <c r="P521" s="65"/>
    </row>
    <row r="522" spans="12:16" ht="15.75" customHeight="1">
      <c r="L522" s="65"/>
      <c r="M522" s="65"/>
      <c r="N522" s="65"/>
      <c r="O522" s="65"/>
      <c r="P522" s="65"/>
    </row>
    <row r="523" spans="12:16" ht="15.75" customHeight="1">
      <c r="L523" s="65"/>
      <c r="M523" s="65"/>
      <c r="N523" s="65"/>
      <c r="O523" s="65"/>
      <c r="P523" s="65"/>
    </row>
    <row r="524" spans="12:16" ht="15.75" customHeight="1">
      <c r="L524" s="65"/>
      <c r="M524" s="65"/>
      <c r="N524" s="65"/>
      <c r="O524" s="65"/>
      <c r="P524" s="65"/>
    </row>
    <row r="525" spans="12:16" ht="15.75" customHeight="1">
      <c r="L525" s="65"/>
      <c r="M525" s="65"/>
      <c r="N525" s="65"/>
      <c r="O525" s="65"/>
      <c r="P525" s="65"/>
    </row>
    <row r="526" spans="12:16" ht="15.75" customHeight="1">
      <c r="L526" s="65"/>
      <c r="M526" s="65"/>
      <c r="N526" s="65"/>
      <c r="O526" s="65"/>
      <c r="P526" s="65"/>
    </row>
    <row r="527" spans="12:16" ht="15.75" customHeight="1">
      <c r="L527" s="65"/>
      <c r="M527" s="65"/>
      <c r="N527" s="65"/>
      <c r="O527" s="65"/>
      <c r="P527" s="65"/>
    </row>
    <row r="528" spans="12:16" ht="15.75" customHeight="1">
      <c r="L528" s="65"/>
      <c r="M528" s="65"/>
      <c r="N528" s="65"/>
      <c r="O528" s="65"/>
      <c r="P528" s="65"/>
    </row>
    <row r="529" spans="12:16" ht="15.75" customHeight="1">
      <c r="L529" s="65"/>
      <c r="M529" s="65"/>
      <c r="N529" s="65"/>
      <c r="O529" s="65"/>
      <c r="P529" s="65"/>
    </row>
    <row r="530" spans="12:16" ht="15.75" customHeight="1">
      <c r="L530" s="65"/>
      <c r="M530" s="65"/>
      <c r="N530" s="65"/>
      <c r="O530" s="65"/>
      <c r="P530" s="65"/>
    </row>
    <row r="531" spans="12:16" ht="15.75" customHeight="1">
      <c r="L531" s="65"/>
      <c r="M531" s="65"/>
      <c r="N531" s="65"/>
      <c r="O531" s="65"/>
      <c r="P531" s="65"/>
    </row>
    <row r="532" spans="12:16" ht="15.75" customHeight="1">
      <c r="L532" s="65"/>
      <c r="M532" s="65"/>
      <c r="N532" s="65"/>
      <c r="O532" s="65"/>
      <c r="P532" s="65"/>
    </row>
    <row r="533" spans="12:16" ht="15.75" customHeight="1">
      <c r="L533" s="65"/>
      <c r="M533" s="65"/>
      <c r="N533" s="65"/>
      <c r="O533" s="65"/>
      <c r="P533" s="65"/>
    </row>
    <row r="534" spans="12:16" ht="15.75" customHeight="1">
      <c r="L534" s="65"/>
      <c r="M534" s="65"/>
      <c r="N534" s="65"/>
      <c r="O534" s="65"/>
      <c r="P534" s="65"/>
    </row>
    <row r="535" spans="12:16" ht="15.75" customHeight="1">
      <c r="L535" s="65"/>
      <c r="M535" s="65"/>
      <c r="N535" s="65"/>
      <c r="O535" s="65"/>
      <c r="P535" s="65"/>
    </row>
    <row r="536" spans="12:16" ht="15.75" customHeight="1">
      <c r="L536" s="65"/>
      <c r="M536" s="65"/>
      <c r="N536" s="65"/>
      <c r="O536" s="65"/>
      <c r="P536" s="65"/>
    </row>
    <row r="537" spans="12:16" ht="15.75" customHeight="1">
      <c r="L537" s="65"/>
      <c r="M537" s="65"/>
      <c r="N537" s="65"/>
      <c r="O537" s="65"/>
      <c r="P537" s="65"/>
    </row>
    <row r="538" spans="12:16" ht="15.75" customHeight="1">
      <c r="L538" s="65"/>
      <c r="M538" s="65"/>
      <c r="N538" s="65"/>
      <c r="O538" s="65"/>
      <c r="P538" s="65"/>
    </row>
    <row r="539" spans="12:16" ht="15.75" customHeight="1">
      <c r="L539" s="65"/>
      <c r="M539" s="65"/>
      <c r="N539" s="65"/>
      <c r="O539" s="65"/>
      <c r="P539" s="65"/>
    </row>
    <row r="540" spans="12:16" ht="15.75" customHeight="1">
      <c r="L540" s="65"/>
      <c r="M540" s="65"/>
      <c r="N540" s="65"/>
      <c r="O540" s="65"/>
      <c r="P540" s="65"/>
    </row>
    <row r="541" spans="12:16" ht="15.75" customHeight="1">
      <c r="L541" s="65"/>
      <c r="M541" s="65"/>
      <c r="N541" s="65"/>
      <c r="O541" s="65"/>
      <c r="P541" s="65"/>
    </row>
    <row r="542" spans="12:16" ht="15.75" customHeight="1">
      <c r="L542" s="65"/>
      <c r="M542" s="65"/>
      <c r="N542" s="65"/>
      <c r="O542" s="65"/>
      <c r="P542" s="65"/>
    </row>
    <row r="543" spans="12:16" ht="15.75" customHeight="1">
      <c r="L543" s="65"/>
      <c r="M543" s="65"/>
      <c r="N543" s="65"/>
      <c r="O543" s="65"/>
      <c r="P543" s="65"/>
    </row>
    <row r="544" spans="12:16" ht="15.75" customHeight="1">
      <c r="L544" s="65"/>
      <c r="M544" s="65"/>
      <c r="N544" s="65"/>
      <c r="O544" s="65"/>
      <c r="P544" s="65"/>
    </row>
    <row r="545" spans="12:16" ht="15.75" customHeight="1">
      <c r="L545" s="65"/>
      <c r="M545" s="65"/>
      <c r="N545" s="65"/>
      <c r="O545" s="65"/>
      <c r="P545" s="65"/>
    </row>
    <row r="546" spans="12:16" ht="15.75" customHeight="1">
      <c r="L546" s="65"/>
      <c r="M546" s="65"/>
      <c r="N546" s="65"/>
      <c r="O546" s="65"/>
      <c r="P546" s="65"/>
    </row>
    <row r="547" spans="12:16" ht="15.75" customHeight="1">
      <c r="L547" s="65"/>
      <c r="M547" s="65"/>
      <c r="N547" s="65"/>
      <c r="O547" s="65"/>
      <c r="P547" s="65"/>
    </row>
    <row r="548" spans="12:16" ht="15.75" customHeight="1">
      <c r="L548" s="65"/>
      <c r="M548" s="65"/>
      <c r="N548" s="65"/>
      <c r="O548" s="65"/>
      <c r="P548" s="65"/>
    </row>
    <row r="549" spans="12:16" ht="15.75" customHeight="1">
      <c r="L549" s="65"/>
      <c r="M549" s="65"/>
      <c r="N549" s="65"/>
      <c r="O549" s="65"/>
      <c r="P549" s="65"/>
    </row>
    <row r="550" spans="12:16" ht="15.75" customHeight="1">
      <c r="L550" s="65"/>
      <c r="M550" s="65"/>
      <c r="N550" s="65"/>
      <c r="O550" s="65"/>
      <c r="P550" s="65"/>
    </row>
    <row r="551" spans="12:16" ht="15.75" customHeight="1">
      <c r="L551" s="65"/>
      <c r="M551" s="65"/>
      <c r="N551" s="65"/>
      <c r="O551" s="65"/>
      <c r="P551" s="65"/>
    </row>
    <row r="552" spans="12:16" ht="15.75" customHeight="1">
      <c r="L552" s="65"/>
      <c r="M552" s="65"/>
      <c r="N552" s="65"/>
      <c r="O552" s="65"/>
      <c r="P552" s="65"/>
    </row>
    <row r="553" spans="12:16" ht="15.75" customHeight="1">
      <c r="L553" s="65"/>
      <c r="M553" s="65"/>
      <c r="N553" s="65"/>
      <c r="O553" s="65"/>
      <c r="P553" s="65"/>
    </row>
    <row r="554" spans="12:16" ht="15.75" customHeight="1">
      <c r="L554" s="65"/>
      <c r="M554" s="65"/>
      <c r="N554" s="65"/>
      <c r="O554" s="65"/>
      <c r="P554" s="65"/>
    </row>
    <row r="555" spans="12:16" ht="15.75" customHeight="1">
      <c r="L555" s="65"/>
      <c r="M555" s="65"/>
      <c r="N555" s="65"/>
      <c r="O555" s="65"/>
      <c r="P555" s="65"/>
    </row>
    <row r="556" spans="12:16" ht="15.75" customHeight="1">
      <c r="L556" s="65"/>
      <c r="M556" s="65"/>
      <c r="N556" s="65"/>
      <c r="O556" s="65"/>
      <c r="P556" s="65"/>
    </row>
    <row r="557" spans="12:16" ht="15.75" customHeight="1">
      <c r="L557" s="65"/>
      <c r="M557" s="65"/>
      <c r="N557" s="65"/>
      <c r="O557" s="65"/>
      <c r="P557" s="65"/>
    </row>
    <row r="558" spans="12:16" ht="15.75" customHeight="1">
      <c r="L558" s="65"/>
      <c r="M558" s="65"/>
      <c r="N558" s="65"/>
      <c r="O558" s="65"/>
      <c r="P558" s="65"/>
    </row>
    <row r="559" spans="12:16" ht="15.75" customHeight="1">
      <c r="L559" s="65"/>
      <c r="M559" s="65"/>
      <c r="N559" s="65"/>
      <c r="O559" s="65"/>
      <c r="P559" s="65"/>
    </row>
    <row r="560" spans="12:16" ht="15.75" customHeight="1">
      <c r="L560" s="65"/>
      <c r="M560" s="65"/>
      <c r="N560" s="65"/>
      <c r="O560" s="65"/>
      <c r="P560" s="65"/>
    </row>
    <row r="561" spans="12:16" ht="15.75" customHeight="1">
      <c r="L561" s="65"/>
      <c r="M561" s="65"/>
      <c r="N561" s="65"/>
      <c r="O561" s="65"/>
      <c r="P561" s="65"/>
    </row>
    <row r="562" spans="12:16" ht="15.75" customHeight="1">
      <c r="L562" s="65"/>
      <c r="M562" s="65"/>
      <c r="N562" s="65"/>
      <c r="O562" s="65"/>
      <c r="P562" s="65"/>
    </row>
    <row r="563" spans="12:16" ht="15.75" customHeight="1">
      <c r="L563" s="65"/>
      <c r="M563" s="65"/>
      <c r="N563" s="65"/>
      <c r="O563" s="65"/>
      <c r="P563" s="65"/>
    </row>
    <row r="564" spans="12:16" ht="15.75" customHeight="1">
      <c r="L564" s="65"/>
      <c r="M564" s="65"/>
      <c r="N564" s="65"/>
      <c r="O564" s="65"/>
      <c r="P564" s="65"/>
    </row>
    <row r="565" spans="12:16" ht="15.75" customHeight="1">
      <c r="L565" s="65"/>
      <c r="M565" s="65"/>
      <c r="N565" s="65"/>
      <c r="O565" s="65"/>
      <c r="P565" s="65"/>
    </row>
    <row r="566" spans="12:16" ht="15.75" customHeight="1">
      <c r="L566" s="65"/>
      <c r="M566" s="65"/>
      <c r="N566" s="65"/>
      <c r="O566" s="65"/>
      <c r="P566" s="65"/>
    </row>
    <row r="567" spans="12:16" ht="15.75" customHeight="1">
      <c r="L567" s="65"/>
      <c r="M567" s="65"/>
      <c r="N567" s="65"/>
      <c r="O567" s="65"/>
      <c r="P567" s="65"/>
    </row>
    <row r="568" spans="12:16" ht="15.75" customHeight="1">
      <c r="L568" s="65"/>
      <c r="M568" s="65"/>
      <c r="N568" s="65"/>
      <c r="O568" s="65"/>
      <c r="P568" s="65"/>
    </row>
    <row r="569" spans="12:16" ht="15.75" customHeight="1">
      <c r="L569" s="65"/>
      <c r="M569" s="65"/>
      <c r="N569" s="65"/>
      <c r="O569" s="65"/>
      <c r="P569" s="65"/>
    </row>
    <row r="570" spans="12:16" ht="15.75" customHeight="1">
      <c r="L570" s="65"/>
      <c r="M570" s="65"/>
      <c r="N570" s="65"/>
      <c r="O570" s="65"/>
      <c r="P570" s="65"/>
    </row>
    <row r="571" spans="12:16" ht="15.75" customHeight="1">
      <c r="L571" s="65"/>
      <c r="M571" s="65"/>
      <c r="N571" s="65"/>
      <c r="O571" s="65"/>
      <c r="P571" s="65"/>
    </row>
    <row r="572" spans="12:16" ht="15.75" customHeight="1">
      <c r="L572" s="65"/>
      <c r="M572" s="65"/>
      <c r="N572" s="65"/>
      <c r="O572" s="65"/>
      <c r="P572" s="65"/>
    </row>
    <row r="573" spans="12:16" ht="15.75" customHeight="1">
      <c r="L573" s="65"/>
      <c r="M573" s="65"/>
      <c r="N573" s="65"/>
      <c r="O573" s="65"/>
      <c r="P573" s="65"/>
    </row>
    <row r="574" spans="12:16" ht="15.75" customHeight="1">
      <c r="L574" s="65"/>
      <c r="M574" s="65"/>
      <c r="N574" s="65"/>
      <c r="O574" s="65"/>
      <c r="P574" s="65"/>
    </row>
    <row r="575" spans="12:16" ht="15.75" customHeight="1">
      <c r="L575" s="65"/>
      <c r="M575" s="65"/>
      <c r="N575" s="65"/>
      <c r="O575" s="65"/>
      <c r="P575" s="65"/>
    </row>
    <row r="576" spans="12:16" ht="15.75" customHeight="1">
      <c r="L576" s="65"/>
      <c r="M576" s="65"/>
      <c r="N576" s="65"/>
      <c r="O576" s="65"/>
      <c r="P576" s="65"/>
    </row>
    <row r="577" spans="12:16" ht="15.75" customHeight="1">
      <c r="L577" s="65"/>
      <c r="M577" s="65"/>
      <c r="N577" s="65"/>
      <c r="O577" s="65"/>
      <c r="P577" s="65"/>
    </row>
    <row r="578" spans="12:16" ht="15.75" customHeight="1">
      <c r="L578" s="65"/>
      <c r="M578" s="65"/>
      <c r="N578" s="65"/>
      <c r="O578" s="65"/>
      <c r="P578" s="65"/>
    </row>
    <row r="579" spans="12:16" ht="15.75" customHeight="1">
      <c r="L579" s="65"/>
      <c r="M579" s="65"/>
      <c r="N579" s="65"/>
      <c r="O579" s="65"/>
      <c r="P579" s="65"/>
    </row>
    <row r="580" spans="12:16" ht="15.75" customHeight="1">
      <c r="L580" s="65"/>
      <c r="M580" s="65"/>
      <c r="N580" s="65"/>
      <c r="O580" s="65"/>
      <c r="P580" s="65"/>
    </row>
    <row r="581" spans="12:16" ht="15.75" customHeight="1">
      <c r="L581" s="65"/>
      <c r="M581" s="65"/>
      <c r="N581" s="65"/>
      <c r="O581" s="65"/>
      <c r="P581" s="65"/>
    </row>
    <row r="582" spans="12:16" ht="15.75" customHeight="1">
      <c r="L582" s="65"/>
      <c r="M582" s="65"/>
      <c r="N582" s="65"/>
      <c r="O582" s="65"/>
      <c r="P582" s="65"/>
    </row>
    <row r="583" spans="12:16" ht="15.75" customHeight="1">
      <c r="L583" s="65"/>
      <c r="M583" s="65"/>
      <c r="N583" s="65"/>
      <c r="O583" s="65"/>
      <c r="P583" s="65"/>
    </row>
    <row r="584" spans="12:16" ht="15.75" customHeight="1">
      <c r="L584" s="65"/>
      <c r="M584" s="65"/>
      <c r="N584" s="65"/>
      <c r="O584" s="65"/>
      <c r="P584" s="65"/>
    </row>
    <row r="585" spans="12:16" ht="15.75" customHeight="1">
      <c r="L585" s="65"/>
      <c r="M585" s="65"/>
      <c r="N585" s="65"/>
      <c r="O585" s="65"/>
      <c r="P585" s="65"/>
    </row>
    <row r="586" spans="12:16" ht="15.75" customHeight="1">
      <c r="L586" s="65"/>
      <c r="M586" s="65"/>
      <c r="N586" s="65"/>
      <c r="O586" s="65"/>
      <c r="P586" s="65"/>
    </row>
    <row r="587" spans="12:16" ht="15.75" customHeight="1">
      <c r="L587" s="65"/>
      <c r="M587" s="65"/>
      <c r="N587" s="65"/>
      <c r="O587" s="65"/>
      <c r="P587" s="65"/>
    </row>
    <row r="588" spans="12:16" ht="15.75" customHeight="1">
      <c r="L588" s="65"/>
      <c r="M588" s="65"/>
      <c r="N588" s="65"/>
      <c r="O588" s="65"/>
      <c r="P588" s="65"/>
    </row>
    <row r="589" spans="12:16" ht="15.75" customHeight="1">
      <c r="L589" s="65"/>
      <c r="M589" s="65"/>
      <c r="N589" s="65"/>
      <c r="O589" s="65"/>
      <c r="P589" s="65"/>
    </row>
    <row r="590" spans="12:16" ht="15.75" customHeight="1">
      <c r="L590" s="65"/>
      <c r="M590" s="65"/>
      <c r="N590" s="65"/>
      <c r="O590" s="65"/>
      <c r="P590" s="65"/>
    </row>
    <row r="591" spans="12:16" ht="15.75" customHeight="1">
      <c r="L591" s="65"/>
      <c r="M591" s="65"/>
      <c r="N591" s="65"/>
      <c r="O591" s="65"/>
      <c r="P591" s="65"/>
    </row>
    <row r="592" spans="12:16" ht="15.75" customHeight="1">
      <c r="L592" s="65"/>
      <c r="M592" s="65"/>
      <c r="N592" s="65"/>
      <c r="O592" s="65"/>
      <c r="P592" s="65"/>
    </row>
    <row r="593" spans="12:16" ht="15.75" customHeight="1">
      <c r="L593" s="65"/>
      <c r="M593" s="65"/>
      <c r="N593" s="65"/>
      <c r="O593" s="65"/>
      <c r="P593" s="65"/>
    </row>
    <row r="594" spans="12:16" ht="15.75" customHeight="1">
      <c r="L594" s="65"/>
      <c r="M594" s="65"/>
      <c r="N594" s="65"/>
      <c r="O594" s="65"/>
      <c r="P594" s="65"/>
    </row>
    <row r="595" spans="12:16" ht="15.75" customHeight="1">
      <c r="L595" s="65"/>
      <c r="M595" s="65"/>
      <c r="N595" s="65"/>
      <c r="O595" s="65"/>
      <c r="P595" s="65"/>
    </row>
    <row r="596" spans="12:16" ht="15.75" customHeight="1">
      <c r="L596" s="65"/>
      <c r="M596" s="65"/>
      <c r="N596" s="65"/>
      <c r="O596" s="65"/>
      <c r="P596" s="65"/>
    </row>
    <row r="597" spans="12:16" ht="15.75" customHeight="1">
      <c r="L597" s="65"/>
      <c r="M597" s="65"/>
      <c r="N597" s="65"/>
      <c r="O597" s="65"/>
      <c r="P597" s="65"/>
    </row>
    <row r="598" spans="12:16" ht="15.75" customHeight="1">
      <c r="L598" s="65"/>
      <c r="M598" s="65"/>
      <c r="N598" s="65"/>
      <c r="O598" s="65"/>
      <c r="P598" s="65"/>
    </row>
    <row r="599" spans="12:16" ht="15.75" customHeight="1">
      <c r="L599" s="65"/>
      <c r="M599" s="65"/>
      <c r="N599" s="65"/>
      <c r="O599" s="65"/>
      <c r="P599" s="65"/>
    </row>
    <row r="600" spans="12:16" ht="15.75" customHeight="1">
      <c r="L600" s="65"/>
      <c r="M600" s="65"/>
      <c r="N600" s="65"/>
      <c r="O600" s="65"/>
      <c r="P600" s="65"/>
    </row>
    <row r="601" spans="12:16" ht="15.75" customHeight="1">
      <c r="L601" s="65"/>
      <c r="M601" s="65"/>
      <c r="N601" s="65"/>
      <c r="O601" s="65"/>
      <c r="P601" s="65"/>
    </row>
    <row r="602" spans="12:16" ht="15.75" customHeight="1">
      <c r="L602" s="65"/>
      <c r="M602" s="65"/>
      <c r="N602" s="65"/>
      <c r="O602" s="65"/>
      <c r="P602" s="65"/>
    </row>
    <row r="603" spans="12:16" ht="15.75" customHeight="1">
      <c r="L603" s="65"/>
      <c r="M603" s="65"/>
      <c r="N603" s="65"/>
      <c r="O603" s="65"/>
      <c r="P603" s="65"/>
    </row>
    <row r="604" spans="12:16" ht="15.75" customHeight="1">
      <c r="L604" s="65"/>
      <c r="M604" s="65"/>
      <c r="N604" s="65"/>
      <c r="O604" s="65"/>
      <c r="P604" s="65"/>
    </row>
    <row r="605" spans="12:16" ht="15.75" customHeight="1">
      <c r="L605" s="65"/>
      <c r="M605" s="65"/>
      <c r="N605" s="65"/>
      <c r="O605" s="65"/>
      <c r="P605" s="65"/>
    </row>
    <row r="606" spans="12:16" ht="15.75" customHeight="1">
      <c r="L606" s="65"/>
      <c r="M606" s="65"/>
      <c r="N606" s="65"/>
      <c r="O606" s="65"/>
      <c r="P606" s="65"/>
    </row>
    <row r="607" spans="12:16" ht="15.75" customHeight="1">
      <c r="L607" s="65"/>
      <c r="M607" s="65"/>
      <c r="N607" s="65"/>
      <c r="O607" s="65"/>
      <c r="P607" s="65"/>
    </row>
    <row r="608" spans="12:16" ht="15.75" customHeight="1">
      <c r="L608" s="65"/>
      <c r="M608" s="65"/>
      <c r="N608" s="65"/>
      <c r="O608" s="65"/>
      <c r="P608" s="65"/>
    </row>
    <row r="609" spans="12:16" ht="15.75" customHeight="1">
      <c r="L609" s="65"/>
      <c r="M609" s="65"/>
      <c r="N609" s="65"/>
      <c r="O609" s="65"/>
      <c r="P609" s="65"/>
    </row>
    <row r="610" spans="12:16" ht="15.75" customHeight="1">
      <c r="L610" s="65"/>
      <c r="M610" s="65"/>
      <c r="N610" s="65"/>
      <c r="O610" s="65"/>
      <c r="P610" s="65"/>
    </row>
    <row r="611" spans="12:16" ht="15.75" customHeight="1">
      <c r="L611" s="65"/>
      <c r="M611" s="65"/>
      <c r="N611" s="65"/>
      <c r="O611" s="65"/>
      <c r="P611" s="65"/>
    </row>
    <row r="612" spans="12:16" ht="15.75" customHeight="1">
      <c r="L612" s="65"/>
      <c r="M612" s="65"/>
      <c r="N612" s="65"/>
      <c r="O612" s="65"/>
      <c r="P612" s="65"/>
    </row>
    <row r="613" spans="12:16" ht="15.75" customHeight="1">
      <c r="L613" s="65"/>
      <c r="M613" s="65"/>
      <c r="N613" s="65"/>
      <c r="O613" s="65"/>
      <c r="P613" s="65"/>
    </row>
    <row r="614" spans="12:16" ht="15.75" customHeight="1">
      <c r="L614" s="65"/>
      <c r="M614" s="65"/>
      <c r="N614" s="65"/>
      <c r="O614" s="65"/>
      <c r="P614" s="65"/>
    </row>
    <row r="615" spans="12:16" ht="15.75" customHeight="1">
      <c r="L615" s="65"/>
      <c r="M615" s="65"/>
      <c r="N615" s="65"/>
      <c r="O615" s="65"/>
      <c r="P615" s="65"/>
    </row>
    <row r="616" spans="12:16" ht="15.75" customHeight="1">
      <c r="L616" s="65"/>
      <c r="M616" s="65"/>
      <c r="N616" s="65"/>
      <c r="O616" s="65"/>
      <c r="P616" s="65"/>
    </row>
    <row r="617" spans="12:16" ht="15.75" customHeight="1">
      <c r="L617" s="65"/>
      <c r="M617" s="65"/>
      <c r="N617" s="65"/>
      <c r="O617" s="65"/>
      <c r="P617" s="65"/>
    </row>
    <row r="618" spans="12:16" ht="15.75" customHeight="1">
      <c r="L618" s="65"/>
      <c r="M618" s="65"/>
      <c r="N618" s="65"/>
      <c r="O618" s="65"/>
      <c r="P618" s="65"/>
    </row>
    <row r="619" spans="12:16" ht="15.75" customHeight="1">
      <c r="L619" s="65"/>
      <c r="M619" s="65"/>
      <c r="N619" s="65"/>
      <c r="O619" s="65"/>
      <c r="P619" s="65"/>
    </row>
    <row r="620" spans="12:16" ht="15.75" customHeight="1">
      <c r="L620" s="65"/>
      <c r="M620" s="65"/>
      <c r="N620" s="65"/>
      <c r="O620" s="65"/>
      <c r="P620" s="65"/>
    </row>
    <row r="621" spans="12:16" ht="15.75" customHeight="1">
      <c r="L621" s="65"/>
      <c r="M621" s="65"/>
      <c r="N621" s="65"/>
      <c r="O621" s="65"/>
      <c r="P621" s="65"/>
    </row>
    <row r="622" spans="12:16" ht="15.75" customHeight="1">
      <c r="L622" s="65"/>
      <c r="M622" s="65"/>
      <c r="N622" s="65"/>
      <c r="O622" s="65"/>
      <c r="P622" s="65"/>
    </row>
    <row r="623" spans="12:16" ht="15.75" customHeight="1">
      <c r="L623" s="65"/>
      <c r="M623" s="65"/>
      <c r="N623" s="65"/>
      <c r="O623" s="65"/>
      <c r="P623" s="65"/>
    </row>
    <row r="624" spans="12:16" ht="15.75" customHeight="1">
      <c r="L624" s="65"/>
      <c r="M624" s="65"/>
      <c r="N624" s="65"/>
      <c r="O624" s="65"/>
      <c r="P624" s="65"/>
    </row>
    <row r="625" spans="12:16" ht="15.75" customHeight="1">
      <c r="L625" s="65"/>
      <c r="M625" s="65"/>
      <c r="N625" s="65"/>
      <c r="O625" s="65"/>
      <c r="P625" s="65"/>
    </row>
    <row r="626" spans="12:16" ht="15.75" customHeight="1">
      <c r="L626" s="65"/>
      <c r="M626" s="65"/>
      <c r="N626" s="65"/>
      <c r="O626" s="65"/>
      <c r="P626" s="65"/>
    </row>
    <row r="627" spans="12:16" ht="15.75" customHeight="1">
      <c r="L627" s="65"/>
      <c r="M627" s="65"/>
      <c r="N627" s="65"/>
      <c r="O627" s="65"/>
      <c r="P627" s="65"/>
    </row>
    <row r="628" spans="12:16" ht="15.75" customHeight="1">
      <c r="L628" s="65"/>
      <c r="M628" s="65"/>
      <c r="N628" s="65"/>
      <c r="O628" s="65"/>
      <c r="P628" s="65"/>
    </row>
    <row r="629" spans="12:16" ht="15.75" customHeight="1">
      <c r="L629" s="65"/>
      <c r="M629" s="65"/>
      <c r="N629" s="65"/>
      <c r="O629" s="65"/>
      <c r="P629" s="65"/>
    </row>
    <row r="630" spans="12:16" ht="15.75" customHeight="1">
      <c r="L630" s="65"/>
      <c r="M630" s="65"/>
      <c r="N630" s="65"/>
      <c r="O630" s="65"/>
      <c r="P630" s="65"/>
    </row>
    <row r="631" spans="12:16" ht="15.75" customHeight="1">
      <c r="L631" s="65"/>
      <c r="M631" s="65"/>
      <c r="N631" s="65"/>
      <c r="O631" s="65"/>
      <c r="P631" s="65"/>
    </row>
    <row r="632" spans="12:16" ht="15.75" customHeight="1">
      <c r="L632" s="65"/>
      <c r="M632" s="65"/>
      <c r="N632" s="65"/>
      <c r="O632" s="65"/>
      <c r="P632" s="65"/>
    </row>
    <row r="633" spans="12:16" ht="15.75" customHeight="1">
      <c r="L633" s="65"/>
      <c r="M633" s="65"/>
      <c r="N633" s="65"/>
      <c r="O633" s="65"/>
      <c r="P633" s="65"/>
    </row>
    <row r="634" spans="12:16" ht="15.75" customHeight="1">
      <c r="L634" s="65"/>
      <c r="M634" s="65"/>
      <c r="N634" s="65"/>
      <c r="O634" s="65"/>
      <c r="P634" s="65"/>
    </row>
    <row r="635" spans="12:16" ht="15.75" customHeight="1">
      <c r="L635" s="65"/>
      <c r="M635" s="65"/>
      <c r="N635" s="65"/>
      <c r="O635" s="65"/>
      <c r="P635" s="65"/>
    </row>
    <row r="636" spans="12:16" ht="15.75" customHeight="1">
      <c r="L636" s="65"/>
      <c r="M636" s="65"/>
      <c r="N636" s="65"/>
      <c r="O636" s="65"/>
      <c r="P636" s="65"/>
    </row>
    <row r="637" spans="12:16" ht="15.75" customHeight="1">
      <c r="L637" s="65"/>
      <c r="M637" s="65"/>
      <c r="N637" s="65"/>
      <c r="O637" s="65"/>
      <c r="P637" s="65"/>
    </row>
    <row r="638" spans="12:16" ht="15.75" customHeight="1">
      <c r="L638" s="65"/>
      <c r="M638" s="65"/>
      <c r="N638" s="65"/>
      <c r="O638" s="65"/>
      <c r="P638" s="65"/>
    </row>
    <row r="639" spans="12:16" ht="15.75" customHeight="1">
      <c r="L639" s="65"/>
      <c r="M639" s="65"/>
      <c r="N639" s="65"/>
      <c r="O639" s="65"/>
      <c r="P639" s="65"/>
    </row>
    <row r="640" spans="12:16" ht="15.75" customHeight="1">
      <c r="L640" s="65"/>
      <c r="M640" s="65"/>
      <c r="N640" s="65"/>
      <c r="O640" s="65"/>
      <c r="P640" s="65"/>
    </row>
    <row r="641" spans="12:16" ht="15.75" customHeight="1">
      <c r="L641" s="65"/>
      <c r="M641" s="65"/>
      <c r="N641" s="65"/>
      <c r="O641" s="65"/>
      <c r="P641" s="65"/>
    </row>
    <row r="642" spans="12:16" ht="15.75" customHeight="1">
      <c r="L642" s="65"/>
      <c r="M642" s="65"/>
      <c r="N642" s="65"/>
      <c r="O642" s="65"/>
      <c r="P642" s="65"/>
    </row>
    <row r="643" spans="12:16" ht="15.75" customHeight="1">
      <c r="L643" s="65"/>
      <c r="M643" s="65"/>
      <c r="N643" s="65"/>
      <c r="O643" s="65"/>
      <c r="P643" s="65"/>
    </row>
    <row r="644" spans="12:16" ht="15.75" customHeight="1">
      <c r="L644" s="65"/>
      <c r="M644" s="65"/>
      <c r="N644" s="65"/>
      <c r="O644" s="65"/>
      <c r="P644" s="65"/>
    </row>
    <row r="645" spans="12:16" ht="15.75" customHeight="1">
      <c r="L645" s="65"/>
      <c r="M645" s="65"/>
      <c r="N645" s="65"/>
      <c r="O645" s="65"/>
      <c r="P645" s="65"/>
    </row>
    <row r="646" spans="12:16" ht="15.75" customHeight="1">
      <c r="L646" s="65"/>
      <c r="M646" s="65"/>
      <c r="N646" s="65"/>
      <c r="O646" s="65"/>
      <c r="P646" s="65"/>
    </row>
    <row r="647" spans="12:16" ht="15.75" customHeight="1">
      <c r="L647" s="65"/>
      <c r="M647" s="65"/>
      <c r="N647" s="65"/>
      <c r="O647" s="65"/>
      <c r="P647" s="65"/>
    </row>
    <row r="648" spans="12:16" ht="15.75" customHeight="1">
      <c r="L648" s="65"/>
      <c r="M648" s="65"/>
      <c r="N648" s="65"/>
      <c r="O648" s="65"/>
      <c r="P648" s="65"/>
    </row>
    <row r="649" spans="12:16" ht="15.75" customHeight="1">
      <c r="L649" s="65"/>
      <c r="M649" s="65"/>
      <c r="N649" s="65"/>
      <c r="O649" s="65"/>
      <c r="P649" s="65"/>
    </row>
    <row r="650" spans="12:16" ht="15.75" customHeight="1">
      <c r="L650" s="65"/>
      <c r="M650" s="65"/>
      <c r="N650" s="65"/>
      <c r="O650" s="65"/>
      <c r="P650" s="65"/>
    </row>
    <row r="651" spans="12:16" ht="15.75" customHeight="1">
      <c r="L651" s="65"/>
      <c r="M651" s="65"/>
      <c r="N651" s="65"/>
      <c r="O651" s="65"/>
      <c r="P651" s="65"/>
    </row>
    <row r="652" spans="12:16" ht="15.75" customHeight="1">
      <c r="L652" s="65"/>
      <c r="M652" s="65"/>
      <c r="N652" s="65"/>
      <c r="O652" s="65"/>
      <c r="P652" s="65"/>
    </row>
    <row r="653" spans="12:16" ht="15.75" customHeight="1">
      <c r="L653" s="65"/>
      <c r="M653" s="65"/>
      <c r="N653" s="65"/>
      <c r="O653" s="65"/>
      <c r="P653" s="65"/>
    </row>
    <row r="654" spans="12:16" ht="15.75" customHeight="1">
      <c r="L654" s="65"/>
      <c r="M654" s="65"/>
      <c r="N654" s="65"/>
      <c r="O654" s="65"/>
      <c r="P654" s="65"/>
    </row>
    <row r="655" spans="12:16" ht="15.75" customHeight="1">
      <c r="L655" s="65"/>
      <c r="M655" s="65"/>
      <c r="N655" s="65"/>
      <c r="O655" s="65"/>
      <c r="P655" s="65"/>
    </row>
    <row r="656" spans="12:16" ht="15.75" customHeight="1">
      <c r="L656" s="65"/>
      <c r="M656" s="65"/>
      <c r="N656" s="65"/>
      <c r="O656" s="65"/>
      <c r="P656" s="65"/>
    </row>
    <row r="657" spans="12:16" ht="15.75" customHeight="1">
      <c r="L657" s="65"/>
      <c r="M657" s="65"/>
      <c r="N657" s="65"/>
      <c r="O657" s="65"/>
      <c r="P657" s="65"/>
    </row>
    <row r="658" spans="12:16" ht="15.75" customHeight="1">
      <c r="L658" s="65"/>
      <c r="M658" s="65"/>
      <c r="N658" s="65"/>
      <c r="O658" s="65"/>
      <c r="P658" s="65"/>
    </row>
    <row r="659" spans="12:16" ht="15.75" customHeight="1">
      <c r="L659" s="65"/>
      <c r="M659" s="65"/>
      <c r="N659" s="65"/>
      <c r="O659" s="65"/>
      <c r="P659" s="65"/>
    </row>
    <row r="660" spans="12:16" ht="15.75" customHeight="1">
      <c r="L660" s="65"/>
      <c r="M660" s="65"/>
      <c r="N660" s="65"/>
      <c r="O660" s="65"/>
      <c r="P660" s="65"/>
    </row>
    <row r="661" spans="12:16" ht="15.75" customHeight="1">
      <c r="L661" s="65"/>
      <c r="M661" s="65"/>
      <c r="N661" s="65"/>
      <c r="O661" s="65"/>
      <c r="P661" s="65"/>
    </row>
    <row r="662" spans="12:16" ht="15.75" customHeight="1">
      <c r="L662" s="65"/>
      <c r="M662" s="65"/>
      <c r="N662" s="65"/>
      <c r="O662" s="65"/>
      <c r="P662" s="65"/>
    </row>
    <row r="663" spans="12:16" ht="15.75" customHeight="1">
      <c r="L663" s="65"/>
      <c r="M663" s="65"/>
      <c r="N663" s="65"/>
      <c r="O663" s="65"/>
      <c r="P663" s="65"/>
    </row>
    <row r="664" spans="12:16" ht="15.75" customHeight="1">
      <c r="L664" s="65"/>
      <c r="M664" s="65"/>
      <c r="N664" s="65"/>
      <c r="O664" s="65"/>
      <c r="P664" s="65"/>
    </row>
    <row r="665" spans="12:16" ht="15.75" customHeight="1">
      <c r="L665" s="65"/>
      <c r="M665" s="65"/>
      <c r="N665" s="65"/>
      <c r="O665" s="65"/>
      <c r="P665" s="65"/>
    </row>
    <row r="666" spans="12:16" ht="15.75" customHeight="1">
      <c r="L666" s="65"/>
      <c r="M666" s="65"/>
      <c r="N666" s="65"/>
      <c r="O666" s="65"/>
      <c r="P666" s="65"/>
    </row>
    <row r="667" spans="12:16" ht="15.75" customHeight="1">
      <c r="L667" s="65"/>
      <c r="M667" s="65"/>
      <c r="N667" s="65"/>
      <c r="O667" s="65"/>
      <c r="P667" s="65"/>
    </row>
    <row r="668" spans="12:16" ht="15.75" customHeight="1">
      <c r="L668" s="65"/>
      <c r="M668" s="65"/>
      <c r="N668" s="65"/>
      <c r="O668" s="65"/>
      <c r="P668" s="65"/>
    </row>
    <row r="669" spans="12:16" ht="15.75" customHeight="1">
      <c r="L669" s="65"/>
      <c r="M669" s="65"/>
      <c r="N669" s="65"/>
      <c r="O669" s="65"/>
      <c r="P669" s="65"/>
    </row>
    <row r="670" spans="12:16" ht="15.75" customHeight="1">
      <c r="L670" s="65"/>
      <c r="M670" s="65"/>
      <c r="N670" s="65"/>
      <c r="O670" s="65"/>
      <c r="P670" s="65"/>
    </row>
    <row r="671" spans="12:16" ht="15.75" customHeight="1">
      <c r="L671" s="65"/>
      <c r="M671" s="65"/>
      <c r="N671" s="65"/>
      <c r="O671" s="65"/>
      <c r="P671" s="65"/>
    </row>
    <row r="672" spans="12:16" ht="15.75" customHeight="1">
      <c r="L672" s="65"/>
      <c r="M672" s="65"/>
      <c r="N672" s="65"/>
      <c r="O672" s="65"/>
      <c r="P672" s="65"/>
    </row>
    <row r="673" spans="12:16" ht="15.75" customHeight="1">
      <c r="L673" s="65"/>
      <c r="M673" s="65"/>
      <c r="N673" s="65"/>
      <c r="O673" s="65"/>
      <c r="P673" s="65"/>
    </row>
    <row r="674" spans="12:16" ht="15.75" customHeight="1">
      <c r="L674" s="65"/>
      <c r="M674" s="65"/>
      <c r="N674" s="65"/>
      <c r="O674" s="65"/>
      <c r="P674" s="65"/>
    </row>
    <row r="675" spans="12:16" ht="15.75" customHeight="1">
      <c r="L675" s="65"/>
      <c r="M675" s="65"/>
      <c r="N675" s="65"/>
      <c r="O675" s="65"/>
      <c r="P675" s="65"/>
    </row>
    <row r="676" spans="12:16" ht="15.75" customHeight="1">
      <c r="L676" s="65"/>
      <c r="M676" s="65"/>
      <c r="N676" s="65"/>
      <c r="O676" s="65"/>
      <c r="P676" s="65"/>
    </row>
    <row r="677" spans="12:16" ht="15.75" customHeight="1">
      <c r="L677" s="65"/>
      <c r="M677" s="65"/>
      <c r="N677" s="65"/>
      <c r="O677" s="65"/>
      <c r="P677" s="65"/>
    </row>
    <row r="678" spans="12:16" ht="15.75" customHeight="1">
      <c r="L678" s="65"/>
      <c r="M678" s="65"/>
      <c r="N678" s="65"/>
      <c r="O678" s="65"/>
      <c r="P678" s="65"/>
    </row>
    <row r="679" spans="12:16" ht="15.75" customHeight="1">
      <c r="L679" s="65"/>
      <c r="M679" s="65"/>
      <c r="N679" s="65"/>
      <c r="O679" s="65"/>
      <c r="P679" s="65"/>
    </row>
    <row r="680" spans="12:16" ht="15.75" customHeight="1">
      <c r="L680" s="65"/>
      <c r="M680" s="65"/>
      <c r="N680" s="65"/>
      <c r="O680" s="65"/>
      <c r="P680" s="65"/>
    </row>
    <row r="681" spans="12:16" ht="15.75" customHeight="1">
      <c r="L681" s="65"/>
      <c r="M681" s="65"/>
      <c r="N681" s="65"/>
      <c r="O681" s="65"/>
      <c r="P681" s="65"/>
    </row>
    <row r="682" spans="12:16" ht="15.75" customHeight="1">
      <c r="L682" s="65"/>
      <c r="M682" s="65"/>
      <c r="N682" s="65"/>
      <c r="O682" s="65"/>
      <c r="P682" s="65"/>
    </row>
    <row r="683" spans="12:16" ht="15.75" customHeight="1">
      <c r="L683" s="65"/>
      <c r="M683" s="65"/>
      <c r="N683" s="65"/>
      <c r="O683" s="65"/>
      <c r="P683" s="65"/>
    </row>
    <row r="684" spans="12:16" ht="15.75" customHeight="1">
      <c r="L684" s="65"/>
      <c r="M684" s="65"/>
      <c r="N684" s="65"/>
      <c r="O684" s="65"/>
      <c r="P684" s="65"/>
    </row>
    <row r="685" spans="12:16" ht="15.75" customHeight="1">
      <c r="L685" s="65"/>
      <c r="M685" s="65"/>
      <c r="N685" s="65"/>
      <c r="O685" s="65"/>
      <c r="P685" s="65"/>
    </row>
    <row r="686" spans="12:16" ht="15.75" customHeight="1">
      <c r="L686" s="65"/>
      <c r="M686" s="65"/>
      <c r="N686" s="65"/>
      <c r="O686" s="65"/>
      <c r="P686" s="65"/>
    </row>
    <row r="687" spans="12:16" ht="15.75" customHeight="1">
      <c r="L687" s="65"/>
      <c r="M687" s="65"/>
      <c r="N687" s="65"/>
      <c r="O687" s="65"/>
      <c r="P687" s="65"/>
    </row>
    <row r="688" spans="12:16" ht="15.75" customHeight="1">
      <c r="L688" s="65"/>
      <c r="M688" s="65"/>
      <c r="N688" s="65"/>
      <c r="O688" s="65"/>
      <c r="P688" s="65"/>
    </row>
    <row r="689" spans="12:16" ht="15.75" customHeight="1">
      <c r="L689" s="65"/>
      <c r="M689" s="65"/>
      <c r="N689" s="65"/>
      <c r="O689" s="65"/>
      <c r="P689" s="65"/>
    </row>
    <row r="690" spans="12:16" ht="15.75" customHeight="1">
      <c r="L690" s="65"/>
      <c r="M690" s="65"/>
      <c r="N690" s="65"/>
      <c r="O690" s="65"/>
      <c r="P690" s="65"/>
    </row>
    <row r="691" spans="12:16" ht="15.75" customHeight="1">
      <c r="L691" s="65"/>
      <c r="M691" s="65"/>
      <c r="N691" s="65"/>
      <c r="O691" s="65"/>
      <c r="P691" s="65"/>
    </row>
    <row r="692" spans="12:16" ht="15.75" customHeight="1">
      <c r="L692" s="65"/>
      <c r="M692" s="65"/>
      <c r="N692" s="65"/>
      <c r="O692" s="65"/>
      <c r="P692" s="65"/>
    </row>
    <row r="693" spans="12:16" ht="15.75" customHeight="1">
      <c r="L693" s="65"/>
      <c r="M693" s="65"/>
      <c r="N693" s="65"/>
      <c r="O693" s="65"/>
      <c r="P693" s="65"/>
    </row>
    <row r="694" spans="12:16" ht="15.75" customHeight="1">
      <c r="L694" s="65"/>
      <c r="M694" s="65"/>
      <c r="N694" s="65"/>
      <c r="O694" s="65"/>
      <c r="P694" s="65"/>
    </row>
    <row r="695" spans="12:16" ht="15.75" customHeight="1">
      <c r="L695" s="65"/>
      <c r="M695" s="65"/>
      <c r="N695" s="65"/>
      <c r="O695" s="65"/>
      <c r="P695" s="65"/>
    </row>
    <row r="696" spans="12:16" ht="15.75" customHeight="1">
      <c r="L696" s="65"/>
      <c r="M696" s="65"/>
      <c r="N696" s="65"/>
      <c r="O696" s="65"/>
      <c r="P696" s="65"/>
    </row>
    <row r="697" spans="12:16" ht="15.75" customHeight="1">
      <c r="L697" s="65"/>
      <c r="M697" s="65"/>
      <c r="N697" s="65"/>
      <c r="O697" s="65"/>
      <c r="P697" s="65"/>
    </row>
    <row r="698" spans="12:16" ht="15.75" customHeight="1">
      <c r="L698" s="65"/>
      <c r="M698" s="65"/>
      <c r="N698" s="65"/>
      <c r="O698" s="65"/>
      <c r="P698" s="65"/>
    </row>
    <row r="699" spans="12:16" ht="15.75" customHeight="1">
      <c r="L699" s="65"/>
      <c r="M699" s="65"/>
      <c r="N699" s="65"/>
      <c r="O699" s="65"/>
      <c r="P699" s="65"/>
    </row>
    <row r="700" spans="12:16" ht="15.75" customHeight="1">
      <c r="L700" s="65"/>
      <c r="M700" s="65"/>
      <c r="N700" s="65"/>
      <c r="O700" s="65"/>
      <c r="P700" s="65"/>
    </row>
    <row r="701" spans="12:16" ht="15.75" customHeight="1">
      <c r="L701" s="65"/>
      <c r="M701" s="65"/>
      <c r="N701" s="65"/>
      <c r="O701" s="65"/>
      <c r="P701" s="65"/>
    </row>
    <row r="702" spans="12:16" ht="15.75" customHeight="1">
      <c r="L702" s="65"/>
      <c r="M702" s="65"/>
      <c r="N702" s="65"/>
      <c r="O702" s="65"/>
      <c r="P702" s="65"/>
    </row>
    <row r="703" spans="12:16" ht="15.75" customHeight="1">
      <c r="L703" s="65"/>
      <c r="M703" s="65"/>
      <c r="N703" s="65"/>
      <c r="O703" s="65"/>
      <c r="P703" s="65"/>
    </row>
    <row r="704" spans="12:16" ht="15.75" customHeight="1">
      <c r="L704" s="65"/>
      <c r="M704" s="65"/>
      <c r="N704" s="65"/>
      <c r="O704" s="65"/>
      <c r="P704" s="65"/>
    </row>
    <row r="705" spans="12:16" ht="15.75" customHeight="1">
      <c r="L705" s="65"/>
      <c r="M705" s="65"/>
      <c r="N705" s="65"/>
      <c r="O705" s="65"/>
      <c r="P705" s="65"/>
    </row>
    <row r="706" spans="12:16" ht="15.75" customHeight="1">
      <c r="L706" s="65"/>
      <c r="M706" s="65"/>
      <c r="N706" s="65"/>
      <c r="O706" s="65"/>
      <c r="P706" s="65"/>
    </row>
    <row r="707" spans="12:16" ht="15.75" customHeight="1">
      <c r="L707" s="65"/>
      <c r="M707" s="65"/>
      <c r="N707" s="65"/>
      <c r="O707" s="65"/>
      <c r="P707" s="65"/>
    </row>
    <row r="708" spans="12:16" ht="15.75" customHeight="1">
      <c r="L708" s="65"/>
      <c r="M708" s="65"/>
      <c r="N708" s="65"/>
      <c r="O708" s="65"/>
      <c r="P708" s="65"/>
    </row>
    <row r="709" spans="12:16" ht="15.75" customHeight="1">
      <c r="L709" s="65"/>
      <c r="M709" s="65"/>
      <c r="N709" s="65"/>
      <c r="O709" s="65"/>
      <c r="P709" s="65"/>
    </row>
    <row r="710" spans="12:16" ht="15.75" customHeight="1">
      <c r="L710" s="65"/>
      <c r="M710" s="65"/>
      <c r="N710" s="65"/>
      <c r="O710" s="65"/>
      <c r="P710" s="65"/>
    </row>
    <row r="711" spans="12:16" ht="15.75" customHeight="1">
      <c r="L711" s="65"/>
      <c r="M711" s="65"/>
      <c r="N711" s="65"/>
      <c r="O711" s="65"/>
      <c r="P711" s="65"/>
    </row>
    <row r="712" spans="12:16" ht="15.75" customHeight="1">
      <c r="L712" s="65"/>
      <c r="M712" s="65"/>
      <c r="N712" s="65"/>
      <c r="O712" s="65"/>
      <c r="P712" s="65"/>
    </row>
    <row r="713" spans="12:16" ht="15.75" customHeight="1">
      <c r="L713" s="65"/>
      <c r="M713" s="65"/>
      <c r="N713" s="65"/>
      <c r="O713" s="65"/>
      <c r="P713" s="65"/>
    </row>
    <row r="714" spans="12:16" ht="15.75" customHeight="1">
      <c r="L714" s="65"/>
      <c r="M714" s="65"/>
      <c r="N714" s="65"/>
      <c r="O714" s="65"/>
      <c r="P714" s="65"/>
    </row>
    <row r="715" spans="12:16" ht="15.75" customHeight="1">
      <c r="L715" s="65"/>
      <c r="M715" s="65"/>
      <c r="N715" s="65"/>
      <c r="O715" s="65"/>
      <c r="P715" s="65"/>
    </row>
    <row r="716" spans="12:16" ht="15.75" customHeight="1">
      <c r="L716" s="65"/>
      <c r="M716" s="65"/>
      <c r="N716" s="65"/>
      <c r="O716" s="65"/>
      <c r="P716" s="65"/>
    </row>
    <row r="717" spans="12:16" ht="15.75" customHeight="1">
      <c r="L717" s="65"/>
      <c r="M717" s="65"/>
      <c r="N717" s="65"/>
      <c r="O717" s="65"/>
      <c r="P717" s="65"/>
    </row>
    <row r="718" spans="12:16" ht="15.75" customHeight="1">
      <c r="L718" s="65"/>
      <c r="M718" s="65"/>
      <c r="N718" s="65"/>
      <c r="O718" s="65"/>
      <c r="P718" s="65"/>
    </row>
    <row r="719" spans="12:16" ht="15.75" customHeight="1">
      <c r="L719" s="65"/>
      <c r="M719" s="65"/>
      <c r="N719" s="65"/>
      <c r="O719" s="65"/>
      <c r="P719" s="65"/>
    </row>
    <row r="720" spans="12:16" ht="15.75" customHeight="1">
      <c r="L720" s="65"/>
      <c r="M720" s="65"/>
      <c r="N720" s="65"/>
      <c r="O720" s="65"/>
      <c r="P720" s="65"/>
    </row>
    <row r="721" spans="12:16" ht="15.75" customHeight="1">
      <c r="L721" s="65"/>
      <c r="M721" s="65"/>
      <c r="N721" s="65"/>
      <c r="O721" s="65"/>
      <c r="P721" s="65"/>
    </row>
    <row r="722" spans="12:16" ht="15.75" customHeight="1">
      <c r="L722" s="65"/>
      <c r="M722" s="65"/>
      <c r="N722" s="65"/>
      <c r="O722" s="65"/>
      <c r="P722" s="65"/>
    </row>
    <row r="723" spans="12:16" ht="15.75" customHeight="1">
      <c r="L723" s="65"/>
      <c r="M723" s="65"/>
      <c r="N723" s="65"/>
      <c r="O723" s="65"/>
      <c r="P723" s="65"/>
    </row>
    <row r="724" spans="12:16" ht="15.75" customHeight="1">
      <c r="L724" s="65"/>
      <c r="M724" s="65"/>
      <c r="N724" s="65"/>
      <c r="O724" s="65"/>
      <c r="P724" s="65"/>
    </row>
    <row r="725" spans="12:16" ht="15.75" customHeight="1">
      <c r="L725" s="65"/>
      <c r="M725" s="65"/>
      <c r="N725" s="65"/>
      <c r="O725" s="65"/>
      <c r="P725" s="65"/>
    </row>
    <row r="726" spans="12:16" ht="15.75" customHeight="1">
      <c r="L726" s="65"/>
      <c r="M726" s="65"/>
      <c r="N726" s="65"/>
      <c r="O726" s="65"/>
      <c r="P726" s="65"/>
    </row>
    <row r="727" spans="12:16" ht="15.75" customHeight="1">
      <c r="L727" s="65"/>
      <c r="M727" s="65"/>
      <c r="N727" s="65"/>
      <c r="O727" s="65"/>
      <c r="P727" s="65"/>
    </row>
    <row r="728" spans="12:16" ht="15.75" customHeight="1">
      <c r="L728" s="65"/>
      <c r="M728" s="65"/>
      <c r="N728" s="65"/>
      <c r="O728" s="65"/>
      <c r="P728" s="65"/>
    </row>
    <row r="729" spans="12:16" ht="15.75" customHeight="1">
      <c r="L729" s="65"/>
      <c r="M729" s="65"/>
      <c r="N729" s="65"/>
      <c r="O729" s="65"/>
      <c r="P729" s="65"/>
    </row>
    <row r="730" spans="12:16" ht="15.75" customHeight="1">
      <c r="L730" s="65"/>
      <c r="M730" s="65"/>
      <c r="N730" s="65"/>
      <c r="O730" s="65"/>
      <c r="P730" s="65"/>
    </row>
    <row r="731" spans="12:16" ht="15.75" customHeight="1">
      <c r="L731" s="65"/>
      <c r="M731" s="65"/>
      <c r="N731" s="65"/>
      <c r="O731" s="65"/>
      <c r="P731" s="65"/>
    </row>
    <row r="732" spans="12:16" ht="15.75" customHeight="1">
      <c r="L732" s="65"/>
      <c r="M732" s="65"/>
      <c r="N732" s="65"/>
      <c r="O732" s="65"/>
      <c r="P732" s="65"/>
    </row>
    <row r="733" spans="12:16" ht="15.75" customHeight="1">
      <c r="L733" s="65"/>
      <c r="M733" s="65"/>
      <c r="N733" s="65"/>
      <c r="O733" s="65"/>
      <c r="P733" s="65"/>
    </row>
    <row r="734" spans="12:16" ht="15.75" customHeight="1">
      <c r="L734" s="65"/>
      <c r="M734" s="65"/>
      <c r="N734" s="65"/>
      <c r="O734" s="65"/>
      <c r="P734" s="65"/>
    </row>
    <row r="735" spans="12:16" ht="15.75" customHeight="1">
      <c r="L735" s="65"/>
      <c r="M735" s="65"/>
      <c r="N735" s="65"/>
      <c r="O735" s="65"/>
      <c r="P735" s="65"/>
    </row>
    <row r="736" spans="12:16" ht="15.75" customHeight="1">
      <c r="L736" s="65"/>
      <c r="M736" s="65"/>
      <c r="N736" s="65"/>
      <c r="O736" s="65"/>
      <c r="P736" s="65"/>
    </row>
    <row r="737" spans="12:16" ht="15.75" customHeight="1">
      <c r="L737" s="65"/>
      <c r="M737" s="65"/>
      <c r="N737" s="65"/>
      <c r="O737" s="65"/>
      <c r="P737" s="65"/>
    </row>
    <row r="738" spans="12:16" ht="15.75" customHeight="1">
      <c r="L738" s="65"/>
      <c r="M738" s="65"/>
      <c r="N738" s="65"/>
      <c r="O738" s="65"/>
      <c r="P738" s="65"/>
    </row>
    <row r="739" spans="12:16" ht="15.75" customHeight="1">
      <c r="L739" s="65"/>
      <c r="M739" s="65"/>
      <c r="N739" s="65"/>
      <c r="O739" s="65"/>
      <c r="P739" s="65"/>
    </row>
    <row r="740" spans="12:16" ht="15.75" customHeight="1">
      <c r="L740" s="65"/>
      <c r="M740" s="65"/>
      <c r="N740" s="65"/>
      <c r="O740" s="65"/>
      <c r="P740" s="65"/>
    </row>
    <row r="741" spans="12:16" ht="15.75" customHeight="1">
      <c r="L741" s="65"/>
      <c r="M741" s="65"/>
      <c r="N741" s="65"/>
      <c r="O741" s="65"/>
      <c r="P741" s="65"/>
    </row>
    <row r="742" spans="12:16" ht="15.75" customHeight="1">
      <c r="L742" s="65"/>
      <c r="M742" s="65"/>
      <c r="N742" s="65"/>
      <c r="O742" s="65"/>
      <c r="P742" s="65"/>
    </row>
    <row r="743" spans="12:16" ht="15.75" customHeight="1">
      <c r="L743" s="65"/>
      <c r="M743" s="65"/>
      <c r="N743" s="65"/>
      <c r="O743" s="65"/>
      <c r="P743" s="65"/>
    </row>
    <row r="744" spans="12:16" ht="15.75" customHeight="1">
      <c r="L744" s="65"/>
      <c r="M744" s="65"/>
      <c r="N744" s="65"/>
      <c r="O744" s="65"/>
      <c r="P744" s="65"/>
    </row>
    <row r="745" spans="12:16" ht="15.75" customHeight="1">
      <c r="L745" s="65"/>
      <c r="M745" s="65"/>
      <c r="N745" s="65"/>
      <c r="O745" s="65"/>
      <c r="P745" s="65"/>
    </row>
    <row r="746" spans="12:16" ht="15.75" customHeight="1">
      <c r="L746" s="65"/>
      <c r="M746" s="65"/>
      <c r="N746" s="65"/>
      <c r="O746" s="65"/>
      <c r="P746" s="65"/>
    </row>
    <row r="747" spans="12:16" ht="15.75" customHeight="1">
      <c r="L747" s="65"/>
      <c r="M747" s="65"/>
      <c r="N747" s="65"/>
      <c r="O747" s="65"/>
      <c r="P747" s="65"/>
    </row>
    <row r="748" spans="12:16" ht="15.75" customHeight="1">
      <c r="L748" s="65"/>
      <c r="M748" s="65"/>
      <c r="N748" s="65"/>
      <c r="O748" s="65"/>
      <c r="P748" s="65"/>
    </row>
    <row r="749" spans="12:16" ht="15.75" customHeight="1">
      <c r="L749" s="65"/>
      <c r="M749" s="65"/>
      <c r="N749" s="65"/>
      <c r="O749" s="65"/>
      <c r="P749" s="65"/>
    </row>
    <row r="750" spans="12:16" ht="15.75" customHeight="1">
      <c r="L750" s="65"/>
      <c r="M750" s="65"/>
      <c r="N750" s="65"/>
      <c r="O750" s="65"/>
      <c r="P750" s="65"/>
    </row>
    <row r="751" spans="12:16" ht="15.75" customHeight="1">
      <c r="L751" s="65"/>
      <c r="M751" s="65"/>
      <c r="N751" s="65"/>
      <c r="O751" s="65"/>
      <c r="P751" s="65"/>
    </row>
    <row r="752" spans="12:16" ht="15.75" customHeight="1">
      <c r="L752" s="65"/>
      <c r="M752" s="65"/>
      <c r="N752" s="65"/>
      <c r="O752" s="65"/>
      <c r="P752" s="65"/>
    </row>
    <row r="753" spans="12:16" ht="15.75" customHeight="1">
      <c r="L753" s="65"/>
      <c r="M753" s="65"/>
      <c r="N753" s="65"/>
      <c r="O753" s="65"/>
      <c r="P753" s="65"/>
    </row>
    <row r="754" spans="12:16" ht="15.75" customHeight="1">
      <c r="L754" s="65"/>
      <c r="M754" s="65"/>
      <c r="N754" s="65"/>
      <c r="O754" s="65"/>
      <c r="P754" s="65"/>
    </row>
    <row r="755" spans="12:16" ht="15.75" customHeight="1">
      <c r="L755" s="65"/>
      <c r="M755" s="65"/>
      <c r="N755" s="65"/>
      <c r="O755" s="65"/>
      <c r="P755" s="65"/>
    </row>
    <row r="756" spans="12:16" ht="15.75" customHeight="1">
      <c r="L756" s="65"/>
      <c r="M756" s="65"/>
      <c r="N756" s="65"/>
      <c r="O756" s="65"/>
      <c r="P756" s="65"/>
    </row>
    <row r="757" spans="12:16" ht="15.75" customHeight="1">
      <c r="L757" s="65"/>
      <c r="M757" s="65"/>
      <c r="N757" s="65"/>
      <c r="O757" s="65"/>
      <c r="P757" s="65"/>
    </row>
    <row r="758" spans="12:16" ht="15.75" customHeight="1">
      <c r="L758" s="65"/>
      <c r="M758" s="65"/>
      <c r="N758" s="65"/>
      <c r="O758" s="65"/>
      <c r="P758" s="65"/>
    </row>
    <row r="759" spans="12:16" ht="15.75" customHeight="1">
      <c r="L759" s="65"/>
      <c r="M759" s="65"/>
      <c r="N759" s="65"/>
      <c r="O759" s="65"/>
      <c r="P759" s="65"/>
    </row>
    <row r="760" spans="12:16" ht="15.75" customHeight="1">
      <c r="L760" s="65"/>
      <c r="M760" s="65"/>
      <c r="N760" s="65"/>
      <c r="O760" s="65"/>
      <c r="P760" s="65"/>
    </row>
    <row r="761" spans="12:16" ht="15.75" customHeight="1">
      <c r="L761" s="65"/>
      <c r="M761" s="65"/>
      <c r="N761" s="65"/>
      <c r="O761" s="65"/>
      <c r="P761" s="65"/>
    </row>
    <row r="762" spans="12:16" ht="15.75" customHeight="1">
      <c r="L762" s="65"/>
      <c r="M762" s="65"/>
      <c r="N762" s="65"/>
      <c r="O762" s="65"/>
      <c r="P762" s="65"/>
    </row>
    <row r="763" spans="12:16" ht="15.75" customHeight="1">
      <c r="L763" s="65"/>
      <c r="M763" s="65"/>
      <c r="N763" s="65"/>
      <c r="O763" s="65"/>
      <c r="P763" s="65"/>
    </row>
    <row r="764" spans="12:16" ht="15.75" customHeight="1">
      <c r="L764" s="65"/>
      <c r="M764" s="65"/>
      <c r="N764" s="65"/>
      <c r="O764" s="65"/>
      <c r="P764" s="65"/>
    </row>
    <row r="765" spans="12:16" ht="15.75" customHeight="1">
      <c r="L765" s="65"/>
      <c r="M765" s="65"/>
      <c r="N765" s="65"/>
      <c r="O765" s="65"/>
      <c r="P765" s="65"/>
    </row>
    <row r="766" spans="12:16" ht="15.75" customHeight="1">
      <c r="L766" s="65"/>
      <c r="M766" s="65"/>
      <c r="N766" s="65"/>
      <c r="O766" s="65"/>
      <c r="P766" s="65"/>
    </row>
    <row r="767" spans="12:16" ht="15.75" customHeight="1">
      <c r="L767" s="65"/>
      <c r="M767" s="65"/>
      <c r="N767" s="65"/>
      <c r="O767" s="65"/>
      <c r="P767" s="65"/>
    </row>
    <row r="768" spans="12:16" ht="15.75" customHeight="1">
      <c r="L768" s="65"/>
      <c r="M768" s="65"/>
      <c r="N768" s="65"/>
      <c r="O768" s="65"/>
      <c r="P768" s="65"/>
    </row>
    <row r="769" spans="12:16" ht="15.75" customHeight="1">
      <c r="L769" s="65"/>
      <c r="M769" s="65"/>
      <c r="N769" s="65"/>
      <c r="O769" s="65"/>
      <c r="P769" s="65"/>
    </row>
    <row r="770" spans="12:16" ht="15.75" customHeight="1">
      <c r="L770" s="65"/>
      <c r="M770" s="65"/>
      <c r="N770" s="65"/>
      <c r="O770" s="65"/>
      <c r="P770" s="65"/>
    </row>
    <row r="771" spans="12:16" ht="15.75" customHeight="1">
      <c r="L771" s="65"/>
      <c r="M771" s="65"/>
      <c r="N771" s="65"/>
      <c r="O771" s="65"/>
      <c r="P771" s="65"/>
    </row>
    <row r="772" spans="12:16" ht="15.75" customHeight="1">
      <c r="L772" s="65"/>
      <c r="M772" s="65"/>
      <c r="N772" s="65"/>
      <c r="O772" s="65"/>
      <c r="P772" s="65"/>
    </row>
    <row r="773" spans="12:16" ht="15.75" customHeight="1">
      <c r="L773" s="65"/>
      <c r="M773" s="65"/>
      <c r="N773" s="65"/>
      <c r="O773" s="65"/>
      <c r="P773" s="65"/>
    </row>
    <row r="774" spans="12:16" ht="15.75" customHeight="1">
      <c r="L774" s="65"/>
      <c r="M774" s="65"/>
      <c r="N774" s="65"/>
      <c r="O774" s="65"/>
      <c r="P774" s="65"/>
    </row>
    <row r="775" spans="12:16" ht="15.75" customHeight="1">
      <c r="L775" s="65"/>
      <c r="M775" s="65"/>
      <c r="N775" s="65"/>
      <c r="O775" s="65"/>
      <c r="P775" s="65"/>
    </row>
    <row r="776" spans="12:16" ht="15.75" customHeight="1">
      <c r="L776" s="65"/>
      <c r="M776" s="65"/>
      <c r="N776" s="65"/>
      <c r="O776" s="65"/>
      <c r="P776" s="65"/>
    </row>
    <row r="777" spans="12:16" ht="15.75" customHeight="1">
      <c r="L777" s="65"/>
      <c r="M777" s="65"/>
      <c r="N777" s="65"/>
      <c r="O777" s="65"/>
      <c r="P777" s="65"/>
    </row>
    <row r="778" spans="12:16" ht="15.75" customHeight="1">
      <c r="L778" s="65"/>
      <c r="M778" s="65"/>
      <c r="N778" s="65"/>
      <c r="O778" s="65"/>
      <c r="P778" s="65"/>
    </row>
    <row r="779" spans="12:16" ht="15.75" customHeight="1">
      <c r="L779" s="65"/>
      <c r="M779" s="65"/>
      <c r="N779" s="65"/>
      <c r="O779" s="65"/>
      <c r="P779" s="65"/>
    </row>
    <row r="780" spans="12:16" ht="15.75" customHeight="1">
      <c r="L780" s="65"/>
      <c r="M780" s="65"/>
      <c r="N780" s="65"/>
      <c r="O780" s="65"/>
      <c r="P780" s="65"/>
    </row>
    <row r="781" spans="12:16" ht="15.75" customHeight="1">
      <c r="L781" s="65"/>
      <c r="M781" s="65"/>
      <c r="N781" s="65"/>
      <c r="O781" s="65"/>
      <c r="P781" s="65"/>
    </row>
    <row r="782" spans="12:16" ht="15.75" customHeight="1">
      <c r="L782" s="65"/>
      <c r="M782" s="65"/>
      <c r="N782" s="65"/>
      <c r="O782" s="65"/>
      <c r="P782" s="65"/>
    </row>
    <row r="783" spans="12:16" ht="15.75" customHeight="1">
      <c r="L783" s="65"/>
      <c r="M783" s="65"/>
      <c r="N783" s="65"/>
      <c r="O783" s="65"/>
      <c r="P783" s="65"/>
    </row>
    <row r="784" spans="12:16" ht="15.75" customHeight="1">
      <c r="L784" s="65"/>
      <c r="M784" s="65"/>
      <c r="N784" s="65"/>
      <c r="O784" s="65"/>
      <c r="P784" s="65"/>
    </row>
    <row r="785" spans="12:16" ht="15.75" customHeight="1">
      <c r="L785" s="65"/>
      <c r="M785" s="65"/>
      <c r="N785" s="65"/>
      <c r="O785" s="65"/>
      <c r="P785" s="65"/>
    </row>
    <row r="786" spans="12:16" ht="15.75" customHeight="1">
      <c r="L786" s="65"/>
      <c r="M786" s="65"/>
      <c r="N786" s="65"/>
      <c r="O786" s="65"/>
      <c r="P786" s="65"/>
    </row>
    <row r="787" spans="12:16" ht="15.75" customHeight="1">
      <c r="L787" s="65"/>
      <c r="M787" s="65"/>
      <c r="N787" s="65"/>
      <c r="O787" s="65"/>
      <c r="P787" s="65"/>
    </row>
    <row r="788" spans="12:16" ht="15.75" customHeight="1">
      <c r="L788" s="65"/>
      <c r="M788" s="65"/>
      <c r="N788" s="65"/>
      <c r="O788" s="65"/>
      <c r="P788" s="65"/>
    </row>
    <row r="789" spans="12:16" ht="15.75" customHeight="1">
      <c r="L789" s="65"/>
      <c r="M789" s="65"/>
      <c r="N789" s="65"/>
      <c r="O789" s="65"/>
      <c r="P789" s="65"/>
    </row>
    <row r="790" spans="12:16" ht="15.75" customHeight="1">
      <c r="L790" s="65"/>
      <c r="M790" s="65"/>
      <c r="N790" s="65"/>
      <c r="O790" s="65"/>
      <c r="P790" s="65"/>
    </row>
    <row r="791" spans="12:16" ht="15.75" customHeight="1">
      <c r="L791" s="65"/>
      <c r="M791" s="65"/>
      <c r="N791" s="65"/>
      <c r="O791" s="65"/>
      <c r="P791" s="65"/>
    </row>
    <row r="792" spans="12:16" ht="15.75" customHeight="1">
      <c r="L792" s="65"/>
      <c r="M792" s="65"/>
      <c r="N792" s="65"/>
      <c r="O792" s="65"/>
      <c r="P792" s="65"/>
    </row>
    <row r="793" spans="12:16" ht="15.75" customHeight="1">
      <c r="L793" s="65"/>
      <c r="M793" s="65"/>
      <c r="N793" s="65"/>
      <c r="O793" s="65"/>
      <c r="P793" s="65"/>
    </row>
    <row r="794" spans="12:16" ht="15.75" customHeight="1">
      <c r="L794" s="65"/>
      <c r="M794" s="65"/>
      <c r="N794" s="65"/>
      <c r="O794" s="65"/>
      <c r="P794" s="65"/>
    </row>
    <row r="795" spans="12:16" ht="15.75" customHeight="1">
      <c r="L795" s="65"/>
      <c r="M795" s="65"/>
      <c r="N795" s="65"/>
      <c r="O795" s="65"/>
      <c r="P795" s="65"/>
    </row>
    <row r="796" spans="12:16" ht="15.75" customHeight="1">
      <c r="L796" s="65"/>
      <c r="M796" s="65"/>
      <c r="N796" s="65"/>
      <c r="O796" s="65"/>
      <c r="P796" s="65"/>
    </row>
    <row r="797" spans="12:16" ht="15.75" customHeight="1">
      <c r="L797" s="65"/>
      <c r="M797" s="65"/>
      <c r="N797" s="65"/>
      <c r="O797" s="65"/>
      <c r="P797" s="65"/>
    </row>
    <row r="798" spans="12:16" ht="15.75" customHeight="1">
      <c r="L798" s="65"/>
      <c r="M798" s="65"/>
      <c r="N798" s="65"/>
      <c r="O798" s="65"/>
      <c r="P798" s="65"/>
    </row>
    <row r="799" spans="12:16" ht="15.75" customHeight="1">
      <c r="L799" s="65"/>
      <c r="M799" s="65"/>
      <c r="N799" s="65"/>
      <c r="O799" s="65"/>
      <c r="P799" s="65"/>
    </row>
    <row r="800" spans="12:16" ht="15.75" customHeight="1">
      <c r="L800" s="65"/>
      <c r="M800" s="65"/>
      <c r="N800" s="65"/>
      <c r="O800" s="65"/>
      <c r="P800" s="65"/>
    </row>
    <row r="801" spans="12:16" ht="15.75" customHeight="1">
      <c r="L801" s="65"/>
      <c r="M801" s="65"/>
      <c r="N801" s="65"/>
      <c r="O801" s="65"/>
      <c r="P801" s="65"/>
    </row>
    <row r="802" spans="12:16" ht="15.75" customHeight="1">
      <c r="L802" s="65"/>
      <c r="M802" s="65"/>
      <c r="N802" s="65"/>
      <c r="O802" s="65"/>
      <c r="P802" s="65"/>
    </row>
    <row r="803" spans="12:16" ht="15.75" customHeight="1">
      <c r="L803" s="65"/>
      <c r="M803" s="65"/>
      <c r="N803" s="65"/>
      <c r="O803" s="65"/>
      <c r="P803" s="65"/>
    </row>
    <row r="804" spans="12:16" ht="15.75" customHeight="1">
      <c r="L804" s="65"/>
      <c r="M804" s="65"/>
      <c r="N804" s="65"/>
      <c r="O804" s="65"/>
      <c r="P804" s="65"/>
    </row>
    <row r="805" spans="12:16" ht="15.75" customHeight="1">
      <c r="L805" s="65"/>
      <c r="M805" s="65"/>
      <c r="N805" s="65"/>
      <c r="O805" s="65"/>
      <c r="P805" s="65"/>
    </row>
    <row r="806" spans="12:16" ht="15.75" customHeight="1">
      <c r="L806" s="65"/>
      <c r="M806" s="65"/>
      <c r="N806" s="65"/>
      <c r="O806" s="65"/>
      <c r="P806" s="65"/>
    </row>
    <row r="807" spans="12:16" ht="15.75" customHeight="1">
      <c r="L807" s="65"/>
      <c r="M807" s="65"/>
      <c r="N807" s="65"/>
      <c r="O807" s="65"/>
      <c r="P807" s="65"/>
    </row>
    <row r="808" spans="12:16" ht="15.75" customHeight="1">
      <c r="L808" s="65"/>
      <c r="M808" s="65"/>
      <c r="N808" s="65"/>
      <c r="O808" s="65"/>
      <c r="P808" s="65"/>
    </row>
    <row r="809" spans="12:16" ht="15.75" customHeight="1">
      <c r="L809" s="65"/>
      <c r="M809" s="65"/>
      <c r="N809" s="65"/>
      <c r="O809" s="65"/>
      <c r="P809" s="65"/>
    </row>
    <row r="810" spans="12:16" ht="15.75" customHeight="1">
      <c r="L810" s="65"/>
      <c r="M810" s="65"/>
      <c r="N810" s="65"/>
      <c r="O810" s="65"/>
      <c r="P810" s="65"/>
    </row>
    <row r="811" spans="12:16" ht="15.75" customHeight="1">
      <c r="L811" s="65"/>
      <c r="M811" s="65"/>
      <c r="N811" s="65"/>
      <c r="O811" s="65"/>
      <c r="P811" s="65"/>
    </row>
    <row r="812" spans="12:16" ht="15.75" customHeight="1">
      <c r="L812" s="65"/>
      <c r="M812" s="65"/>
      <c r="N812" s="65"/>
      <c r="O812" s="65"/>
      <c r="P812" s="65"/>
    </row>
    <row r="813" spans="12:16" ht="15.75" customHeight="1">
      <c r="L813" s="65"/>
      <c r="M813" s="65"/>
      <c r="N813" s="65"/>
      <c r="O813" s="65"/>
      <c r="P813" s="65"/>
    </row>
    <row r="814" spans="12:16" ht="15.75" customHeight="1">
      <c r="L814" s="65"/>
      <c r="M814" s="65"/>
      <c r="N814" s="65"/>
      <c r="O814" s="65"/>
      <c r="P814" s="65"/>
    </row>
    <row r="815" spans="12:16" ht="15.75" customHeight="1">
      <c r="L815" s="65"/>
      <c r="M815" s="65"/>
      <c r="N815" s="65"/>
      <c r="O815" s="65"/>
      <c r="P815" s="65"/>
    </row>
    <row r="816" spans="12:16" ht="15.75" customHeight="1">
      <c r="L816" s="65"/>
      <c r="M816" s="65"/>
      <c r="N816" s="65"/>
      <c r="O816" s="65"/>
      <c r="P816" s="65"/>
    </row>
    <row r="817" spans="12:16" ht="15.75" customHeight="1">
      <c r="L817" s="65"/>
      <c r="M817" s="65"/>
      <c r="N817" s="65"/>
      <c r="O817" s="65"/>
      <c r="P817" s="65"/>
    </row>
    <row r="818" spans="12:16" ht="15.75" customHeight="1">
      <c r="L818" s="65"/>
      <c r="M818" s="65"/>
      <c r="N818" s="65"/>
      <c r="O818" s="65"/>
      <c r="P818" s="65"/>
    </row>
    <row r="819" spans="12:16" ht="15.75" customHeight="1">
      <c r="L819" s="65"/>
      <c r="M819" s="65"/>
      <c r="N819" s="65"/>
      <c r="O819" s="65"/>
      <c r="P819" s="65"/>
    </row>
    <row r="820" spans="12:16" ht="15.75" customHeight="1">
      <c r="L820" s="65"/>
      <c r="M820" s="65"/>
      <c r="N820" s="65"/>
      <c r="O820" s="65"/>
      <c r="P820" s="65"/>
    </row>
    <row r="821" spans="12:16" ht="15.75" customHeight="1">
      <c r="L821" s="65"/>
      <c r="M821" s="65"/>
      <c r="N821" s="65"/>
      <c r="O821" s="65"/>
      <c r="P821" s="65"/>
    </row>
    <row r="822" spans="12:16" ht="15.75" customHeight="1">
      <c r="L822" s="65"/>
      <c r="M822" s="65"/>
      <c r="N822" s="65"/>
      <c r="O822" s="65"/>
      <c r="P822" s="65"/>
    </row>
    <row r="823" spans="12:16" ht="15.75" customHeight="1">
      <c r="L823" s="65"/>
      <c r="M823" s="65"/>
      <c r="N823" s="65"/>
      <c r="O823" s="65"/>
      <c r="P823" s="65"/>
    </row>
    <row r="824" spans="12:16" ht="15.75" customHeight="1">
      <c r="L824" s="65"/>
      <c r="M824" s="65"/>
      <c r="N824" s="65"/>
      <c r="O824" s="65"/>
      <c r="P824" s="65"/>
    </row>
    <row r="825" spans="12:16" ht="15.75" customHeight="1">
      <c r="L825" s="65"/>
      <c r="M825" s="65"/>
      <c r="N825" s="65"/>
      <c r="O825" s="65"/>
      <c r="P825" s="65"/>
    </row>
    <row r="826" spans="12:16" ht="15.75" customHeight="1">
      <c r="L826" s="65"/>
      <c r="M826" s="65"/>
      <c r="N826" s="65"/>
      <c r="O826" s="65"/>
      <c r="P826" s="65"/>
    </row>
    <row r="827" spans="12:16" ht="15.75" customHeight="1">
      <c r="L827" s="65"/>
      <c r="M827" s="65"/>
      <c r="N827" s="65"/>
      <c r="O827" s="65"/>
      <c r="P827" s="65"/>
    </row>
    <row r="828" spans="12:16" ht="15.75" customHeight="1">
      <c r="L828" s="65"/>
      <c r="M828" s="65"/>
      <c r="N828" s="65"/>
      <c r="O828" s="65"/>
      <c r="P828" s="65"/>
    </row>
    <row r="829" spans="12:16" ht="15.75" customHeight="1">
      <c r="L829" s="65"/>
      <c r="M829" s="65"/>
      <c r="N829" s="65"/>
      <c r="O829" s="65"/>
      <c r="P829" s="65"/>
    </row>
    <row r="830" spans="12:16" ht="15.75" customHeight="1">
      <c r="L830" s="65"/>
      <c r="M830" s="65"/>
      <c r="N830" s="65"/>
      <c r="O830" s="65"/>
      <c r="P830" s="65"/>
    </row>
    <row r="831" spans="12:16" ht="15.75" customHeight="1">
      <c r="L831" s="65"/>
      <c r="M831" s="65"/>
      <c r="N831" s="65"/>
      <c r="O831" s="65"/>
      <c r="P831" s="65"/>
    </row>
    <row r="832" spans="12:16" ht="15.75" customHeight="1">
      <c r="L832" s="65"/>
      <c r="M832" s="65"/>
      <c r="N832" s="65"/>
      <c r="O832" s="65"/>
      <c r="P832" s="65"/>
    </row>
    <row r="833" spans="12:16" ht="15.75" customHeight="1">
      <c r="L833" s="65"/>
      <c r="M833" s="65"/>
      <c r="N833" s="65"/>
      <c r="O833" s="65"/>
      <c r="P833" s="65"/>
    </row>
    <row r="834" spans="12:16" ht="15.75" customHeight="1">
      <c r="L834" s="65"/>
      <c r="M834" s="65"/>
      <c r="N834" s="65"/>
      <c r="O834" s="65"/>
      <c r="P834" s="65"/>
    </row>
    <row r="835" spans="12:16" ht="15.75" customHeight="1">
      <c r="L835" s="65"/>
      <c r="M835" s="65"/>
      <c r="N835" s="65"/>
      <c r="O835" s="65"/>
      <c r="P835" s="65"/>
    </row>
    <row r="836" spans="12:16" ht="15.75" customHeight="1">
      <c r="L836" s="65"/>
      <c r="M836" s="65"/>
      <c r="N836" s="65"/>
      <c r="O836" s="65"/>
      <c r="P836" s="65"/>
    </row>
    <row r="837" spans="12:16" ht="15.75" customHeight="1">
      <c r="L837" s="65"/>
      <c r="M837" s="65"/>
      <c r="N837" s="65"/>
      <c r="O837" s="65"/>
      <c r="P837" s="65"/>
    </row>
    <row r="838" spans="12:16" ht="15.75" customHeight="1">
      <c r="L838" s="65"/>
      <c r="M838" s="65"/>
      <c r="N838" s="65"/>
      <c r="O838" s="65"/>
      <c r="P838" s="65"/>
    </row>
    <row r="839" spans="12:16" ht="15.75" customHeight="1">
      <c r="L839" s="65"/>
      <c r="M839" s="65"/>
      <c r="N839" s="65"/>
      <c r="O839" s="65"/>
      <c r="P839" s="65"/>
    </row>
    <row r="840" spans="12:16" ht="15.75" customHeight="1">
      <c r="L840" s="65"/>
      <c r="M840" s="65"/>
      <c r="N840" s="65"/>
      <c r="O840" s="65"/>
      <c r="P840" s="65"/>
    </row>
    <row r="841" spans="12:16" ht="15.75" customHeight="1">
      <c r="L841" s="65"/>
      <c r="M841" s="65"/>
      <c r="N841" s="65"/>
      <c r="O841" s="65"/>
      <c r="P841" s="65"/>
    </row>
    <row r="842" spans="12:16" ht="15.75" customHeight="1">
      <c r="L842" s="65"/>
      <c r="M842" s="65"/>
      <c r="N842" s="65"/>
      <c r="O842" s="65"/>
      <c r="P842" s="65"/>
    </row>
    <row r="843" spans="12:16" ht="15.75" customHeight="1">
      <c r="L843" s="65"/>
      <c r="M843" s="65"/>
      <c r="N843" s="65"/>
      <c r="O843" s="65"/>
      <c r="P843" s="65"/>
    </row>
    <row r="844" spans="12:16" ht="15.75" customHeight="1">
      <c r="L844" s="65"/>
      <c r="M844" s="65"/>
      <c r="N844" s="65"/>
      <c r="O844" s="65"/>
      <c r="P844" s="65"/>
    </row>
    <row r="845" spans="12:16" ht="15.75" customHeight="1">
      <c r="L845" s="65"/>
      <c r="M845" s="65"/>
      <c r="N845" s="65"/>
      <c r="O845" s="65"/>
      <c r="P845" s="65"/>
    </row>
    <row r="846" spans="12:16" ht="15.75" customHeight="1">
      <c r="L846" s="65"/>
      <c r="M846" s="65"/>
      <c r="N846" s="65"/>
      <c r="O846" s="65"/>
      <c r="P846" s="65"/>
    </row>
    <row r="847" spans="12:16" ht="15.75" customHeight="1">
      <c r="L847" s="65"/>
      <c r="M847" s="65"/>
      <c r="N847" s="65"/>
      <c r="O847" s="65"/>
      <c r="P847" s="65"/>
    </row>
    <row r="848" spans="12:16" ht="15.75" customHeight="1">
      <c r="L848" s="65"/>
      <c r="M848" s="65"/>
      <c r="N848" s="65"/>
      <c r="O848" s="65"/>
      <c r="P848" s="65"/>
    </row>
    <row r="849" spans="12:16" ht="15.75" customHeight="1">
      <c r="L849" s="65"/>
      <c r="M849" s="65"/>
      <c r="N849" s="65"/>
      <c r="O849" s="65"/>
      <c r="P849" s="65"/>
    </row>
    <row r="850" spans="12:16" ht="15.75" customHeight="1">
      <c r="L850" s="65"/>
      <c r="M850" s="65"/>
      <c r="N850" s="65"/>
      <c r="O850" s="65"/>
      <c r="P850" s="65"/>
    </row>
    <row r="851" spans="12:16" ht="15.75" customHeight="1">
      <c r="L851" s="65"/>
      <c r="M851" s="65"/>
      <c r="N851" s="65"/>
      <c r="O851" s="65"/>
      <c r="P851" s="65"/>
    </row>
    <row r="852" spans="12:16" ht="15.75" customHeight="1">
      <c r="L852" s="65"/>
      <c r="M852" s="65"/>
      <c r="N852" s="65"/>
      <c r="O852" s="65"/>
      <c r="P852" s="65"/>
    </row>
    <row r="853" spans="12:16" ht="15.75" customHeight="1">
      <c r="L853" s="65"/>
      <c r="M853" s="65"/>
      <c r="N853" s="65"/>
      <c r="O853" s="65"/>
      <c r="P853" s="65"/>
    </row>
    <row r="854" spans="12:16" ht="15.75" customHeight="1">
      <c r="L854" s="65"/>
      <c r="M854" s="65"/>
      <c r="N854" s="65"/>
      <c r="O854" s="65"/>
      <c r="P854" s="65"/>
    </row>
    <row r="855" spans="12:16" ht="15.75" customHeight="1">
      <c r="L855" s="65"/>
      <c r="M855" s="65"/>
      <c r="N855" s="65"/>
      <c r="O855" s="65"/>
      <c r="P855" s="65"/>
    </row>
    <row r="856" spans="12:16" ht="15.75" customHeight="1">
      <c r="L856" s="65"/>
      <c r="M856" s="65"/>
      <c r="N856" s="65"/>
      <c r="O856" s="65"/>
      <c r="P856" s="65"/>
    </row>
    <row r="857" spans="12:16" ht="15.75" customHeight="1">
      <c r="L857" s="65"/>
      <c r="M857" s="65"/>
      <c r="N857" s="65"/>
      <c r="O857" s="65"/>
      <c r="P857" s="65"/>
    </row>
    <row r="858" spans="12:16" ht="15.75" customHeight="1">
      <c r="L858" s="65"/>
      <c r="M858" s="65"/>
      <c r="N858" s="65"/>
      <c r="O858" s="65"/>
      <c r="P858" s="65"/>
    </row>
    <row r="859" spans="12:16" ht="15.75" customHeight="1">
      <c r="L859" s="65"/>
      <c r="M859" s="65"/>
      <c r="N859" s="65"/>
      <c r="O859" s="65"/>
      <c r="P859" s="65"/>
    </row>
    <row r="860" spans="12:16" ht="15.75" customHeight="1">
      <c r="L860" s="65"/>
      <c r="M860" s="65"/>
      <c r="N860" s="65"/>
      <c r="O860" s="65"/>
      <c r="P860" s="65"/>
    </row>
    <row r="861" spans="12:16" ht="15.75" customHeight="1">
      <c r="L861" s="65"/>
      <c r="M861" s="65"/>
      <c r="N861" s="65"/>
      <c r="O861" s="65"/>
      <c r="P861" s="65"/>
    </row>
    <row r="862" spans="12:16" ht="15.75" customHeight="1">
      <c r="L862" s="65"/>
      <c r="M862" s="65"/>
      <c r="N862" s="65"/>
      <c r="O862" s="65"/>
      <c r="P862" s="65"/>
    </row>
    <row r="863" spans="12:16" ht="15.75" customHeight="1">
      <c r="L863" s="65"/>
      <c r="M863" s="65"/>
      <c r="N863" s="65"/>
      <c r="O863" s="65"/>
      <c r="P863" s="65"/>
    </row>
    <row r="864" spans="12:16" ht="15.75" customHeight="1">
      <c r="L864" s="65"/>
      <c r="M864" s="65"/>
      <c r="N864" s="65"/>
      <c r="O864" s="65"/>
      <c r="P864" s="65"/>
    </row>
    <row r="865" spans="12:16" ht="15.75" customHeight="1">
      <c r="L865" s="65"/>
      <c r="M865" s="65"/>
      <c r="N865" s="65"/>
      <c r="O865" s="65"/>
      <c r="P865" s="65"/>
    </row>
    <row r="866" spans="12:16" ht="15.75" customHeight="1">
      <c r="L866" s="65"/>
      <c r="M866" s="65"/>
      <c r="N866" s="65"/>
      <c r="O866" s="65"/>
      <c r="P866" s="65"/>
    </row>
    <row r="867" spans="12:16" ht="15.75" customHeight="1">
      <c r="L867" s="65"/>
      <c r="M867" s="65"/>
      <c r="N867" s="65"/>
      <c r="O867" s="65"/>
      <c r="P867" s="65"/>
    </row>
    <row r="868" spans="12:16" ht="15.75" customHeight="1">
      <c r="L868" s="65"/>
      <c r="M868" s="65"/>
      <c r="N868" s="65"/>
      <c r="O868" s="65"/>
      <c r="P868" s="65"/>
    </row>
    <row r="869" spans="12:16" ht="15.75" customHeight="1">
      <c r="L869" s="65"/>
      <c r="M869" s="65"/>
      <c r="N869" s="65"/>
      <c r="O869" s="65"/>
      <c r="P869" s="65"/>
    </row>
    <row r="870" spans="12:16" ht="15.75" customHeight="1">
      <c r="L870" s="65"/>
      <c r="M870" s="65"/>
      <c r="N870" s="65"/>
      <c r="O870" s="65"/>
      <c r="P870" s="65"/>
    </row>
    <row r="871" spans="12:16" ht="15.75" customHeight="1">
      <c r="L871" s="65"/>
      <c r="M871" s="65"/>
      <c r="N871" s="65"/>
      <c r="O871" s="65"/>
      <c r="P871" s="65"/>
    </row>
    <row r="872" spans="12:16" ht="15.75" customHeight="1">
      <c r="L872" s="65"/>
      <c r="M872" s="65"/>
      <c r="N872" s="65"/>
      <c r="O872" s="65"/>
      <c r="P872" s="65"/>
    </row>
    <row r="873" spans="12:16" ht="15.75" customHeight="1">
      <c r="L873" s="65"/>
      <c r="M873" s="65"/>
      <c r="N873" s="65"/>
      <c r="O873" s="65"/>
      <c r="P873" s="65"/>
    </row>
    <row r="874" spans="12:16" ht="15.75" customHeight="1">
      <c r="L874" s="65"/>
      <c r="M874" s="65"/>
      <c r="N874" s="65"/>
      <c r="O874" s="65"/>
      <c r="P874" s="65"/>
    </row>
    <row r="875" spans="12:16" ht="15.75" customHeight="1">
      <c r="L875" s="65"/>
      <c r="M875" s="65"/>
      <c r="N875" s="65"/>
      <c r="O875" s="65"/>
      <c r="P875" s="65"/>
    </row>
    <row r="876" spans="12:16" ht="15.75" customHeight="1">
      <c r="L876" s="65"/>
      <c r="M876" s="65"/>
      <c r="N876" s="65"/>
      <c r="O876" s="65"/>
      <c r="P876" s="65"/>
    </row>
    <row r="877" spans="12:16" ht="15.75" customHeight="1">
      <c r="L877" s="65"/>
      <c r="M877" s="65"/>
      <c r="N877" s="65"/>
      <c r="O877" s="65"/>
      <c r="P877" s="65"/>
    </row>
    <row r="878" spans="12:16" ht="15.75" customHeight="1">
      <c r="L878" s="65"/>
      <c r="M878" s="65"/>
      <c r="N878" s="65"/>
      <c r="O878" s="65"/>
      <c r="P878" s="65"/>
    </row>
    <row r="879" spans="12:16" ht="15.75" customHeight="1">
      <c r="L879" s="65"/>
      <c r="M879" s="65"/>
      <c r="N879" s="65"/>
      <c r="O879" s="65"/>
      <c r="P879" s="65"/>
    </row>
    <row r="880" spans="12:16" ht="15.75" customHeight="1">
      <c r="L880" s="65"/>
      <c r="M880" s="65"/>
      <c r="N880" s="65"/>
      <c r="O880" s="65"/>
      <c r="P880" s="65"/>
    </row>
    <row r="881" spans="12:16" ht="15.75" customHeight="1">
      <c r="L881" s="65"/>
      <c r="M881" s="65"/>
      <c r="N881" s="65"/>
      <c r="O881" s="65"/>
      <c r="P881" s="65"/>
    </row>
    <row r="882" spans="12:16" ht="15.75" customHeight="1">
      <c r="L882" s="65"/>
      <c r="M882" s="65"/>
      <c r="N882" s="65"/>
      <c r="O882" s="65"/>
      <c r="P882" s="65"/>
    </row>
    <row r="883" spans="12:16" ht="15.75" customHeight="1">
      <c r="L883" s="65"/>
      <c r="M883" s="65"/>
      <c r="N883" s="65"/>
      <c r="O883" s="65"/>
      <c r="P883" s="65"/>
    </row>
    <row r="884" spans="12:16" ht="15.75" customHeight="1">
      <c r="L884" s="65"/>
      <c r="M884" s="65"/>
      <c r="N884" s="65"/>
      <c r="O884" s="65"/>
      <c r="P884" s="65"/>
    </row>
    <row r="885" spans="12:16" ht="15.75" customHeight="1">
      <c r="L885" s="65"/>
      <c r="M885" s="65"/>
      <c r="N885" s="65"/>
      <c r="O885" s="65"/>
      <c r="P885" s="65"/>
    </row>
    <row r="886" spans="12:16" ht="15.75" customHeight="1">
      <c r="L886" s="65"/>
      <c r="M886" s="65"/>
      <c r="N886" s="65"/>
      <c r="O886" s="65"/>
      <c r="P886" s="65"/>
    </row>
    <row r="887" spans="12:16" ht="15.75" customHeight="1">
      <c r="L887" s="65"/>
      <c r="M887" s="65"/>
      <c r="N887" s="65"/>
      <c r="O887" s="65"/>
      <c r="P887" s="65"/>
    </row>
    <row r="888" spans="12:16" ht="15.75" customHeight="1">
      <c r="L888" s="65"/>
      <c r="M888" s="65"/>
      <c r="N888" s="65"/>
      <c r="O888" s="65"/>
      <c r="P888" s="65"/>
    </row>
    <row r="889" spans="12:16" ht="15.75" customHeight="1">
      <c r="L889" s="65"/>
      <c r="M889" s="65"/>
      <c r="N889" s="65"/>
      <c r="O889" s="65"/>
      <c r="P889" s="65"/>
    </row>
    <row r="890" spans="12:16" ht="15.75" customHeight="1">
      <c r="L890" s="65"/>
      <c r="M890" s="65"/>
      <c r="N890" s="65"/>
      <c r="O890" s="65"/>
      <c r="P890" s="65"/>
    </row>
    <row r="891" spans="12:16" ht="15.75" customHeight="1">
      <c r="L891" s="65"/>
      <c r="M891" s="65"/>
      <c r="N891" s="65"/>
      <c r="O891" s="65"/>
      <c r="P891" s="65"/>
    </row>
    <row r="892" spans="12:16" ht="15.75" customHeight="1">
      <c r="L892" s="65"/>
      <c r="M892" s="65"/>
      <c r="N892" s="65"/>
      <c r="O892" s="65"/>
      <c r="P892" s="65"/>
    </row>
    <row r="893" spans="12:16" ht="15.75" customHeight="1">
      <c r="L893" s="65"/>
      <c r="M893" s="65"/>
      <c r="N893" s="65"/>
      <c r="O893" s="65"/>
      <c r="P893" s="65"/>
    </row>
    <row r="894" spans="12:16" ht="15.75" customHeight="1">
      <c r="L894" s="65"/>
      <c r="M894" s="65"/>
      <c r="N894" s="65"/>
      <c r="O894" s="65"/>
      <c r="P894" s="65"/>
    </row>
    <row r="895" spans="12:16" ht="15.75" customHeight="1">
      <c r="L895" s="65"/>
      <c r="M895" s="65"/>
      <c r="N895" s="65"/>
      <c r="O895" s="65"/>
      <c r="P895" s="65"/>
    </row>
    <row r="896" spans="12:16" ht="15.75" customHeight="1">
      <c r="L896" s="65"/>
      <c r="M896" s="65"/>
      <c r="N896" s="65"/>
      <c r="O896" s="65"/>
      <c r="P896" s="65"/>
    </row>
    <row r="897" spans="12:16" ht="15.75" customHeight="1">
      <c r="L897" s="65"/>
      <c r="M897" s="65"/>
      <c r="N897" s="65"/>
      <c r="O897" s="65"/>
      <c r="P897" s="65"/>
    </row>
    <row r="898" spans="12:16" ht="15.75" customHeight="1">
      <c r="L898" s="65"/>
      <c r="M898" s="65"/>
      <c r="N898" s="65"/>
      <c r="O898" s="65"/>
      <c r="P898" s="65"/>
    </row>
    <row r="899" spans="12:16" ht="15.75" customHeight="1">
      <c r="L899" s="65"/>
      <c r="M899" s="65"/>
      <c r="N899" s="65"/>
      <c r="O899" s="65"/>
      <c r="P899" s="65"/>
    </row>
    <row r="900" spans="12:16" ht="15.75" customHeight="1">
      <c r="L900" s="65"/>
      <c r="M900" s="65"/>
      <c r="N900" s="65"/>
      <c r="O900" s="65"/>
      <c r="P900" s="65"/>
    </row>
    <row r="901" spans="12:16" ht="15.75" customHeight="1">
      <c r="L901" s="65"/>
      <c r="M901" s="65"/>
      <c r="N901" s="65"/>
      <c r="O901" s="65"/>
      <c r="P901" s="65"/>
    </row>
    <row r="902" spans="12:16" ht="15.75" customHeight="1">
      <c r="L902" s="65"/>
      <c r="M902" s="65"/>
      <c r="N902" s="65"/>
      <c r="O902" s="65"/>
      <c r="P902" s="65"/>
    </row>
    <row r="903" spans="12:16" ht="15.75" customHeight="1">
      <c r="L903" s="65"/>
      <c r="M903" s="65"/>
      <c r="N903" s="65"/>
      <c r="O903" s="65"/>
      <c r="P903" s="65"/>
    </row>
    <row r="904" spans="12:16" ht="15.75" customHeight="1">
      <c r="L904" s="65"/>
      <c r="M904" s="65"/>
      <c r="N904" s="65"/>
      <c r="O904" s="65"/>
      <c r="P904" s="65"/>
    </row>
    <row r="905" spans="12:16" ht="15.75" customHeight="1">
      <c r="L905" s="65"/>
      <c r="M905" s="65"/>
      <c r="N905" s="65"/>
      <c r="O905" s="65"/>
      <c r="P905" s="65"/>
    </row>
    <row r="906" spans="12:16" ht="15.75" customHeight="1">
      <c r="L906" s="65"/>
      <c r="M906" s="65"/>
      <c r="N906" s="65"/>
      <c r="O906" s="65"/>
      <c r="P906" s="65"/>
    </row>
    <row r="907" spans="12:16" ht="15.75" customHeight="1">
      <c r="L907" s="65"/>
      <c r="M907" s="65"/>
      <c r="N907" s="65"/>
      <c r="O907" s="65"/>
      <c r="P907" s="65"/>
    </row>
    <row r="908" spans="12:16" ht="15.75" customHeight="1">
      <c r="L908" s="65"/>
      <c r="M908" s="65"/>
      <c r="N908" s="65"/>
      <c r="O908" s="65"/>
      <c r="P908" s="65"/>
    </row>
    <row r="909" spans="12:16" ht="15.75" customHeight="1">
      <c r="L909" s="65"/>
      <c r="M909" s="65"/>
      <c r="N909" s="65"/>
      <c r="O909" s="65"/>
      <c r="P909" s="65"/>
    </row>
    <row r="910" spans="12:16" ht="15.75" customHeight="1">
      <c r="L910" s="65"/>
      <c r="M910" s="65"/>
      <c r="N910" s="65"/>
      <c r="O910" s="65"/>
      <c r="P910" s="65"/>
    </row>
    <row r="911" spans="12:16" ht="15.75" customHeight="1">
      <c r="L911" s="65"/>
      <c r="M911" s="65"/>
      <c r="N911" s="65"/>
      <c r="O911" s="65"/>
      <c r="P911" s="65"/>
    </row>
    <row r="912" spans="12:16" ht="15.75" customHeight="1">
      <c r="L912" s="65"/>
      <c r="M912" s="65"/>
      <c r="N912" s="65"/>
      <c r="O912" s="65"/>
      <c r="P912" s="65"/>
    </row>
    <row r="913" spans="12:16" ht="15.75" customHeight="1">
      <c r="L913" s="65"/>
      <c r="M913" s="65"/>
      <c r="N913" s="65"/>
      <c r="O913" s="65"/>
      <c r="P913" s="65"/>
    </row>
    <row r="914" spans="12:16" ht="15.75" customHeight="1">
      <c r="L914" s="65"/>
      <c r="M914" s="65"/>
      <c r="N914" s="65"/>
      <c r="O914" s="65"/>
      <c r="P914" s="65"/>
    </row>
    <row r="915" spans="12:16" ht="15.75" customHeight="1">
      <c r="L915" s="65"/>
      <c r="M915" s="65"/>
      <c r="N915" s="65"/>
      <c r="O915" s="65"/>
      <c r="P915" s="65"/>
    </row>
    <row r="916" spans="12:16" ht="15.75" customHeight="1">
      <c r="L916" s="65"/>
      <c r="M916" s="65"/>
      <c r="N916" s="65"/>
      <c r="O916" s="65"/>
      <c r="P916" s="65"/>
    </row>
    <row r="917" spans="12:16" ht="15.75" customHeight="1">
      <c r="L917" s="65"/>
      <c r="M917" s="65"/>
      <c r="N917" s="65"/>
      <c r="O917" s="65"/>
      <c r="P917" s="65"/>
    </row>
    <row r="918" spans="12:16" ht="15.75" customHeight="1">
      <c r="L918" s="65"/>
      <c r="M918" s="65"/>
      <c r="N918" s="65"/>
      <c r="O918" s="65"/>
      <c r="P918" s="65"/>
    </row>
    <row r="919" spans="12:16" ht="15.75" customHeight="1">
      <c r="L919" s="65"/>
      <c r="M919" s="65"/>
      <c r="N919" s="65"/>
      <c r="O919" s="65"/>
      <c r="P919" s="65"/>
    </row>
    <row r="920" spans="12:16" ht="15.75" customHeight="1">
      <c r="L920" s="65"/>
      <c r="M920" s="65"/>
      <c r="N920" s="65"/>
      <c r="O920" s="65"/>
      <c r="P920" s="65"/>
    </row>
    <row r="921" spans="12:16" ht="15.75" customHeight="1">
      <c r="L921" s="65"/>
      <c r="M921" s="65"/>
      <c r="N921" s="65"/>
      <c r="O921" s="65"/>
      <c r="P921" s="65"/>
    </row>
    <row r="922" spans="12:16" ht="15.75" customHeight="1">
      <c r="L922" s="65"/>
      <c r="M922" s="65"/>
      <c r="N922" s="65"/>
      <c r="O922" s="65"/>
      <c r="P922" s="65"/>
    </row>
    <row r="923" spans="12:16" ht="15.75" customHeight="1">
      <c r="L923" s="65"/>
      <c r="M923" s="65"/>
      <c r="N923" s="65"/>
      <c r="O923" s="65"/>
      <c r="P923" s="65"/>
    </row>
    <row r="924" spans="12:16" ht="15.75" customHeight="1">
      <c r="L924" s="65"/>
      <c r="M924" s="65"/>
      <c r="N924" s="65"/>
      <c r="O924" s="65"/>
      <c r="P924" s="65"/>
    </row>
    <row r="925" spans="12:16" ht="15.75" customHeight="1">
      <c r="L925" s="65"/>
      <c r="M925" s="65"/>
      <c r="N925" s="65"/>
      <c r="O925" s="65"/>
      <c r="P925" s="65"/>
    </row>
    <row r="926" spans="12:16" ht="15.75" customHeight="1">
      <c r="L926" s="65"/>
      <c r="M926" s="65"/>
      <c r="N926" s="65"/>
      <c r="O926" s="65"/>
      <c r="P926" s="65"/>
    </row>
    <row r="927" spans="12:16" ht="15.75" customHeight="1">
      <c r="L927" s="65"/>
      <c r="M927" s="65"/>
      <c r="N927" s="65"/>
      <c r="O927" s="65"/>
      <c r="P927" s="65"/>
    </row>
    <row r="928" spans="12:16" ht="15.75" customHeight="1">
      <c r="L928" s="65"/>
      <c r="M928" s="65"/>
      <c r="N928" s="65"/>
      <c r="O928" s="65"/>
      <c r="P928" s="65"/>
    </row>
    <row r="929" spans="12:16" ht="15.75" customHeight="1">
      <c r="L929" s="65"/>
      <c r="M929" s="65"/>
      <c r="N929" s="65"/>
      <c r="O929" s="65"/>
      <c r="P929" s="65"/>
    </row>
    <row r="930" spans="12:16" ht="15.75" customHeight="1">
      <c r="L930" s="65"/>
      <c r="M930" s="65"/>
      <c r="N930" s="65"/>
      <c r="O930" s="65"/>
      <c r="P930" s="65"/>
    </row>
    <row r="931" spans="12:16" ht="15.75" customHeight="1">
      <c r="L931" s="65"/>
      <c r="M931" s="65"/>
      <c r="N931" s="65"/>
      <c r="O931" s="65"/>
      <c r="P931" s="65"/>
    </row>
    <row r="932" spans="12:16" ht="15.75" customHeight="1">
      <c r="L932" s="65"/>
      <c r="M932" s="65"/>
      <c r="N932" s="65"/>
      <c r="O932" s="65"/>
      <c r="P932" s="65"/>
    </row>
    <row r="933" spans="12:16" ht="15.75" customHeight="1">
      <c r="L933" s="65"/>
      <c r="M933" s="65"/>
      <c r="N933" s="65"/>
      <c r="O933" s="65"/>
      <c r="P933" s="65"/>
    </row>
    <row r="934" spans="12:16" ht="15.75" customHeight="1">
      <c r="L934" s="65"/>
      <c r="M934" s="65"/>
      <c r="N934" s="65"/>
      <c r="O934" s="65"/>
      <c r="P934" s="65"/>
    </row>
    <row r="935" spans="12:16" ht="15.75" customHeight="1">
      <c r="L935" s="65"/>
      <c r="M935" s="65"/>
      <c r="N935" s="65"/>
      <c r="O935" s="65"/>
      <c r="P935" s="65"/>
    </row>
    <row r="936" spans="12:16" ht="15.75" customHeight="1">
      <c r="L936" s="65"/>
      <c r="M936" s="65"/>
      <c r="N936" s="65"/>
      <c r="O936" s="65"/>
      <c r="P936" s="65"/>
    </row>
    <row r="937" spans="12:16" ht="15.75" customHeight="1">
      <c r="L937" s="65"/>
      <c r="M937" s="65"/>
      <c r="N937" s="65"/>
      <c r="O937" s="65"/>
      <c r="P937" s="65"/>
    </row>
    <row r="938" spans="12:16" ht="15.75" customHeight="1">
      <c r="L938" s="65"/>
      <c r="M938" s="65"/>
      <c r="N938" s="65"/>
      <c r="O938" s="65"/>
      <c r="P938" s="65"/>
    </row>
    <row r="939" spans="12:16" ht="15.75" customHeight="1">
      <c r="L939" s="65"/>
      <c r="M939" s="65"/>
      <c r="N939" s="65"/>
      <c r="O939" s="65"/>
      <c r="P939" s="65"/>
    </row>
    <row r="940" spans="12:16" ht="15.75" customHeight="1">
      <c r="L940" s="65"/>
      <c r="M940" s="65"/>
      <c r="N940" s="65"/>
      <c r="O940" s="65"/>
      <c r="P940" s="65"/>
    </row>
    <row r="941" spans="12:16" ht="15.75" customHeight="1">
      <c r="L941" s="65"/>
      <c r="M941" s="65"/>
      <c r="N941" s="65"/>
      <c r="O941" s="65"/>
      <c r="P941" s="65"/>
    </row>
    <row r="942" spans="12:16" ht="15.75" customHeight="1">
      <c r="L942" s="65"/>
      <c r="M942" s="65"/>
      <c r="N942" s="65"/>
      <c r="O942" s="65"/>
      <c r="P942" s="65"/>
    </row>
    <row r="943" spans="12:16" ht="15.75" customHeight="1">
      <c r="L943" s="65"/>
      <c r="M943" s="65"/>
      <c r="N943" s="65"/>
      <c r="O943" s="65"/>
      <c r="P943" s="65"/>
    </row>
    <row r="944" spans="12:16" ht="15.75" customHeight="1">
      <c r="L944" s="65"/>
      <c r="M944" s="65"/>
      <c r="N944" s="65"/>
      <c r="O944" s="65"/>
      <c r="P944" s="65"/>
    </row>
    <row r="945" spans="12:16" ht="15.75" customHeight="1">
      <c r="L945" s="65"/>
      <c r="M945" s="65"/>
      <c r="N945" s="65"/>
      <c r="O945" s="65"/>
      <c r="P945" s="65"/>
    </row>
    <row r="946" spans="12:16" ht="15.75" customHeight="1">
      <c r="L946" s="65"/>
      <c r="M946" s="65"/>
      <c r="N946" s="65"/>
      <c r="O946" s="65"/>
      <c r="P946" s="65"/>
    </row>
    <row r="947" spans="12:16" ht="15.75" customHeight="1">
      <c r="L947" s="65"/>
      <c r="M947" s="65"/>
      <c r="N947" s="65"/>
      <c r="O947" s="65"/>
      <c r="P947" s="65"/>
    </row>
    <row r="948" spans="12:16" ht="15.75" customHeight="1">
      <c r="L948" s="65"/>
      <c r="M948" s="65"/>
      <c r="N948" s="65"/>
      <c r="O948" s="65"/>
      <c r="P948" s="65"/>
    </row>
    <row r="949" spans="12:16" ht="15.75" customHeight="1">
      <c r="L949" s="65"/>
      <c r="M949" s="65"/>
      <c r="N949" s="65"/>
      <c r="O949" s="65"/>
      <c r="P949" s="65"/>
    </row>
    <row r="950" spans="12:16" ht="15.75" customHeight="1">
      <c r="L950" s="65"/>
      <c r="M950" s="65"/>
      <c r="N950" s="65"/>
      <c r="O950" s="65"/>
      <c r="P950" s="65"/>
    </row>
    <row r="951" spans="12:16" ht="15.75" customHeight="1">
      <c r="L951" s="65"/>
      <c r="M951" s="65"/>
      <c r="N951" s="65"/>
      <c r="O951" s="65"/>
      <c r="P951" s="65"/>
    </row>
    <row r="952" spans="12:16" ht="15.75" customHeight="1">
      <c r="L952" s="65"/>
      <c r="M952" s="65"/>
      <c r="N952" s="65"/>
      <c r="O952" s="65"/>
      <c r="P952" s="65"/>
    </row>
    <row r="953" spans="12:16" ht="15.75" customHeight="1">
      <c r="L953" s="65"/>
      <c r="M953" s="65"/>
      <c r="N953" s="65"/>
      <c r="O953" s="65"/>
      <c r="P953" s="65"/>
    </row>
    <row r="954" spans="12:16" ht="15.75" customHeight="1">
      <c r="L954" s="65"/>
      <c r="M954" s="65"/>
      <c r="N954" s="65"/>
      <c r="O954" s="65"/>
      <c r="P954" s="65"/>
    </row>
    <row r="955" spans="12:16" ht="15.75" customHeight="1">
      <c r="L955" s="65"/>
      <c r="M955" s="65"/>
      <c r="N955" s="65"/>
      <c r="O955" s="65"/>
      <c r="P955" s="65"/>
    </row>
    <row r="956" spans="12:16" ht="15.75" customHeight="1">
      <c r="L956" s="65"/>
      <c r="M956" s="65"/>
      <c r="N956" s="65"/>
      <c r="O956" s="65"/>
      <c r="P956" s="65"/>
    </row>
    <row r="957" spans="12:16" ht="15.75" customHeight="1">
      <c r="L957" s="65"/>
      <c r="M957" s="65"/>
      <c r="N957" s="65"/>
      <c r="O957" s="65"/>
      <c r="P957" s="65"/>
    </row>
    <row r="958" spans="12:16" ht="15.75" customHeight="1">
      <c r="L958" s="65"/>
      <c r="M958" s="65"/>
      <c r="N958" s="65"/>
      <c r="O958" s="65"/>
      <c r="P958" s="65"/>
    </row>
    <row r="959" spans="12:16" ht="15.75" customHeight="1">
      <c r="L959" s="65"/>
      <c r="M959" s="65"/>
      <c r="N959" s="65"/>
      <c r="O959" s="65"/>
      <c r="P959" s="65"/>
    </row>
    <row r="960" spans="12:16" ht="15.75" customHeight="1">
      <c r="L960" s="65"/>
      <c r="M960" s="65"/>
      <c r="N960" s="65"/>
      <c r="O960" s="65"/>
      <c r="P960" s="65"/>
    </row>
    <row r="961" spans="12:16" ht="15.75" customHeight="1">
      <c r="L961" s="65"/>
      <c r="M961" s="65"/>
      <c r="N961" s="65"/>
      <c r="O961" s="65"/>
      <c r="P961" s="65"/>
    </row>
    <row r="962" spans="12:16" ht="15.75" customHeight="1">
      <c r="L962" s="65"/>
      <c r="M962" s="65"/>
      <c r="N962" s="65"/>
      <c r="O962" s="65"/>
      <c r="P962" s="65"/>
    </row>
    <row r="963" spans="12:16" ht="15.75" customHeight="1">
      <c r="L963" s="65"/>
      <c r="M963" s="65"/>
      <c r="N963" s="65"/>
      <c r="O963" s="65"/>
      <c r="P963" s="65"/>
    </row>
    <row r="964" spans="12:16" ht="15.75" customHeight="1">
      <c r="L964" s="65"/>
      <c r="M964" s="65"/>
      <c r="N964" s="65"/>
      <c r="O964" s="65"/>
      <c r="P964" s="65"/>
    </row>
    <row r="965" spans="12:16" ht="15.75" customHeight="1">
      <c r="L965" s="65"/>
      <c r="M965" s="65"/>
      <c r="N965" s="65"/>
      <c r="O965" s="65"/>
      <c r="P965" s="65"/>
    </row>
    <row r="966" spans="12:16" ht="15.75" customHeight="1">
      <c r="L966" s="65"/>
      <c r="M966" s="65"/>
      <c r="N966" s="65"/>
      <c r="O966" s="65"/>
      <c r="P966" s="65"/>
    </row>
    <row r="967" spans="12:16" ht="15.75" customHeight="1">
      <c r="L967" s="65"/>
      <c r="M967" s="65"/>
      <c r="N967" s="65"/>
      <c r="O967" s="65"/>
      <c r="P967" s="65"/>
    </row>
    <row r="968" spans="12:16" ht="15.75" customHeight="1">
      <c r="L968" s="65"/>
      <c r="M968" s="65"/>
      <c r="N968" s="65"/>
      <c r="O968" s="65"/>
      <c r="P968" s="65"/>
    </row>
    <row r="969" spans="12:16" ht="15.75" customHeight="1">
      <c r="L969" s="65"/>
      <c r="M969" s="65"/>
      <c r="N969" s="65"/>
      <c r="O969" s="65"/>
      <c r="P969" s="65"/>
    </row>
    <row r="970" spans="12:16" ht="15.75" customHeight="1">
      <c r="L970" s="65"/>
      <c r="M970" s="65"/>
      <c r="N970" s="65"/>
      <c r="O970" s="65"/>
      <c r="P970" s="65"/>
    </row>
    <row r="971" spans="12:16" ht="15.75" customHeight="1">
      <c r="L971" s="65"/>
      <c r="M971" s="65"/>
      <c r="N971" s="65"/>
      <c r="O971" s="65"/>
      <c r="P971" s="65"/>
    </row>
    <row r="972" spans="12:16" ht="15.75" customHeight="1">
      <c r="L972" s="65"/>
      <c r="M972" s="65"/>
      <c r="N972" s="65"/>
      <c r="O972" s="65"/>
      <c r="P972" s="65"/>
    </row>
    <row r="973" spans="12:16" ht="15.75" customHeight="1">
      <c r="L973" s="65"/>
      <c r="M973" s="65"/>
      <c r="N973" s="65"/>
      <c r="O973" s="65"/>
      <c r="P973" s="65"/>
    </row>
    <row r="974" spans="12:16" ht="15.75" customHeight="1">
      <c r="L974" s="65"/>
      <c r="M974" s="65"/>
      <c r="N974" s="65"/>
      <c r="O974" s="65"/>
      <c r="P974" s="65"/>
    </row>
    <row r="975" spans="12:16" ht="15.75" customHeight="1">
      <c r="L975" s="65"/>
      <c r="M975" s="65"/>
      <c r="N975" s="65"/>
      <c r="O975" s="65"/>
      <c r="P975" s="65"/>
    </row>
    <row r="976" spans="12:16" ht="15.75" customHeight="1">
      <c r="L976" s="65"/>
      <c r="M976" s="65"/>
      <c r="N976" s="65"/>
      <c r="O976" s="65"/>
      <c r="P976" s="65"/>
    </row>
    <row r="977" spans="12:16" ht="15.75" customHeight="1">
      <c r="L977" s="65"/>
      <c r="M977" s="65"/>
      <c r="N977" s="65"/>
      <c r="O977" s="65"/>
      <c r="P977" s="65"/>
    </row>
    <row r="978" spans="12:16" ht="15.75" customHeight="1">
      <c r="L978" s="65"/>
      <c r="M978" s="65"/>
      <c r="N978" s="65"/>
      <c r="O978" s="65"/>
      <c r="P978" s="65"/>
    </row>
    <row r="979" spans="12:16" ht="15.75" customHeight="1">
      <c r="L979" s="65"/>
      <c r="M979" s="65"/>
      <c r="N979" s="65"/>
      <c r="O979" s="65"/>
      <c r="P979" s="65"/>
    </row>
    <row r="980" spans="12:16" ht="15.75" customHeight="1">
      <c r="L980" s="65"/>
      <c r="M980" s="65"/>
      <c r="N980" s="65"/>
      <c r="O980" s="65"/>
      <c r="P980" s="65"/>
    </row>
    <row r="981" spans="12:16" ht="15.75" customHeight="1">
      <c r="L981" s="65"/>
      <c r="M981" s="65"/>
      <c r="N981" s="65"/>
      <c r="O981" s="65"/>
      <c r="P981" s="65"/>
    </row>
    <row r="982" spans="12:16" ht="15.75" customHeight="1">
      <c r="L982" s="65"/>
      <c r="M982" s="65"/>
      <c r="N982" s="65"/>
      <c r="O982" s="65"/>
      <c r="P982" s="65"/>
    </row>
    <row r="983" spans="12:16" ht="15.75" customHeight="1">
      <c r="L983" s="65"/>
      <c r="M983" s="65"/>
      <c r="N983" s="65"/>
      <c r="O983" s="65"/>
      <c r="P983" s="65"/>
    </row>
    <row r="984" spans="12:16" ht="15.75" customHeight="1">
      <c r="L984" s="65"/>
      <c r="M984" s="65"/>
      <c r="N984" s="65"/>
      <c r="O984" s="65"/>
      <c r="P984" s="65"/>
    </row>
    <row r="985" spans="12:16" ht="15.75" customHeight="1">
      <c r="L985" s="65"/>
      <c r="M985" s="65"/>
      <c r="N985" s="65"/>
      <c r="O985" s="65"/>
      <c r="P985" s="65"/>
    </row>
    <row r="986" spans="12:16" ht="15.75" customHeight="1">
      <c r="L986" s="65"/>
      <c r="M986" s="65"/>
      <c r="N986" s="65"/>
      <c r="O986" s="65"/>
      <c r="P986" s="65"/>
    </row>
    <row r="987" spans="12:16" ht="15.75" customHeight="1">
      <c r="L987" s="65"/>
      <c r="M987" s="65"/>
      <c r="N987" s="65"/>
      <c r="O987" s="65"/>
      <c r="P987" s="65"/>
    </row>
    <row r="988" spans="12:16" ht="15.75" customHeight="1">
      <c r="L988" s="65"/>
      <c r="M988" s="65"/>
      <c r="N988" s="65"/>
      <c r="O988" s="65"/>
      <c r="P988" s="65"/>
    </row>
    <row r="989" spans="12:16" ht="15.75" customHeight="1">
      <c r="L989" s="65"/>
      <c r="M989" s="65"/>
      <c r="N989" s="65"/>
      <c r="O989" s="65"/>
      <c r="P989" s="65"/>
    </row>
    <row r="990" spans="12:16" ht="15.75" customHeight="1">
      <c r="L990" s="65"/>
      <c r="M990" s="65"/>
      <c r="N990" s="65"/>
      <c r="O990" s="65"/>
      <c r="P990" s="65"/>
    </row>
    <row r="991" spans="12:16" ht="15.75" customHeight="1">
      <c r="L991" s="65"/>
      <c r="M991" s="65"/>
      <c r="N991" s="65"/>
      <c r="O991" s="65"/>
      <c r="P991" s="65"/>
    </row>
    <row r="992" spans="12:16" ht="15.75" customHeight="1">
      <c r="L992" s="65"/>
      <c r="M992" s="65"/>
      <c r="N992" s="65"/>
      <c r="O992" s="65"/>
      <c r="P992" s="65"/>
    </row>
    <row r="993" spans="12:16" ht="15.75" customHeight="1">
      <c r="L993" s="65"/>
      <c r="M993" s="65"/>
      <c r="N993" s="65"/>
      <c r="O993" s="65"/>
      <c r="P993" s="65"/>
    </row>
    <row r="994" spans="12:16" ht="15.75" customHeight="1">
      <c r="L994" s="65"/>
      <c r="M994" s="65"/>
      <c r="N994" s="65"/>
      <c r="O994" s="65"/>
      <c r="P994" s="65"/>
    </row>
    <row r="995" spans="12:16" ht="15.75" customHeight="1">
      <c r="L995" s="65"/>
      <c r="M995" s="65"/>
      <c r="N995" s="65"/>
      <c r="O995" s="65"/>
      <c r="P995" s="65"/>
    </row>
    <row r="996" spans="12:16" ht="15.75" customHeight="1">
      <c r="L996" s="65"/>
      <c r="M996" s="65"/>
      <c r="N996" s="65"/>
      <c r="O996" s="65"/>
      <c r="P996" s="65"/>
    </row>
    <row r="997" spans="12:16" ht="15.75" customHeight="1">
      <c r="L997" s="65"/>
      <c r="M997" s="65"/>
      <c r="N997" s="65"/>
      <c r="O997" s="65"/>
      <c r="P997" s="65"/>
    </row>
    <row r="998" spans="12:16" ht="15.75" customHeight="1">
      <c r="L998" s="65"/>
      <c r="M998" s="65"/>
      <c r="N998" s="65"/>
      <c r="O998" s="65"/>
      <c r="P998" s="65"/>
    </row>
    <row r="999" spans="12:16" ht="15.75" customHeight="1">
      <c r="L999" s="65"/>
      <c r="M999" s="65"/>
      <c r="N999" s="65"/>
      <c r="O999" s="65"/>
      <c r="P999" s="65"/>
    </row>
    <row r="1000" spans="12:16" ht="15.75" customHeight="1">
      <c r="L1000" s="65"/>
      <c r="M1000" s="65"/>
      <c r="N1000" s="65"/>
      <c r="O1000" s="65"/>
      <c r="P1000" s="65"/>
    </row>
    <row r="1001" spans="12:16" ht="15.75" customHeight="1">
      <c r="L1001" s="65"/>
      <c r="M1001" s="65"/>
      <c r="N1001" s="65"/>
      <c r="O1001" s="65"/>
      <c r="P1001" s="65"/>
    </row>
    <row r="1002" spans="12:16" ht="15.75" customHeight="1">
      <c r="L1002" s="65"/>
      <c r="M1002" s="65"/>
      <c r="N1002" s="65"/>
      <c r="O1002" s="65"/>
      <c r="P1002" s="65"/>
    </row>
  </sheetData>
  <mergeCells count="1">
    <mergeCell ref="A1:A2"/>
  </mergeCells>
  <hyperlinks>
    <hyperlink ref="R11" r:id="rId1" xr:uid="{00000000-0004-0000-0400-000003000000}"/>
    <hyperlink ref="R12" r:id="rId2" xr:uid="{00000000-0004-0000-0400-000004000000}"/>
    <hyperlink ref="R13" r:id="rId3" location="p=18" xr:uid="{00000000-0004-0000-0400-000005000000}"/>
    <hyperlink ref="R14" r:id="rId4" xr:uid="{00000000-0004-0000-0400-000006000000}"/>
    <hyperlink ref="R17" r:id="rId5" xr:uid="{00000000-0004-0000-0400-000007000000}"/>
    <hyperlink ref="R43" r:id="rId6" xr:uid="{4B95DC67-13E1-4030-BD47-35BC5ED32EE9}"/>
    <hyperlink ref="R18" r:id="rId7" xr:uid="{2EED9428-516A-4785-8132-D482ED2204FA}"/>
    <hyperlink ref="R19" r:id="rId8" xr:uid="{8150F5BB-984C-48C0-8732-A8D208156272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8306C"/>
  </sheetPr>
  <dimension ref="A1:AD1005"/>
  <sheetViews>
    <sheetView workbookViewId="0">
      <selection activeCell="A23" sqref="A23"/>
    </sheetView>
  </sheetViews>
  <sheetFormatPr defaultColWidth="14.42578125" defaultRowHeight="15" customHeight="1"/>
  <cols>
    <col min="1" max="1" width="71.42578125" customWidth="1"/>
    <col min="2" max="15" width="11.7109375" customWidth="1"/>
    <col min="16" max="16" width="12.7109375" customWidth="1"/>
    <col min="17" max="17" width="96.42578125" customWidth="1"/>
    <col min="18" max="18" width="24.7109375" customWidth="1"/>
    <col min="19" max="19" width="76.28515625" customWidth="1"/>
    <col min="20" max="30" width="8.85546875" customWidth="1"/>
  </cols>
  <sheetData>
    <row r="1" spans="1:30">
      <c r="A1" s="430" t="s">
        <v>159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3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9" t="s">
        <v>21</v>
      </c>
      <c r="Q3" s="29" t="s">
        <v>22</v>
      </c>
      <c r="R3" s="29" t="s">
        <v>23</v>
      </c>
    </row>
    <row r="4" spans="1:30">
      <c r="A4" s="35" t="s">
        <v>160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2">
        <v>6</v>
      </c>
      <c r="N4" s="32">
        <v>11</v>
      </c>
      <c r="O4" s="32">
        <v>17</v>
      </c>
      <c r="P4" s="233" t="s">
        <v>52</v>
      </c>
      <c r="Q4" s="234" t="s">
        <v>161</v>
      </c>
      <c r="R4" s="233" t="s">
        <v>27</v>
      </c>
    </row>
    <row r="5" spans="1:30">
      <c r="A5" s="35" t="s">
        <v>162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2">
        <v>5</v>
      </c>
      <c r="N5" s="32">
        <v>6</v>
      </c>
      <c r="O5" s="32">
        <v>11</v>
      </c>
      <c r="P5" s="233" t="s">
        <v>52</v>
      </c>
      <c r="Q5" s="234" t="s">
        <v>161</v>
      </c>
      <c r="R5" s="233" t="s">
        <v>27</v>
      </c>
    </row>
    <row r="6" spans="1:30">
      <c r="A6" s="35" t="s">
        <v>163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59">
        <v>0.79100000000000004</v>
      </c>
      <c r="N6" s="59">
        <v>1.75</v>
      </c>
      <c r="O6" s="59">
        <v>3</v>
      </c>
      <c r="P6" s="233" t="s">
        <v>52</v>
      </c>
      <c r="Q6" s="234" t="s">
        <v>161</v>
      </c>
      <c r="R6" s="233" t="s">
        <v>27</v>
      </c>
    </row>
    <row r="7" spans="1:30">
      <c r="A7" s="45"/>
      <c r="B7" s="46"/>
      <c r="C7" s="46"/>
      <c r="D7" s="46"/>
      <c r="E7" s="46"/>
      <c r="F7" s="46"/>
      <c r="G7" s="46"/>
      <c r="H7" s="46"/>
      <c r="I7" s="46"/>
      <c r="J7" s="47"/>
      <c r="K7" s="47"/>
      <c r="L7" s="47"/>
      <c r="M7" s="47"/>
      <c r="N7" s="47"/>
      <c r="O7" s="47"/>
      <c r="P7" s="48"/>
      <c r="Q7" s="49"/>
      <c r="R7" s="189"/>
    </row>
    <row r="8" spans="1:30">
      <c r="A8" s="51" t="s">
        <v>50</v>
      </c>
      <c r="B8" s="28">
        <v>2010</v>
      </c>
      <c r="C8" s="28">
        <v>2011</v>
      </c>
      <c r="D8" s="28">
        <v>2012</v>
      </c>
      <c r="E8" s="28">
        <v>2013</v>
      </c>
      <c r="F8" s="28">
        <v>2014</v>
      </c>
      <c r="G8" s="28">
        <v>2015</v>
      </c>
      <c r="H8" s="28">
        <v>2016</v>
      </c>
      <c r="I8" s="28">
        <v>2017</v>
      </c>
      <c r="J8" s="28">
        <v>2018</v>
      </c>
      <c r="K8" s="28">
        <v>2019</v>
      </c>
      <c r="L8" s="28">
        <v>2020</v>
      </c>
      <c r="M8" s="28">
        <v>2021</v>
      </c>
      <c r="N8" s="28">
        <v>2022</v>
      </c>
      <c r="O8" s="28">
        <v>2023</v>
      </c>
      <c r="P8" s="29" t="s">
        <v>21</v>
      </c>
      <c r="Q8" s="29" t="s">
        <v>22</v>
      </c>
      <c r="R8" s="29" t="s">
        <v>23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</row>
    <row r="9" spans="1:30">
      <c r="A9" s="35" t="s">
        <v>164</v>
      </c>
      <c r="B9" s="43">
        <v>8.7765930000000001</v>
      </c>
      <c r="C9" s="43">
        <v>62.041289999999996</v>
      </c>
      <c r="D9" s="43">
        <v>52.401102000000002</v>
      </c>
      <c r="E9" s="43">
        <v>113.285858</v>
      </c>
      <c r="F9" s="43">
        <v>159.14120600000001</v>
      </c>
      <c r="G9" s="43">
        <v>176.84761599999999</v>
      </c>
      <c r="H9" s="43">
        <v>241.487435</v>
      </c>
      <c r="I9" s="43">
        <v>258.34212500000001</v>
      </c>
      <c r="J9" s="43">
        <v>305.48444699999999</v>
      </c>
      <c r="K9" s="43">
        <v>492.00795799999997</v>
      </c>
      <c r="L9" s="227">
        <v>534</v>
      </c>
      <c r="M9" s="235">
        <v>861</v>
      </c>
      <c r="N9" s="235">
        <v>1499</v>
      </c>
      <c r="O9" s="235">
        <v>2593</v>
      </c>
      <c r="P9" s="34" t="s">
        <v>92</v>
      </c>
      <c r="Q9" s="223" t="s">
        <v>93</v>
      </c>
      <c r="R9" s="34" t="s">
        <v>94</v>
      </c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35" t="s">
        <v>165</v>
      </c>
      <c r="B10" s="236">
        <v>8.7765930000000001</v>
      </c>
      <c r="C10" s="43">
        <v>62.041289999999996</v>
      </c>
      <c r="D10" s="43">
        <v>102.674024</v>
      </c>
      <c r="E10" s="43">
        <v>416.68540000000002</v>
      </c>
      <c r="F10" s="43">
        <v>487.892696</v>
      </c>
      <c r="G10" s="43">
        <v>513.14457400000003</v>
      </c>
      <c r="H10" s="43">
        <v>591.17347099999995</v>
      </c>
      <c r="I10" s="43">
        <v>602.72382000000005</v>
      </c>
      <c r="J10" s="43">
        <v>615.33108400000003</v>
      </c>
      <c r="K10" s="236">
        <v>912.38458300000002</v>
      </c>
      <c r="L10" s="90">
        <v>966</v>
      </c>
      <c r="M10" s="120">
        <v>1209</v>
      </c>
      <c r="N10" s="120">
        <v>1718</v>
      </c>
      <c r="O10" s="120">
        <v>2868</v>
      </c>
      <c r="P10" s="34" t="s">
        <v>92</v>
      </c>
      <c r="Q10" s="223" t="s">
        <v>93</v>
      </c>
      <c r="R10" s="34" t="s">
        <v>94</v>
      </c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35" t="s">
        <v>166</v>
      </c>
      <c r="B11" s="36"/>
      <c r="C11" s="36"/>
      <c r="D11" s="36"/>
      <c r="E11" s="36"/>
      <c r="F11" s="36"/>
      <c r="G11" s="36"/>
      <c r="H11" s="43">
        <v>0</v>
      </c>
      <c r="I11" s="43">
        <v>0</v>
      </c>
      <c r="J11" s="43">
        <v>0</v>
      </c>
      <c r="K11" s="43">
        <v>0</v>
      </c>
      <c r="L11" s="43">
        <v>0</v>
      </c>
      <c r="M11" s="43">
        <v>0</v>
      </c>
      <c r="N11" s="43">
        <v>0</v>
      </c>
      <c r="O11" s="43">
        <v>0</v>
      </c>
      <c r="P11" s="34" t="s">
        <v>52</v>
      </c>
      <c r="Q11" s="64" t="s">
        <v>167</v>
      </c>
      <c r="R11" s="34" t="s">
        <v>94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35" t="s">
        <v>168</v>
      </c>
      <c r="B12" s="36"/>
      <c r="C12" s="36"/>
      <c r="D12" s="43">
        <v>25.41</v>
      </c>
      <c r="E12" s="43">
        <v>206.68199999999999</v>
      </c>
      <c r="F12" s="43">
        <v>120.666</v>
      </c>
      <c r="G12" s="43">
        <v>204.708</v>
      </c>
      <c r="H12" s="43">
        <v>222.768</v>
      </c>
      <c r="I12" s="43">
        <v>189.37799999999999</v>
      </c>
      <c r="J12" s="43">
        <v>173.208</v>
      </c>
      <c r="K12" s="43">
        <v>258.00599999999997</v>
      </c>
      <c r="L12" s="43">
        <v>279.63600000000002</v>
      </c>
      <c r="M12" s="43">
        <v>392.28</v>
      </c>
      <c r="N12" s="43">
        <v>262.66800000000001</v>
      </c>
      <c r="O12" s="43">
        <v>362.12400000000002</v>
      </c>
      <c r="P12" s="34" t="s">
        <v>52</v>
      </c>
      <c r="Q12" s="64" t="s">
        <v>169</v>
      </c>
      <c r="R12" s="34" t="s">
        <v>94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7"/>
      <c r="N14" s="2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59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81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33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33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6"/>
      <c r="B35" s="26"/>
      <c r="C35" s="26"/>
      <c r="D35" s="26"/>
      <c r="E35" s="26"/>
      <c r="F35" s="26"/>
      <c r="G35" s="26"/>
      <c r="H35" s="26"/>
      <c r="I35" s="27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27"/>
      <c r="C36" s="27"/>
      <c r="D36" s="27"/>
      <c r="E36" s="27"/>
      <c r="F36" s="27"/>
      <c r="G36" s="27"/>
      <c r="H36" s="27"/>
      <c r="I36" s="27"/>
      <c r="J36" s="26"/>
      <c r="K36" s="27"/>
      <c r="L36" s="27"/>
      <c r="M36" s="27"/>
      <c r="N36" s="27"/>
      <c r="O36" s="27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I37" s="27"/>
      <c r="J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I38" s="27"/>
      <c r="J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65"/>
      <c r="F77" s="65"/>
      <c r="G77" s="65"/>
      <c r="H77" s="65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65"/>
      <c r="F78" s="65"/>
      <c r="G78" s="65"/>
      <c r="H78" s="65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65"/>
      <c r="F79" s="65"/>
      <c r="G79" s="65"/>
      <c r="H79" s="65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65"/>
      <c r="F80" s="65"/>
      <c r="G80" s="65"/>
      <c r="H80" s="65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65"/>
      <c r="F81" s="65"/>
      <c r="G81" s="65"/>
      <c r="H81" s="65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65"/>
      <c r="F82" s="65"/>
      <c r="G82" s="65"/>
      <c r="H82" s="65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65"/>
      <c r="F83" s="65"/>
      <c r="G83" s="65"/>
      <c r="H83" s="65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65"/>
      <c r="F84" s="65"/>
      <c r="G84" s="65"/>
      <c r="H84" s="65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65"/>
      <c r="F85" s="65"/>
      <c r="G85" s="65"/>
      <c r="H85" s="65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65"/>
      <c r="F86" s="65"/>
      <c r="G86" s="65"/>
      <c r="H86" s="65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26"/>
      <c r="C87" s="26"/>
      <c r="D87" s="26"/>
      <c r="E87" s="65"/>
      <c r="F87" s="65"/>
      <c r="G87" s="65"/>
      <c r="H87" s="65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26"/>
      <c r="C88" s="26"/>
      <c r="D88" s="26"/>
      <c r="E88" s="65"/>
      <c r="F88" s="65"/>
      <c r="G88" s="65"/>
      <c r="H88" s="65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26"/>
      <c r="C89" s="26"/>
      <c r="D89" s="26"/>
      <c r="E89" s="65"/>
      <c r="F89" s="65"/>
      <c r="G89" s="65"/>
      <c r="H89" s="65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26"/>
      <c r="C90" s="26"/>
      <c r="D90" s="26"/>
      <c r="E90" s="65"/>
      <c r="F90" s="65"/>
      <c r="G90" s="65"/>
      <c r="H90" s="65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26"/>
      <c r="C91" s="26"/>
      <c r="D91" s="26"/>
      <c r="E91" s="65"/>
      <c r="F91" s="65"/>
      <c r="G91" s="65"/>
      <c r="H91" s="65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26"/>
      <c r="C92" s="26"/>
      <c r="D92" s="26"/>
      <c r="E92" s="65"/>
      <c r="F92" s="65"/>
      <c r="G92" s="65"/>
      <c r="H92" s="65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26"/>
      <c r="C93" s="26"/>
      <c r="D93" s="26"/>
      <c r="E93" s="65"/>
      <c r="F93" s="65"/>
      <c r="G93" s="65"/>
      <c r="H93" s="65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26"/>
      <c r="C94" s="26"/>
      <c r="D94" s="26"/>
      <c r="E94" s="65"/>
      <c r="F94" s="65"/>
      <c r="G94" s="65"/>
      <c r="H94" s="65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26"/>
      <c r="C95" s="26"/>
      <c r="D95" s="26"/>
      <c r="E95" s="65"/>
      <c r="F95" s="65"/>
      <c r="G95" s="65"/>
      <c r="H95" s="65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26"/>
      <c r="C96" s="26"/>
      <c r="D96" s="26"/>
      <c r="E96" s="65"/>
      <c r="F96" s="65"/>
      <c r="G96" s="65"/>
      <c r="H96" s="65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26"/>
      <c r="C97" s="26"/>
      <c r="D97" s="26"/>
      <c r="E97" s="65"/>
      <c r="F97" s="65"/>
      <c r="G97" s="65"/>
      <c r="H97" s="65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65"/>
      <c r="F98" s="65"/>
      <c r="G98" s="65"/>
      <c r="H98" s="65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65"/>
      <c r="F99" s="65"/>
      <c r="G99" s="65"/>
      <c r="H99" s="65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65"/>
      <c r="F100" s="65"/>
      <c r="G100" s="65"/>
      <c r="H100" s="65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65"/>
      <c r="F101" s="65"/>
      <c r="G101" s="65"/>
      <c r="H101" s="65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  <row r="1001" spans="1:30" ht="15.7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</row>
    <row r="1002" spans="1:30" ht="15.75" customHeight="1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</row>
    <row r="1003" spans="1:30" ht="15.75" customHeight="1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</row>
    <row r="1004" spans="1:30" ht="15.75" customHeight="1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</row>
    <row r="1005" spans="1:30" ht="15.75" customHeight="1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</row>
  </sheetData>
  <mergeCells count="1">
    <mergeCell ref="A1:A2"/>
  </mergeCells>
  <hyperlinks>
    <hyperlink ref="Q4" r:id="rId1" xr:uid="{00000000-0004-0000-0500-000000000000}"/>
    <hyperlink ref="Q5" r:id="rId2" xr:uid="{00000000-0004-0000-0500-000001000000}"/>
    <hyperlink ref="Q6" r:id="rId3" xr:uid="{00000000-0004-0000-0500-000002000000}"/>
    <hyperlink ref="Q9" r:id="rId4" xr:uid="{00000000-0004-0000-0500-000003000000}"/>
    <hyperlink ref="Q10" r:id="rId5" xr:uid="{00000000-0004-0000-0500-000004000000}"/>
    <hyperlink ref="Q11" r:id="rId6" xr:uid="{00000000-0004-0000-0500-000006000000}"/>
    <hyperlink ref="Q12" r:id="rId7" xr:uid="{00000000-0004-0000-0500-000007000000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8306C"/>
  </sheetPr>
  <dimension ref="A1:AD1005"/>
  <sheetViews>
    <sheetView topLeftCell="B1" workbookViewId="0">
      <selection activeCell="Q5" sqref="Q5"/>
    </sheetView>
  </sheetViews>
  <sheetFormatPr defaultColWidth="14.42578125" defaultRowHeight="15" customHeight="1"/>
  <cols>
    <col min="1" max="1" width="63.85546875" bestFit="1" customWidth="1"/>
    <col min="2" max="15" width="9.140625" customWidth="1"/>
    <col min="16" max="16" width="12.7109375" customWidth="1"/>
    <col min="17" max="17" width="66.7109375" customWidth="1"/>
    <col min="18" max="18" width="45.5703125" bestFit="1" customWidth="1"/>
    <col min="19" max="30" width="8.7109375" customWidth="1"/>
  </cols>
  <sheetData>
    <row r="1" spans="1:30">
      <c r="A1" s="430" t="s">
        <v>171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0">
      <c r="A2" s="431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</row>
    <row r="3" spans="1:30">
      <c r="A3" s="28" t="s">
        <v>50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8" t="s">
        <v>21</v>
      </c>
      <c r="Q3" s="29" t="s">
        <v>22</v>
      </c>
      <c r="R3" s="29" t="s">
        <v>23</v>
      </c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</row>
    <row r="4" spans="1:30" ht="17.25" customHeight="1">
      <c r="A4" s="35" t="s">
        <v>540</v>
      </c>
      <c r="B4" s="88"/>
      <c r="C4" s="88"/>
      <c r="D4" s="88"/>
      <c r="E4" s="88"/>
      <c r="F4" s="88"/>
      <c r="G4" s="88"/>
      <c r="H4" s="81">
        <v>1.9437169999999999</v>
      </c>
      <c r="I4" s="81">
        <v>1.711017</v>
      </c>
      <c r="J4" s="81">
        <v>1.8281780000000001</v>
      </c>
      <c r="K4" s="81">
        <v>2.4287019999999999</v>
      </c>
      <c r="L4" s="81">
        <v>4.6083990000000004</v>
      </c>
      <c r="M4" s="81">
        <v>5.0800729999999996</v>
      </c>
      <c r="N4" s="81">
        <v>7.8931370000000003</v>
      </c>
      <c r="O4" s="81">
        <v>14.016105</v>
      </c>
      <c r="P4" s="40" t="s">
        <v>92</v>
      </c>
      <c r="Q4" s="237" t="s">
        <v>93</v>
      </c>
      <c r="R4" s="34" t="s">
        <v>27</v>
      </c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</row>
    <row r="5" spans="1:30" ht="16.5" customHeight="1">
      <c r="A5" s="31" t="s">
        <v>541</v>
      </c>
      <c r="B5" s="88"/>
      <c r="C5" s="88"/>
      <c r="D5" s="88"/>
      <c r="E5" s="88"/>
      <c r="F5" s="88"/>
      <c r="G5" s="88"/>
      <c r="H5" s="81">
        <v>1.9437169999999999</v>
      </c>
      <c r="I5" s="81">
        <v>1.711017</v>
      </c>
      <c r="J5" s="81">
        <v>1.8281780000000001</v>
      </c>
      <c r="K5" s="81">
        <v>2.4287019999999999</v>
      </c>
      <c r="L5" s="81">
        <v>4.6083990000000004</v>
      </c>
      <c r="M5" s="81">
        <v>5.0800729999999996</v>
      </c>
      <c r="N5" s="81">
        <v>15.819877</v>
      </c>
      <c r="O5" s="81">
        <v>26.300097000000001</v>
      </c>
      <c r="P5" s="304" t="s">
        <v>92</v>
      </c>
      <c r="Q5" s="290" t="s">
        <v>93</v>
      </c>
      <c r="R5" s="34" t="s">
        <v>27</v>
      </c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</row>
    <row r="6" spans="1:30">
      <c r="A6" s="31" t="s">
        <v>516</v>
      </c>
      <c r="B6" s="88"/>
      <c r="C6" s="88"/>
      <c r="D6" s="88"/>
      <c r="E6" s="88"/>
      <c r="F6" s="88"/>
      <c r="G6" s="88"/>
      <c r="H6" s="305">
        <v>17138</v>
      </c>
      <c r="I6" s="305">
        <v>17662</v>
      </c>
      <c r="J6" s="305">
        <v>18325</v>
      </c>
      <c r="K6" s="305">
        <v>18746</v>
      </c>
      <c r="L6" s="305">
        <v>11067</v>
      </c>
      <c r="M6" s="305">
        <v>14617</v>
      </c>
      <c r="N6" s="305">
        <v>17510</v>
      </c>
      <c r="O6" s="88"/>
      <c r="P6" s="304" t="s">
        <v>542</v>
      </c>
      <c r="Q6" s="344" t="s">
        <v>172</v>
      </c>
      <c r="R6" s="108" t="s">
        <v>173</v>
      </c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</row>
    <row r="7" spans="1:30" ht="45">
      <c r="A7" s="31" t="s">
        <v>174</v>
      </c>
      <c r="B7" s="88"/>
      <c r="C7" s="88"/>
      <c r="D7" s="88"/>
      <c r="E7" s="235">
        <v>15005</v>
      </c>
      <c r="F7" s="235">
        <v>395994</v>
      </c>
      <c r="G7" s="235">
        <v>921009</v>
      </c>
      <c r="H7" s="235">
        <v>639006</v>
      </c>
      <c r="I7" s="235">
        <v>39996</v>
      </c>
      <c r="J7" s="235">
        <v>106</v>
      </c>
      <c r="K7" s="235">
        <v>255135.12479999999</v>
      </c>
      <c r="L7" s="235">
        <v>108781.3008</v>
      </c>
      <c r="M7" s="235">
        <v>2412304.6464</v>
      </c>
      <c r="N7" s="235">
        <v>5683241.9484000001</v>
      </c>
      <c r="O7" s="235">
        <v>2977690.5107999998</v>
      </c>
      <c r="P7" s="306" t="s">
        <v>175</v>
      </c>
      <c r="Q7" s="308" t="s">
        <v>176</v>
      </c>
      <c r="R7" s="31" t="s">
        <v>177</v>
      </c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</row>
    <row r="8" spans="1:30" ht="45">
      <c r="A8" s="31" t="s">
        <v>563</v>
      </c>
      <c r="B8" s="88"/>
      <c r="C8" s="88"/>
      <c r="D8" s="383"/>
      <c r="E8" s="235">
        <v>1</v>
      </c>
      <c r="F8" s="235">
        <v>2</v>
      </c>
      <c r="G8" s="235">
        <v>2</v>
      </c>
      <c r="H8" s="235">
        <v>6</v>
      </c>
      <c r="I8" s="235">
        <v>2</v>
      </c>
      <c r="J8" s="235">
        <v>5</v>
      </c>
      <c r="K8" s="235">
        <v>4</v>
      </c>
      <c r="L8" s="235">
        <v>5</v>
      </c>
      <c r="M8" s="235">
        <v>23</v>
      </c>
      <c r="N8" s="235">
        <v>43</v>
      </c>
      <c r="O8" s="235">
        <v>28</v>
      </c>
      <c r="P8" s="306" t="s">
        <v>175</v>
      </c>
      <c r="Q8" s="308" t="s">
        <v>176</v>
      </c>
      <c r="R8" s="34" t="s">
        <v>27</v>
      </c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</row>
    <row r="9" spans="1:30" ht="30">
      <c r="A9" s="31" t="s">
        <v>178</v>
      </c>
      <c r="B9" s="88"/>
      <c r="C9" s="88"/>
      <c r="D9" s="235">
        <v>1</v>
      </c>
      <c r="E9" s="235">
        <v>2</v>
      </c>
      <c r="F9" s="235">
        <v>3</v>
      </c>
      <c r="G9" s="235">
        <v>3</v>
      </c>
      <c r="H9" s="235">
        <v>3</v>
      </c>
      <c r="I9" s="235">
        <v>4</v>
      </c>
      <c r="J9" s="235">
        <v>4</v>
      </c>
      <c r="K9" s="235">
        <v>4</v>
      </c>
      <c r="L9" s="235">
        <v>5</v>
      </c>
      <c r="M9" s="235">
        <v>6</v>
      </c>
      <c r="N9" s="235">
        <v>6</v>
      </c>
      <c r="O9" s="235">
        <v>9</v>
      </c>
      <c r="P9" s="307" t="s">
        <v>175</v>
      </c>
      <c r="Q9" s="309" t="s">
        <v>179</v>
      </c>
      <c r="R9" s="34" t="s">
        <v>27</v>
      </c>
    </row>
    <row r="10" spans="1:30" ht="30">
      <c r="A10" s="31" t="s">
        <v>180</v>
      </c>
      <c r="B10" s="88"/>
      <c r="C10" s="88"/>
      <c r="D10" s="227">
        <v>4</v>
      </c>
      <c r="E10" s="227">
        <v>5</v>
      </c>
      <c r="F10" s="227">
        <v>6</v>
      </c>
      <c r="G10" s="227">
        <v>6</v>
      </c>
      <c r="H10" s="227">
        <v>6</v>
      </c>
      <c r="I10" s="227">
        <v>7</v>
      </c>
      <c r="J10" s="227">
        <v>7</v>
      </c>
      <c r="K10" s="227">
        <v>7</v>
      </c>
      <c r="L10" s="227">
        <v>10</v>
      </c>
      <c r="M10" s="227">
        <v>11</v>
      </c>
      <c r="N10" s="227">
        <v>11</v>
      </c>
      <c r="O10" s="227">
        <v>14</v>
      </c>
      <c r="P10" s="31" t="s">
        <v>175</v>
      </c>
      <c r="Q10" s="309" t="s">
        <v>179</v>
      </c>
      <c r="R10" s="34" t="s">
        <v>27</v>
      </c>
    </row>
    <row r="11" spans="1:30">
      <c r="A11" s="31" t="s">
        <v>565</v>
      </c>
      <c r="B11" s="88"/>
      <c r="C11" s="88"/>
      <c r="D11" s="88"/>
      <c r="E11" s="88"/>
      <c r="F11" s="227">
        <v>0</v>
      </c>
      <c r="G11" s="227">
        <v>0</v>
      </c>
      <c r="H11" s="227">
        <v>2</v>
      </c>
      <c r="I11" s="227">
        <v>5</v>
      </c>
      <c r="J11" s="227">
        <v>9</v>
      </c>
      <c r="K11" s="227">
        <v>11</v>
      </c>
      <c r="L11" s="227">
        <v>14</v>
      </c>
      <c r="M11" s="227">
        <v>46</v>
      </c>
      <c r="N11" s="227">
        <v>63</v>
      </c>
      <c r="O11" s="227">
        <v>79</v>
      </c>
      <c r="P11" s="31" t="s">
        <v>175</v>
      </c>
      <c r="Q11" s="310" t="s">
        <v>564</v>
      </c>
      <c r="R11" s="34" t="s">
        <v>27</v>
      </c>
    </row>
    <row r="12" spans="1:30">
      <c r="A12" s="31" t="s">
        <v>566</v>
      </c>
      <c r="B12" s="88"/>
      <c r="C12" s="88"/>
      <c r="D12" s="88"/>
      <c r="E12" s="88"/>
      <c r="F12" s="227">
        <v>1</v>
      </c>
      <c r="G12" s="227">
        <v>1</v>
      </c>
      <c r="H12" s="227">
        <v>3</v>
      </c>
      <c r="I12" s="227">
        <v>5</v>
      </c>
      <c r="J12" s="227">
        <v>10</v>
      </c>
      <c r="K12" s="227">
        <v>15</v>
      </c>
      <c r="L12" s="227">
        <v>16</v>
      </c>
      <c r="M12" s="227">
        <v>21</v>
      </c>
      <c r="N12" s="227">
        <v>31</v>
      </c>
      <c r="O12" s="227">
        <v>43</v>
      </c>
      <c r="P12" s="31" t="s">
        <v>175</v>
      </c>
      <c r="Q12" s="310" t="s">
        <v>564</v>
      </c>
      <c r="R12" s="34" t="s">
        <v>27</v>
      </c>
    </row>
    <row r="13" spans="1:30">
      <c r="A13" s="31" t="s">
        <v>183</v>
      </c>
      <c r="B13" s="88"/>
      <c r="C13" s="88"/>
      <c r="D13" s="88"/>
      <c r="E13" s="387"/>
      <c r="F13" s="387"/>
      <c r="G13" s="388">
        <v>1</v>
      </c>
      <c r="H13" s="388">
        <v>2</v>
      </c>
      <c r="I13" s="388">
        <v>2</v>
      </c>
      <c r="J13" s="388">
        <v>3</v>
      </c>
      <c r="K13" s="388">
        <v>3</v>
      </c>
      <c r="L13" s="388">
        <v>4</v>
      </c>
      <c r="M13" s="388">
        <v>5</v>
      </c>
      <c r="N13" s="388">
        <v>6</v>
      </c>
      <c r="O13" s="388">
        <v>7</v>
      </c>
      <c r="P13" s="389" t="s">
        <v>181</v>
      </c>
      <c r="Q13" s="390" t="s">
        <v>182</v>
      </c>
      <c r="R13" s="192" t="s">
        <v>27</v>
      </c>
    </row>
    <row r="14" spans="1:30">
      <c r="A14" s="385" t="s">
        <v>567</v>
      </c>
      <c r="B14" s="384">
        <v>288.14</v>
      </c>
      <c r="C14" s="384">
        <v>296.04000000000002</v>
      </c>
      <c r="D14" s="384">
        <v>301.89</v>
      </c>
      <c r="E14" s="384">
        <v>311.24</v>
      </c>
      <c r="F14" s="384">
        <v>321.69</v>
      </c>
      <c r="G14" s="384">
        <v>338.84</v>
      </c>
      <c r="H14" s="384">
        <v>356.18</v>
      </c>
      <c r="I14" s="384">
        <v>380.57</v>
      </c>
      <c r="J14" s="384">
        <v>395.41</v>
      </c>
      <c r="K14" s="384">
        <v>403.72</v>
      </c>
      <c r="L14" s="384">
        <v>279.79000000000002</v>
      </c>
      <c r="M14" s="384">
        <v>321.13</v>
      </c>
      <c r="N14" s="384">
        <v>347.73</v>
      </c>
      <c r="O14" s="391"/>
      <c r="P14" s="207" t="s">
        <v>571</v>
      </c>
      <c r="Q14" s="392" t="s">
        <v>569</v>
      </c>
      <c r="R14" s="211" t="s">
        <v>570</v>
      </c>
    </row>
    <row r="15" spans="1:30">
      <c r="A15" s="386" t="s">
        <v>568</v>
      </c>
      <c r="B15" s="384">
        <v>465.88</v>
      </c>
      <c r="C15" s="384">
        <v>479.74</v>
      </c>
      <c r="D15" s="384">
        <v>481.25</v>
      </c>
      <c r="E15" s="384">
        <v>490.26</v>
      </c>
      <c r="F15" s="384">
        <v>505.94</v>
      </c>
      <c r="G15" s="384">
        <v>534.97</v>
      </c>
      <c r="H15" s="384">
        <v>559.09</v>
      </c>
      <c r="I15" s="384">
        <v>595.24</v>
      </c>
      <c r="J15" s="384">
        <v>622.53</v>
      </c>
      <c r="K15" s="384">
        <v>632.73</v>
      </c>
      <c r="L15" s="384">
        <v>302.56</v>
      </c>
      <c r="M15" s="384">
        <v>343.88</v>
      </c>
      <c r="N15" s="384">
        <v>436.72</v>
      </c>
      <c r="O15" s="391"/>
      <c r="P15" s="207" t="s">
        <v>571</v>
      </c>
      <c r="Q15" s="207" t="s">
        <v>569</v>
      </c>
      <c r="R15" s="211" t="s">
        <v>570</v>
      </c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</row>
    <row r="16" spans="1:30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</row>
    <row r="17" spans="1:30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</row>
    <row r="18" spans="1:30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</row>
    <row r="19" spans="1:30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</row>
    <row r="20" spans="1:3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</row>
    <row r="21" spans="1:30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</row>
    <row r="22" spans="1:30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</row>
    <row r="23" spans="1:30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</row>
    <row r="24" spans="1:30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</row>
    <row r="25" spans="1:30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</row>
    <row r="26" spans="1:30" ht="15.7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</row>
    <row r="27" spans="1:30" ht="15.7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</row>
    <row r="28" spans="1:30" ht="15.7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</row>
    <row r="29" spans="1:30" ht="15.7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</row>
    <row r="30" spans="1:30" ht="15.7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</row>
    <row r="31" spans="1:30" ht="15.7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</row>
    <row r="32" spans="1:30" ht="15.7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</row>
    <row r="33" spans="1:30" ht="15.7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</row>
    <row r="34" spans="1:30" ht="15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</row>
    <row r="35" spans="1:30" ht="15.7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</row>
    <row r="36" spans="1:30" ht="15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</row>
    <row r="37" spans="1:30" ht="15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</row>
    <row r="38" spans="1:30" ht="15.7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</row>
    <row r="39" spans="1:30" ht="15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</row>
    <row r="40" spans="1:30" ht="15.7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</row>
    <row r="41" spans="1:30" ht="15.7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</row>
    <row r="42" spans="1:30" ht="15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</row>
    <row r="43" spans="1:30" ht="15.7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</row>
    <row r="44" spans="1:30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</row>
    <row r="45" spans="1:30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</row>
    <row r="46" spans="1:30" ht="15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</row>
    <row r="47" spans="1:30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</row>
    <row r="48" spans="1:30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</row>
    <row r="49" spans="1:30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</row>
    <row r="50" spans="1:30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</row>
    <row r="51" spans="1:30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</row>
    <row r="52" spans="1:30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</row>
    <row r="53" spans="1:30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</row>
    <row r="54" spans="1:30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</row>
    <row r="55" spans="1:30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</row>
    <row r="56" spans="1:30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</row>
    <row r="57" spans="1:30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</row>
    <row r="58" spans="1:30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</row>
    <row r="59" spans="1:30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</row>
    <row r="60" spans="1:30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</row>
    <row r="61" spans="1:30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</row>
    <row r="62" spans="1:30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</row>
    <row r="63" spans="1:30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</row>
    <row r="64" spans="1:30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</row>
    <row r="65" spans="1:30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</row>
    <row r="66" spans="1:30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</row>
    <row r="67" spans="1:30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</row>
    <row r="68" spans="1:30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</row>
    <row r="69" spans="1:30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</row>
    <row r="70" spans="1:30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</row>
    <row r="71" spans="1:30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</row>
    <row r="72" spans="1:30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</row>
    <row r="73" spans="1:30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</row>
    <row r="74" spans="1:30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</row>
    <row r="75" spans="1:30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</row>
    <row r="76" spans="1:30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</row>
    <row r="77" spans="1:30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</row>
    <row r="78" spans="1:30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</row>
    <row r="79" spans="1:30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</row>
    <row r="80" spans="1:30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</row>
    <row r="81" spans="1:30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</row>
    <row r="82" spans="1:30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</row>
    <row r="83" spans="1:30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</row>
    <row r="84" spans="1:30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</row>
    <row r="85" spans="1:30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</row>
    <row r="86" spans="1:30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</row>
    <row r="87" spans="1:30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</row>
    <row r="88" spans="1:30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</row>
    <row r="89" spans="1:30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</row>
    <row r="90" spans="1:30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</row>
    <row r="91" spans="1:30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</row>
    <row r="92" spans="1:30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</row>
    <row r="93" spans="1:30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</row>
    <row r="94" spans="1:30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</row>
    <row r="95" spans="1:30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</row>
    <row r="96" spans="1:30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</row>
    <row r="97" spans="1:30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</row>
    <row r="98" spans="1:30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</row>
    <row r="99" spans="1:30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</row>
    <row r="100" spans="1:30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</row>
    <row r="101" spans="1:30" ht="15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</row>
    <row r="102" spans="1:30" ht="15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</row>
    <row r="103" spans="1:30" ht="15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</row>
    <row r="104" spans="1:30" ht="15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</row>
    <row r="105" spans="1:30" ht="15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</row>
    <row r="106" spans="1:30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</row>
    <row r="107" spans="1:30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</row>
    <row r="108" spans="1:30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</row>
    <row r="109" spans="1:30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</row>
    <row r="110" spans="1:30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</row>
    <row r="111" spans="1:30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</row>
    <row r="112" spans="1:30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</row>
    <row r="113" spans="1:30" ht="15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</row>
    <row r="114" spans="1:30" ht="15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</row>
    <row r="115" spans="1:30" ht="15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</row>
    <row r="116" spans="1:30" ht="15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</row>
    <row r="117" spans="1:30" ht="15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</row>
    <row r="118" spans="1:30" ht="15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</row>
    <row r="119" spans="1:30" ht="15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</row>
    <row r="120" spans="1:30" ht="15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</row>
    <row r="121" spans="1:30" ht="15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</row>
    <row r="122" spans="1:30" ht="15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</row>
    <row r="123" spans="1:30" ht="15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</row>
    <row r="124" spans="1:30" ht="15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</row>
    <row r="125" spans="1:30" ht="15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</row>
    <row r="126" spans="1:30" ht="15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</row>
    <row r="127" spans="1:30" ht="15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</row>
    <row r="128" spans="1:30" ht="15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</row>
    <row r="129" spans="1:30" ht="15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</row>
    <row r="130" spans="1:30" ht="15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</row>
    <row r="131" spans="1:30" ht="15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</row>
    <row r="132" spans="1:30" ht="15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</row>
    <row r="133" spans="1:30" ht="15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</row>
    <row r="134" spans="1:30" ht="15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</row>
    <row r="135" spans="1:30" ht="15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</row>
    <row r="136" spans="1:30" ht="15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</row>
    <row r="137" spans="1:30" ht="15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</row>
    <row r="138" spans="1:30" ht="15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</row>
    <row r="139" spans="1:30" ht="15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</row>
    <row r="140" spans="1:30" ht="15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</row>
    <row r="141" spans="1:30" ht="15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</row>
    <row r="142" spans="1:30" ht="15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</row>
    <row r="143" spans="1:30" ht="15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</row>
    <row r="144" spans="1:30" ht="15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</row>
    <row r="145" spans="1:30" ht="15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</row>
    <row r="146" spans="1:30" ht="15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</row>
    <row r="147" spans="1:30" ht="15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</row>
    <row r="148" spans="1:30" ht="15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</row>
    <row r="149" spans="1:30" ht="15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</row>
    <row r="150" spans="1:30" ht="15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</row>
    <row r="151" spans="1:30" ht="15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</row>
    <row r="152" spans="1:30" ht="15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</row>
    <row r="153" spans="1:30" ht="15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</row>
    <row r="154" spans="1:30" ht="15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</row>
    <row r="155" spans="1:30" ht="15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</row>
    <row r="156" spans="1:30" ht="15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</row>
    <row r="157" spans="1:30" ht="15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</row>
    <row r="158" spans="1:30" ht="15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</row>
    <row r="159" spans="1:30" ht="15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</row>
    <row r="160" spans="1:30" ht="15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</row>
    <row r="161" spans="1:30" ht="15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</row>
    <row r="162" spans="1:30" ht="15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</row>
    <row r="163" spans="1:30" ht="15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</row>
    <row r="164" spans="1:30" ht="15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</row>
    <row r="165" spans="1:30" ht="15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</row>
    <row r="166" spans="1:30" ht="15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</row>
    <row r="167" spans="1:30" ht="15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</row>
    <row r="168" spans="1:30" ht="15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</row>
    <row r="169" spans="1:30" ht="15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</row>
    <row r="170" spans="1:30" ht="15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</row>
    <row r="171" spans="1:30" ht="15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</row>
    <row r="172" spans="1:30" ht="15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</row>
    <row r="173" spans="1:30" ht="15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</row>
    <row r="174" spans="1:30" ht="15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</row>
    <row r="175" spans="1:30" ht="15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</row>
    <row r="176" spans="1:30" ht="15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</row>
    <row r="177" spans="1:30" ht="15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</row>
    <row r="178" spans="1:30" ht="15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</row>
    <row r="179" spans="1:30" ht="15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</row>
    <row r="180" spans="1:30" ht="15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</row>
    <row r="181" spans="1:30" ht="15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</row>
    <row r="182" spans="1:30" ht="15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</row>
    <row r="183" spans="1:30" ht="15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</row>
    <row r="184" spans="1:30" ht="15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</row>
    <row r="185" spans="1:30" ht="15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</row>
    <row r="186" spans="1:30" ht="15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</row>
    <row r="187" spans="1:30" ht="15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</row>
    <row r="188" spans="1:30" ht="15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</row>
    <row r="189" spans="1:30" ht="15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</row>
    <row r="190" spans="1:30" ht="15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</row>
    <row r="191" spans="1:30" ht="15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</row>
    <row r="192" spans="1:30" ht="15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</row>
    <row r="193" spans="1:30" ht="15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</row>
    <row r="194" spans="1:30" ht="15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</row>
    <row r="195" spans="1:30" ht="15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</row>
    <row r="196" spans="1:30" ht="15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</row>
    <row r="197" spans="1:30" ht="15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</row>
    <row r="198" spans="1:30" ht="15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</row>
    <row r="199" spans="1:30" ht="15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</row>
    <row r="200" spans="1:30" ht="15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</row>
    <row r="201" spans="1:30" ht="15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</row>
    <row r="202" spans="1:30" ht="15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</row>
    <row r="203" spans="1:30" ht="15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</row>
    <row r="204" spans="1:30" ht="15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</row>
    <row r="205" spans="1:30" ht="15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</row>
    <row r="206" spans="1:30" ht="15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</row>
    <row r="207" spans="1:30" ht="15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</row>
    <row r="208" spans="1:30" ht="15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</row>
    <row r="209" spans="1:30" ht="15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</row>
    <row r="210" spans="1:30" ht="15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</row>
    <row r="211" spans="1:30" ht="15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</row>
    <row r="212" spans="1:30" ht="15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</row>
    <row r="213" spans="1:30" ht="15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</row>
    <row r="214" spans="1:30" ht="15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</row>
    <row r="215" spans="1:30" ht="15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</row>
    <row r="216" spans="1:30" ht="15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</row>
    <row r="217" spans="1:30" ht="15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</row>
    <row r="218" spans="1:30" ht="15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</row>
    <row r="219" spans="1:30" ht="15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</row>
    <row r="220" spans="1:30" ht="15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</row>
    <row r="221" spans="1:30" ht="15.75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</row>
    <row r="222" spans="1:30" ht="15.75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</row>
    <row r="223" spans="1:30" ht="15.75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</row>
    <row r="224" spans="1:30" ht="15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</row>
    <row r="225" spans="1:30" ht="15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</row>
    <row r="226" spans="1:30" ht="15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</row>
    <row r="227" spans="1:30" ht="15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</row>
    <row r="228" spans="1:30" ht="15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</row>
    <row r="229" spans="1:30" ht="15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</row>
    <row r="230" spans="1:30" ht="15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</row>
    <row r="231" spans="1:30" ht="15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</row>
    <row r="232" spans="1:30" ht="15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</row>
    <row r="233" spans="1:30" ht="15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</row>
    <row r="234" spans="1:30" ht="15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</row>
    <row r="235" spans="1:30" ht="15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</row>
    <row r="236" spans="1:30" ht="15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</row>
    <row r="237" spans="1:30" ht="15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</row>
    <row r="238" spans="1:30" ht="15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</row>
    <row r="239" spans="1:30" ht="15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</row>
    <row r="240" spans="1:30" ht="15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</row>
    <row r="241" spans="1:30" ht="15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</row>
    <row r="242" spans="1:30" ht="15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</row>
    <row r="243" spans="1:30" ht="15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</row>
    <row r="244" spans="1:30" ht="15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</row>
    <row r="245" spans="1:30" ht="15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</row>
    <row r="246" spans="1:30" ht="15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</row>
    <row r="247" spans="1:30" ht="15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</row>
    <row r="248" spans="1:30" ht="15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</row>
    <row r="249" spans="1:30" ht="15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</row>
    <row r="250" spans="1:30" ht="15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</row>
    <row r="251" spans="1:30" ht="15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</row>
    <row r="252" spans="1:30" ht="15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</row>
    <row r="253" spans="1:30" ht="15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</row>
    <row r="254" spans="1:30" ht="15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</row>
    <row r="255" spans="1:30" ht="15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</row>
    <row r="256" spans="1:30" ht="15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</row>
    <row r="257" spans="1:30" ht="15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</row>
    <row r="258" spans="1:30" ht="15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</row>
    <row r="259" spans="1:30" ht="15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</row>
    <row r="260" spans="1:30" ht="15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</row>
    <row r="261" spans="1:30" ht="15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</row>
    <row r="262" spans="1:30" ht="15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</row>
    <row r="263" spans="1:30" ht="15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</row>
    <row r="264" spans="1:30" ht="15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</row>
    <row r="265" spans="1:30" ht="15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</row>
    <row r="266" spans="1:30" ht="15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</row>
    <row r="267" spans="1:30" ht="15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</row>
    <row r="268" spans="1:30" ht="15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</row>
    <row r="269" spans="1:30" ht="15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</row>
    <row r="270" spans="1:30" ht="15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</row>
    <row r="271" spans="1:30" ht="15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</row>
    <row r="272" spans="1:30" ht="15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</row>
    <row r="273" spans="1:30" ht="15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</row>
    <row r="274" spans="1:30" ht="15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</row>
    <row r="275" spans="1:30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</row>
    <row r="276" spans="1:30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</row>
    <row r="277" spans="1:30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</row>
    <row r="278" spans="1:30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</row>
    <row r="279" spans="1:30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</row>
    <row r="280" spans="1:30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</row>
    <row r="281" spans="1:30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</row>
    <row r="282" spans="1:30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</row>
    <row r="283" spans="1:30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</row>
    <row r="284" spans="1:30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</row>
    <row r="285" spans="1:30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</row>
    <row r="286" spans="1:30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</row>
    <row r="287" spans="1:30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</row>
    <row r="288" spans="1:30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</row>
    <row r="289" spans="1:30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</row>
    <row r="290" spans="1:30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</row>
    <row r="291" spans="1:30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</row>
    <row r="292" spans="1:30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</row>
    <row r="293" spans="1:30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</row>
    <row r="294" spans="1:30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</row>
    <row r="295" spans="1:30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</row>
    <row r="296" spans="1:30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</row>
    <row r="297" spans="1:30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</row>
    <row r="298" spans="1:30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</row>
    <row r="299" spans="1:30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</row>
    <row r="300" spans="1:30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</row>
    <row r="301" spans="1:30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</row>
    <row r="302" spans="1:30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</row>
    <row r="303" spans="1:30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</row>
    <row r="304" spans="1:30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</row>
    <row r="305" spans="1:30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</row>
    <row r="306" spans="1:30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</row>
    <row r="307" spans="1:30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</row>
    <row r="308" spans="1:30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</row>
    <row r="309" spans="1:30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</row>
    <row r="310" spans="1:30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</row>
    <row r="311" spans="1:30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</row>
    <row r="312" spans="1:30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</row>
    <row r="313" spans="1:30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</row>
    <row r="314" spans="1:30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</row>
    <row r="315" spans="1:30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</row>
    <row r="316" spans="1:30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</row>
    <row r="317" spans="1:30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</row>
    <row r="318" spans="1:30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</row>
    <row r="319" spans="1:30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</row>
    <row r="320" spans="1:30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</row>
    <row r="321" spans="1:30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</row>
    <row r="322" spans="1:30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</row>
    <row r="323" spans="1:30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</row>
    <row r="324" spans="1:30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</row>
    <row r="325" spans="1:30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</row>
    <row r="326" spans="1:30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</row>
    <row r="327" spans="1:30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</row>
    <row r="328" spans="1:30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</row>
    <row r="329" spans="1:30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</row>
    <row r="330" spans="1:30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</row>
    <row r="331" spans="1:30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</row>
    <row r="332" spans="1:30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</row>
    <row r="333" spans="1:30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</row>
    <row r="334" spans="1:30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</row>
    <row r="335" spans="1:30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</row>
    <row r="336" spans="1:30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</row>
    <row r="337" spans="1:30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</row>
    <row r="338" spans="1:30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</row>
    <row r="339" spans="1:30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</row>
    <row r="340" spans="1:30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</row>
    <row r="341" spans="1:30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</row>
    <row r="342" spans="1:30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</row>
    <row r="343" spans="1:30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</row>
    <row r="344" spans="1:30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</row>
    <row r="345" spans="1:30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</row>
    <row r="346" spans="1:30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</row>
    <row r="347" spans="1:30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</row>
    <row r="348" spans="1:30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</row>
    <row r="349" spans="1:30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</row>
    <row r="350" spans="1:30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</row>
    <row r="351" spans="1:30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</row>
    <row r="352" spans="1:30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</row>
    <row r="353" spans="1:30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</row>
    <row r="354" spans="1:30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</row>
    <row r="355" spans="1:30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</row>
    <row r="356" spans="1:30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</row>
    <row r="357" spans="1:30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</row>
    <row r="358" spans="1:30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</row>
    <row r="359" spans="1:30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</row>
    <row r="360" spans="1:30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</row>
    <row r="361" spans="1:30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</row>
    <row r="362" spans="1:30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</row>
    <row r="363" spans="1:30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</row>
    <row r="364" spans="1:30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</row>
    <row r="365" spans="1:30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</row>
    <row r="366" spans="1:30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</row>
    <row r="367" spans="1:30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</row>
    <row r="368" spans="1:30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</row>
    <row r="369" spans="1:30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</row>
    <row r="370" spans="1:30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</row>
    <row r="371" spans="1:30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</row>
    <row r="372" spans="1:30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</row>
    <row r="373" spans="1:30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</row>
    <row r="374" spans="1:30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</row>
    <row r="375" spans="1:30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</row>
    <row r="376" spans="1:30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</row>
    <row r="377" spans="1:30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</row>
    <row r="378" spans="1:30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</row>
    <row r="379" spans="1:30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</row>
    <row r="380" spans="1:30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</row>
    <row r="381" spans="1:30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</row>
    <row r="382" spans="1:30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</row>
    <row r="383" spans="1:30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</row>
    <row r="384" spans="1:30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</row>
    <row r="385" spans="1:30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</row>
    <row r="386" spans="1:30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</row>
    <row r="387" spans="1:30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</row>
    <row r="388" spans="1:30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</row>
    <row r="389" spans="1:30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</row>
    <row r="390" spans="1:30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</row>
    <row r="391" spans="1:30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</row>
    <row r="392" spans="1:30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</row>
    <row r="393" spans="1:30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</row>
    <row r="394" spans="1:30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</row>
    <row r="395" spans="1:30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</row>
    <row r="396" spans="1:30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</row>
    <row r="397" spans="1:30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</row>
    <row r="398" spans="1:30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</row>
    <row r="399" spans="1:30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</row>
    <row r="400" spans="1:30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</row>
    <row r="401" spans="1:30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</row>
    <row r="402" spans="1:30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</row>
    <row r="403" spans="1:30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</row>
    <row r="404" spans="1:30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</row>
    <row r="405" spans="1:30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</row>
    <row r="406" spans="1:30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</row>
    <row r="407" spans="1:30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</row>
    <row r="408" spans="1:30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</row>
    <row r="409" spans="1:30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</row>
    <row r="410" spans="1:30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</row>
    <row r="411" spans="1:30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</row>
    <row r="412" spans="1:30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</row>
    <row r="413" spans="1:30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</row>
    <row r="414" spans="1:30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</row>
    <row r="415" spans="1:30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</row>
    <row r="416" spans="1:30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</row>
    <row r="417" spans="1:30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</row>
    <row r="418" spans="1:30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</row>
    <row r="419" spans="1:30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</row>
    <row r="420" spans="1:30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</row>
    <row r="421" spans="1:30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</row>
    <row r="422" spans="1:30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</row>
    <row r="423" spans="1:30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</row>
    <row r="424" spans="1:30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</row>
    <row r="425" spans="1:30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</row>
    <row r="426" spans="1:30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</row>
    <row r="427" spans="1:30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</row>
    <row r="428" spans="1:30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</row>
    <row r="429" spans="1:30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</row>
    <row r="430" spans="1:30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</row>
    <row r="431" spans="1:30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</row>
    <row r="432" spans="1:30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</row>
    <row r="433" spans="1:30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</row>
    <row r="434" spans="1:30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</row>
    <row r="435" spans="1:30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</row>
    <row r="436" spans="1:30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</row>
    <row r="437" spans="1:30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</row>
    <row r="438" spans="1:30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</row>
    <row r="439" spans="1:30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</row>
    <row r="440" spans="1:30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</row>
    <row r="441" spans="1:30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</row>
    <row r="442" spans="1:30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</row>
    <row r="443" spans="1:30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</row>
    <row r="444" spans="1:30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</row>
    <row r="445" spans="1:30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</row>
    <row r="446" spans="1:30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</row>
    <row r="447" spans="1:30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</row>
    <row r="448" spans="1:30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</row>
    <row r="449" spans="1:30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</row>
    <row r="450" spans="1:30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</row>
    <row r="451" spans="1:30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</row>
    <row r="452" spans="1:30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</row>
    <row r="453" spans="1:30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</row>
    <row r="454" spans="1:30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</row>
    <row r="455" spans="1:30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</row>
    <row r="456" spans="1:30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</row>
    <row r="457" spans="1:30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</row>
    <row r="458" spans="1:30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</row>
    <row r="459" spans="1:30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</row>
    <row r="460" spans="1:30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</row>
    <row r="461" spans="1:30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</row>
    <row r="462" spans="1:30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</row>
    <row r="463" spans="1:30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</row>
    <row r="464" spans="1:30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</row>
    <row r="465" spans="1:30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</row>
    <row r="466" spans="1:30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</row>
    <row r="467" spans="1:30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</row>
    <row r="468" spans="1:30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</row>
    <row r="469" spans="1:30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</row>
    <row r="470" spans="1:30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</row>
    <row r="471" spans="1:30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</row>
    <row r="472" spans="1:30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</row>
    <row r="473" spans="1:30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</row>
    <row r="474" spans="1:30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</row>
    <row r="475" spans="1:30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</row>
    <row r="476" spans="1:30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</row>
    <row r="477" spans="1:30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</row>
    <row r="478" spans="1:30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</row>
    <row r="479" spans="1:30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</row>
    <row r="480" spans="1:30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</row>
    <row r="481" spans="1:30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</row>
    <row r="482" spans="1:30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</row>
    <row r="483" spans="1:30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</row>
    <row r="484" spans="1:30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</row>
    <row r="485" spans="1:30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</row>
    <row r="486" spans="1:30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</row>
    <row r="487" spans="1:30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</row>
    <row r="488" spans="1:30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</row>
    <row r="489" spans="1:30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</row>
    <row r="490" spans="1:30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</row>
    <row r="491" spans="1:30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</row>
    <row r="492" spans="1:30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</row>
    <row r="493" spans="1:30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</row>
    <row r="494" spans="1:30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</row>
    <row r="495" spans="1:30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</row>
    <row r="496" spans="1:30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</row>
    <row r="497" spans="1:30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</row>
    <row r="498" spans="1:30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</row>
    <row r="499" spans="1:30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</row>
    <row r="500" spans="1:30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</row>
    <row r="501" spans="1:30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</row>
    <row r="502" spans="1:30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</row>
    <row r="503" spans="1:30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</row>
    <row r="504" spans="1:30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</row>
    <row r="505" spans="1:30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</row>
    <row r="506" spans="1:30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</row>
    <row r="507" spans="1:30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</row>
    <row r="508" spans="1:30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</row>
    <row r="509" spans="1:30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</row>
    <row r="510" spans="1:30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</row>
    <row r="511" spans="1:30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</row>
    <row r="512" spans="1:30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</row>
    <row r="513" spans="1:30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</row>
    <row r="514" spans="1:30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</row>
    <row r="515" spans="1:30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</row>
    <row r="516" spans="1:30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</row>
    <row r="517" spans="1:30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</row>
    <row r="518" spans="1:30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</row>
    <row r="519" spans="1:30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</row>
    <row r="520" spans="1:30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</row>
    <row r="521" spans="1:30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</row>
    <row r="522" spans="1:30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</row>
    <row r="523" spans="1:30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</row>
    <row r="524" spans="1:30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</row>
    <row r="525" spans="1:30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</row>
    <row r="526" spans="1:30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</row>
    <row r="527" spans="1:30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</row>
    <row r="528" spans="1:30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</row>
    <row r="529" spans="1:30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</row>
    <row r="530" spans="1:30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</row>
    <row r="531" spans="1:30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</row>
    <row r="532" spans="1:30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</row>
    <row r="533" spans="1:30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</row>
    <row r="534" spans="1:30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</row>
    <row r="535" spans="1:30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</row>
    <row r="536" spans="1:30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</row>
    <row r="537" spans="1:30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</row>
    <row r="538" spans="1:30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</row>
    <row r="539" spans="1:30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</row>
    <row r="540" spans="1:30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</row>
    <row r="541" spans="1:30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</row>
    <row r="542" spans="1:30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</row>
    <row r="543" spans="1:30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</row>
    <row r="544" spans="1:30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</row>
    <row r="545" spans="1:30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</row>
    <row r="546" spans="1:30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</row>
    <row r="547" spans="1:30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</row>
    <row r="548" spans="1:30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</row>
    <row r="549" spans="1:30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</row>
    <row r="550" spans="1:30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</row>
    <row r="551" spans="1:30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</row>
    <row r="552" spans="1:30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</row>
    <row r="553" spans="1:30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</row>
    <row r="554" spans="1:30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</row>
    <row r="555" spans="1:30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</row>
    <row r="556" spans="1:30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</row>
    <row r="557" spans="1:30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</row>
    <row r="558" spans="1:30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</row>
    <row r="559" spans="1:30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</row>
    <row r="560" spans="1:30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</row>
    <row r="561" spans="1:30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</row>
    <row r="562" spans="1:30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</row>
    <row r="563" spans="1:30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</row>
    <row r="564" spans="1:30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</row>
    <row r="565" spans="1:30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</row>
    <row r="566" spans="1:30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</row>
    <row r="567" spans="1:30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</row>
    <row r="568" spans="1:30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</row>
    <row r="569" spans="1:30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</row>
    <row r="570" spans="1:30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</row>
    <row r="571" spans="1:30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</row>
    <row r="572" spans="1:30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</row>
    <row r="573" spans="1:30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</row>
    <row r="574" spans="1:30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</row>
    <row r="575" spans="1:30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</row>
    <row r="576" spans="1:30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</row>
    <row r="577" spans="1:30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</row>
    <row r="578" spans="1:30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</row>
    <row r="579" spans="1:30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</row>
    <row r="580" spans="1:30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</row>
    <row r="581" spans="1:30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</row>
    <row r="582" spans="1:30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</row>
    <row r="583" spans="1:30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</row>
    <row r="584" spans="1:30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</row>
    <row r="585" spans="1:30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</row>
    <row r="586" spans="1:30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</row>
    <row r="587" spans="1:30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</row>
    <row r="588" spans="1:30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</row>
    <row r="589" spans="1:30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</row>
    <row r="590" spans="1:30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</row>
    <row r="591" spans="1:30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</row>
    <row r="592" spans="1:30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</row>
    <row r="593" spans="1:30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</row>
    <row r="594" spans="1:30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</row>
    <row r="595" spans="1:30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</row>
    <row r="596" spans="1:30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</row>
    <row r="597" spans="1:30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</row>
    <row r="598" spans="1:30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</row>
    <row r="599" spans="1:30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</row>
    <row r="600" spans="1:30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</row>
    <row r="601" spans="1:30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</row>
    <row r="602" spans="1:30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</row>
    <row r="603" spans="1:30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</row>
    <row r="604" spans="1:30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</row>
    <row r="605" spans="1:30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</row>
    <row r="606" spans="1:30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</row>
    <row r="607" spans="1:30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</row>
    <row r="608" spans="1:30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</row>
    <row r="609" spans="1:30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</row>
    <row r="610" spans="1:30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</row>
    <row r="611" spans="1:30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</row>
    <row r="612" spans="1:30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</row>
    <row r="613" spans="1:30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</row>
    <row r="614" spans="1:30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</row>
    <row r="615" spans="1:30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</row>
    <row r="616" spans="1:30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</row>
    <row r="617" spans="1:30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</row>
    <row r="618" spans="1:30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</row>
    <row r="619" spans="1:30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</row>
    <row r="620" spans="1:30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</row>
    <row r="621" spans="1:30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</row>
    <row r="622" spans="1:30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</row>
    <row r="623" spans="1:30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</row>
    <row r="624" spans="1:30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</row>
    <row r="625" spans="1:30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</row>
    <row r="626" spans="1:30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</row>
    <row r="627" spans="1:30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</row>
    <row r="628" spans="1:30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</row>
    <row r="629" spans="1:30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</row>
    <row r="630" spans="1:30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</row>
    <row r="631" spans="1:30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</row>
    <row r="632" spans="1:30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</row>
    <row r="633" spans="1:30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</row>
    <row r="634" spans="1:30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</row>
    <row r="635" spans="1:30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</row>
    <row r="636" spans="1:30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</row>
    <row r="637" spans="1:30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</row>
    <row r="638" spans="1:30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</row>
    <row r="639" spans="1:30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</row>
    <row r="640" spans="1:30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</row>
    <row r="641" spans="1:30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</row>
    <row r="642" spans="1:30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</row>
    <row r="643" spans="1:30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</row>
    <row r="644" spans="1:30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</row>
    <row r="645" spans="1:30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</row>
    <row r="646" spans="1:30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</row>
    <row r="647" spans="1:30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</row>
    <row r="648" spans="1:30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</row>
    <row r="649" spans="1:30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</row>
    <row r="650" spans="1:30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</row>
    <row r="651" spans="1:30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</row>
    <row r="652" spans="1:30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</row>
    <row r="653" spans="1:30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</row>
    <row r="654" spans="1:30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</row>
    <row r="655" spans="1:30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</row>
    <row r="656" spans="1:30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</row>
    <row r="657" spans="1:30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</row>
    <row r="658" spans="1:30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</row>
    <row r="659" spans="1:30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</row>
    <row r="660" spans="1:30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</row>
    <row r="661" spans="1:30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</row>
    <row r="662" spans="1:30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</row>
    <row r="663" spans="1:30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</row>
    <row r="664" spans="1:30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</row>
    <row r="665" spans="1:30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</row>
    <row r="666" spans="1:30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</row>
    <row r="667" spans="1:30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</row>
    <row r="668" spans="1:30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</row>
    <row r="669" spans="1:30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</row>
    <row r="670" spans="1:30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</row>
    <row r="671" spans="1:30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</row>
    <row r="672" spans="1:30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</row>
    <row r="673" spans="1:30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</row>
    <row r="674" spans="1:30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</row>
    <row r="675" spans="1:30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</row>
    <row r="676" spans="1:30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</row>
    <row r="677" spans="1:30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</row>
    <row r="678" spans="1:30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</row>
    <row r="679" spans="1:30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</row>
    <row r="680" spans="1:30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</row>
    <row r="681" spans="1:30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</row>
    <row r="682" spans="1:30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</row>
    <row r="683" spans="1:30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</row>
    <row r="684" spans="1:30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</row>
    <row r="685" spans="1:30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</row>
    <row r="686" spans="1:30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</row>
    <row r="687" spans="1:30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</row>
    <row r="688" spans="1:30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</row>
    <row r="689" spans="1:30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</row>
    <row r="690" spans="1:30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</row>
    <row r="691" spans="1:30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</row>
    <row r="692" spans="1:30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</row>
    <row r="693" spans="1:30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</row>
    <row r="694" spans="1:30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</row>
    <row r="695" spans="1:30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</row>
    <row r="696" spans="1:30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</row>
    <row r="697" spans="1:30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</row>
    <row r="698" spans="1:30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</row>
    <row r="699" spans="1:30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</row>
    <row r="700" spans="1:30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</row>
    <row r="701" spans="1:30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</row>
    <row r="702" spans="1:30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</row>
    <row r="703" spans="1:30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</row>
    <row r="704" spans="1:30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</row>
    <row r="705" spans="1:30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</row>
    <row r="706" spans="1:30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</row>
    <row r="707" spans="1:30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</row>
    <row r="708" spans="1:30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</row>
    <row r="709" spans="1:30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</row>
    <row r="710" spans="1:30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</row>
    <row r="711" spans="1:30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</row>
    <row r="712" spans="1:30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</row>
    <row r="713" spans="1:30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</row>
    <row r="714" spans="1:30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</row>
    <row r="715" spans="1:30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</row>
    <row r="716" spans="1:30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</row>
    <row r="717" spans="1:30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</row>
    <row r="718" spans="1:30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</row>
    <row r="719" spans="1:30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</row>
    <row r="720" spans="1:30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</row>
    <row r="721" spans="1:30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</row>
    <row r="722" spans="1:30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</row>
    <row r="723" spans="1:30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</row>
    <row r="724" spans="1:30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</row>
    <row r="725" spans="1:30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</row>
    <row r="726" spans="1:30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</row>
    <row r="727" spans="1:30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</row>
    <row r="728" spans="1:30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</row>
    <row r="729" spans="1:30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</row>
    <row r="730" spans="1:30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</row>
    <row r="731" spans="1:30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</row>
    <row r="732" spans="1:30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</row>
    <row r="733" spans="1:30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</row>
    <row r="734" spans="1:30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</row>
    <row r="735" spans="1:30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</row>
    <row r="736" spans="1:30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</row>
    <row r="737" spans="1:30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</row>
    <row r="738" spans="1:30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</row>
    <row r="739" spans="1:30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</row>
    <row r="740" spans="1:30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</row>
    <row r="741" spans="1:30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</row>
    <row r="742" spans="1:30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</row>
    <row r="743" spans="1:30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</row>
    <row r="744" spans="1:30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</row>
    <row r="745" spans="1:30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</row>
    <row r="746" spans="1:30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</row>
    <row r="747" spans="1:30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</row>
    <row r="748" spans="1:30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</row>
    <row r="749" spans="1:30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</row>
    <row r="750" spans="1:30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</row>
    <row r="751" spans="1:30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</row>
    <row r="752" spans="1:30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</row>
    <row r="753" spans="1:30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</row>
    <row r="754" spans="1:30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</row>
    <row r="755" spans="1:30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</row>
    <row r="756" spans="1:30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</row>
    <row r="757" spans="1:30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</row>
    <row r="758" spans="1:30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</row>
    <row r="759" spans="1:30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</row>
    <row r="760" spans="1:30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</row>
    <row r="761" spans="1:30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</row>
    <row r="762" spans="1:30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</row>
    <row r="763" spans="1:30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</row>
    <row r="764" spans="1:30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</row>
    <row r="765" spans="1:30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</row>
    <row r="766" spans="1:30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</row>
    <row r="767" spans="1:30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</row>
    <row r="768" spans="1:30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</row>
    <row r="769" spans="1:30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</row>
    <row r="770" spans="1:30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</row>
    <row r="771" spans="1:30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</row>
    <row r="772" spans="1:30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</row>
    <row r="773" spans="1:30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</row>
    <row r="774" spans="1:30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</row>
    <row r="775" spans="1:30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</row>
    <row r="776" spans="1:30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</row>
    <row r="777" spans="1:30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</row>
    <row r="778" spans="1:30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</row>
    <row r="779" spans="1:30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</row>
    <row r="780" spans="1:30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</row>
    <row r="781" spans="1:30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</row>
    <row r="782" spans="1:30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</row>
    <row r="783" spans="1:30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</row>
    <row r="784" spans="1:30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</row>
    <row r="785" spans="1:30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</row>
    <row r="786" spans="1:30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</row>
    <row r="787" spans="1:30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</row>
    <row r="788" spans="1:30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</row>
    <row r="789" spans="1:30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</row>
    <row r="790" spans="1:30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</row>
    <row r="791" spans="1:30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</row>
    <row r="792" spans="1:30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</row>
    <row r="793" spans="1:30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</row>
    <row r="794" spans="1:30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</row>
    <row r="795" spans="1:30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</row>
    <row r="796" spans="1:30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</row>
    <row r="797" spans="1:30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</row>
    <row r="798" spans="1:30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</row>
    <row r="799" spans="1:30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</row>
    <row r="800" spans="1:30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</row>
    <row r="801" spans="1:30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</row>
    <row r="802" spans="1:30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</row>
    <row r="803" spans="1:30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</row>
    <row r="804" spans="1:30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</row>
    <row r="805" spans="1:30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</row>
    <row r="806" spans="1:30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</row>
    <row r="807" spans="1:30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</row>
    <row r="808" spans="1:30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</row>
    <row r="809" spans="1:30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</row>
    <row r="810" spans="1:30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</row>
    <row r="811" spans="1:30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</row>
    <row r="812" spans="1:30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</row>
    <row r="813" spans="1:30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</row>
    <row r="814" spans="1:30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</row>
    <row r="815" spans="1:30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</row>
    <row r="816" spans="1:30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</row>
    <row r="817" spans="1:30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</row>
    <row r="818" spans="1:30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</row>
    <row r="819" spans="1:30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</row>
    <row r="820" spans="1:30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</row>
    <row r="821" spans="1:30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</row>
    <row r="822" spans="1:30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</row>
    <row r="823" spans="1:30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</row>
    <row r="824" spans="1:30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</row>
    <row r="825" spans="1:30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</row>
    <row r="826" spans="1:30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</row>
    <row r="827" spans="1:30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</row>
    <row r="828" spans="1:30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</row>
    <row r="829" spans="1:30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</row>
    <row r="830" spans="1:30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</row>
    <row r="831" spans="1:30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</row>
    <row r="832" spans="1:30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</row>
    <row r="833" spans="1:30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</row>
    <row r="834" spans="1:30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</row>
    <row r="835" spans="1:30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</row>
    <row r="836" spans="1:30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</row>
    <row r="837" spans="1:30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</row>
    <row r="838" spans="1:30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</row>
    <row r="839" spans="1:30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</row>
    <row r="840" spans="1:30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</row>
    <row r="841" spans="1:30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</row>
    <row r="842" spans="1:30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</row>
    <row r="843" spans="1:30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</row>
    <row r="844" spans="1:30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</row>
    <row r="845" spans="1:30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</row>
    <row r="846" spans="1:30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</row>
    <row r="847" spans="1:30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</row>
    <row r="848" spans="1:30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</row>
    <row r="849" spans="1:30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</row>
    <row r="850" spans="1:30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</row>
    <row r="851" spans="1:30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</row>
    <row r="852" spans="1:30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</row>
    <row r="853" spans="1:30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</row>
    <row r="854" spans="1:30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</row>
    <row r="855" spans="1:30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</row>
    <row r="856" spans="1:30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</row>
    <row r="857" spans="1:30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</row>
    <row r="858" spans="1:30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</row>
    <row r="859" spans="1:30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</row>
    <row r="860" spans="1:30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</row>
    <row r="861" spans="1:30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</row>
    <row r="862" spans="1:30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</row>
    <row r="863" spans="1:30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</row>
    <row r="864" spans="1:30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</row>
    <row r="865" spans="1:30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</row>
    <row r="866" spans="1:30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</row>
    <row r="867" spans="1:30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</row>
    <row r="868" spans="1:30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</row>
    <row r="869" spans="1:30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</row>
    <row r="870" spans="1:30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</row>
    <row r="871" spans="1:30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</row>
    <row r="872" spans="1:30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</row>
    <row r="873" spans="1:30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</row>
    <row r="874" spans="1:30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</row>
    <row r="875" spans="1:30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</row>
    <row r="876" spans="1:30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</row>
    <row r="877" spans="1:30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</row>
    <row r="878" spans="1:30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</row>
    <row r="879" spans="1:30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</row>
    <row r="880" spans="1:30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</row>
    <row r="881" spans="1:30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</row>
    <row r="882" spans="1:30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</row>
    <row r="883" spans="1:30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</row>
    <row r="884" spans="1:30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</row>
    <row r="885" spans="1:30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</row>
    <row r="886" spans="1:30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</row>
    <row r="887" spans="1:30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</row>
    <row r="888" spans="1:30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</row>
    <row r="889" spans="1:30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</row>
    <row r="890" spans="1:30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</row>
    <row r="891" spans="1:30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</row>
    <row r="892" spans="1:30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</row>
    <row r="893" spans="1:30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</row>
    <row r="894" spans="1:30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</row>
    <row r="895" spans="1:30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</row>
    <row r="896" spans="1:30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</row>
    <row r="897" spans="1:30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</row>
    <row r="898" spans="1:30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</row>
    <row r="899" spans="1:30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</row>
    <row r="900" spans="1:30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</row>
    <row r="901" spans="1:30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</row>
    <row r="902" spans="1:30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</row>
    <row r="903" spans="1:30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</row>
    <row r="904" spans="1:30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</row>
    <row r="905" spans="1:30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</row>
    <row r="906" spans="1:30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</row>
    <row r="907" spans="1:30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</row>
    <row r="908" spans="1:30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</row>
    <row r="909" spans="1:30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</row>
    <row r="910" spans="1:30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</row>
    <row r="911" spans="1:30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</row>
    <row r="912" spans="1:30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</row>
    <row r="913" spans="1:30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</row>
    <row r="914" spans="1:30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</row>
    <row r="915" spans="1:30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</row>
    <row r="916" spans="1:30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</row>
    <row r="917" spans="1:30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</row>
    <row r="918" spans="1:30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</row>
    <row r="919" spans="1:30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</row>
    <row r="920" spans="1:30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</row>
    <row r="921" spans="1:30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</row>
    <row r="922" spans="1:30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</row>
    <row r="923" spans="1:30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</row>
    <row r="924" spans="1:30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</row>
    <row r="925" spans="1:30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</row>
    <row r="926" spans="1:30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</row>
    <row r="927" spans="1:30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</row>
    <row r="928" spans="1:30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</row>
    <row r="929" spans="1:30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</row>
    <row r="930" spans="1:30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</row>
    <row r="931" spans="1:30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</row>
    <row r="932" spans="1:30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</row>
    <row r="933" spans="1:30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</row>
    <row r="934" spans="1:30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</row>
    <row r="935" spans="1:30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</row>
    <row r="936" spans="1:30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</row>
    <row r="937" spans="1:30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</row>
    <row r="938" spans="1:30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</row>
    <row r="939" spans="1:30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</row>
    <row r="940" spans="1:30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</row>
    <row r="941" spans="1:30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</row>
    <row r="942" spans="1:30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</row>
    <row r="943" spans="1:30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</row>
    <row r="944" spans="1:30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</row>
    <row r="945" spans="1:30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</row>
    <row r="946" spans="1:30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</row>
    <row r="947" spans="1:30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</row>
    <row r="948" spans="1:30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</row>
    <row r="949" spans="1:30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</row>
    <row r="950" spans="1:30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</row>
    <row r="951" spans="1:30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</row>
    <row r="952" spans="1:30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</row>
    <row r="953" spans="1:30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</row>
    <row r="954" spans="1:30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</row>
    <row r="955" spans="1:30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</row>
    <row r="956" spans="1:30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</row>
    <row r="957" spans="1:30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</row>
    <row r="958" spans="1:30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</row>
    <row r="959" spans="1:30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</row>
    <row r="960" spans="1:30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</row>
    <row r="961" spans="1:30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</row>
    <row r="962" spans="1:30" ht="15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</row>
    <row r="963" spans="1:30" ht="15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</row>
    <row r="964" spans="1:30" ht="15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</row>
    <row r="965" spans="1:30" ht="15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</row>
    <row r="966" spans="1:30" ht="15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</row>
    <row r="967" spans="1:30" ht="15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</row>
    <row r="968" spans="1:30" ht="15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</row>
    <row r="969" spans="1:30" ht="15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</row>
    <row r="970" spans="1:30" ht="15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</row>
    <row r="971" spans="1:30" ht="15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</row>
    <row r="972" spans="1:30" ht="15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</row>
    <row r="973" spans="1:30" ht="15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</row>
    <row r="974" spans="1:30" ht="15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</row>
    <row r="975" spans="1:30" ht="15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</row>
    <row r="976" spans="1:30" ht="15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</row>
    <row r="977" spans="1:30" ht="15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</row>
    <row r="978" spans="1:30" ht="15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</row>
    <row r="979" spans="1:30" ht="15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</row>
    <row r="980" spans="1:30" ht="15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</row>
    <row r="981" spans="1:30" ht="15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</row>
    <row r="982" spans="1:30" ht="15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</row>
    <row r="983" spans="1:30" ht="15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</row>
    <row r="984" spans="1:30" ht="15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</row>
    <row r="985" spans="1:30" ht="15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</row>
    <row r="986" spans="1:30" ht="15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</row>
    <row r="987" spans="1:30" ht="15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</row>
    <row r="988" spans="1:30" ht="15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</row>
    <row r="989" spans="1:30" ht="15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</row>
    <row r="990" spans="1:30" ht="15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</row>
    <row r="991" spans="1:30" ht="15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</row>
    <row r="992" spans="1:30" ht="15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</row>
    <row r="993" spans="1:30" ht="15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</row>
    <row r="994" spans="1:30" ht="15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</row>
    <row r="995" spans="1:30" ht="15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</row>
    <row r="996" spans="1:30" ht="15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</row>
    <row r="997" spans="1:30" ht="15.7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</row>
    <row r="998" spans="1:30" ht="15.7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</row>
    <row r="999" spans="1:30" ht="15.7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</row>
    <row r="1000" spans="1:30" ht="15.7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</row>
    <row r="1001" spans="1:30" ht="15.75" customHeight="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  <c r="AB1001" s="65"/>
      <c r="AC1001" s="65"/>
      <c r="AD1001" s="65"/>
    </row>
    <row r="1002" spans="1:30" ht="15.75" customHeight="1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  <c r="AB1002" s="65"/>
      <c r="AC1002" s="65"/>
      <c r="AD1002" s="65"/>
    </row>
    <row r="1003" spans="1:30" ht="15.75" customHeight="1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  <c r="AB1003" s="65"/>
      <c r="AC1003" s="65"/>
      <c r="AD1003" s="65"/>
    </row>
    <row r="1004" spans="1:30" ht="15.75" customHeight="1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  <c r="AB1004" s="65"/>
      <c r="AC1004" s="65"/>
      <c r="AD1004" s="65"/>
    </row>
    <row r="1005" spans="1:30" ht="15.75" customHeight="1">
      <c r="A1005" s="65"/>
      <c r="B1005" s="65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  <c r="AB1005" s="65"/>
      <c r="AC1005" s="65"/>
      <c r="AD1005" s="65"/>
    </row>
  </sheetData>
  <mergeCells count="1">
    <mergeCell ref="A1:A2"/>
  </mergeCells>
  <hyperlinks>
    <hyperlink ref="Q4" r:id="rId1" xr:uid="{00000000-0004-0000-0600-000000000000}"/>
    <hyperlink ref="Q7" r:id="rId2" location="InplviewHashef347ce3-9fcc-4b72-be6a-207e60680777=ShowInGrid%3DTrue" xr:uid="{00000000-0004-0000-0600-000002000000}"/>
    <hyperlink ref="Q9" r:id="rId3" xr:uid="{00000000-0004-0000-0600-000003000000}"/>
    <hyperlink ref="Q10" r:id="rId4" xr:uid="{00000000-0004-0000-0600-000004000000}"/>
    <hyperlink ref="Q13" r:id="rId5" display="Where to find Sustainable Aviation Fuel — 4AIR All SAF activity Map: https://www.google.com/maps/d/viewer?mid=1JsMmhJvm27YLD3CRE31v0PjJ_gN6rVdq&amp;ll=37.481588920733614%2C-95.65963304209313&amp;z=5" xr:uid="{00000000-0004-0000-0600-000006000000}"/>
    <hyperlink ref="Q6" r:id="rId6" xr:uid="{56C2DAB1-48D3-4216-B5B5-8C4F85A376AD}"/>
    <hyperlink ref="Q5" r:id="rId7" xr:uid="{4CBFC6C4-86CC-4E11-A857-13C5732F7004}"/>
    <hyperlink ref="Q8" r:id="rId8" location="InplviewHashef347ce3-9fcc-4b72-be6a-207e60680777=ShowInGrid%3DTrue" xr:uid="{CB700CD6-61CE-4395-A87D-E3A3BCA9DCC5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8306C"/>
  </sheetPr>
  <dimension ref="A1:AD100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2" sqref="D12:O12"/>
    </sheetView>
  </sheetViews>
  <sheetFormatPr defaultColWidth="14.42578125" defaultRowHeight="15" customHeight="1"/>
  <cols>
    <col min="1" max="1" width="62.85546875" customWidth="1"/>
    <col min="2" max="15" width="11.7109375" customWidth="1"/>
    <col min="16" max="16" width="27.42578125" customWidth="1"/>
    <col min="17" max="17" width="73.5703125" customWidth="1"/>
    <col min="18" max="18" width="24.7109375" customWidth="1"/>
    <col min="19" max="30" width="8.85546875" customWidth="1"/>
  </cols>
  <sheetData>
    <row r="1" spans="1:30">
      <c r="A1" s="430" t="s">
        <v>184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3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58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9" t="s">
        <v>21</v>
      </c>
      <c r="Q3" s="29" t="s">
        <v>22</v>
      </c>
      <c r="R3" s="29" t="s">
        <v>23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5" t="s">
        <v>185</v>
      </c>
      <c r="B4" s="36"/>
      <c r="C4" s="36"/>
      <c r="D4" s="36"/>
      <c r="E4" s="36"/>
      <c r="F4" s="36"/>
      <c r="G4" s="158">
        <v>9.4224999999999994</v>
      </c>
      <c r="H4" s="158">
        <v>11.158927</v>
      </c>
      <c r="I4" s="158">
        <v>13.019864999999999</v>
      </c>
      <c r="J4" s="158">
        <v>12.355041999999999</v>
      </c>
      <c r="K4" s="158">
        <v>13.0586</v>
      </c>
      <c r="L4" s="158">
        <v>13.994249999999999</v>
      </c>
      <c r="M4" s="158">
        <v>13.3658</v>
      </c>
      <c r="N4" s="158">
        <v>12.844099999999999</v>
      </c>
      <c r="O4" s="158">
        <v>13.9023</v>
      </c>
      <c r="P4" s="238" t="s">
        <v>186</v>
      </c>
      <c r="Q4" s="238" t="s">
        <v>187</v>
      </c>
      <c r="R4" s="34" t="s">
        <v>27</v>
      </c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</row>
    <row r="5" spans="1:30">
      <c r="A5" s="35" t="s">
        <v>188</v>
      </c>
      <c r="B5" s="36"/>
      <c r="C5" s="36"/>
      <c r="D5" s="36"/>
      <c r="E5" s="32">
        <v>123</v>
      </c>
      <c r="F5" s="32">
        <v>122</v>
      </c>
      <c r="G5" s="32">
        <v>137</v>
      </c>
      <c r="H5" s="32">
        <v>147</v>
      </c>
      <c r="I5" s="32">
        <v>148</v>
      </c>
      <c r="J5" s="37">
        <v>140</v>
      </c>
      <c r="K5" s="37">
        <v>126</v>
      </c>
      <c r="L5" s="37">
        <v>124</v>
      </c>
      <c r="M5" s="37">
        <v>116</v>
      </c>
      <c r="N5" s="37">
        <v>123</v>
      </c>
      <c r="O5" s="37">
        <v>118</v>
      </c>
      <c r="P5" s="238" t="s">
        <v>186</v>
      </c>
      <c r="Q5" s="238" t="s">
        <v>187</v>
      </c>
      <c r="R5" s="34" t="s">
        <v>27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35" t="s">
        <v>189</v>
      </c>
      <c r="B6" s="36"/>
      <c r="C6" s="36"/>
      <c r="D6" s="36"/>
      <c r="E6" s="32">
        <v>11</v>
      </c>
      <c r="F6" s="32">
        <v>15</v>
      </c>
      <c r="G6" s="32">
        <v>22</v>
      </c>
      <c r="H6" s="32">
        <v>18</v>
      </c>
      <c r="I6" s="32">
        <v>7</v>
      </c>
      <c r="J6" s="37">
        <v>0</v>
      </c>
      <c r="K6" s="37">
        <v>3</v>
      </c>
      <c r="L6" s="37">
        <v>1</v>
      </c>
      <c r="M6" s="37">
        <v>3</v>
      </c>
      <c r="N6" s="37">
        <v>3</v>
      </c>
      <c r="O6" s="37">
        <v>5</v>
      </c>
      <c r="P6" s="238" t="s">
        <v>186</v>
      </c>
      <c r="Q6" s="239" t="s">
        <v>187</v>
      </c>
      <c r="R6" s="34" t="s">
        <v>27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>
      <c r="A7" s="41" t="s">
        <v>42</v>
      </c>
      <c r="B7" s="36"/>
      <c r="C7" s="36"/>
      <c r="D7" s="36"/>
      <c r="E7" s="32">
        <v>7</v>
      </c>
      <c r="F7" s="32">
        <v>9</v>
      </c>
      <c r="G7" s="32">
        <v>9</v>
      </c>
      <c r="H7" s="32">
        <v>11</v>
      </c>
      <c r="I7" s="32">
        <v>4</v>
      </c>
      <c r="J7" s="37">
        <v>4</v>
      </c>
      <c r="K7" s="37">
        <v>2</v>
      </c>
      <c r="L7" s="37">
        <v>5</v>
      </c>
      <c r="M7" s="37">
        <v>4</v>
      </c>
      <c r="N7" s="37">
        <v>4</v>
      </c>
      <c r="O7" s="37">
        <v>1</v>
      </c>
      <c r="P7" s="238" t="s">
        <v>186</v>
      </c>
      <c r="Q7" s="239" t="s">
        <v>187</v>
      </c>
      <c r="R7" s="34" t="s">
        <v>27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35" t="s">
        <v>190</v>
      </c>
      <c r="B8" s="36"/>
      <c r="C8" s="36"/>
      <c r="D8" s="36"/>
      <c r="E8" s="36"/>
      <c r="F8" s="36"/>
      <c r="G8" s="36"/>
      <c r="H8" s="32">
        <v>13</v>
      </c>
      <c r="I8" s="32">
        <v>11</v>
      </c>
      <c r="J8" s="32">
        <v>6</v>
      </c>
      <c r="K8" s="32">
        <v>0</v>
      </c>
      <c r="L8" s="37">
        <v>5</v>
      </c>
      <c r="M8" s="37">
        <v>1</v>
      </c>
      <c r="N8" s="37">
        <v>1</v>
      </c>
      <c r="O8" s="37">
        <v>1</v>
      </c>
      <c r="P8" s="238" t="s">
        <v>186</v>
      </c>
      <c r="Q8" s="239" t="s">
        <v>187</v>
      </c>
      <c r="R8" s="34" t="s">
        <v>27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35" t="s">
        <v>191</v>
      </c>
      <c r="B9" s="36"/>
      <c r="C9" s="36"/>
      <c r="D9" s="36"/>
      <c r="E9" s="32">
        <v>36</v>
      </c>
      <c r="F9" s="32">
        <v>36</v>
      </c>
      <c r="G9" s="32">
        <v>36</v>
      </c>
      <c r="H9" s="32">
        <v>38</v>
      </c>
      <c r="I9" s="32">
        <v>37</v>
      </c>
      <c r="J9" s="37">
        <v>40</v>
      </c>
      <c r="K9" s="37">
        <v>38</v>
      </c>
      <c r="L9" s="37">
        <v>37</v>
      </c>
      <c r="M9" s="37">
        <v>36</v>
      </c>
      <c r="N9" s="37">
        <v>36</v>
      </c>
      <c r="O9" s="37">
        <v>35</v>
      </c>
      <c r="P9" s="238" t="s">
        <v>186</v>
      </c>
      <c r="Q9" s="238" t="s">
        <v>187</v>
      </c>
      <c r="R9" s="34" t="s">
        <v>27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7"/>
      <c r="P10" s="49"/>
      <c r="Q10" s="49"/>
      <c r="R10" s="50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51" t="s">
        <v>192</v>
      </c>
      <c r="B11" s="51">
        <v>2010</v>
      </c>
      <c r="C11" s="51">
        <v>2011</v>
      </c>
      <c r="D11" s="51">
        <v>2012</v>
      </c>
      <c r="E11" s="51">
        <v>2013</v>
      </c>
      <c r="F11" s="51">
        <v>2014</v>
      </c>
      <c r="G11" s="51">
        <v>2015</v>
      </c>
      <c r="H11" s="51">
        <v>2016</v>
      </c>
      <c r="I11" s="51">
        <v>2017</v>
      </c>
      <c r="J11" s="51">
        <v>2018</v>
      </c>
      <c r="K11" s="51">
        <v>2019</v>
      </c>
      <c r="L11" s="51">
        <v>2020</v>
      </c>
      <c r="M11" s="51">
        <v>2021</v>
      </c>
      <c r="N11" s="51">
        <v>2022</v>
      </c>
      <c r="O11" s="51">
        <v>2023</v>
      </c>
      <c r="P11" s="79" t="s">
        <v>21</v>
      </c>
      <c r="Q11" s="79" t="s">
        <v>22</v>
      </c>
      <c r="R11" s="79" t="s">
        <v>23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>
      <c r="A12" s="240" t="s">
        <v>193</v>
      </c>
      <c r="B12" s="36"/>
      <c r="C12" s="36"/>
      <c r="D12" s="80">
        <v>3.4740000000000002</v>
      </c>
      <c r="E12" s="80">
        <v>4.7039999999999997</v>
      </c>
      <c r="F12" s="80">
        <v>5.9470000000000001</v>
      </c>
      <c r="G12" s="80">
        <v>6.5170000000000003</v>
      </c>
      <c r="H12" s="80">
        <v>6.3929999999999998</v>
      </c>
      <c r="I12" s="80">
        <v>6.9</v>
      </c>
      <c r="J12" s="98">
        <v>7.4683609999999998</v>
      </c>
      <c r="K12" s="98">
        <v>8.5927129999999998</v>
      </c>
      <c r="L12" s="98">
        <v>8.4123590000000004</v>
      </c>
      <c r="M12" s="98">
        <v>8.4486000000000008</v>
      </c>
      <c r="N12" s="98">
        <v>9.5440000000000005</v>
      </c>
      <c r="O12" s="98">
        <v>9.820703</v>
      </c>
      <c r="P12" s="99" t="s">
        <v>194</v>
      </c>
      <c r="Q12" s="289" t="s">
        <v>195</v>
      </c>
      <c r="R12" s="34" t="s">
        <v>27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>
      <c r="A13" s="240" t="s">
        <v>543</v>
      </c>
      <c r="B13" s="36"/>
      <c r="C13" s="36"/>
      <c r="D13" s="345">
        <v>8.5999999999999993E-2</v>
      </c>
      <c r="E13" s="345">
        <v>0.15244199999999999</v>
      </c>
      <c r="F13" s="345">
        <v>0.21998699999999999</v>
      </c>
      <c r="G13" s="345">
        <v>0.20699999999999999</v>
      </c>
      <c r="H13" s="345">
        <v>0.204847</v>
      </c>
      <c r="I13" s="345">
        <v>0.211617</v>
      </c>
      <c r="J13" s="345">
        <v>0.221</v>
      </c>
      <c r="K13" s="345">
        <v>0.211615</v>
      </c>
      <c r="L13" s="346">
        <v>0.204958</v>
      </c>
      <c r="M13" s="346">
        <v>0.19595099999999999</v>
      </c>
      <c r="N13" s="347">
        <v>0.19441999999999998</v>
      </c>
      <c r="O13" s="347">
        <v>0.17687224700000001</v>
      </c>
      <c r="P13" s="349" t="s">
        <v>194</v>
      </c>
      <c r="Q13" s="100" t="s">
        <v>195</v>
      </c>
      <c r="R13" s="34" t="s">
        <v>27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>
      <c r="A14" s="240" t="s">
        <v>196</v>
      </c>
      <c r="B14" s="36"/>
      <c r="C14" s="36"/>
      <c r="D14" s="80">
        <v>1.8981250000000001</v>
      </c>
      <c r="E14" s="80">
        <v>2.882517</v>
      </c>
      <c r="F14" s="80">
        <v>4.0050569999999999</v>
      </c>
      <c r="G14" s="80">
        <v>4.6689999999999996</v>
      </c>
      <c r="H14" s="80">
        <v>4.7089999999999996</v>
      </c>
      <c r="I14" s="80">
        <v>5.2039809999999997</v>
      </c>
      <c r="J14" s="80">
        <v>6.0170000000000003</v>
      </c>
      <c r="K14" s="80">
        <v>6.8584620000000003</v>
      </c>
      <c r="L14" s="98">
        <v>7.2568599999999996</v>
      </c>
      <c r="M14" s="98">
        <v>7.5225499999999998</v>
      </c>
      <c r="N14" s="348">
        <v>8.9771599999999996</v>
      </c>
      <c r="O14" s="348">
        <v>9.5399999999999991</v>
      </c>
      <c r="P14" s="349" t="s">
        <v>194</v>
      </c>
      <c r="Q14" s="241" t="s">
        <v>195</v>
      </c>
      <c r="R14" s="34" t="s">
        <v>27</v>
      </c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>
      <c r="A15" s="240" t="s">
        <v>197</v>
      </c>
      <c r="B15" s="36"/>
      <c r="C15" s="36"/>
      <c r="D15" s="140">
        <f>+D12+D13-D14</f>
        <v>1.661875</v>
      </c>
      <c r="E15" s="140">
        <f t="shared" ref="E15:O15" si="0">+E12+E13-E14</f>
        <v>1.9739249999999995</v>
      </c>
      <c r="F15" s="140">
        <f t="shared" si="0"/>
        <v>2.1619299999999999</v>
      </c>
      <c r="G15" s="140">
        <f t="shared" si="0"/>
        <v>2.0550000000000006</v>
      </c>
      <c r="H15" s="140">
        <f t="shared" si="0"/>
        <v>1.8888470000000002</v>
      </c>
      <c r="I15" s="140">
        <f t="shared" si="0"/>
        <v>1.907636000000001</v>
      </c>
      <c r="J15" s="140">
        <f t="shared" si="0"/>
        <v>1.6723609999999995</v>
      </c>
      <c r="K15" s="140">
        <f t="shared" si="0"/>
        <v>1.9458659999999997</v>
      </c>
      <c r="L15" s="140">
        <f t="shared" si="0"/>
        <v>1.3604570000000002</v>
      </c>
      <c r="M15" s="140">
        <f t="shared" si="0"/>
        <v>1.122001</v>
      </c>
      <c r="N15" s="140">
        <f t="shared" si="0"/>
        <v>0.76126000000000005</v>
      </c>
      <c r="O15" s="140">
        <f t="shared" si="0"/>
        <v>0.45757524700000118</v>
      </c>
      <c r="P15" s="99" t="s">
        <v>198</v>
      </c>
      <c r="Q15" s="79"/>
      <c r="R15" s="79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ht="30">
      <c r="A16" s="240" t="s">
        <v>199</v>
      </c>
      <c r="B16" s="43">
        <v>126.83606807999999</v>
      </c>
      <c r="C16" s="43">
        <v>127.78123085999998</v>
      </c>
      <c r="D16" s="43">
        <v>128.97547985999998</v>
      </c>
      <c r="E16" s="43">
        <v>136.58113992</v>
      </c>
      <c r="F16" s="43">
        <v>144.4700076</v>
      </c>
      <c r="G16" s="43">
        <v>143.06761806</v>
      </c>
      <c r="H16" s="43">
        <v>139.71689658</v>
      </c>
      <c r="I16" s="43">
        <v>140.41638527999999</v>
      </c>
      <c r="J16" s="43">
        <v>139.9148007</v>
      </c>
      <c r="K16" s="43">
        <f>38543*3412.14/1000000</f>
        <v>131.51411202</v>
      </c>
      <c r="L16" s="43">
        <v>123.584299</v>
      </c>
      <c r="M16" s="43">
        <v>124.416861</v>
      </c>
      <c r="N16" s="43">
        <v>121.008133</v>
      </c>
      <c r="O16" s="43">
        <v>107.27426946</v>
      </c>
      <c r="P16" s="31" t="s">
        <v>52</v>
      </c>
      <c r="Q16" s="64" t="s">
        <v>53</v>
      </c>
      <c r="R16" s="34" t="s">
        <v>200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ht="30">
      <c r="A17" s="35" t="s">
        <v>201</v>
      </c>
      <c r="B17" s="43">
        <v>87.712470839999995</v>
      </c>
      <c r="C17" s="43">
        <v>91.073428739999983</v>
      </c>
      <c r="D17" s="43">
        <v>91.189441500000001</v>
      </c>
      <c r="E17" s="43">
        <v>94.485568739999991</v>
      </c>
      <c r="F17" s="43">
        <v>92.943281459999994</v>
      </c>
      <c r="G17" s="43">
        <v>93.21284052</v>
      </c>
      <c r="H17" s="43">
        <v>93.690540119999994</v>
      </c>
      <c r="I17" s="43">
        <v>93.629121600000005</v>
      </c>
      <c r="J17" s="43">
        <v>93.983984159999991</v>
      </c>
      <c r="K17" s="43">
        <f>26433*3412.14/1000000</f>
        <v>90.193096619999992</v>
      </c>
      <c r="L17" s="43">
        <f>24916*3412.14/1000000</f>
        <v>85.016880239999992</v>
      </c>
      <c r="M17" s="43">
        <f>24413*3412.14/1000000</f>
        <v>83.300573819999997</v>
      </c>
      <c r="N17" s="43">
        <f>23287*3412.14/1000000</f>
        <v>79.458504179999991</v>
      </c>
      <c r="O17" s="43">
        <v>74.336882040000006</v>
      </c>
      <c r="P17" s="31" t="s">
        <v>52</v>
      </c>
      <c r="Q17" s="64" t="s">
        <v>53</v>
      </c>
      <c r="R17" s="34" t="s">
        <v>200</v>
      </c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ht="30">
      <c r="A18" s="35" t="s">
        <v>202</v>
      </c>
      <c r="B18" s="43">
        <v>39.055354439999995</v>
      </c>
      <c r="C18" s="43">
        <v>36.622498620000002</v>
      </c>
      <c r="D18" s="43">
        <v>37.704147000000006</v>
      </c>
      <c r="E18" s="43">
        <v>41.976146279999995</v>
      </c>
      <c r="F18" s="43">
        <v>51.274227779999997</v>
      </c>
      <c r="G18" s="43">
        <v>49.69099482</v>
      </c>
      <c r="H18" s="43">
        <v>45.7909188</v>
      </c>
      <c r="I18" s="43">
        <v>46.545001739999996</v>
      </c>
      <c r="J18" s="43">
        <v>45.671493899999994</v>
      </c>
      <c r="K18" s="43">
        <f>12020*3412.14/1000000</f>
        <v>41.013922799999996</v>
      </c>
      <c r="L18" s="43">
        <v>38.253501999999997</v>
      </c>
      <c r="M18" s="43">
        <v>40.594230000000003</v>
      </c>
      <c r="N18" s="43">
        <v>40.952503999999998</v>
      </c>
      <c r="O18" s="43">
        <v>32.568876299999999</v>
      </c>
      <c r="P18" s="31" t="s">
        <v>52</v>
      </c>
      <c r="Q18" s="64" t="s">
        <v>53</v>
      </c>
      <c r="R18" s="34" t="s">
        <v>200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>
      <c r="A19" s="35" t="s">
        <v>203</v>
      </c>
      <c r="B19" s="43">
        <f t="shared" ref="B19:N19" si="1">+B20-B16</f>
        <v>2090.1639319199999</v>
      </c>
      <c r="C19" s="43">
        <f t="shared" si="1"/>
        <v>2085.2187691399999</v>
      </c>
      <c r="D19" s="43">
        <f t="shared" si="1"/>
        <v>2022.02452014</v>
      </c>
      <c r="E19" s="43">
        <f t="shared" si="1"/>
        <v>2201.4188600799998</v>
      </c>
      <c r="F19" s="43">
        <f t="shared" si="1"/>
        <v>2256.5299924000001</v>
      </c>
      <c r="G19" s="43">
        <f t="shared" si="1"/>
        <v>2168.9323819400001</v>
      </c>
      <c r="H19" s="43">
        <f t="shared" si="1"/>
        <v>2090.2831034199999</v>
      </c>
      <c r="I19" s="43">
        <f t="shared" si="1"/>
        <v>2144.5836147199998</v>
      </c>
      <c r="J19" s="43">
        <f t="shared" si="1"/>
        <v>2219.0851993000001</v>
      </c>
      <c r="K19" s="43">
        <f t="shared" si="1"/>
        <v>2105.4858879799999</v>
      </c>
      <c r="L19" s="43">
        <f t="shared" si="1"/>
        <v>1846.4157009999999</v>
      </c>
      <c r="M19" s="43">
        <f t="shared" si="1"/>
        <v>1864.5831390000001</v>
      </c>
      <c r="N19" s="43">
        <f t="shared" si="1"/>
        <v>1890.991867</v>
      </c>
      <c r="O19" s="43">
        <f>+O20-O16</f>
        <v>1810.7257305400001</v>
      </c>
      <c r="P19" s="31" t="s">
        <v>198</v>
      </c>
      <c r="Q19" s="64"/>
      <c r="R19" s="34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>
      <c r="A20" s="35" t="s">
        <v>204</v>
      </c>
      <c r="B20" s="32">
        <v>2217</v>
      </c>
      <c r="C20" s="32">
        <v>2213</v>
      </c>
      <c r="D20" s="32">
        <v>2151</v>
      </c>
      <c r="E20" s="32">
        <v>2338</v>
      </c>
      <c r="F20" s="32">
        <v>2401</v>
      </c>
      <c r="G20" s="32">
        <v>2312</v>
      </c>
      <c r="H20" s="32">
        <v>2230</v>
      </c>
      <c r="I20" s="32">
        <v>2285</v>
      </c>
      <c r="J20" s="32">
        <v>2359</v>
      </c>
      <c r="K20" s="32">
        <v>2237</v>
      </c>
      <c r="L20" s="32">
        <v>1970</v>
      </c>
      <c r="M20" s="32">
        <v>1989</v>
      </c>
      <c r="N20" s="32">
        <v>2012</v>
      </c>
      <c r="O20" s="32">
        <v>1918</v>
      </c>
      <c r="P20" s="31" t="s">
        <v>52</v>
      </c>
      <c r="Q20" s="288" t="s">
        <v>53</v>
      </c>
      <c r="R20" s="34" t="s">
        <v>511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>
      <c r="A21" s="35" t="s">
        <v>205</v>
      </c>
      <c r="B21" s="32">
        <v>541</v>
      </c>
      <c r="C21" s="32">
        <v>524</v>
      </c>
      <c r="D21" s="32">
        <v>438</v>
      </c>
      <c r="E21" s="32">
        <v>572</v>
      </c>
      <c r="F21" s="32">
        <v>579</v>
      </c>
      <c r="G21" s="32">
        <v>513</v>
      </c>
      <c r="H21" s="32">
        <v>448</v>
      </c>
      <c r="I21" s="32">
        <v>433</v>
      </c>
      <c r="J21" s="32">
        <v>525</v>
      </c>
      <c r="K21" s="32">
        <v>546</v>
      </c>
      <c r="L21" s="32">
        <v>345</v>
      </c>
      <c r="M21" s="32">
        <v>344</v>
      </c>
      <c r="N21" s="32">
        <v>422</v>
      </c>
      <c r="O21" s="32">
        <v>450</v>
      </c>
      <c r="P21" s="31" t="s">
        <v>52</v>
      </c>
      <c r="Q21" s="242" t="s">
        <v>53</v>
      </c>
      <c r="R21" s="34" t="s">
        <v>511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5.75" customHeight="1">
      <c r="A22" s="35" t="s">
        <v>206</v>
      </c>
      <c r="B22" s="32">
        <v>72</v>
      </c>
      <c r="C22" s="32">
        <v>69</v>
      </c>
      <c r="D22" s="32">
        <v>61</v>
      </c>
      <c r="E22" s="32">
        <v>70</v>
      </c>
      <c r="F22" s="32">
        <v>76</v>
      </c>
      <c r="G22" s="32">
        <v>79</v>
      </c>
      <c r="H22" s="32">
        <v>84</v>
      </c>
      <c r="I22" s="32">
        <v>84</v>
      </c>
      <c r="J22" s="32">
        <v>84</v>
      </c>
      <c r="K22" s="32">
        <v>84</v>
      </c>
      <c r="L22" s="32">
        <v>83</v>
      </c>
      <c r="M22" s="32">
        <v>83</v>
      </c>
      <c r="N22" s="32">
        <v>83</v>
      </c>
      <c r="O22" s="32">
        <v>82</v>
      </c>
      <c r="P22" s="31" t="s">
        <v>52</v>
      </c>
      <c r="Q22" s="64" t="s">
        <v>53</v>
      </c>
      <c r="R22" s="34" t="s">
        <v>511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35" t="s">
        <v>201</v>
      </c>
      <c r="B23" s="32">
        <v>1409</v>
      </c>
      <c r="C23" s="32">
        <v>1438</v>
      </c>
      <c r="D23" s="32">
        <v>1462</v>
      </c>
      <c r="E23" s="32">
        <v>1489</v>
      </c>
      <c r="F23" s="32">
        <v>1495</v>
      </c>
      <c r="G23" s="32">
        <v>1476</v>
      </c>
      <c r="H23" s="32">
        <v>1474</v>
      </c>
      <c r="I23" s="32">
        <v>1539</v>
      </c>
      <c r="J23" s="32">
        <v>1537</v>
      </c>
      <c r="K23" s="32">
        <v>1413</v>
      </c>
      <c r="L23" s="32">
        <v>1356</v>
      </c>
      <c r="M23" s="32">
        <v>1366</v>
      </c>
      <c r="N23" s="32">
        <v>1308</v>
      </c>
      <c r="O23" s="32">
        <v>1224</v>
      </c>
      <c r="P23" s="31" t="s">
        <v>52</v>
      </c>
      <c r="Q23" s="64" t="s">
        <v>53</v>
      </c>
      <c r="R23" s="34" t="s">
        <v>511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35" t="s">
        <v>202</v>
      </c>
      <c r="B24" s="32">
        <v>196</v>
      </c>
      <c r="C24" s="32">
        <v>182</v>
      </c>
      <c r="D24" s="32">
        <v>190</v>
      </c>
      <c r="E24" s="32">
        <v>207</v>
      </c>
      <c r="F24" s="32">
        <v>251</v>
      </c>
      <c r="G24" s="32">
        <v>244</v>
      </c>
      <c r="H24" s="32">
        <v>224</v>
      </c>
      <c r="I24" s="32">
        <v>229</v>
      </c>
      <c r="J24" s="32">
        <v>221</v>
      </c>
      <c r="K24" s="32">
        <v>201</v>
      </c>
      <c r="L24" s="32">
        <v>185</v>
      </c>
      <c r="M24" s="32">
        <v>199</v>
      </c>
      <c r="N24" s="32">
        <v>198</v>
      </c>
      <c r="O24" s="32">
        <v>162</v>
      </c>
      <c r="P24" s="31" t="s">
        <v>52</v>
      </c>
      <c r="Q24" s="64" t="s">
        <v>53</v>
      </c>
      <c r="R24" s="34" t="s">
        <v>511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35" t="s">
        <v>207</v>
      </c>
      <c r="B25" s="43">
        <v>15.7</v>
      </c>
      <c r="C25" s="43">
        <v>18.3</v>
      </c>
      <c r="D25" s="43">
        <v>18.053588999999999</v>
      </c>
      <c r="E25" s="43">
        <v>21.199020000000001</v>
      </c>
      <c r="F25" s="43">
        <v>25.093776999999999</v>
      </c>
      <c r="G25" s="43">
        <v>27.381663</v>
      </c>
      <c r="H25" s="43">
        <v>29.304248000000001</v>
      </c>
      <c r="I25" s="43">
        <v>33.410285999999999</v>
      </c>
      <c r="J25" s="43">
        <v>37.627758</v>
      </c>
      <c r="K25" s="43">
        <v>41.975704999999998</v>
      </c>
      <c r="L25" s="43">
        <v>42.988148000000002</v>
      </c>
      <c r="M25" s="43">
        <v>44.971052</v>
      </c>
      <c r="N25" s="43">
        <v>48.070886999999999</v>
      </c>
      <c r="O25" s="43">
        <v>49.944090000000003</v>
      </c>
      <c r="P25" s="31" t="s">
        <v>208</v>
      </c>
      <c r="Q25" s="101" t="s">
        <v>209</v>
      </c>
      <c r="R25" s="34" t="s">
        <v>511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35" t="s">
        <v>210</v>
      </c>
      <c r="B26" s="36"/>
      <c r="C26" s="36"/>
      <c r="D26" s="36"/>
      <c r="E26" s="36"/>
      <c r="F26" s="36"/>
      <c r="G26" s="36"/>
      <c r="H26" s="59">
        <v>10.0039768600908</v>
      </c>
      <c r="I26" s="59">
        <v>10.867588571765101</v>
      </c>
      <c r="J26" s="59">
        <v>10.730605345237</v>
      </c>
      <c r="K26" s="59">
        <v>10.8062154100458</v>
      </c>
      <c r="L26" s="59">
        <v>12.010147</v>
      </c>
      <c r="M26" s="59">
        <v>12.96185</v>
      </c>
      <c r="N26" s="59">
        <v>13.244444</v>
      </c>
      <c r="O26" s="59">
        <v>13.264989999999999</v>
      </c>
      <c r="P26" s="31" t="s">
        <v>52</v>
      </c>
      <c r="Q26" s="102" t="s">
        <v>211</v>
      </c>
      <c r="R26" s="34" t="s">
        <v>511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3.5" customHeight="1">
      <c r="A27" s="35" t="s">
        <v>212</v>
      </c>
      <c r="B27" s="36"/>
      <c r="C27" s="36"/>
      <c r="D27" s="43">
        <v>258.23399999999998</v>
      </c>
      <c r="E27" s="43">
        <v>370.98099999999999</v>
      </c>
      <c r="F27" s="43">
        <v>519.399</v>
      </c>
      <c r="G27" s="43">
        <v>682.97799999999995</v>
      </c>
      <c r="H27" s="43">
        <v>612.49599999999998</v>
      </c>
      <c r="I27" s="43">
        <v>666.54499999999996</v>
      </c>
      <c r="J27" s="43">
        <v>809.85500000000002</v>
      </c>
      <c r="K27" s="43">
        <v>942.62699999999995</v>
      </c>
      <c r="L27" s="89">
        <v>981.59299999999996</v>
      </c>
      <c r="M27" s="89">
        <v>1059.261</v>
      </c>
      <c r="N27" s="89">
        <v>1545.4090000000001</v>
      </c>
      <c r="O27" s="295">
        <v>1753.4892339999999</v>
      </c>
      <c r="P27" s="99" t="s">
        <v>194</v>
      </c>
      <c r="Q27" s="100" t="s">
        <v>195</v>
      </c>
      <c r="R27" s="34" t="s">
        <v>511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3.5" customHeight="1">
      <c r="A28" s="35" t="s">
        <v>213</v>
      </c>
      <c r="B28" s="103"/>
      <c r="C28" s="36"/>
      <c r="D28" s="43">
        <v>18.347999999999999</v>
      </c>
      <c r="E28" s="43">
        <v>30.262</v>
      </c>
      <c r="F28" s="43">
        <v>44.905999999999999</v>
      </c>
      <c r="G28" s="43">
        <v>45.781999999999996</v>
      </c>
      <c r="H28" s="43">
        <v>34.744999999999997</v>
      </c>
      <c r="I28" s="43">
        <v>41.134</v>
      </c>
      <c r="J28" s="43">
        <v>41.139000000000003</v>
      </c>
      <c r="K28" s="43">
        <v>42.323</v>
      </c>
      <c r="L28" s="89">
        <v>42.118000000000002</v>
      </c>
      <c r="M28" s="89">
        <v>42.997</v>
      </c>
      <c r="N28" s="89">
        <v>46.787999999999997</v>
      </c>
      <c r="O28" s="295">
        <v>50.057676000000001</v>
      </c>
      <c r="P28" s="99" t="s">
        <v>194</v>
      </c>
      <c r="Q28" s="100" t="s">
        <v>195</v>
      </c>
      <c r="R28" s="34" t="s">
        <v>511</v>
      </c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45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7"/>
      <c r="O29" s="46">
        <f>+O14/30.18505982</f>
        <v>0.31605039237586641</v>
      </c>
      <c r="P29" s="49"/>
      <c r="Q29" s="49"/>
      <c r="R29" s="50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51" t="s">
        <v>71</v>
      </c>
      <c r="B30" s="51">
        <v>2010</v>
      </c>
      <c r="C30" s="51">
        <v>2011</v>
      </c>
      <c r="D30" s="51">
        <v>2012</v>
      </c>
      <c r="E30" s="51">
        <v>2013</v>
      </c>
      <c r="F30" s="51">
        <v>2014</v>
      </c>
      <c r="G30" s="51">
        <v>2015</v>
      </c>
      <c r="H30" s="51">
        <v>2016</v>
      </c>
      <c r="I30" s="51">
        <v>2017</v>
      </c>
      <c r="J30" s="51">
        <v>2018</v>
      </c>
      <c r="K30" s="51">
        <v>2019</v>
      </c>
      <c r="L30" s="51">
        <v>2020</v>
      </c>
      <c r="M30" s="51">
        <v>2021</v>
      </c>
      <c r="N30" s="51">
        <v>2022</v>
      </c>
      <c r="O30" s="51">
        <v>2023</v>
      </c>
      <c r="P30" s="79" t="s">
        <v>21</v>
      </c>
      <c r="Q30" s="79" t="s">
        <v>22</v>
      </c>
      <c r="R30" s="79" t="s">
        <v>23</v>
      </c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</row>
    <row r="31" spans="1:30" ht="15.75" customHeight="1">
      <c r="A31" s="35" t="s">
        <v>214</v>
      </c>
      <c r="B31" s="32">
        <v>26549</v>
      </c>
      <c r="C31" s="32">
        <v>25477</v>
      </c>
      <c r="D31" s="32">
        <v>25484</v>
      </c>
      <c r="E31" s="32">
        <v>25085</v>
      </c>
      <c r="F31" s="32">
        <v>26895</v>
      </c>
      <c r="G31" s="32">
        <v>23416</v>
      </c>
      <c r="H31" s="32">
        <v>23596</v>
      </c>
      <c r="I31" s="32">
        <v>24432</v>
      </c>
      <c r="J31" s="32">
        <v>25040</v>
      </c>
      <c r="K31" s="32">
        <v>24738</v>
      </c>
      <c r="L31" s="32">
        <v>24306</v>
      </c>
      <c r="M31" s="32">
        <v>25517</v>
      </c>
      <c r="N31" s="32">
        <v>26939</v>
      </c>
      <c r="O31" s="32">
        <v>27349</v>
      </c>
      <c r="P31" s="31" t="s">
        <v>215</v>
      </c>
      <c r="Q31" s="62" t="s">
        <v>216</v>
      </c>
      <c r="R31" s="34" t="s">
        <v>27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336"/>
      <c r="N33" s="336"/>
      <c r="O33" s="336"/>
      <c r="P33" s="26"/>
      <c r="Q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33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104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  <row r="1001" spans="1:30" ht="15.75" customHeight="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</row>
  </sheetData>
  <mergeCells count="1">
    <mergeCell ref="A1:A2"/>
  </mergeCells>
  <hyperlinks>
    <hyperlink ref="Q12" r:id="rId1" location="data/FO" xr:uid="{00000000-0004-0000-0700-000000000000}"/>
    <hyperlink ref="Q13" r:id="rId2" location="data/FO" xr:uid="{00000000-0004-0000-0700-000001000000}"/>
    <hyperlink ref="Q14" r:id="rId3" location="data/FO" xr:uid="{00000000-0004-0000-0700-000002000000}"/>
    <hyperlink ref="Q16" r:id="rId4" xr:uid="{00000000-0004-0000-0700-000003000000}"/>
    <hyperlink ref="Q17" r:id="rId5" xr:uid="{00000000-0004-0000-0700-000004000000}"/>
    <hyperlink ref="Q18" r:id="rId6" xr:uid="{00000000-0004-0000-0700-000005000000}"/>
    <hyperlink ref="Q21" r:id="rId7" xr:uid="{00000000-0004-0000-0700-000007000000}"/>
    <hyperlink ref="Q22" r:id="rId8" xr:uid="{00000000-0004-0000-0700-000008000000}"/>
    <hyperlink ref="Q23" r:id="rId9" xr:uid="{00000000-0004-0000-0700-000009000000}"/>
    <hyperlink ref="Q24" r:id="rId10" xr:uid="{00000000-0004-0000-0700-00000A000000}"/>
    <hyperlink ref="Q25" r:id="rId11" xr:uid="{00000000-0004-0000-0700-00000B000000}"/>
    <hyperlink ref="Q26" r:id="rId12" xr:uid="{00000000-0004-0000-0700-00000C000000}"/>
    <hyperlink ref="Q27" r:id="rId13" location="data/FO" xr:uid="{00000000-0004-0000-0700-00000D000000}"/>
    <hyperlink ref="Q28" r:id="rId14" location="data/FO" xr:uid="{00000000-0004-0000-0700-00000E000000}"/>
    <hyperlink ref="Q31" r:id="rId15" location="tab=Tables" xr:uid="{00000000-0004-0000-0700-00000F000000}"/>
    <hyperlink ref="Q20" r:id="rId16" xr:uid="{9C2B9B72-D82F-4572-BD78-CBAD785E58E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8306C"/>
  </sheetPr>
  <dimension ref="A1:AD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12" sqref="Q12"/>
    </sheetView>
  </sheetViews>
  <sheetFormatPr defaultColWidth="14.42578125" defaultRowHeight="15" customHeight="1"/>
  <cols>
    <col min="1" max="1" width="78.5703125" customWidth="1"/>
    <col min="2" max="15" width="11.7109375" customWidth="1"/>
    <col min="16" max="16" width="17.140625" customWidth="1"/>
    <col min="17" max="17" width="62.85546875" customWidth="1"/>
    <col min="18" max="18" width="25.85546875" customWidth="1"/>
    <col min="19" max="30" width="70.7109375" customWidth="1"/>
  </cols>
  <sheetData>
    <row r="1" spans="1:30">
      <c r="A1" s="430" t="s">
        <v>217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3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9" t="s">
        <v>21</v>
      </c>
      <c r="Q3" s="29" t="s">
        <v>22</v>
      </c>
      <c r="R3" s="28" t="s">
        <v>23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5" t="s">
        <v>218</v>
      </c>
      <c r="B4" s="32">
        <v>86</v>
      </c>
      <c r="C4" s="105">
        <v>85</v>
      </c>
      <c r="D4" s="32">
        <v>85</v>
      </c>
      <c r="E4" s="32">
        <v>84</v>
      </c>
      <c r="F4" s="105">
        <v>84</v>
      </c>
      <c r="G4" s="32">
        <v>78</v>
      </c>
      <c r="H4" s="32">
        <v>77</v>
      </c>
      <c r="I4" s="106">
        <v>76</v>
      </c>
      <c r="J4" s="32">
        <v>75</v>
      </c>
      <c r="K4" s="32">
        <v>75</v>
      </c>
      <c r="L4" s="32">
        <v>64</v>
      </c>
      <c r="M4" s="32">
        <v>98</v>
      </c>
      <c r="N4" s="32">
        <v>60</v>
      </c>
      <c r="O4" s="32">
        <v>61</v>
      </c>
      <c r="P4" s="34" t="s">
        <v>52</v>
      </c>
      <c r="Q4" s="107" t="s">
        <v>219</v>
      </c>
      <c r="R4" s="34" t="s">
        <v>98</v>
      </c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>
      <c r="A5" s="35" t="s">
        <v>220</v>
      </c>
      <c r="B5" s="32">
        <v>2</v>
      </c>
      <c r="C5" s="32">
        <v>0</v>
      </c>
      <c r="D5" s="32">
        <v>2</v>
      </c>
      <c r="E5" s="32">
        <v>2</v>
      </c>
      <c r="F5" s="32">
        <v>1</v>
      </c>
      <c r="G5" s="32">
        <v>0</v>
      </c>
      <c r="H5" s="32">
        <v>0</v>
      </c>
      <c r="I5" s="32">
        <v>0</v>
      </c>
      <c r="J5" s="32">
        <v>0</v>
      </c>
      <c r="K5" s="32">
        <v>0</v>
      </c>
      <c r="L5" s="108">
        <v>1</v>
      </c>
      <c r="M5" s="109">
        <v>2</v>
      </c>
      <c r="N5" s="32">
        <v>2</v>
      </c>
      <c r="O5" s="32">
        <v>3</v>
      </c>
      <c r="P5" s="35" t="s">
        <v>52</v>
      </c>
      <c r="Q5" s="55" t="s">
        <v>219</v>
      </c>
      <c r="R5" s="34" t="s">
        <v>98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35" t="s">
        <v>221</v>
      </c>
      <c r="B6" s="32">
        <v>2</v>
      </c>
      <c r="C6" s="32">
        <v>2</v>
      </c>
      <c r="D6" s="32">
        <v>2</v>
      </c>
      <c r="E6" s="32">
        <v>2</v>
      </c>
      <c r="F6" s="32">
        <v>2</v>
      </c>
      <c r="G6" s="32">
        <v>2</v>
      </c>
      <c r="H6" s="32">
        <v>1</v>
      </c>
      <c r="I6" s="32">
        <v>1</v>
      </c>
      <c r="J6" s="32">
        <v>1</v>
      </c>
      <c r="K6" s="32">
        <v>0</v>
      </c>
      <c r="L6" s="110">
        <v>2</v>
      </c>
      <c r="M6" s="111">
        <v>2</v>
      </c>
      <c r="N6" s="32">
        <v>0</v>
      </c>
      <c r="O6" s="32">
        <v>0</v>
      </c>
      <c r="P6" s="35" t="s">
        <v>52</v>
      </c>
      <c r="Q6" s="55" t="s">
        <v>219</v>
      </c>
      <c r="R6" s="34" t="s">
        <v>98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>
      <c r="A7" s="35" t="s">
        <v>222</v>
      </c>
      <c r="B7" s="32">
        <v>11</v>
      </c>
      <c r="C7" s="32">
        <v>10</v>
      </c>
      <c r="D7" s="32">
        <v>11</v>
      </c>
      <c r="E7" s="32">
        <v>13</v>
      </c>
      <c r="F7" s="32">
        <v>8</v>
      </c>
      <c r="G7" s="32">
        <v>9</v>
      </c>
      <c r="H7" s="32">
        <v>11</v>
      </c>
      <c r="I7" s="32">
        <v>11</v>
      </c>
      <c r="J7" s="32">
        <v>20</v>
      </c>
      <c r="K7" s="32">
        <v>16</v>
      </c>
      <c r="L7" s="110">
        <v>11</v>
      </c>
      <c r="M7" s="111">
        <v>13</v>
      </c>
      <c r="N7" s="32">
        <v>2</v>
      </c>
      <c r="O7" s="32">
        <v>0</v>
      </c>
      <c r="P7" s="35" t="s">
        <v>52</v>
      </c>
      <c r="Q7" s="55" t="s">
        <v>219</v>
      </c>
      <c r="R7" s="34" t="s">
        <v>98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35" t="s">
        <v>223</v>
      </c>
      <c r="B8" s="32">
        <v>20</v>
      </c>
      <c r="C8" s="32">
        <v>20</v>
      </c>
      <c r="D8" s="32">
        <v>16</v>
      </c>
      <c r="E8" s="32">
        <v>13</v>
      </c>
      <c r="F8" s="32">
        <v>15</v>
      </c>
      <c r="G8" s="32">
        <v>15</v>
      </c>
      <c r="H8" s="32">
        <v>15</v>
      </c>
      <c r="I8" s="32">
        <v>10</v>
      </c>
      <c r="J8" s="32">
        <v>16</v>
      </c>
      <c r="K8" s="32">
        <v>13</v>
      </c>
      <c r="L8" s="110">
        <v>14</v>
      </c>
      <c r="M8" s="111">
        <v>13</v>
      </c>
      <c r="N8" s="32">
        <v>14</v>
      </c>
      <c r="O8" s="32">
        <v>14</v>
      </c>
      <c r="P8" s="35" t="s">
        <v>52</v>
      </c>
      <c r="Q8" s="55" t="s">
        <v>219</v>
      </c>
      <c r="R8" s="34" t="s">
        <v>98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35" t="s">
        <v>224</v>
      </c>
      <c r="B9" s="32">
        <v>9</v>
      </c>
      <c r="C9" s="32">
        <v>9</v>
      </c>
      <c r="D9" s="32">
        <v>7</v>
      </c>
      <c r="E9" s="32">
        <v>5</v>
      </c>
      <c r="F9" s="32">
        <v>7</v>
      </c>
      <c r="G9" s="32">
        <v>7</v>
      </c>
      <c r="H9" s="32">
        <v>7</v>
      </c>
      <c r="I9" s="32">
        <v>8</v>
      </c>
      <c r="J9" s="32">
        <v>6</v>
      </c>
      <c r="K9" s="32">
        <v>6</v>
      </c>
      <c r="L9" s="110">
        <v>8</v>
      </c>
      <c r="M9" s="111">
        <v>8</v>
      </c>
      <c r="N9" s="32">
        <v>8</v>
      </c>
      <c r="O9" s="32">
        <v>8</v>
      </c>
      <c r="P9" s="35" t="s">
        <v>52</v>
      </c>
      <c r="Q9" s="55" t="s">
        <v>219</v>
      </c>
      <c r="R9" s="34" t="s">
        <v>98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112"/>
      <c r="B10" s="113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5"/>
      <c r="Q10" s="116"/>
      <c r="R10" s="117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28" t="s">
        <v>50</v>
      </c>
      <c r="B11" s="28">
        <v>2010</v>
      </c>
      <c r="C11" s="28">
        <v>2011</v>
      </c>
      <c r="D11" s="28">
        <v>2012</v>
      </c>
      <c r="E11" s="28">
        <v>2013</v>
      </c>
      <c r="F11" s="28">
        <v>2014</v>
      </c>
      <c r="G11" s="28">
        <v>2015</v>
      </c>
      <c r="H11" s="28">
        <v>2016</v>
      </c>
      <c r="I11" s="28">
        <v>2017</v>
      </c>
      <c r="J11" s="28">
        <v>2018</v>
      </c>
      <c r="K11" s="28">
        <v>2019</v>
      </c>
      <c r="L11" s="28">
        <v>2020</v>
      </c>
      <c r="M11" s="28">
        <v>2021</v>
      </c>
      <c r="N11" s="28">
        <v>2022</v>
      </c>
      <c r="O11" s="28">
        <v>2023</v>
      </c>
      <c r="P11" s="29" t="s">
        <v>21</v>
      </c>
      <c r="Q11" s="29" t="s">
        <v>22</v>
      </c>
      <c r="R11" s="28" t="s">
        <v>23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</row>
    <row r="12" spans="1:30" ht="30">
      <c r="A12" s="35" t="s">
        <v>225</v>
      </c>
      <c r="B12" s="43">
        <f t="shared" ref="B12:H12" si="0">+SUM(B13:B15)</f>
        <v>251.05</v>
      </c>
      <c r="C12" s="43">
        <f t="shared" si="0"/>
        <v>250.5</v>
      </c>
      <c r="D12" s="43">
        <f t="shared" si="0"/>
        <v>251.83999999999997</v>
      </c>
      <c r="E12" s="43">
        <f t="shared" si="0"/>
        <v>255.02</v>
      </c>
      <c r="F12" s="43">
        <f t="shared" si="0"/>
        <v>258.95</v>
      </c>
      <c r="G12" s="43">
        <f t="shared" si="0"/>
        <v>262.11</v>
      </c>
      <c r="H12" s="43">
        <f t="shared" si="0"/>
        <v>266.77999999999997</v>
      </c>
      <c r="I12" s="43">
        <v>268.7</v>
      </c>
      <c r="J12" s="43">
        <v>292.39999999999998</v>
      </c>
      <c r="K12" s="36"/>
      <c r="L12" s="36"/>
      <c r="M12" s="36"/>
      <c r="N12" s="36"/>
      <c r="O12" s="36"/>
      <c r="P12" s="35" t="s">
        <v>92</v>
      </c>
      <c r="Q12" s="118" t="s">
        <v>226</v>
      </c>
      <c r="R12" s="34" t="s">
        <v>227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ht="30">
      <c r="A13" s="35" t="s">
        <v>228</v>
      </c>
      <c r="B13" s="43">
        <f>65.26+20.17</f>
        <v>85.43</v>
      </c>
      <c r="C13" s="43">
        <v>87</v>
      </c>
      <c r="D13" s="43">
        <v>86.89</v>
      </c>
      <c r="E13" s="43">
        <v>87.56</v>
      </c>
      <c r="F13" s="43">
        <v>89.57</v>
      </c>
      <c r="G13" s="43">
        <f>67.56+23.39</f>
        <v>90.95</v>
      </c>
      <c r="H13" s="43">
        <v>93.7</v>
      </c>
      <c r="I13" s="43">
        <f>67.18+26.99</f>
        <v>94.17</v>
      </c>
      <c r="J13" s="43">
        <v>93.9</v>
      </c>
      <c r="K13" s="36"/>
      <c r="L13" s="36"/>
      <c r="M13" s="36"/>
      <c r="N13" s="36"/>
      <c r="O13" s="36"/>
      <c r="P13" s="35" t="s">
        <v>92</v>
      </c>
      <c r="Q13" s="119" t="s">
        <v>229</v>
      </c>
      <c r="R13" s="34" t="s">
        <v>227</v>
      </c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</row>
    <row r="14" spans="1:30" ht="30">
      <c r="A14" s="35" t="s">
        <v>230</v>
      </c>
      <c r="B14" s="43">
        <v>29.31</v>
      </c>
      <c r="C14" s="43">
        <v>31.8</v>
      </c>
      <c r="D14" s="43">
        <v>32.5</v>
      </c>
      <c r="E14" s="43">
        <v>33.159999999999997</v>
      </c>
      <c r="F14" s="43">
        <v>33.21</v>
      </c>
      <c r="G14" s="43">
        <v>33.549999999999997</v>
      </c>
      <c r="H14" s="43">
        <v>33.9</v>
      </c>
      <c r="I14" s="43">
        <v>34.03</v>
      </c>
      <c r="J14" s="43">
        <v>34.549999999999997</v>
      </c>
      <c r="K14" s="36"/>
      <c r="L14" s="36"/>
      <c r="M14" s="88"/>
      <c r="N14" s="36"/>
      <c r="O14" s="36"/>
      <c r="P14" s="35" t="s">
        <v>92</v>
      </c>
      <c r="Q14" s="119" t="s">
        <v>229</v>
      </c>
      <c r="R14" s="34" t="s">
        <v>227</v>
      </c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</row>
    <row r="15" spans="1:30" ht="30">
      <c r="A15" s="35" t="s">
        <v>231</v>
      </c>
      <c r="B15" s="43">
        <v>136.31</v>
      </c>
      <c r="C15" s="43">
        <v>131.69999999999999</v>
      </c>
      <c r="D15" s="43">
        <v>132.44999999999999</v>
      </c>
      <c r="E15" s="43">
        <v>134.30000000000001</v>
      </c>
      <c r="F15" s="43">
        <v>136.16999999999999</v>
      </c>
      <c r="G15" s="43">
        <v>137.61000000000001</v>
      </c>
      <c r="H15" s="43">
        <v>139.18</v>
      </c>
      <c r="I15" s="43">
        <v>139.59</v>
      </c>
      <c r="J15" s="43">
        <v>146.12</v>
      </c>
      <c r="K15" s="36"/>
      <c r="L15" s="88"/>
      <c r="M15" s="36"/>
      <c r="N15" s="36"/>
      <c r="O15" s="36"/>
      <c r="P15" s="35" t="s">
        <v>92</v>
      </c>
      <c r="Q15" s="119" t="s">
        <v>229</v>
      </c>
      <c r="R15" s="34" t="s">
        <v>227</v>
      </c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</row>
    <row r="16" spans="1:30" ht="30">
      <c r="A16" s="35" t="s">
        <v>232</v>
      </c>
      <c r="B16" s="43">
        <v>17.633246400000001</v>
      </c>
      <c r="C16" s="43">
        <v>15.396998400000001</v>
      </c>
      <c r="D16" s="43">
        <v>16.968</v>
      </c>
      <c r="E16" s="43">
        <v>17.007000000000001</v>
      </c>
      <c r="F16" s="43">
        <v>16.706</v>
      </c>
      <c r="G16" s="43">
        <v>16.631</v>
      </c>
      <c r="H16" s="43">
        <v>16.994</v>
      </c>
      <c r="I16" s="43">
        <v>16.347999999999999</v>
      </c>
      <c r="J16" s="43">
        <v>16.783000000000001</v>
      </c>
      <c r="K16" s="43">
        <v>15.558999999999999</v>
      </c>
      <c r="L16" s="43">
        <v>15.516</v>
      </c>
      <c r="M16" s="43">
        <v>15.223000000000001</v>
      </c>
      <c r="N16" s="43">
        <v>14.589</v>
      </c>
      <c r="O16" s="43">
        <v>13.86</v>
      </c>
      <c r="P16" s="35" t="s">
        <v>52</v>
      </c>
      <c r="Q16" s="290" t="s">
        <v>233</v>
      </c>
      <c r="R16" s="34" t="s">
        <v>512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 ht="30">
      <c r="A17" s="35" t="s">
        <v>234</v>
      </c>
      <c r="B17" s="43">
        <v>2.0747664000000001</v>
      </c>
      <c r="C17" s="43">
        <v>1.8180288</v>
      </c>
      <c r="D17" s="43">
        <v>1.986</v>
      </c>
      <c r="E17" s="43">
        <v>1.865</v>
      </c>
      <c r="F17" s="43">
        <v>1.9550000000000001</v>
      </c>
      <c r="G17" s="43">
        <v>1.986</v>
      </c>
      <c r="H17" s="43">
        <v>2.2320000000000002</v>
      </c>
      <c r="I17" s="43">
        <v>2.1240000000000001</v>
      </c>
      <c r="J17" s="43">
        <v>2.0499999999999998</v>
      </c>
      <c r="K17" s="43">
        <v>1.667</v>
      </c>
      <c r="L17" s="43">
        <v>1.65</v>
      </c>
      <c r="M17" s="43">
        <v>1.712</v>
      </c>
      <c r="N17" s="43">
        <v>1.647</v>
      </c>
      <c r="O17" s="43">
        <v>1.5429999999999999</v>
      </c>
      <c r="P17" s="35" t="s">
        <v>52</v>
      </c>
      <c r="Q17" s="55" t="s">
        <v>235</v>
      </c>
      <c r="R17" s="34" t="s">
        <v>512</v>
      </c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</row>
    <row r="18" spans="1:30" ht="30">
      <c r="A18" s="35" t="s">
        <v>236</v>
      </c>
      <c r="B18" s="43">
        <v>19.708920000000003</v>
      </c>
      <c r="C18" s="43">
        <v>17.251315199999997</v>
      </c>
      <c r="D18" s="43">
        <v>18.954000000000001</v>
      </c>
      <c r="E18" s="43">
        <v>18.870999999999999</v>
      </c>
      <c r="F18" s="43">
        <v>18.661000000000001</v>
      </c>
      <c r="G18" s="43">
        <v>18.617000000000001</v>
      </c>
      <c r="H18" s="43">
        <v>19.225999999999999</v>
      </c>
      <c r="I18" s="43">
        <v>18.472999999999999</v>
      </c>
      <c r="J18" s="43">
        <v>18.832999999999998</v>
      </c>
      <c r="K18" s="43">
        <v>17.225000000000001</v>
      </c>
      <c r="L18" s="43">
        <v>17.166</v>
      </c>
      <c r="M18" s="43">
        <v>16.934000000000001</v>
      </c>
      <c r="N18" s="43">
        <v>16.236000000000001</v>
      </c>
      <c r="O18" s="43">
        <v>15.403</v>
      </c>
      <c r="P18" s="35" t="s">
        <v>52</v>
      </c>
      <c r="Q18" s="243" t="s">
        <v>237</v>
      </c>
      <c r="R18" s="34" t="s">
        <v>512</v>
      </c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</row>
    <row r="19" spans="1:30" ht="30">
      <c r="A19" s="35" t="s">
        <v>238</v>
      </c>
      <c r="B19" s="59">
        <v>0.36469440000000003</v>
      </c>
      <c r="C19" s="59">
        <v>0.35199360000000002</v>
      </c>
      <c r="D19" s="59">
        <v>0.41799999999999998</v>
      </c>
      <c r="E19" s="59">
        <v>0.45600000000000002</v>
      </c>
      <c r="F19" s="59">
        <v>0.44400000000000001</v>
      </c>
      <c r="G19" s="59">
        <v>0.45200000000000001</v>
      </c>
      <c r="H19" s="59">
        <v>0.46400000000000002</v>
      </c>
      <c r="I19" s="59">
        <v>0.42199999999999999</v>
      </c>
      <c r="J19" s="59">
        <v>0.46700000000000003</v>
      </c>
      <c r="K19" s="59">
        <v>0.29699999999999999</v>
      </c>
      <c r="L19" s="59">
        <v>0.28000000000000003</v>
      </c>
      <c r="M19" s="59">
        <v>0.252</v>
      </c>
      <c r="N19" s="59">
        <v>0.27400000000000002</v>
      </c>
      <c r="O19" s="59">
        <v>0.28299999999999997</v>
      </c>
      <c r="P19" s="35" t="s">
        <v>52</v>
      </c>
      <c r="Q19" s="55" t="s">
        <v>237</v>
      </c>
      <c r="R19" s="34" t="s">
        <v>512</v>
      </c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</row>
    <row r="20" spans="1:30" ht="30">
      <c r="A20" s="35" t="s">
        <v>239</v>
      </c>
      <c r="B20" s="43">
        <v>15.985771199999999</v>
      </c>
      <c r="C20" s="43">
        <v>13.940942400000001</v>
      </c>
      <c r="D20" s="43">
        <v>14.757</v>
      </c>
      <c r="E20" s="43">
        <v>14.574</v>
      </c>
      <c r="F20" s="43">
        <v>14.459</v>
      </c>
      <c r="G20" s="43">
        <v>14.452</v>
      </c>
      <c r="H20" s="43">
        <v>14.837999999999999</v>
      </c>
      <c r="I20" s="43">
        <v>14.195</v>
      </c>
      <c r="J20" s="43">
        <v>14.611000000000001</v>
      </c>
      <c r="K20" s="43">
        <v>13.683999999999999</v>
      </c>
      <c r="L20" s="43">
        <v>13.731999999999999</v>
      </c>
      <c r="M20" s="43">
        <v>13.315</v>
      </c>
      <c r="N20" s="43">
        <v>7.7469999999999999</v>
      </c>
      <c r="O20" s="43">
        <v>7.39</v>
      </c>
      <c r="P20" s="35" t="s">
        <v>52</v>
      </c>
      <c r="Q20" s="55" t="s">
        <v>237</v>
      </c>
      <c r="R20" s="34" t="s">
        <v>512</v>
      </c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</row>
    <row r="21" spans="1:30" ht="30">
      <c r="A21" s="35" t="s">
        <v>240</v>
      </c>
      <c r="B21" s="59">
        <v>3.2196528</v>
      </c>
      <c r="C21" s="59">
        <v>2.8150416000000003</v>
      </c>
      <c r="D21" s="59">
        <v>3.577</v>
      </c>
      <c r="E21" s="59">
        <v>3.6459999999999999</v>
      </c>
      <c r="F21" s="59">
        <v>3.5510000000000002</v>
      </c>
      <c r="G21" s="59">
        <v>3.5019999999999998</v>
      </c>
      <c r="H21" s="59">
        <v>3.7</v>
      </c>
      <c r="I21" s="59">
        <v>3.6389999999999998</v>
      </c>
      <c r="J21" s="59">
        <v>3.5569999999999999</v>
      </c>
      <c r="K21" s="59">
        <v>3.0470000000000002</v>
      </c>
      <c r="L21" s="59">
        <v>2.956</v>
      </c>
      <c r="M21" s="59">
        <v>3.1869999999999998</v>
      </c>
      <c r="N21" s="59">
        <v>8.2149999999999999</v>
      </c>
      <c r="O21" s="59">
        <v>7.73</v>
      </c>
      <c r="P21" s="35" t="s">
        <v>52</v>
      </c>
      <c r="Q21" s="190" t="s">
        <v>237</v>
      </c>
      <c r="R21" s="34" t="s">
        <v>512</v>
      </c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ht="30">
      <c r="A22" s="35" t="s">
        <v>201</v>
      </c>
      <c r="B22" s="59">
        <v>0.1378944</v>
      </c>
      <c r="C22" s="59">
        <v>0.14333760000000001</v>
      </c>
      <c r="D22" s="59">
        <v>0.20300000000000001</v>
      </c>
      <c r="E22" s="59">
        <v>0.19500000000000001</v>
      </c>
      <c r="F22" s="59">
        <v>0.20599999999999999</v>
      </c>
      <c r="G22" s="59">
        <v>0.21099999999999999</v>
      </c>
      <c r="H22" s="59">
        <v>0.224</v>
      </c>
      <c r="I22" s="59">
        <v>0.216</v>
      </c>
      <c r="J22" s="59">
        <v>0.19700000000000001</v>
      </c>
      <c r="K22" s="59">
        <v>0.19700000000000001</v>
      </c>
      <c r="L22" s="59">
        <v>0.19800000000000001</v>
      </c>
      <c r="M22" s="59">
        <v>0.18</v>
      </c>
      <c r="N22" s="59">
        <v>0</v>
      </c>
      <c r="O22" s="59">
        <v>0</v>
      </c>
      <c r="P22" s="35" t="s">
        <v>52</v>
      </c>
      <c r="Q22" s="55" t="s">
        <v>237</v>
      </c>
      <c r="R22" s="34" t="s">
        <v>512</v>
      </c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</row>
    <row r="23" spans="1:30" ht="15.75" customHeight="1">
      <c r="A23" s="35" t="s">
        <v>241</v>
      </c>
      <c r="B23" s="43">
        <v>144.934</v>
      </c>
      <c r="C23" s="43">
        <v>135.24100000000001</v>
      </c>
      <c r="D23" s="43">
        <v>135.73500000000001</v>
      </c>
      <c r="E23" s="236">
        <v>135.76400000000001</v>
      </c>
      <c r="F23" s="43">
        <v>134.40799999999999</v>
      </c>
      <c r="G23" s="43">
        <v>133.11699999999999</v>
      </c>
      <c r="H23" s="43">
        <v>135.95699999999999</v>
      </c>
      <c r="I23" s="43">
        <v>130.94200000000001</v>
      </c>
      <c r="J23" s="43">
        <v>134.465</v>
      </c>
      <c r="K23" s="43">
        <v>115.114</v>
      </c>
      <c r="L23" s="90">
        <v>114.81399999999999</v>
      </c>
      <c r="M23" s="120">
        <v>113.173</v>
      </c>
      <c r="N23" s="43">
        <v>108.508</v>
      </c>
      <c r="O23" s="43">
        <v>103.306</v>
      </c>
      <c r="P23" s="35" t="s">
        <v>52</v>
      </c>
      <c r="Q23" s="290" t="s">
        <v>242</v>
      </c>
      <c r="R23" s="34" t="s">
        <v>98</v>
      </c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</row>
    <row r="24" spans="1:30" ht="15.75" customHeight="1">
      <c r="A24" s="35" t="s">
        <v>243</v>
      </c>
      <c r="B24" s="43">
        <v>17.501999999999999</v>
      </c>
      <c r="C24" s="43">
        <v>16.765999999999998</v>
      </c>
      <c r="D24" s="43">
        <v>16.309999999999999</v>
      </c>
      <c r="E24" s="43">
        <v>15.167999999999999</v>
      </c>
      <c r="F24" s="43">
        <v>15.782999999999999</v>
      </c>
      <c r="G24" s="43">
        <v>16.623000000000001</v>
      </c>
      <c r="H24" s="43">
        <v>18.259</v>
      </c>
      <c r="I24" s="43">
        <v>17.72</v>
      </c>
      <c r="J24" s="43">
        <v>16.724</v>
      </c>
      <c r="K24" s="43">
        <v>12.308</v>
      </c>
      <c r="L24" s="90">
        <v>11.939</v>
      </c>
      <c r="M24" s="120">
        <v>12.721</v>
      </c>
      <c r="N24" s="43">
        <v>12.244</v>
      </c>
      <c r="O24" s="43">
        <v>12.535</v>
      </c>
      <c r="P24" s="35" t="s">
        <v>52</v>
      </c>
      <c r="Q24" s="55" t="s">
        <v>244</v>
      </c>
      <c r="R24" s="34" t="s">
        <v>98</v>
      </c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</row>
    <row r="25" spans="1:30" ht="15.75" customHeight="1">
      <c r="A25" s="35" t="s">
        <v>245</v>
      </c>
      <c r="B25" s="43">
        <v>162.43600000000001</v>
      </c>
      <c r="C25" s="43"/>
      <c r="D25" s="43">
        <v>152.04499999999999</v>
      </c>
      <c r="E25" s="43">
        <v>150.93199999999999</v>
      </c>
      <c r="F25" s="43">
        <v>150.191</v>
      </c>
      <c r="G25" s="43">
        <v>149.74</v>
      </c>
      <c r="H25" s="43">
        <v>154.21600000000001</v>
      </c>
      <c r="I25" s="43">
        <v>148.66200000000001</v>
      </c>
      <c r="J25" s="43">
        <v>151.18799999999999</v>
      </c>
      <c r="K25" s="43">
        <v>127.422</v>
      </c>
      <c r="L25" s="90">
        <v>126.752</v>
      </c>
      <c r="M25" s="120">
        <v>125.89400000000001</v>
      </c>
      <c r="N25" s="43">
        <v>120.753</v>
      </c>
      <c r="O25" s="43">
        <v>115.84099999999999</v>
      </c>
      <c r="P25" s="35" t="s">
        <v>52</v>
      </c>
      <c r="Q25" s="55" t="s">
        <v>246</v>
      </c>
      <c r="R25" s="34" t="s">
        <v>98</v>
      </c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</row>
    <row r="26" spans="1:30" ht="15.75" customHeight="1">
      <c r="A26" s="35" t="s">
        <v>238</v>
      </c>
      <c r="B26" s="59">
        <v>3.3220000000000001</v>
      </c>
      <c r="C26" s="59">
        <v>3.4329999999999998</v>
      </c>
      <c r="D26" s="59">
        <v>3.91</v>
      </c>
      <c r="E26" s="59">
        <v>4.4589999999999996</v>
      </c>
      <c r="F26" s="59">
        <v>4.4290000000000003</v>
      </c>
      <c r="G26" s="59">
        <v>4.2949999999999999</v>
      </c>
      <c r="H26" s="59">
        <v>4.4340000000000002</v>
      </c>
      <c r="I26" s="59">
        <v>4.1719999999999997</v>
      </c>
      <c r="J26" s="59">
        <v>4.5679999999999996</v>
      </c>
      <c r="K26" s="59">
        <v>2.4540000000000002</v>
      </c>
      <c r="L26" s="244">
        <v>2.2839999999999998</v>
      </c>
      <c r="M26" s="121">
        <v>2.0289999999999999</v>
      </c>
      <c r="N26" s="59">
        <v>2.2120000000000002</v>
      </c>
      <c r="O26" s="43">
        <v>2.2749999999999999</v>
      </c>
      <c r="P26" s="35" t="s">
        <v>52</v>
      </c>
      <c r="Q26" s="55" t="s">
        <v>246</v>
      </c>
      <c r="R26" s="34" t="s">
        <v>98</v>
      </c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</row>
    <row r="27" spans="1:30" ht="15.75" customHeight="1">
      <c r="A27" s="35" t="s">
        <v>239</v>
      </c>
      <c r="B27" s="43">
        <v>130.46700000000001</v>
      </c>
      <c r="C27" s="43">
        <v>121.648</v>
      </c>
      <c r="D27" s="43">
        <v>117.598</v>
      </c>
      <c r="E27" s="43">
        <v>115.574</v>
      </c>
      <c r="F27" s="43">
        <v>115.709</v>
      </c>
      <c r="G27" s="43">
        <v>114.886</v>
      </c>
      <c r="H27" s="43">
        <v>17.88</v>
      </c>
      <c r="I27" s="43">
        <v>112.857</v>
      </c>
      <c r="J27" s="43">
        <v>116.339</v>
      </c>
      <c r="K27" s="43">
        <v>101</v>
      </c>
      <c r="L27" s="244">
        <v>101.36199999999999</v>
      </c>
      <c r="M27" s="120">
        <v>98.516000000000005</v>
      </c>
      <c r="N27" s="43">
        <v>57.216999999999999</v>
      </c>
      <c r="O27" s="43">
        <v>54.557000000000002</v>
      </c>
      <c r="P27" s="35" t="s">
        <v>52</v>
      </c>
      <c r="Q27" s="243" t="s">
        <v>246</v>
      </c>
      <c r="R27" s="34" t="s">
        <v>98</v>
      </c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</row>
    <row r="28" spans="1:30" ht="15.75" customHeight="1">
      <c r="A28" s="35" t="s">
        <v>240</v>
      </c>
      <c r="B28" s="43">
        <v>27.509</v>
      </c>
      <c r="C28" s="43">
        <v>25.664000000000001</v>
      </c>
      <c r="D28" s="43">
        <v>28.922999999999998</v>
      </c>
      <c r="E28" s="43">
        <v>29.341999999999999</v>
      </c>
      <c r="F28" s="43">
        <v>28.411000000000001</v>
      </c>
      <c r="G28" s="43">
        <v>28.821000000000002</v>
      </c>
      <c r="H28" s="43">
        <v>30.094999999999999</v>
      </c>
      <c r="I28" s="43">
        <v>29.794</v>
      </c>
      <c r="J28" s="43">
        <v>28.686</v>
      </c>
      <c r="K28" s="43">
        <v>22.472999999999999</v>
      </c>
      <c r="L28" s="244">
        <v>21.629000000000001</v>
      </c>
      <c r="M28" s="120">
        <v>23.994</v>
      </c>
      <c r="N28" s="43">
        <v>61.323999999999998</v>
      </c>
      <c r="O28" s="43">
        <v>59.009</v>
      </c>
      <c r="P28" s="35" t="s">
        <v>52</v>
      </c>
      <c r="Q28" s="190" t="s">
        <v>246</v>
      </c>
      <c r="R28" s="34" t="s">
        <v>98</v>
      </c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</row>
    <row r="29" spans="1:30" ht="15.75" customHeight="1">
      <c r="A29" s="35" t="s">
        <v>201</v>
      </c>
      <c r="B29" s="59">
        <v>1.1379999999999999</v>
      </c>
      <c r="C29" s="59">
        <v>1.262</v>
      </c>
      <c r="D29" s="59">
        <v>1.6140000000000001</v>
      </c>
      <c r="E29" s="59">
        <v>1.5569999999999999</v>
      </c>
      <c r="F29" s="59">
        <v>1.643</v>
      </c>
      <c r="G29" s="59">
        <v>1.7390000000000001</v>
      </c>
      <c r="H29" s="59">
        <v>1.806</v>
      </c>
      <c r="I29" s="59">
        <v>1.839</v>
      </c>
      <c r="J29" s="59">
        <v>1.5960000000000001</v>
      </c>
      <c r="K29" s="59">
        <v>1.4950000000000001</v>
      </c>
      <c r="L29" s="245">
        <v>1.478</v>
      </c>
      <c r="M29" s="121">
        <v>1.355</v>
      </c>
      <c r="N29" s="43">
        <v>0</v>
      </c>
      <c r="O29" s="43">
        <v>0</v>
      </c>
      <c r="P29" s="35" t="s">
        <v>52</v>
      </c>
      <c r="Q29" s="55" t="s">
        <v>246</v>
      </c>
      <c r="R29" s="34" t="s">
        <v>98</v>
      </c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ht="15.75" customHeight="1">
      <c r="A30" s="112"/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5"/>
      <c r="Q30" s="116"/>
      <c r="R30" s="117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8" t="s">
        <v>71</v>
      </c>
      <c r="B31" s="28">
        <v>2010</v>
      </c>
      <c r="C31" s="28">
        <v>2011</v>
      </c>
      <c r="D31" s="28">
        <v>2012</v>
      </c>
      <c r="E31" s="28">
        <v>2013</v>
      </c>
      <c r="F31" s="28">
        <v>2014</v>
      </c>
      <c r="G31" s="28">
        <v>2015</v>
      </c>
      <c r="H31" s="28">
        <v>2016</v>
      </c>
      <c r="I31" s="28">
        <v>2017</v>
      </c>
      <c r="J31" s="28">
        <v>2018</v>
      </c>
      <c r="K31" s="28">
        <v>2019</v>
      </c>
      <c r="L31" s="28">
        <v>2020</v>
      </c>
      <c r="M31" s="28">
        <v>2021</v>
      </c>
      <c r="N31" s="28">
        <v>2022</v>
      </c>
      <c r="O31" s="28">
        <v>2023</v>
      </c>
      <c r="P31" s="29" t="s">
        <v>21</v>
      </c>
      <c r="Q31" s="29" t="s">
        <v>22</v>
      </c>
      <c r="R31" s="28" t="s">
        <v>23</v>
      </c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</row>
    <row r="32" spans="1:30" ht="15.75" customHeight="1">
      <c r="A32" s="34" t="s">
        <v>247</v>
      </c>
      <c r="B32" s="36"/>
      <c r="C32" s="32">
        <v>640</v>
      </c>
      <c r="D32" s="32">
        <v>290</v>
      </c>
      <c r="E32" s="32">
        <v>550</v>
      </c>
      <c r="F32" s="32">
        <v>348</v>
      </c>
      <c r="G32" s="32">
        <v>524</v>
      </c>
      <c r="H32" s="32">
        <v>227</v>
      </c>
      <c r="I32" s="32">
        <v>142</v>
      </c>
      <c r="J32" s="32">
        <v>54</v>
      </c>
      <c r="K32" s="105">
        <v>57</v>
      </c>
      <c r="L32" s="105">
        <v>54</v>
      </c>
      <c r="M32" s="105">
        <v>55</v>
      </c>
      <c r="N32" s="105">
        <v>55</v>
      </c>
      <c r="O32" s="36"/>
      <c r="P32" s="35" t="s">
        <v>248</v>
      </c>
      <c r="Q32" s="64" t="s">
        <v>249</v>
      </c>
      <c r="R32" s="34" t="s">
        <v>98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35" t="s">
        <v>250</v>
      </c>
      <c r="B33" s="36"/>
      <c r="C33" s="36"/>
      <c r="D33" s="36"/>
      <c r="E33" s="68">
        <v>5350</v>
      </c>
      <c r="F33" s="68">
        <v>4753</v>
      </c>
      <c r="G33" s="36"/>
      <c r="H33" s="68">
        <v>4640</v>
      </c>
      <c r="I33" s="36"/>
      <c r="J33" s="68">
        <v>4600</v>
      </c>
      <c r="K33" s="68">
        <v>7000</v>
      </c>
      <c r="L33" s="67"/>
      <c r="M33" s="67"/>
      <c r="N33" s="67"/>
      <c r="O33" s="67"/>
      <c r="P33" s="35" t="s">
        <v>251</v>
      </c>
      <c r="Q33" s="122" t="s">
        <v>252</v>
      </c>
      <c r="R33" s="34" t="s">
        <v>98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35" t="s">
        <v>253</v>
      </c>
      <c r="B34" s="36"/>
      <c r="C34" s="36"/>
      <c r="D34" s="36"/>
      <c r="E34" s="68">
        <f>+E33+8557</f>
        <v>13907</v>
      </c>
      <c r="F34" s="68">
        <v>13878</v>
      </c>
      <c r="G34" s="36"/>
      <c r="H34" s="68">
        <v>13756</v>
      </c>
      <c r="I34" s="36"/>
      <c r="J34" s="68">
        <v>13601</v>
      </c>
      <c r="K34" s="67"/>
      <c r="L34" s="67"/>
      <c r="M34" s="67"/>
      <c r="N34" s="67"/>
      <c r="O34" s="67"/>
      <c r="P34" s="35" t="s">
        <v>251</v>
      </c>
      <c r="Q34" s="122" t="s">
        <v>254</v>
      </c>
      <c r="R34" s="34" t="s">
        <v>98</v>
      </c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35" t="s">
        <v>255</v>
      </c>
      <c r="B35" s="36"/>
      <c r="C35" s="36"/>
      <c r="D35" s="36"/>
      <c r="E35" s="68">
        <v>5600</v>
      </c>
      <c r="F35" s="68">
        <v>5561.0000000000009</v>
      </c>
      <c r="G35" s="36"/>
      <c r="H35" s="68">
        <v>5576.2000000000007</v>
      </c>
      <c r="I35" s="36"/>
      <c r="J35" s="68">
        <v>5567</v>
      </c>
      <c r="K35" s="67"/>
      <c r="L35" s="67"/>
      <c r="M35" s="67"/>
      <c r="N35" s="67"/>
      <c r="O35" s="67"/>
      <c r="P35" s="35" t="s">
        <v>251</v>
      </c>
      <c r="Q35" s="122" t="s">
        <v>256</v>
      </c>
      <c r="R35" s="34" t="s">
        <v>98</v>
      </c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7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7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7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7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J136" s="65"/>
      <c r="K136" s="65"/>
      <c r="L136" s="65"/>
      <c r="M136" s="65"/>
      <c r="N136" s="65"/>
      <c r="O136" s="65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J137" s="65"/>
      <c r="K137" s="65"/>
      <c r="L137" s="65"/>
      <c r="M137" s="65"/>
      <c r="N137" s="65"/>
      <c r="O137" s="65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J138" s="65"/>
      <c r="K138" s="65"/>
      <c r="L138" s="65"/>
      <c r="M138" s="65"/>
      <c r="N138" s="65"/>
      <c r="O138" s="65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J139" s="65"/>
      <c r="K139" s="65"/>
      <c r="L139" s="65"/>
      <c r="M139" s="65"/>
      <c r="N139" s="65"/>
      <c r="O139" s="65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J140" s="65"/>
      <c r="K140" s="65"/>
      <c r="L140" s="65"/>
      <c r="M140" s="65"/>
      <c r="N140" s="65"/>
      <c r="O140" s="65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J141" s="65"/>
      <c r="K141" s="65"/>
      <c r="L141" s="65"/>
      <c r="M141" s="65"/>
      <c r="N141" s="65"/>
      <c r="O141" s="65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J142" s="65"/>
      <c r="K142" s="65"/>
      <c r="L142" s="65"/>
      <c r="M142" s="65"/>
      <c r="N142" s="65"/>
      <c r="O142" s="65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J143" s="65"/>
      <c r="K143" s="65"/>
      <c r="L143" s="65"/>
      <c r="M143" s="65"/>
      <c r="N143" s="65"/>
      <c r="O143" s="65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J144" s="65"/>
      <c r="K144" s="65"/>
      <c r="L144" s="65"/>
      <c r="M144" s="65"/>
      <c r="N144" s="65"/>
      <c r="O144" s="65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J145" s="65"/>
      <c r="K145" s="65"/>
      <c r="L145" s="65"/>
      <c r="M145" s="65"/>
      <c r="N145" s="65"/>
      <c r="O145" s="65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Q4" r:id="rId1" xr:uid="{00000000-0004-0000-0800-000000000000}"/>
    <hyperlink ref="Q5" r:id="rId2" xr:uid="{00000000-0004-0000-0800-000001000000}"/>
    <hyperlink ref="Q6" r:id="rId3" xr:uid="{00000000-0004-0000-0800-000002000000}"/>
    <hyperlink ref="Q7" r:id="rId4" xr:uid="{00000000-0004-0000-0800-000003000000}"/>
    <hyperlink ref="Q8" r:id="rId5" xr:uid="{00000000-0004-0000-0800-000004000000}"/>
    <hyperlink ref="Q9" r:id="rId6" xr:uid="{00000000-0004-0000-0800-000005000000}"/>
    <hyperlink ref="Q12" r:id="rId7" xr:uid="{00000000-0004-0000-0800-000006000000}"/>
    <hyperlink ref="Q13" r:id="rId8" xr:uid="{00000000-0004-0000-0800-000007000000}"/>
    <hyperlink ref="Q14" r:id="rId9" xr:uid="{00000000-0004-0000-0800-000008000000}"/>
    <hyperlink ref="Q15" r:id="rId10" xr:uid="{00000000-0004-0000-0800-000009000000}"/>
    <hyperlink ref="Q16" r:id="rId11" xr:uid="{00000000-0004-0000-0800-00000A000000}"/>
    <hyperlink ref="Q17" r:id="rId12" xr:uid="{00000000-0004-0000-0800-00000B000000}"/>
    <hyperlink ref="Q18" r:id="rId13" xr:uid="{00000000-0004-0000-0800-00000C000000}"/>
    <hyperlink ref="Q23" r:id="rId14" xr:uid="{00000000-0004-0000-0800-00000D000000}"/>
    <hyperlink ref="Q24" r:id="rId15" xr:uid="{00000000-0004-0000-0800-00000E000000}"/>
    <hyperlink ref="Q25" r:id="rId16" xr:uid="{00000000-0004-0000-0800-00000F000000}"/>
    <hyperlink ref="Q26" r:id="rId17" xr:uid="{00000000-0004-0000-0800-000010000000}"/>
    <hyperlink ref="Q27" r:id="rId18" xr:uid="{00000000-0004-0000-0800-000011000000}"/>
    <hyperlink ref="Q28" r:id="rId19" xr:uid="{00000000-0004-0000-0800-000012000000}"/>
    <hyperlink ref="Q29" r:id="rId20" xr:uid="{00000000-0004-0000-0800-000013000000}"/>
    <hyperlink ref="Q32" r:id="rId21" xr:uid="{00000000-0004-0000-0800-000014000000}"/>
    <hyperlink ref="Q33" r:id="rId22" xr:uid="{00000000-0004-0000-0800-000015000000}"/>
    <hyperlink ref="Q34" r:id="rId23" xr:uid="{00000000-0004-0000-0800-000016000000}"/>
    <hyperlink ref="Q35" r:id="rId24" xr:uid="{00000000-0004-0000-0800-000017000000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8306C"/>
  </sheetPr>
  <dimension ref="A1:AD100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23" sqref="Q23"/>
    </sheetView>
  </sheetViews>
  <sheetFormatPr defaultColWidth="14.42578125" defaultRowHeight="15" customHeight="1"/>
  <cols>
    <col min="1" max="1" width="86" customWidth="1"/>
    <col min="2" max="15" width="11.7109375" customWidth="1"/>
    <col min="16" max="16" width="24.140625" customWidth="1"/>
    <col min="17" max="17" width="70.85546875" customWidth="1"/>
    <col min="18" max="18" width="24.7109375" customWidth="1"/>
    <col min="19" max="19" width="20.5703125" customWidth="1"/>
    <col min="20" max="30" width="8.85546875" customWidth="1"/>
  </cols>
  <sheetData>
    <row r="1" spans="1:30">
      <c r="A1" s="430" t="s">
        <v>257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3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20</v>
      </c>
      <c r="B3" s="28">
        <v>2010</v>
      </c>
      <c r="C3" s="28">
        <v>2011</v>
      </c>
      <c r="D3" s="28">
        <v>2012</v>
      </c>
      <c r="E3" s="28">
        <v>2013</v>
      </c>
      <c r="F3" s="28">
        <v>2014</v>
      </c>
      <c r="G3" s="28">
        <v>2015</v>
      </c>
      <c r="H3" s="28">
        <v>2016</v>
      </c>
      <c r="I3" s="28">
        <v>2017</v>
      </c>
      <c r="J3" s="28">
        <v>2018</v>
      </c>
      <c r="K3" s="28">
        <v>2019</v>
      </c>
      <c r="L3" s="28">
        <v>2020</v>
      </c>
      <c r="M3" s="28">
        <v>2021</v>
      </c>
      <c r="N3" s="28">
        <v>2022</v>
      </c>
      <c r="O3" s="28">
        <v>2023</v>
      </c>
      <c r="P3" s="29" t="s">
        <v>21</v>
      </c>
      <c r="Q3" s="29" t="s">
        <v>22</v>
      </c>
      <c r="R3" s="28" t="s">
        <v>23</v>
      </c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5" t="s">
        <v>258</v>
      </c>
      <c r="B4" s="32">
        <v>133</v>
      </c>
      <c r="C4" s="32">
        <v>158</v>
      </c>
      <c r="D4" s="32">
        <v>183</v>
      </c>
      <c r="E4" s="32">
        <v>209</v>
      </c>
      <c r="F4" s="32">
        <v>218</v>
      </c>
      <c r="G4" s="108">
        <v>225</v>
      </c>
      <c r="H4" s="109">
        <v>229</v>
      </c>
      <c r="I4" s="109">
        <v>234</v>
      </c>
      <c r="J4" s="109">
        <v>245</v>
      </c>
      <c r="K4" s="109">
        <v>257</v>
      </c>
      <c r="L4" s="109">
        <v>282</v>
      </c>
      <c r="M4" s="109">
        <v>341</v>
      </c>
      <c r="N4" s="32">
        <v>400</v>
      </c>
      <c r="O4" s="32">
        <v>429</v>
      </c>
      <c r="P4" s="34" t="s">
        <v>92</v>
      </c>
      <c r="Q4" s="55" t="s">
        <v>259</v>
      </c>
      <c r="R4" s="34" t="s">
        <v>98</v>
      </c>
      <c r="S4" s="63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>
      <c r="A5" s="34" t="s">
        <v>260</v>
      </c>
      <c r="B5" s="32">
        <v>25</v>
      </c>
      <c r="C5" s="32">
        <v>38</v>
      </c>
      <c r="D5" s="32">
        <v>50</v>
      </c>
      <c r="E5" s="32">
        <v>61</v>
      </c>
      <c r="F5" s="32">
        <v>64</v>
      </c>
      <c r="G5" s="110">
        <v>65</v>
      </c>
      <c r="H5" s="111">
        <v>68</v>
      </c>
      <c r="I5" s="111">
        <v>71</v>
      </c>
      <c r="J5" s="111">
        <v>75</v>
      </c>
      <c r="K5" s="111">
        <v>95</v>
      </c>
      <c r="L5" s="111">
        <v>97</v>
      </c>
      <c r="M5" s="111">
        <v>101</v>
      </c>
      <c r="N5" s="32">
        <v>100</v>
      </c>
      <c r="O5" s="32">
        <v>100</v>
      </c>
      <c r="P5" s="34" t="s">
        <v>92</v>
      </c>
      <c r="Q5" s="55" t="s">
        <v>259</v>
      </c>
      <c r="R5" s="34" t="s">
        <v>98</v>
      </c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34" t="s">
        <v>261</v>
      </c>
      <c r="B6" s="32">
        <v>14</v>
      </c>
      <c r="C6" s="32">
        <v>14</v>
      </c>
      <c r="D6" s="32">
        <v>14</v>
      </c>
      <c r="E6" s="32">
        <v>14</v>
      </c>
      <c r="F6" s="32">
        <v>14</v>
      </c>
      <c r="G6" s="110">
        <v>14</v>
      </c>
      <c r="H6" s="111">
        <v>14</v>
      </c>
      <c r="I6" s="111">
        <v>14</v>
      </c>
      <c r="J6" s="111">
        <v>14</v>
      </c>
      <c r="K6" s="111">
        <v>11</v>
      </c>
      <c r="L6" s="111">
        <v>29</v>
      </c>
      <c r="M6" s="111">
        <v>29</v>
      </c>
      <c r="N6" s="32">
        <v>15</v>
      </c>
      <c r="O6" s="32">
        <v>15</v>
      </c>
      <c r="P6" s="34" t="s">
        <v>92</v>
      </c>
      <c r="Q6" s="55" t="s">
        <v>259</v>
      </c>
      <c r="R6" s="34" t="s">
        <v>98</v>
      </c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>
      <c r="A7" s="34" t="s">
        <v>262</v>
      </c>
      <c r="B7" s="32">
        <v>13</v>
      </c>
      <c r="C7" s="32">
        <v>13</v>
      </c>
      <c r="D7" s="32">
        <v>13</v>
      </c>
      <c r="E7" s="32">
        <v>13</v>
      </c>
      <c r="F7" s="32">
        <v>13</v>
      </c>
      <c r="G7" s="110">
        <v>13</v>
      </c>
      <c r="H7" s="111">
        <v>13</v>
      </c>
      <c r="I7" s="111">
        <v>13</v>
      </c>
      <c r="J7" s="111">
        <v>13</v>
      </c>
      <c r="K7" s="111">
        <v>11</v>
      </c>
      <c r="L7" s="111">
        <v>10</v>
      </c>
      <c r="M7" s="111">
        <v>10</v>
      </c>
      <c r="N7" s="32">
        <v>12</v>
      </c>
      <c r="O7" s="32">
        <v>12</v>
      </c>
      <c r="P7" s="34" t="s">
        <v>92</v>
      </c>
      <c r="Q7" s="55" t="s">
        <v>259</v>
      </c>
      <c r="R7" s="34" t="s">
        <v>98</v>
      </c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34" t="s">
        <v>263</v>
      </c>
      <c r="B8" s="32">
        <v>81</v>
      </c>
      <c r="C8" s="32">
        <v>93</v>
      </c>
      <c r="D8" s="32">
        <v>106</v>
      </c>
      <c r="E8" s="32">
        <v>121</v>
      </c>
      <c r="F8" s="32">
        <v>127</v>
      </c>
      <c r="G8" s="110">
        <v>133</v>
      </c>
      <c r="H8" s="111">
        <v>134</v>
      </c>
      <c r="I8" s="111">
        <v>136</v>
      </c>
      <c r="J8" s="111">
        <v>143</v>
      </c>
      <c r="K8" s="111">
        <v>107</v>
      </c>
      <c r="L8" s="111">
        <v>119</v>
      </c>
      <c r="M8" s="111">
        <v>119</v>
      </c>
      <c r="N8" s="32">
        <v>101</v>
      </c>
      <c r="O8" s="32">
        <v>101</v>
      </c>
      <c r="P8" s="34" t="s">
        <v>92</v>
      </c>
      <c r="Q8" s="55" t="s">
        <v>259</v>
      </c>
      <c r="R8" s="34" t="s">
        <v>98</v>
      </c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35" t="s">
        <v>264</v>
      </c>
      <c r="B9" s="32">
        <v>0</v>
      </c>
      <c r="C9" s="32">
        <v>1</v>
      </c>
      <c r="D9" s="32">
        <v>4</v>
      </c>
      <c r="E9" s="32">
        <v>1</v>
      </c>
      <c r="F9" s="32">
        <v>0</v>
      </c>
      <c r="G9" s="110">
        <v>0</v>
      </c>
      <c r="H9" s="111">
        <v>0</v>
      </c>
      <c r="I9" s="111">
        <v>1</v>
      </c>
      <c r="J9" s="111">
        <v>3</v>
      </c>
      <c r="K9" s="111">
        <v>6</v>
      </c>
      <c r="L9" s="111">
        <v>7</v>
      </c>
      <c r="M9" s="111">
        <v>15</v>
      </c>
      <c r="N9" s="32">
        <v>24</v>
      </c>
      <c r="O9" s="32">
        <v>29</v>
      </c>
      <c r="P9" s="34" t="s">
        <v>92</v>
      </c>
      <c r="Q9" s="55" t="s">
        <v>259</v>
      </c>
      <c r="R9" s="34" t="s">
        <v>98</v>
      </c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35" t="s">
        <v>265</v>
      </c>
      <c r="B10" s="32">
        <v>19</v>
      </c>
      <c r="C10" s="32">
        <v>25</v>
      </c>
      <c r="D10" s="32">
        <v>25</v>
      </c>
      <c r="E10" s="32">
        <v>26</v>
      </c>
      <c r="F10" s="32">
        <v>9</v>
      </c>
      <c r="G10" s="110">
        <v>7</v>
      </c>
      <c r="H10" s="111">
        <v>4</v>
      </c>
      <c r="I10" s="111">
        <v>5</v>
      </c>
      <c r="J10" s="111">
        <v>11</v>
      </c>
      <c r="K10" s="111">
        <v>14</v>
      </c>
      <c r="L10" s="111">
        <v>18</v>
      </c>
      <c r="M10" s="111">
        <v>44</v>
      </c>
      <c r="N10" s="111">
        <v>24</v>
      </c>
      <c r="O10" s="111">
        <v>1</v>
      </c>
      <c r="P10" s="34" t="s">
        <v>92</v>
      </c>
      <c r="Q10" s="55" t="s">
        <v>259</v>
      </c>
      <c r="R10" s="34" t="s">
        <v>98</v>
      </c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35" t="s">
        <v>266</v>
      </c>
      <c r="B11" s="105">
        <v>3</v>
      </c>
      <c r="C11" s="105">
        <v>8</v>
      </c>
      <c r="D11" s="105">
        <v>1</v>
      </c>
      <c r="E11" s="105">
        <v>3</v>
      </c>
      <c r="F11" s="105">
        <v>5</v>
      </c>
      <c r="G11" s="123">
        <v>4</v>
      </c>
      <c r="H11" s="111">
        <v>9</v>
      </c>
      <c r="I11" s="111">
        <v>4</v>
      </c>
      <c r="J11" s="111">
        <v>2</v>
      </c>
      <c r="K11" s="111">
        <v>3</v>
      </c>
      <c r="L11" s="124">
        <v>1</v>
      </c>
      <c r="M11" s="125"/>
      <c r="N11" s="32">
        <v>2</v>
      </c>
      <c r="O11" s="126"/>
      <c r="P11" s="34" t="s">
        <v>92</v>
      </c>
      <c r="Q11" s="55" t="s">
        <v>259</v>
      </c>
      <c r="R11" s="34" t="s">
        <v>98</v>
      </c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35" t="s">
        <v>267</v>
      </c>
      <c r="B12" s="105">
        <v>29</v>
      </c>
      <c r="C12" s="105">
        <v>34</v>
      </c>
      <c r="D12" s="105">
        <v>35</v>
      </c>
      <c r="E12" s="105">
        <v>36</v>
      </c>
      <c r="F12" s="105">
        <v>36</v>
      </c>
      <c r="G12" s="123">
        <v>36</v>
      </c>
      <c r="H12" s="127">
        <v>36</v>
      </c>
      <c r="I12" s="111">
        <v>36</v>
      </c>
      <c r="J12" s="111">
        <v>36</v>
      </c>
      <c r="K12" s="111">
        <v>36</v>
      </c>
      <c r="L12" s="111">
        <v>35</v>
      </c>
      <c r="M12" s="111">
        <v>35</v>
      </c>
      <c r="N12" s="32">
        <v>34</v>
      </c>
      <c r="O12" s="32">
        <v>35</v>
      </c>
      <c r="P12" s="34" t="s">
        <v>92</v>
      </c>
      <c r="Q12" s="55" t="s">
        <v>259</v>
      </c>
      <c r="R12" s="34" t="s">
        <v>98</v>
      </c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 ht="30">
      <c r="A13" s="35" t="s">
        <v>268</v>
      </c>
      <c r="B13" s="32">
        <v>359</v>
      </c>
      <c r="C13" s="32">
        <v>394</v>
      </c>
      <c r="D13" s="32">
        <v>425</v>
      </c>
      <c r="E13" s="32">
        <v>451</v>
      </c>
      <c r="F13" s="32">
        <v>474</v>
      </c>
      <c r="G13" s="32">
        <v>483</v>
      </c>
      <c r="H13" s="32">
        <v>490</v>
      </c>
      <c r="I13" s="32">
        <v>497</v>
      </c>
      <c r="J13" s="32">
        <v>514</v>
      </c>
      <c r="K13" s="32">
        <v>565</v>
      </c>
      <c r="L13" s="32">
        <v>545</v>
      </c>
      <c r="M13" s="32">
        <v>549</v>
      </c>
      <c r="N13" s="32">
        <v>516</v>
      </c>
      <c r="O13" s="32">
        <v>535</v>
      </c>
      <c r="P13" s="35" t="s">
        <v>92</v>
      </c>
      <c r="Q13" s="128" t="s">
        <v>269</v>
      </c>
      <c r="R13" s="34" t="s">
        <v>98</v>
      </c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ht="30">
      <c r="A14" s="35" t="s">
        <v>270</v>
      </c>
      <c r="B14" s="32">
        <v>46</v>
      </c>
      <c r="C14" s="32">
        <v>46</v>
      </c>
      <c r="D14" s="32">
        <v>48</v>
      </c>
      <c r="E14" s="32">
        <v>48</v>
      </c>
      <c r="F14" s="32">
        <v>49</v>
      </c>
      <c r="G14" s="32">
        <v>49</v>
      </c>
      <c r="H14" s="32">
        <v>49</v>
      </c>
      <c r="I14" s="32">
        <v>49</v>
      </c>
      <c r="J14" s="32">
        <v>49</v>
      </c>
      <c r="K14" s="32">
        <v>49</v>
      </c>
      <c r="L14" s="32">
        <v>49</v>
      </c>
      <c r="M14" s="32">
        <v>49</v>
      </c>
      <c r="N14" s="32">
        <v>49</v>
      </c>
      <c r="O14" s="32">
        <v>45</v>
      </c>
      <c r="P14" s="35" t="s">
        <v>92</v>
      </c>
      <c r="Q14" s="129" t="s">
        <v>271</v>
      </c>
      <c r="R14" s="34" t="s">
        <v>98</v>
      </c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112"/>
      <c r="B15" s="114"/>
      <c r="C15" s="114"/>
      <c r="D15" s="114"/>
      <c r="E15" s="114"/>
      <c r="F15" s="114"/>
      <c r="G15" s="114"/>
      <c r="H15" s="114"/>
      <c r="I15" s="114"/>
      <c r="J15" s="113"/>
      <c r="K15" s="113"/>
      <c r="L15" s="113"/>
      <c r="M15" s="360"/>
      <c r="N15" s="113"/>
      <c r="O15" s="113"/>
      <c r="P15" s="116"/>
      <c r="Q15" s="116"/>
      <c r="R15" s="130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28" t="s">
        <v>272</v>
      </c>
      <c r="B16" s="28">
        <v>2010</v>
      </c>
      <c r="C16" s="28">
        <v>2011</v>
      </c>
      <c r="D16" s="28">
        <v>2012</v>
      </c>
      <c r="E16" s="28">
        <v>2013</v>
      </c>
      <c r="F16" s="28">
        <v>2014</v>
      </c>
      <c r="G16" s="28">
        <v>2015</v>
      </c>
      <c r="H16" s="28">
        <v>2016</v>
      </c>
      <c r="I16" s="28">
        <v>2017</v>
      </c>
      <c r="J16" s="28">
        <v>2018</v>
      </c>
      <c r="K16" s="28">
        <v>2019</v>
      </c>
      <c r="L16" s="131">
        <v>2020</v>
      </c>
      <c r="M16" s="132">
        <v>2021</v>
      </c>
      <c r="N16" s="28">
        <v>2022</v>
      </c>
      <c r="O16" s="28">
        <v>2023</v>
      </c>
      <c r="P16" s="29" t="s">
        <v>21</v>
      </c>
      <c r="Q16" s="29" t="s">
        <v>22</v>
      </c>
      <c r="R16" s="28" t="s">
        <v>23</v>
      </c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</row>
    <row r="17" spans="1:30">
      <c r="A17" s="35" t="s">
        <v>273</v>
      </c>
      <c r="B17" s="133"/>
      <c r="C17" s="133"/>
      <c r="D17" s="133"/>
      <c r="E17" s="133"/>
      <c r="F17" s="134"/>
      <c r="G17" s="134"/>
      <c r="H17" s="134"/>
      <c r="I17" s="134"/>
      <c r="J17" s="43">
        <v>125.12774973833359</v>
      </c>
      <c r="K17" s="135"/>
      <c r="L17" s="90">
        <v>344.75902719999999</v>
      </c>
      <c r="M17" s="120">
        <v>346.13106220000003</v>
      </c>
      <c r="N17" s="43">
        <v>434.83679999999998</v>
      </c>
      <c r="O17" s="43">
        <v>435.87349999999998</v>
      </c>
      <c r="P17" s="34" t="s">
        <v>92</v>
      </c>
      <c r="Q17" s="293" t="s">
        <v>546</v>
      </c>
      <c r="R17" s="34" t="s">
        <v>98</v>
      </c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 ht="30">
      <c r="A18" s="35" t="s">
        <v>274</v>
      </c>
      <c r="B18" s="133"/>
      <c r="C18" s="133"/>
      <c r="D18" s="133"/>
      <c r="E18" s="133"/>
      <c r="F18" s="134"/>
      <c r="G18" s="134"/>
      <c r="H18" s="134"/>
      <c r="I18" s="134"/>
      <c r="J18" s="43">
        <v>132</v>
      </c>
      <c r="K18" s="135"/>
      <c r="L18" s="43">
        <v>147</v>
      </c>
      <c r="M18" s="137"/>
      <c r="N18" s="135"/>
      <c r="O18" s="43">
        <v>147.08000000000001</v>
      </c>
      <c r="P18" s="34" t="s">
        <v>275</v>
      </c>
      <c r="Q18" s="138" t="s">
        <v>276</v>
      </c>
      <c r="R18" s="34" t="s">
        <v>98</v>
      </c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 ht="30">
      <c r="A19" s="35" t="s">
        <v>277</v>
      </c>
      <c r="B19" s="133"/>
      <c r="C19" s="133"/>
      <c r="D19" s="133"/>
      <c r="E19" s="133"/>
      <c r="F19" s="134"/>
      <c r="G19" s="134"/>
      <c r="H19" s="134"/>
      <c r="I19" s="134"/>
      <c r="J19" s="43">
        <v>1124</v>
      </c>
      <c r="K19" s="135"/>
      <c r="L19" s="43">
        <v>1157</v>
      </c>
      <c r="M19" s="137"/>
      <c r="N19" s="135"/>
      <c r="O19" s="43">
        <v>1277.8889999999999</v>
      </c>
      <c r="P19" s="34" t="s">
        <v>275</v>
      </c>
      <c r="Q19" s="139" t="s">
        <v>278</v>
      </c>
      <c r="R19" s="34" t="s">
        <v>98</v>
      </c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 ht="30">
      <c r="A20" s="35" t="s">
        <v>279</v>
      </c>
      <c r="B20" s="59">
        <v>0.94784544532000004</v>
      </c>
      <c r="C20" s="59">
        <v>1.3818346454280002</v>
      </c>
      <c r="D20" s="59">
        <v>1.6778588646600001</v>
      </c>
      <c r="E20" s="59">
        <v>2.0842330495920001</v>
      </c>
      <c r="F20" s="59">
        <v>2.1646238639919999</v>
      </c>
      <c r="G20" s="59">
        <v>2.1646238639919999</v>
      </c>
      <c r="H20" s="59">
        <v>2.1866800590039999</v>
      </c>
      <c r="I20" s="59">
        <v>2.1870212590039997</v>
      </c>
      <c r="J20" s="59">
        <v>2.3303904964439996</v>
      </c>
      <c r="K20" s="59">
        <v>2.3785148286639997</v>
      </c>
      <c r="L20" s="59">
        <v>2.4109288286639998</v>
      </c>
      <c r="M20" s="59">
        <v>2.4109288286639998</v>
      </c>
      <c r="N20" s="59">
        <v>2.4109288286639998</v>
      </c>
      <c r="O20" s="59">
        <v>2.4109288286639998</v>
      </c>
      <c r="P20" s="34" t="s">
        <v>92</v>
      </c>
      <c r="Q20" s="190" t="s">
        <v>259</v>
      </c>
      <c r="R20" s="76" t="s">
        <v>280</v>
      </c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15.75" customHeight="1">
      <c r="A21" s="35" t="s">
        <v>281</v>
      </c>
      <c r="B21" s="59">
        <v>5.3880716000000026</v>
      </c>
      <c r="C21" s="59">
        <v>5.5375620950000028</v>
      </c>
      <c r="D21" s="59">
        <v>5.9042283200000032</v>
      </c>
      <c r="E21" s="59">
        <v>7.1320503600000027</v>
      </c>
      <c r="F21" s="59">
        <v>7.1768723600000026</v>
      </c>
      <c r="G21" s="59">
        <v>7.8956303600000028</v>
      </c>
      <c r="H21" s="59">
        <v>7.8956303600000028</v>
      </c>
      <c r="I21" s="59">
        <v>7.8956303600000028</v>
      </c>
      <c r="J21" s="59">
        <v>9.7217618600000026</v>
      </c>
      <c r="K21" s="59">
        <v>10.652238110000003</v>
      </c>
      <c r="L21" s="59">
        <v>12.763315985000002</v>
      </c>
      <c r="M21" s="59">
        <v>17.167976115000002</v>
      </c>
      <c r="N21" s="59">
        <v>18.214613615000001</v>
      </c>
      <c r="O21" s="59">
        <v>18.251769155000002</v>
      </c>
      <c r="P21" s="34" t="s">
        <v>92</v>
      </c>
      <c r="Q21" s="55" t="s">
        <v>259</v>
      </c>
      <c r="R21" s="34" t="s">
        <v>98</v>
      </c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5.75" customHeight="1">
      <c r="A22" s="35" t="s">
        <v>282</v>
      </c>
      <c r="B22" s="59">
        <v>1.8173375676396248</v>
      </c>
      <c r="C22" s="59">
        <v>2.3786014937462703</v>
      </c>
      <c r="D22" s="59">
        <v>3.0289899970258229</v>
      </c>
      <c r="E22" s="59">
        <v>3.5291746615061301</v>
      </c>
      <c r="F22" s="59">
        <v>3.723025227346159</v>
      </c>
      <c r="G22" s="59">
        <v>3.8045922425502354</v>
      </c>
      <c r="H22" s="59">
        <v>4.0303677316089201</v>
      </c>
      <c r="I22" s="59">
        <v>4.2102567296590419</v>
      </c>
      <c r="J22" s="59">
        <v>4.9356798236985568</v>
      </c>
      <c r="K22" s="59">
        <v>5.7714268882248847</v>
      </c>
      <c r="L22" s="59">
        <v>7.404395031459039</v>
      </c>
      <c r="M22" s="59">
        <v>9.7669785861637131</v>
      </c>
      <c r="N22" s="59">
        <v>10.486236226389488</v>
      </c>
      <c r="O22" s="59">
        <v>10.504499451395025</v>
      </c>
      <c r="P22" s="34" t="s">
        <v>92</v>
      </c>
      <c r="Q22" s="190" t="s">
        <v>259</v>
      </c>
      <c r="R22" s="34" t="s">
        <v>98</v>
      </c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30">
      <c r="A23" s="35" t="s">
        <v>283</v>
      </c>
      <c r="B23" s="59">
        <v>271.10000000000002</v>
      </c>
      <c r="C23" s="59">
        <v>264.86</v>
      </c>
      <c r="D23" s="59">
        <v>264.39</v>
      </c>
      <c r="E23" s="59">
        <v>259.24</v>
      </c>
      <c r="F23" s="59">
        <v>258.45999999999998</v>
      </c>
      <c r="G23" s="59">
        <v>266.56</v>
      </c>
      <c r="H23" s="59">
        <v>274.02999999999997</v>
      </c>
      <c r="I23" s="59">
        <v>277.5</v>
      </c>
      <c r="J23" s="59">
        <v>281.20999999999998</v>
      </c>
      <c r="K23" s="59">
        <v>280.37</v>
      </c>
      <c r="L23" s="140">
        <v>281.02</v>
      </c>
      <c r="M23" s="141">
        <v>278.23</v>
      </c>
      <c r="N23" s="141">
        <v>274.3</v>
      </c>
      <c r="O23" s="133"/>
      <c r="P23" s="34" t="s">
        <v>92</v>
      </c>
      <c r="Q23" s="55" t="s">
        <v>284</v>
      </c>
      <c r="R23" s="34" t="s">
        <v>98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35" t="s">
        <v>285</v>
      </c>
      <c r="B24" s="43">
        <v>106.681</v>
      </c>
      <c r="C24" s="43">
        <v>114.173</v>
      </c>
      <c r="D24" s="43">
        <v>125.92700000000001</v>
      </c>
      <c r="E24" s="43">
        <v>133.18</v>
      </c>
      <c r="F24" s="142">
        <v>141.63200000000001</v>
      </c>
      <c r="G24" s="43">
        <v>138.84100000000001</v>
      </c>
      <c r="H24" s="43">
        <v>137.6</v>
      </c>
      <c r="I24" s="43">
        <v>139.83099999999999</v>
      </c>
      <c r="J24" s="43">
        <v>135.92099999999999</v>
      </c>
      <c r="K24" s="43">
        <v>129.5</v>
      </c>
      <c r="L24" s="90">
        <v>126.872</v>
      </c>
      <c r="M24" s="120">
        <v>116.04900000000001</v>
      </c>
      <c r="N24" s="43">
        <v>105.99299999999999</v>
      </c>
      <c r="O24" s="43">
        <v>97.56</v>
      </c>
      <c r="P24" s="34" t="s">
        <v>52</v>
      </c>
      <c r="Q24" s="55" t="s">
        <v>286</v>
      </c>
      <c r="R24" s="34" t="s">
        <v>98</v>
      </c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35" t="s">
        <v>287</v>
      </c>
      <c r="B25" s="43">
        <v>219.95400000000001</v>
      </c>
      <c r="C25" s="43">
        <v>235.99</v>
      </c>
      <c r="D25" s="43">
        <v>259.56400000000002</v>
      </c>
      <c r="E25" s="43">
        <v>272.798</v>
      </c>
      <c r="F25" s="142">
        <v>287.69200000000001</v>
      </c>
      <c r="G25" s="43">
        <v>284.05200000000002</v>
      </c>
      <c r="H25" s="43">
        <v>277.72000000000003</v>
      </c>
      <c r="I25" s="43">
        <v>282.05099999999999</v>
      </c>
      <c r="J25" s="43">
        <v>273.85599999999999</v>
      </c>
      <c r="K25" s="43">
        <v>261.06400000000002</v>
      </c>
      <c r="L25" s="90">
        <v>256.512</v>
      </c>
      <c r="M25" s="120">
        <v>235.90600000000001</v>
      </c>
      <c r="N25" s="43">
        <v>216.14599999999999</v>
      </c>
      <c r="O25" s="43">
        <v>197.71199999999999</v>
      </c>
      <c r="P25" s="34" t="s">
        <v>52</v>
      </c>
      <c r="Q25" s="60" t="s">
        <v>288</v>
      </c>
      <c r="R25" s="34" t="s">
        <v>98</v>
      </c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35" t="s">
        <v>289</v>
      </c>
      <c r="B26" s="43">
        <v>64.168769999999981</v>
      </c>
      <c r="C26" s="43">
        <v>71.994010000000017</v>
      </c>
      <c r="D26" s="43">
        <v>80.27265000000007</v>
      </c>
      <c r="E26" s="43">
        <v>89.394360000000091</v>
      </c>
      <c r="F26" s="43">
        <v>96.577120000000036</v>
      </c>
      <c r="G26" s="43">
        <v>99.470280000000031</v>
      </c>
      <c r="H26" s="43">
        <v>105.34576000000007</v>
      </c>
      <c r="I26" s="43">
        <v>108.25581000000007</v>
      </c>
      <c r="J26" s="43">
        <v>115.4852600000001</v>
      </c>
      <c r="K26" s="43">
        <v>90.052050000000008</v>
      </c>
      <c r="L26" s="90">
        <v>93.594800000000006</v>
      </c>
      <c r="M26" s="120">
        <v>94.378799999999998</v>
      </c>
      <c r="N26" s="43">
        <v>94.853300000000004</v>
      </c>
      <c r="O26" s="43">
        <v>95.1357</v>
      </c>
      <c r="P26" s="34" t="s">
        <v>92</v>
      </c>
      <c r="Q26" s="63" t="s">
        <v>290</v>
      </c>
      <c r="R26" s="34" t="s">
        <v>98</v>
      </c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35" t="s">
        <v>291</v>
      </c>
      <c r="B27" s="43">
        <v>163.1</v>
      </c>
      <c r="C27" s="43">
        <v>153.87</v>
      </c>
      <c r="D27" s="43">
        <v>155.63</v>
      </c>
      <c r="E27" s="43">
        <v>151.69</v>
      </c>
      <c r="F27" s="43">
        <v>151.38999999999999</v>
      </c>
      <c r="G27" s="43">
        <v>150.22</v>
      </c>
      <c r="H27" s="43">
        <v>146.27000000000001</v>
      </c>
      <c r="I27" s="43">
        <v>147.9</v>
      </c>
      <c r="J27" s="43">
        <v>150.22999999999999</v>
      </c>
      <c r="K27" s="43">
        <v>152.36000000000001</v>
      </c>
      <c r="L27" s="291">
        <v>147.6</v>
      </c>
      <c r="M27" s="120">
        <v>145.28</v>
      </c>
      <c r="N27" s="43">
        <v>143.16999999999999</v>
      </c>
      <c r="O27" s="133"/>
      <c r="P27" s="34" t="s">
        <v>92</v>
      </c>
      <c r="Q27" s="83" t="s">
        <v>284</v>
      </c>
      <c r="R27" s="34" t="s">
        <v>511</v>
      </c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112"/>
      <c r="B28" s="114"/>
      <c r="C28" s="114"/>
      <c r="D28" s="114"/>
      <c r="E28" s="114"/>
      <c r="F28" s="114"/>
      <c r="G28" s="114"/>
      <c r="H28" s="143"/>
      <c r="I28" s="143"/>
      <c r="J28" s="143"/>
      <c r="K28" s="143"/>
      <c r="L28" s="143"/>
      <c r="M28" s="143"/>
      <c r="N28" s="143"/>
      <c r="O28" s="143"/>
      <c r="P28" s="116"/>
      <c r="Q28" s="116"/>
      <c r="R28" s="130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8" t="s">
        <v>292</v>
      </c>
      <c r="B29" s="28">
        <v>2010</v>
      </c>
      <c r="C29" s="28">
        <v>2011</v>
      </c>
      <c r="D29" s="28">
        <v>2012</v>
      </c>
      <c r="E29" s="28">
        <v>2013</v>
      </c>
      <c r="F29" s="28">
        <v>2014</v>
      </c>
      <c r="G29" s="28">
        <v>2015</v>
      </c>
      <c r="H29" s="28">
        <v>2016</v>
      </c>
      <c r="I29" s="28">
        <v>2107</v>
      </c>
      <c r="J29" s="28">
        <v>2018</v>
      </c>
      <c r="K29" s="28">
        <v>2019</v>
      </c>
      <c r="L29" s="28">
        <v>2020</v>
      </c>
      <c r="M29" s="28">
        <v>2021</v>
      </c>
      <c r="N29" s="28">
        <v>2022</v>
      </c>
      <c r="O29" s="28">
        <v>2023</v>
      </c>
      <c r="P29" s="29" t="s">
        <v>21</v>
      </c>
      <c r="Q29" s="29" t="s">
        <v>22</v>
      </c>
      <c r="R29" s="28" t="s">
        <v>23</v>
      </c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ht="15.75" customHeight="1">
      <c r="A30" s="35" t="s">
        <v>293</v>
      </c>
      <c r="B30" s="88"/>
      <c r="C30" s="36"/>
      <c r="D30" s="36"/>
      <c r="E30" s="36"/>
      <c r="F30" s="36"/>
      <c r="G30" s="36"/>
      <c r="H30" s="88"/>
      <c r="I30" s="36"/>
      <c r="J30" s="36"/>
      <c r="K30" s="36"/>
      <c r="L30" s="36"/>
      <c r="M30" s="36"/>
      <c r="N30" s="36"/>
      <c r="O30" s="36"/>
      <c r="P30" s="34" t="s">
        <v>92</v>
      </c>
      <c r="Q30" s="55"/>
      <c r="R30" s="35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35" t="s">
        <v>294</v>
      </c>
      <c r="B31" s="36"/>
      <c r="C31" s="36"/>
      <c r="D31" s="36"/>
      <c r="E31" s="36"/>
      <c r="F31" s="68">
        <v>275000</v>
      </c>
      <c r="G31" s="36"/>
      <c r="H31" s="88"/>
      <c r="I31" s="88"/>
      <c r="J31" s="88"/>
      <c r="K31" s="88"/>
      <c r="L31" s="68">
        <v>372870</v>
      </c>
      <c r="M31" s="88"/>
      <c r="N31" s="88"/>
      <c r="O31" s="88"/>
      <c r="P31" s="34" t="s">
        <v>92</v>
      </c>
      <c r="Q31" s="128" t="s">
        <v>295</v>
      </c>
      <c r="R31" s="35" t="s">
        <v>98</v>
      </c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35" t="s">
        <v>296</v>
      </c>
      <c r="B32" s="36"/>
      <c r="C32" s="36"/>
      <c r="D32" s="36"/>
      <c r="E32" s="36"/>
      <c r="F32" s="68">
        <v>18000</v>
      </c>
      <c r="G32" s="36"/>
      <c r="H32" s="36"/>
      <c r="I32" s="36"/>
      <c r="J32" s="36"/>
      <c r="K32" s="36"/>
      <c r="L32" s="68">
        <v>24826</v>
      </c>
      <c r="M32" s="36"/>
      <c r="N32" s="36"/>
      <c r="O32" s="36"/>
      <c r="P32" s="34" t="s">
        <v>92</v>
      </c>
      <c r="Q32" s="144" t="s">
        <v>295</v>
      </c>
      <c r="R32" s="35" t="s">
        <v>98</v>
      </c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30">
      <c r="A33" s="34" t="s">
        <v>297</v>
      </c>
      <c r="B33" s="36"/>
      <c r="C33" s="36"/>
      <c r="D33" s="36"/>
      <c r="E33" s="36"/>
      <c r="F33" s="68">
        <v>2.9</v>
      </c>
      <c r="G33" s="36"/>
      <c r="H33" s="36"/>
      <c r="I33" s="36"/>
      <c r="J33" s="36"/>
      <c r="K33" s="36"/>
      <c r="L33" s="36"/>
      <c r="M33" s="36"/>
      <c r="N33" s="36"/>
      <c r="O33" s="36"/>
      <c r="P33" s="34" t="s">
        <v>92</v>
      </c>
      <c r="Q33" s="55" t="s">
        <v>298</v>
      </c>
      <c r="R33" s="35" t="s">
        <v>98</v>
      </c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311"/>
      <c r="B34" s="311"/>
      <c r="C34" s="311"/>
      <c r="D34" s="311"/>
      <c r="E34" s="311"/>
      <c r="F34" s="311"/>
      <c r="G34" s="311"/>
      <c r="H34" s="311"/>
      <c r="I34" s="311"/>
      <c r="J34" s="311"/>
      <c r="K34" s="311"/>
      <c r="L34" s="311"/>
      <c r="M34" s="311"/>
      <c r="N34" s="311"/>
      <c r="O34" s="311"/>
      <c r="P34" s="311"/>
      <c r="Q34" s="311"/>
      <c r="R34" s="311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02" t="s">
        <v>517</v>
      </c>
      <c r="B35" s="202">
        <v>2010</v>
      </c>
      <c r="C35" s="202">
        <v>2011</v>
      </c>
      <c r="D35" s="202">
        <v>2012</v>
      </c>
      <c r="E35" s="202">
        <v>2013</v>
      </c>
      <c r="F35" s="202">
        <v>2014</v>
      </c>
      <c r="G35" s="202">
        <v>2015</v>
      </c>
      <c r="H35" s="202">
        <v>2016</v>
      </c>
      <c r="I35" s="202">
        <v>2017</v>
      </c>
      <c r="J35" s="202">
        <v>2018</v>
      </c>
      <c r="K35" s="202">
        <v>2019</v>
      </c>
      <c r="L35" s="202">
        <v>2020</v>
      </c>
      <c r="M35" s="202">
        <v>2021</v>
      </c>
      <c r="N35" s="202">
        <v>2022</v>
      </c>
      <c r="O35" s="202">
        <v>2023</v>
      </c>
      <c r="P35" s="202" t="s">
        <v>21</v>
      </c>
      <c r="Q35" s="202" t="s">
        <v>22</v>
      </c>
      <c r="R35" s="202" t="s">
        <v>23</v>
      </c>
      <c r="S35" s="312"/>
      <c r="T35" s="312"/>
      <c r="U35" s="312"/>
      <c r="V35" s="312"/>
      <c r="W35" s="312"/>
      <c r="X35" s="312"/>
      <c r="Y35" s="312"/>
      <c r="Z35" s="312"/>
      <c r="AA35" s="312"/>
      <c r="AB35" s="312"/>
      <c r="AC35" s="312"/>
      <c r="AD35" s="312"/>
    </row>
    <row r="36" spans="1:30" ht="15.75" customHeight="1">
      <c r="A36" s="204" t="s">
        <v>518</v>
      </c>
      <c r="B36" s="213">
        <v>7</v>
      </c>
      <c r="C36" s="213">
        <v>5</v>
      </c>
      <c r="D36" s="213">
        <v>6</v>
      </c>
      <c r="E36" s="213">
        <v>6</v>
      </c>
      <c r="F36" s="213">
        <v>5</v>
      </c>
      <c r="G36" s="213">
        <v>6</v>
      </c>
      <c r="H36" s="213">
        <v>5</v>
      </c>
      <c r="I36" s="213">
        <v>7</v>
      </c>
      <c r="J36" s="213">
        <v>14</v>
      </c>
      <c r="K36" s="213">
        <v>29</v>
      </c>
      <c r="L36" s="213">
        <v>53</v>
      </c>
      <c r="M36" s="213">
        <v>97</v>
      </c>
      <c r="N36" s="213">
        <v>109</v>
      </c>
      <c r="O36" s="213">
        <v>135</v>
      </c>
      <c r="P36" s="204" t="s">
        <v>92</v>
      </c>
      <c r="Q36" s="313" t="s">
        <v>519</v>
      </c>
      <c r="R36" s="204" t="s">
        <v>520</v>
      </c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04" t="s">
        <v>521</v>
      </c>
      <c r="B37" s="213">
        <v>30</v>
      </c>
      <c r="C37" s="213">
        <v>32</v>
      </c>
      <c r="D37" s="213">
        <v>33</v>
      </c>
      <c r="E37" s="213">
        <v>38</v>
      </c>
      <c r="F37" s="213">
        <v>39</v>
      </c>
      <c r="G37" s="213">
        <v>41</v>
      </c>
      <c r="H37" s="213">
        <v>41</v>
      </c>
      <c r="I37" s="213">
        <v>45</v>
      </c>
      <c r="J37" s="213">
        <v>58</v>
      </c>
      <c r="K37" s="213">
        <v>63</v>
      </c>
      <c r="L37" s="213">
        <v>70</v>
      </c>
      <c r="M37" s="213">
        <v>76</v>
      </c>
      <c r="N37" s="213">
        <v>82</v>
      </c>
      <c r="O37" s="213">
        <v>102</v>
      </c>
      <c r="P37" s="204" t="s">
        <v>92</v>
      </c>
      <c r="Q37" s="313" t="s">
        <v>519</v>
      </c>
      <c r="R37" s="204" t="s">
        <v>522</v>
      </c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Q4" r:id="rId1" xr:uid="{00000000-0004-0000-0900-000000000000}"/>
    <hyperlink ref="Q5" r:id="rId2" xr:uid="{00000000-0004-0000-0900-000001000000}"/>
    <hyperlink ref="Q6" r:id="rId3" xr:uid="{00000000-0004-0000-0900-000002000000}"/>
    <hyperlink ref="Q7" r:id="rId4" xr:uid="{00000000-0004-0000-0900-000003000000}"/>
    <hyperlink ref="Q8" r:id="rId5" xr:uid="{00000000-0004-0000-0900-000004000000}"/>
    <hyperlink ref="Q9" r:id="rId6" xr:uid="{00000000-0004-0000-0900-000005000000}"/>
    <hyperlink ref="Q10" r:id="rId7" xr:uid="{00000000-0004-0000-0900-000006000000}"/>
    <hyperlink ref="Q11" r:id="rId8" xr:uid="{00000000-0004-0000-0900-000007000000}"/>
    <hyperlink ref="Q12" r:id="rId9" xr:uid="{00000000-0004-0000-0900-000008000000}"/>
    <hyperlink ref="Q13" r:id="rId10" xr:uid="{00000000-0004-0000-0900-000009000000}"/>
    <hyperlink ref="Q14" r:id="rId11" xr:uid="{00000000-0004-0000-0900-00000A000000}"/>
    <hyperlink ref="Q18" r:id="rId12" xr:uid="{00000000-0004-0000-0900-00000B000000}"/>
    <hyperlink ref="Q19" r:id="rId13" xr:uid="{00000000-0004-0000-0900-00000C000000}"/>
    <hyperlink ref="Q20" r:id="rId14" xr:uid="{00000000-0004-0000-0900-00000D000000}"/>
    <hyperlink ref="Q21" r:id="rId15" xr:uid="{00000000-0004-0000-0900-00000E000000}"/>
    <hyperlink ref="Q22" r:id="rId16" xr:uid="{00000000-0004-0000-0900-00000F000000}"/>
    <hyperlink ref="Q23" r:id="rId17" location="iallsectors/methane/inventsect/all" xr:uid="{00000000-0004-0000-0900-000010000000}"/>
    <hyperlink ref="Q24" r:id="rId18" xr:uid="{00000000-0004-0000-0900-000011000000}"/>
    <hyperlink ref="Q25" r:id="rId19" xr:uid="{00000000-0004-0000-0900-000012000000}"/>
    <hyperlink ref="Q26" r:id="rId20" xr:uid="{00000000-0004-0000-0900-000013000000}"/>
    <hyperlink ref="Q27" r:id="rId21" location="iallsectors/methane/inventsect/all" xr:uid="{00000000-0004-0000-0900-000014000000}"/>
    <hyperlink ref="Q31" r:id="rId22" xr:uid="{00000000-0004-0000-0900-000015000000}"/>
    <hyperlink ref="Q32" r:id="rId23" xr:uid="{00000000-0004-0000-0900-000016000000}"/>
    <hyperlink ref="Q33" r:id="rId24" xr:uid="{00000000-0004-0000-0900-000017000000}"/>
    <hyperlink ref="Q36" r:id="rId25" xr:uid="{6355303C-ACD8-4038-9B19-98AEABC8A6CA}"/>
    <hyperlink ref="Q37" r:id="rId26" xr:uid="{7A972DDA-7A69-4C39-959D-1FF0CBEDE12E}"/>
    <hyperlink ref="Q17" r:id="rId27" xr:uid="{E72718BE-F49B-4E04-97A3-1B691150E4C7}"/>
  </hyperlinks>
  <pageMargins left="0.7" right="0.7" top="0.75" bottom="0.75" header="0" footer="0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F2DB-A3E4-4C65-957C-B8E94F4AAD65}">
  <sheetPr>
    <tabColor rgb="FF08306C"/>
  </sheetPr>
  <dimension ref="A1:AI1004"/>
  <sheetViews>
    <sheetView workbookViewId="0">
      <selection activeCell="C37" sqref="C37"/>
    </sheetView>
  </sheetViews>
  <sheetFormatPr defaultColWidth="14.42578125" defaultRowHeight="15"/>
  <cols>
    <col min="1" max="1" width="15.28515625" customWidth="1"/>
    <col min="2" max="2" width="14.140625" customWidth="1"/>
    <col min="3" max="3" width="14.5703125" bestFit="1" customWidth="1"/>
    <col min="4" max="4" width="12.140625" customWidth="1"/>
    <col min="5" max="5" width="20.28515625" bestFit="1" customWidth="1"/>
    <col min="6" max="6" width="9.140625" customWidth="1"/>
    <col min="7" max="7" width="22.42578125" customWidth="1"/>
    <col min="8" max="8" width="18" customWidth="1"/>
    <col min="9" max="9" width="9.140625" customWidth="1"/>
    <col min="10" max="10" width="18.85546875" customWidth="1"/>
    <col min="11" max="11" width="11" customWidth="1"/>
    <col min="12" max="12" width="1.7109375" customWidth="1"/>
    <col min="13" max="13" width="17.42578125" customWidth="1"/>
    <col min="14" max="14" width="14.140625" bestFit="1" customWidth="1"/>
    <col min="15" max="15" width="9.140625" customWidth="1"/>
    <col min="16" max="16" width="16" customWidth="1"/>
    <col min="17" max="17" width="14.140625" bestFit="1" customWidth="1"/>
    <col min="18" max="18" width="9.140625" customWidth="1"/>
    <col min="19" max="19" width="18.140625" customWidth="1"/>
    <col min="20" max="20" width="19" customWidth="1"/>
    <col min="21" max="21" width="5.28515625" customWidth="1"/>
    <col min="22" max="22" width="17" customWidth="1"/>
    <col min="23" max="23" width="20.5703125" customWidth="1"/>
    <col min="24" max="24" width="2.42578125" customWidth="1"/>
    <col min="25" max="25" width="22" customWidth="1"/>
    <col min="26" max="27" width="9.140625" customWidth="1"/>
    <col min="28" max="28" width="14.5703125" customWidth="1"/>
    <col min="29" max="29" width="13.5703125" customWidth="1"/>
    <col min="30" max="30" width="9.140625" customWidth="1"/>
    <col min="31" max="31" width="17.85546875" customWidth="1"/>
    <col min="32" max="32" width="19" bestFit="1" customWidth="1"/>
    <col min="33" max="33" width="9.140625" customWidth="1"/>
    <col min="34" max="34" width="14.7109375" customWidth="1"/>
    <col min="35" max="35" width="11.140625" customWidth="1"/>
  </cols>
  <sheetData>
    <row r="1" spans="1:35" ht="14.25" customHeight="1">
      <c r="A1" s="265" t="s">
        <v>462</v>
      </c>
      <c r="B1" s="266"/>
      <c r="C1" s="266"/>
      <c r="D1" s="266"/>
      <c r="E1" s="266"/>
      <c r="F1" s="266"/>
      <c r="G1" s="267"/>
      <c r="H1" s="267"/>
      <c r="I1" s="267"/>
      <c r="J1" s="266"/>
      <c r="K1" s="266"/>
      <c r="L1" s="266"/>
      <c r="M1" s="265" t="s">
        <v>463</v>
      </c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8" t="s">
        <v>464</v>
      </c>
      <c r="Z1" s="266"/>
      <c r="AA1" s="266"/>
      <c r="AB1" s="266"/>
      <c r="AC1" s="266"/>
      <c r="AD1" s="266"/>
      <c r="AE1" s="266"/>
      <c r="AF1" s="266"/>
      <c r="AG1" s="266"/>
      <c r="AH1" s="266"/>
      <c r="AI1" s="266"/>
    </row>
    <row r="2" spans="1:35" ht="14.25" customHeight="1">
      <c r="A2" s="131" t="s">
        <v>2</v>
      </c>
      <c r="B2" s="131" t="s">
        <v>465</v>
      </c>
      <c r="C2" s="269"/>
      <c r="D2" s="301" t="s">
        <v>441</v>
      </c>
      <c r="E2" s="301" t="s">
        <v>465</v>
      </c>
      <c r="F2" s="269"/>
      <c r="G2" s="131" t="s">
        <v>8</v>
      </c>
      <c r="H2" s="131" t="s">
        <v>466</v>
      </c>
      <c r="I2" s="269"/>
      <c r="J2" s="131" t="s">
        <v>467</v>
      </c>
      <c r="K2" s="131" t="s">
        <v>468</v>
      </c>
      <c r="L2" s="270"/>
      <c r="M2" s="131" t="s">
        <v>2</v>
      </c>
      <c r="N2" s="131" t="s">
        <v>465</v>
      </c>
      <c r="O2" s="269"/>
      <c r="P2" s="131" t="s">
        <v>441</v>
      </c>
      <c r="Q2" s="131" t="s">
        <v>465</v>
      </c>
      <c r="R2" s="269"/>
      <c r="S2" s="131" t="s">
        <v>8</v>
      </c>
      <c r="T2" s="131" t="s">
        <v>466</v>
      </c>
      <c r="U2" s="269"/>
      <c r="V2" s="131" t="s">
        <v>467</v>
      </c>
      <c r="W2" s="131" t="s">
        <v>468</v>
      </c>
      <c r="X2" s="270"/>
      <c r="Y2" s="131" t="s">
        <v>2</v>
      </c>
      <c r="Z2" s="131" t="s">
        <v>465</v>
      </c>
      <c r="AA2" s="269"/>
      <c r="AB2" s="131" t="s">
        <v>441</v>
      </c>
      <c r="AC2" s="131" t="s">
        <v>465</v>
      </c>
      <c r="AD2" s="269"/>
      <c r="AE2" s="131" t="s">
        <v>8</v>
      </c>
      <c r="AF2" s="131" t="s">
        <v>466</v>
      </c>
      <c r="AG2" s="269"/>
      <c r="AH2" s="131" t="s">
        <v>467</v>
      </c>
      <c r="AI2" s="131" t="s">
        <v>468</v>
      </c>
    </row>
    <row r="3" spans="1:35" ht="14.25" customHeight="1">
      <c r="A3" s="54" t="s">
        <v>470</v>
      </c>
      <c r="B3" s="54">
        <v>625.63199999999995</v>
      </c>
      <c r="C3" s="271"/>
      <c r="D3" s="259" t="s">
        <v>470</v>
      </c>
      <c r="E3" s="259">
        <v>230.66399999999999</v>
      </c>
      <c r="F3" s="271"/>
      <c r="G3" s="54" t="s">
        <v>471</v>
      </c>
      <c r="H3" s="355">
        <v>5.2877929669999997</v>
      </c>
      <c r="I3" s="271"/>
      <c r="J3" s="108" t="s">
        <v>470</v>
      </c>
      <c r="K3" s="54">
        <v>6477</v>
      </c>
      <c r="L3" s="272"/>
      <c r="M3" s="54" t="s">
        <v>470</v>
      </c>
      <c r="N3" s="54">
        <v>501.815</v>
      </c>
      <c r="O3" s="271"/>
      <c r="P3" s="54" t="s">
        <v>470</v>
      </c>
      <c r="Q3" s="54">
        <v>190.553</v>
      </c>
      <c r="R3" s="271"/>
      <c r="S3" s="54" t="s">
        <v>471</v>
      </c>
      <c r="T3" s="54">
        <v>5.2875889999999997</v>
      </c>
      <c r="U3" s="271"/>
      <c r="V3" s="108" t="s">
        <v>470</v>
      </c>
      <c r="W3" s="54">
        <v>5418</v>
      </c>
      <c r="X3" s="272"/>
      <c r="Y3" s="54" t="s">
        <v>470</v>
      </c>
      <c r="Z3" s="54">
        <v>374.76600000000002</v>
      </c>
      <c r="AA3" s="271"/>
      <c r="AB3" s="54" t="s">
        <v>470</v>
      </c>
      <c r="AC3" s="54">
        <v>141.792</v>
      </c>
      <c r="AD3" s="271"/>
      <c r="AE3" s="54" t="s">
        <v>471</v>
      </c>
      <c r="AF3" s="54">
        <v>5.4049569999999996</v>
      </c>
      <c r="AG3" s="271"/>
      <c r="AH3" s="108" t="s">
        <v>470</v>
      </c>
      <c r="AI3" s="54">
        <v>5525</v>
      </c>
    </row>
    <row r="4" spans="1:35" ht="14.25" customHeight="1">
      <c r="A4" s="54" t="s">
        <v>471</v>
      </c>
      <c r="B4" s="54">
        <v>160.06200000000001</v>
      </c>
      <c r="C4" s="271"/>
      <c r="D4" s="259" t="s">
        <v>474</v>
      </c>
      <c r="E4" s="259">
        <v>26.628</v>
      </c>
      <c r="F4" s="271"/>
      <c r="G4" s="54" t="s">
        <v>472</v>
      </c>
      <c r="H4" s="355">
        <v>1.4244955370000001</v>
      </c>
      <c r="I4" s="350"/>
      <c r="J4" s="108" t="s">
        <v>479</v>
      </c>
      <c r="K4" s="54">
        <v>4957</v>
      </c>
      <c r="L4" s="272"/>
      <c r="M4" s="54" t="s">
        <v>469</v>
      </c>
      <c r="N4" s="54">
        <v>60.731000000000002</v>
      </c>
      <c r="O4" s="271"/>
      <c r="P4" s="54" t="s">
        <v>472</v>
      </c>
      <c r="Q4" s="54">
        <v>7.2649999999999997</v>
      </c>
      <c r="R4" s="271"/>
      <c r="S4" s="54" t="s">
        <v>472</v>
      </c>
      <c r="T4" s="54">
        <v>1.7567089659999999</v>
      </c>
      <c r="U4" s="271"/>
      <c r="V4" s="108" t="s">
        <v>474</v>
      </c>
      <c r="W4" s="54">
        <v>4308</v>
      </c>
      <c r="X4" s="272"/>
      <c r="Y4" s="54" t="s">
        <v>475</v>
      </c>
      <c r="Z4" s="54">
        <v>150.864</v>
      </c>
      <c r="AA4" s="271"/>
      <c r="AB4" s="54" t="s">
        <v>474</v>
      </c>
      <c r="AC4" s="54">
        <v>27.341999999999999</v>
      </c>
      <c r="AD4" s="271"/>
      <c r="AE4" s="54" t="s">
        <v>472</v>
      </c>
      <c r="AF4" s="54">
        <v>1.1673210999999999</v>
      </c>
      <c r="AG4" s="271"/>
      <c r="AH4" s="108" t="s">
        <v>474</v>
      </c>
      <c r="AI4" s="54">
        <v>4016</v>
      </c>
    </row>
    <row r="5" spans="1:35" ht="14.25" customHeight="1">
      <c r="A5" s="54" t="s">
        <v>472</v>
      </c>
      <c r="B5" s="54">
        <v>114.324</v>
      </c>
      <c r="C5" s="271"/>
      <c r="D5" s="259" t="s">
        <v>485</v>
      </c>
      <c r="E5" s="259">
        <v>0.71399999999999997</v>
      </c>
      <c r="F5" s="271"/>
      <c r="G5" s="54" t="s">
        <v>494</v>
      </c>
      <c r="H5" s="355">
        <v>1.393638232</v>
      </c>
      <c r="I5" s="350"/>
      <c r="J5" s="108" t="s">
        <v>478</v>
      </c>
      <c r="K5" s="54">
        <v>3048</v>
      </c>
      <c r="L5" s="272"/>
      <c r="M5" s="54" t="s">
        <v>476</v>
      </c>
      <c r="N5" s="54">
        <v>72.869</v>
      </c>
      <c r="O5" s="271"/>
      <c r="P5" s="54" t="s">
        <v>474</v>
      </c>
      <c r="Q5" s="54">
        <v>36.749000000000002</v>
      </c>
      <c r="R5" s="271"/>
      <c r="S5" s="351" t="s">
        <v>494</v>
      </c>
      <c r="T5" s="54">
        <v>0.64670067499999995</v>
      </c>
      <c r="U5" s="271"/>
      <c r="V5" s="108" t="s">
        <v>479</v>
      </c>
      <c r="W5" s="54">
        <v>3600</v>
      </c>
      <c r="X5" s="272"/>
      <c r="Y5" s="54" t="s">
        <v>476</v>
      </c>
      <c r="Z5" s="54">
        <v>149.184</v>
      </c>
      <c r="AA5" s="271"/>
      <c r="AB5" s="54" t="s">
        <v>472</v>
      </c>
      <c r="AC5" s="54">
        <v>8.3580000000000005</v>
      </c>
      <c r="AD5" s="271"/>
      <c r="AE5" s="54" t="s">
        <v>477</v>
      </c>
      <c r="AF5" s="54">
        <v>0.44624637299999997</v>
      </c>
      <c r="AG5" s="271"/>
      <c r="AH5" s="108" t="s">
        <v>479</v>
      </c>
      <c r="AI5" s="54">
        <v>3773</v>
      </c>
    </row>
    <row r="6" spans="1:35" ht="14.25" customHeight="1">
      <c r="A6" s="54" t="s">
        <v>551</v>
      </c>
      <c r="B6" s="54">
        <v>99.456000000000003</v>
      </c>
      <c r="C6" s="271"/>
      <c r="E6" s="366">
        <f>+E3+E4+E5</f>
        <v>258.00599999999997</v>
      </c>
      <c r="F6" s="271"/>
      <c r="G6" s="54" t="s">
        <v>477</v>
      </c>
      <c r="H6" s="355">
        <v>1.393638232</v>
      </c>
      <c r="I6" s="350"/>
      <c r="J6" s="108" t="s">
        <v>486</v>
      </c>
      <c r="K6" s="54">
        <v>1232</v>
      </c>
      <c r="L6" s="272"/>
      <c r="M6" s="54" t="s">
        <v>475</v>
      </c>
      <c r="N6" s="54">
        <v>153.845</v>
      </c>
      <c r="O6" s="271"/>
      <c r="P6" s="54" t="s">
        <v>480</v>
      </c>
      <c r="Q6" s="54">
        <v>1.931</v>
      </c>
      <c r="R6" s="271"/>
      <c r="S6" s="351" t="s">
        <v>477</v>
      </c>
      <c r="T6" s="54">
        <v>0.56114420399999998</v>
      </c>
      <c r="U6" s="271"/>
      <c r="V6" s="108" t="s">
        <v>478</v>
      </c>
      <c r="W6" s="54">
        <v>1461</v>
      </c>
      <c r="X6" s="272"/>
      <c r="Y6" s="54" t="s">
        <v>481</v>
      </c>
      <c r="Z6" s="54">
        <v>100.33799999999999</v>
      </c>
      <c r="AA6" s="271"/>
      <c r="AB6" s="54" t="s">
        <v>482</v>
      </c>
      <c r="AC6" s="54">
        <v>7.0979999999999999</v>
      </c>
      <c r="AD6" s="271"/>
      <c r="AE6" s="54" t="s">
        <v>483</v>
      </c>
      <c r="AF6" s="54">
        <v>0.241522769</v>
      </c>
      <c r="AG6" s="271"/>
      <c r="AH6" s="108" t="s">
        <v>478</v>
      </c>
      <c r="AI6" s="54">
        <v>1718</v>
      </c>
    </row>
    <row r="7" spans="1:35" ht="14.25" customHeight="1">
      <c r="A7" s="54" t="s">
        <v>476</v>
      </c>
      <c r="B7" s="54">
        <v>83.873999999999995</v>
      </c>
      <c r="C7" s="271"/>
      <c r="D7" s="299"/>
      <c r="E7" s="299"/>
      <c r="F7" s="271"/>
      <c r="G7" s="54" t="s">
        <v>483</v>
      </c>
      <c r="H7" s="54">
        <v>0.32424067299999998</v>
      </c>
      <c r="I7" s="271"/>
      <c r="J7" s="108" t="s">
        <v>507</v>
      </c>
      <c r="K7" s="54">
        <v>1171</v>
      </c>
      <c r="L7" s="272"/>
      <c r="M7" s="54" t="s">
        <v>472</v>
      </c>
      <c r="N7" s="54">
        <v>94.162999999999997</v>
      </c>
      <c r="O7" s="271"/>
      <c r="P7" s="54" t="s">
        <v>485</v>
      </c>
      <c r="Q7" s="54">
        <v>1.133</v>
      </c>
      <c r="R7" s="271"/>
      <c r="S7" s="351" t="s">
        <v>473</v>
      </c>
      <c r="T7" s="54">
        <v>0.42933387099999998</v>
      </c>
      <c r="U7" s="271"/>
      <c r="V7" s="108" t="s">
        <v>486</v>
      </c>
      <c r="W7" s="54">
        <v>1068</v>
      </c>
      <c r="X7" s="272"/>
      <c r="Y7" s="54" t="s">
        <v>469</v>
      </c>
      <c r="Z7" s="54">
        <v>69.552000000000007</v>
      </c>
      <c r="AA7" s="271"/>
      <c r="AB7" s="54" t="s">
        <v>478</v>
      </c>
      <c r="AC7" s="54">
        <v>1.554</v>
      </c>
      <c r="AD7" s="271"/>
      <c r="AE7" s="54" t="s">
        <v>473</v>
      </c>
      <c r="AF7" s="54">
        <v>0.22124559999999999</v>
      </c>
      <c r="AG7" s="271"/>
      <c r="AH7" s="108" t="s">
        <v>487</v>
      </c>
      <c r="AI7" s="54">
        <v>587</v>
      </c>
    </row>
    <row r="8" spans="1:35" ht="14.25" customHeight="1">
      <c r="C8" s="273"/>
      <c r="D8" s="300"/>
      <c r="E8" s="300"/>
      <c r="F8" s="273"/>
      <c r="G8" s="273"/>
      <c r="H8" s="348">
        <f>+H4+H3+H5+H6+H7</f>
        <v>9.8238056410000016</v>
      </c>
      <c r="I8" s="271"/>
      <c r="J8" s="273"/>
      <c r="K8" s="273"/>
      <c r="L8" s="274"/>
      <c r="M8" s="54" t="s">
        <v>478</v>
      </c>
      <c r="N8" s="54">
        <v>63.292999999999999</v>
      </c>
      <c r="O8" s="273"/>
      <c r="P8" s="273"/>
      <c r="Q8" s="273"/>
      <c r="R8" s="273"/>
      <c r="S8" s="273"/>
      <c r="T8" s="273"/>
      <c r="U8" s="273"/>
      <c r="V8" s="273"/>
      <c r="W8" s="273"/>
      <c r="X8" s="274"/>
      <c r="Y8" s="273"/>
      <c r="Z8" s="273"/>
      <c r="AA8" s="273"/>
      <c r="AB8" s="273"/>
      <c r="AC8" s="273"/>
      <c r="AD8" s="273"/>
      <c r="AE8" s="273"/>
      <c r="AF8" s="273"/>
      <c r="AG8" s="273"/>
      <c r="AH8" s="273"/>
      <c r="AI8" s="273"/>
    </row>
    <row r="9" spans="1:35" ht="14.25" customHeight="1">
      <c r="C9" s="269"/>
      <c r="D9" s="269"/>
      <c r="E9" s="269"/>
      <c r="F9" s="269"/>
      <c r="G9" s="269"/>
      <c r="H9" s="357"/>
      <c r="I9" s="269"/>
      <c r="J9" s="269"/>
      <c r="K9" s="269"/>
      <c r="L9" s="270"/>
      <c r="M9" s="108" t="s">
        <v>482</v>
      </c>
      <c r="N9" s="227">
        <v>43.679000000000002</v>
      </c>
      <c r="O9" s="269"/>
      <c r="P9" s="269"/>
      <c r="Q9" s="269"/>
      <c r="R9" s="269"/>
      <c r="S9" s="269"/>
      <c r="T9" s="269"/>
      <c r="U9" s="269"/>
      <c r="V9" s="269"/>
      <c r="W9" s="269"/>
      <c r="X9" s="270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</row>
    <row r="10" spans="1:35" ht="14.25" customHeight="1">
      <c r="A10" s="269"/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70"/>
      <c r="M10" s="108" t="s">
        <v>471</v>
      </c>
      <c r="N10" s="227">
        <v>66.820999999999998</v>
      </c>
      <c r="O10" s="269"/>
      <c r="S10" s="269"/>
      <c r="T10" s="269"/>
      <c r="U10" s="269"/>
      <c r="V10" s="269"/>
      <c r="W10" s="269"/>
      <c r="X10" s="270"/>
      <c r="Y10" s="269"/>
      <c r="Z10" s="269"/>
      <c r="AA10" s="269"/>
      <c r="AB10" s="269"/>
      <c r="AC10" s="269"/>
      <c r="AD10" s="269"/>
      <c r="AE10" s="269"/>
      <c r="AF10" s="269"/>
      <c r="AG10" s="269"/>
      <c r="AH10" s="269"/>
      <c r="AI10" s="269"/>
    </row>
    <row r="11" spans="1:35" ht="14.25" customHeight="1">
      <c r="A11" s="269"/>
      <c r="B11" s="269"/>
      <c r="C11" s="269"/>
      <c r="D11" s="269"/>
      <c r="E11" s="269"/>
      <c r="F11" s="269"/>
      <c r="G11" s="269"/>
      <c r="H11" s="269"/>
      <c r="I11" s="269"/>
      <c r="J11" s="269"/>
      <c r="K11" s="269"/>
      <c r="L11" s="270"/>
      <c r="M11" s="108"/>
      <c r="N11" s="131"/>
      <c r="O11" s="269"/>
      <c r="P11" s="269"/>
      <c r="Q11" s="269"/>
      <c r="R11" s="269"/>
      <c r="S11" s="269"/>
      <c r="T11" s="269"/>
      <c r="U11" s="269"/>
      <c r="V11" s="269"/>
      <c r="W11" s="269"/>
      <c r="X11" s="270"/>
      <c r="Y11" s="269"/>
      <c r="Z11" s="269"/>
      <c r="AA11" s="269"/>
      <c r="AB11" s="269"/>
      <c r="AC11" s="269"/>
      <c r="AD11" s="269"/>
      <c r="AE11" s="269"/>
      <c r="AF11" s="269"/>
      <c r="AG11" s="269"/>
      <c r="AH11" s="269"/>
      <c r="AI11" s="269"/>
    </row>
    <row r="12" spans="1:35" ht="14.25" customHeight="1">
      <c r="A12" s="131" t="s">
        <v>488</v>
      </c>
      <c r="B12" s="131" t="s">
        <v>468</v>
      </c>
      <c r="C12" s="269"/>
      <c r="D12" s="131" t="s">
        <v>489</v>
      </c>
      <c r="E12" s="131" t="s">
        <v>468</v>
      </c>
      <c r="F12" s="269"/>
      <c r="G12" s="131" t="s">
        <v>490</v>
      </c>
      <c r="H12" s="131" t="s">
        <v>468</v>
      </c>
      <c r="I12" s="269"/>
      <c r="J12" s="301" t="s">
        <v>491</v>
      </c>
      <c r="K12" s="301" t="s">
        <v>468</v>
      </c>
      <c r="L12" s="270"/>
      <c r="M12" s="131" t="s">
        <v>488</v>
      </c>
      <c r="N12" s="131" t="s">
        <v>468</v>
      </c>
      <c r="O12" s="269"/>
      <c r="P12" s="131" t="s">
        <v>489</v>
      </c>
      <c r="Q12" s="131" t="s">
        <v>468</v>
      </c>
      <c r="R12" s="269"/>
      <c r="S12" s="131" t="s">
        <v>490</v>
      </c>
      <c r="T12" s="131" t="s">
        <v>468</v>
      </c>
      <c r="U12" s="269"/>
      <c r="V12" s="258" t="s">
        <v>491</v>
      </c>
      <c r="W12" s="258" t="s">
        <v>468</v>
      </c>
      <c r="X12" s="270"/>
      <c r="Y12" s="131" t="s">
        <v>488</v>
      </c>
      <c r="Z12" s="131" t="s">
        <v>468</v>
      </c>
      <c r="AA12" s="269"/>
      <c r="AB12" s="131" t="s">
        <v>489</v>
      </c>
      <c r="AC12" s="131" t="s">
        <v>468</v>
      </c>
      <c r="AD12" s="269"/>
      <c r="AE12" s="131" t="s">
        <v>490</v>
      </c>
      <c r="AF12" s="131" t="s">
        <v>468</v>
      </c>
      <c r="AG12" s="269"/>
      <c r="AH12" s="131" t="s">
        <v>491</v>
      </c>
      <c r="AI12" s="131" t="s">
        <v>468</v>
      </c>
    </row>
    <row r="13" spans="1:35" ht="14.25" customHeight="1">
      <c r="A13" s="108" t="s">
        <v>470</v>
      </c>
      <c r="B13" s="54">
        <v>45420</v>
      </c>
      <c r="C13" s="273"/>
      <c r="D13" s="108" t="s">
        <v>478</v>
      </c>
      <c r="E13" s="54">
        <v>43177</v>
      </c>
      <c r="F13" s="273"/>
      <c r="G13" s="108" t="s">
        <v>482</v>
      </c>
      <c r="H13" s="54">
        <v>78264</v>
      </c>
      <c r="I13" s="273"/>
      <c r="J13" s="283" t="s">
        <v>478</v>
      </c>
      <c r="K13" s="259">
        <v>107</v>
      </c>
      <c r="L13" s="274"/>
      <c r="M13" s="108" t="s">
        <v>470</v>
      </c>
      <c r="N13" s="54">
        <v>111420</v>
      </c>
      <c r="O13" s="273"/>
      <c r="P13" s="108" t="s">
        <v>478</v>
      </c>
      <c r="Q13" s="54">
        <v>64808</v>
      </c>
      <c r="R13" s="273"/>
      <c r="S13" s="108" t="s">
        <v>482</v>
      </c>
      <c r="T13" s="54">
        <v>276041</v>
      </c>
      <c r="U13" s="273"/>
      <c r="V13" s="283" t="s">
        <v>470</v>
      </c>
      <c r="W13" s="259">
        <v>102</v>
      </c>
      <c r="X13" s="274"/>
      <c r="Y13" s="108" t="s">
        <v>478</v>
      </c>
      <c r="Z13" s="54">
        <v>97086</v>
      </c>
      <c r="AA13" s="273"/>
      <c r="AB13" s="108" t="s">
        <v>478</v>
      </c>
      <c r="AC13" s="54">
        <v>108885</v>
      </c>
      <c r="AD13" s="273"/>
      <c r="AE13" s="108" t="s">
        <v>482</v>
      </c>
      <c r="AF13" s="54">
        <v>501047</v>
      </c>
      <c r="AG13" s="273"/>
      <c r="AH13" s="108" t="s">
        <v>492</v>
      </c>
      <c r="AI13" s="54">
        <v>77</v>
      </c>
    </row>
    <row r="14" spans="1:35" ht="14.25" customHeight="1">
      <c r="A14" s="108" t="s">
        <v>478</v>
      </c>
      <c r="B14" s="54">
        <v>38946</v>
      </c>
      <c r="C14" s="273"/>
      <c r="D14" s="108" t="s">
        <v>470</v>
      </c>
      <c r="E14" s="54">
        <v>1504</v>
      </c>
      <c r="F14" s="273"/>
      <c r="G14" s="108" t="s">
        <v>478</v>
      </c>
      <c r="H14" s="54">
        <v>62095</v>
      </c>
      <c r="I14" s="273"/>
      <c r="J14" s="300"/>
      <c r="K14" s="299"/>
      <c r="L14" s="274"/>
      <c r="M14" s="108" t="s">
        <v>478</v>
      </c>
      <c r="N14" s="54">
        <v>50498</v>
      </c>
      <c r="O14" s="273"/>
      <c r="P14" s="108" t="s">
        <v>470</v>
      </c>
      <c r="Q14" s="54">
        <v>3228</v>
      </c>
      <c r="R14" s="273"/>
      <c r="S14" s="108" t="s">
        <v>471</v>
      </c>
      <c r="T14" s="54">
        <v>25971</v>
      </c>
      <c r="U14" s="273"/>
      <c r="V14" s="283" t="s">
        <v>478</v>
      </c>
      <c r="W14" s="259">
        <v>26469</v>
      </c>
      <c r="X14" s="274"/>
      <c r="Y14" s="108" t="s">
        <v>470</v>
      </c>
      <c r="Z14" s="54">
        <v>60869</v>
      </c>
      <c r="AA14" s="273"/>
      <c r="AB14" s="281" t="s">
        <v>493</v>
      </c>
      <c r="AC14" s="282">
        <v>1675</v>
      </c>
      <c r="AD14" s="273"/>
      <c r="AE14" s="108" t="s">
        <v>471</v>
      </c>
      <c r="AF14" s="54">
        <v>93990</v>
      </c>
      <c r="AG14" s="273"/>
      <c r="AH14" s="108" t="s">
        <v>494</v>
      </c>
      <c r="AI14" s="54">
        <v>15</v>
      </c>
    </row>
    <row r="15" spans="1:35" ht="14.25" customHeight="1">
      <c r="A15" s="108" t="s">
        <v>482</v>
      </c>
      <c r="B15" s="54">
        <v>21950</v>
      </c>
      <c r="C15" s="273"/>
      <c r="D15" s="108" t="s">
        <v>481</v>
      </c>
      <c r="E15" s="108">
        <v>1001</v>
      </c>
      <c r="F15" s="273"/>
      <c r="G15" s="108" t="s">
        <v>470</v>
      </c>
      <c r="H15" s="54">
        <v>24459</v>
      </c>
      <c r="I15" s="273"/>
      <c r="J15" s="258" t="s">
        <v>561</v>
      </c>
      <c r="K15" s="258" t="s">
        <v>468</v>
      </c>
      <c r="L15" s="274"/>
      <c r="M15" s="108" t="s">
        <v>482</v>
      </c>
      <c r="N15" s="54">
        <v>48587</v>
      </c>
      <c r="O15" s="273"/>
      <c r="P15" s="273"/>
      <c r="Q15" s="273"/>
      <c r="R15" s="273"/>
      <c r="S15" s="131" t="s">
        <v>495</v>
      </c>
      <c r="T15" s="54">
        <v>31177</v>
      </c>
      <c r="U15" s="271"/>
      <c r="V15" s="300"/>
      <c r="W15" s="299"/>
      <c r="X15" s="274"/>
      <c r="Y15" s="108" t="s">
        <v>493</v>
      </c>
      <c r="Z15" s="54">
        <v>11650</v>
      </c>
      <c r="AA15" s="273"/>
      <c r="AB15" s="283" t="s">
        <v>479</v>
      </c>
      <c r="AC15" s="283">
        <v>1500</v>
      </c>
      <c r="AD15" s="273"/>
      <c r="AE15" s="108" t="s">
        <v>478</v>
      </c>
      <c r="AF15" s="54">
        <v>92240</v>
      </c>
      <c r="AG15" s="271"/>
      <c r="AH15" s="108" t="s">
        <v>478</v>
      </c>
      <c r="AI15" s="54">
        <v>12</v>
      </c>
    </row>
    <row r="16" spans="1:35" ht="14.25" customHeight="1">
      <c r="A16" s="108" t="s">
        <v>508</v>
      </c>
      <c r="B16" s="54">
        <v>1977</v>
      </c>
      <c r="C16" s="273"/>
      <c r="D16" s="273"/>
      <c r="E16" s="273"/>
      <c r="F16" s="273"/>
      <c r="G16" s="108" t="s">
        <v>509</v>
      </c>
      <c r="H16" s="54">
        <v>4931</v>
      </c>
      <c r="I16" s="273"/>
      <c r="J16" s="283" t="s">
        <v>478</v>
      </c>
      <c r="K16" s="259">
        <f>+B14+E13</f>
        <v>82123</v>
      </c>
      <c r="L16" s="274"/>
      <c r="M16" s="108" t="s">
        <v>479</v>
      </c>
      <c r="N16" s="54">
        <v>3000</v>
      </c>
      <c r="O16" s="273"/>
      <c r="P16" s="273"/>
      <c r="Q16" s="273"/>
      <c r="R16" s="273"/>
      <c r="S16" s="108" t="s">
        <v>478</v>
      </c>
      <c r="T16" s="54">
        <v>96212</v>
      </c>
      <c r="U16" s="273"/>
      <c r="V16" s="300"/>
      <c r="W16" s="300"/>
      <c r="X16" s="274"/>
      <c r="Y16" s="108" t="s">
        <v>469</v>
      </c>
      <c r="Z16" s="54">
        <v>3000</v>
      </c>
      <c r="AA16" s="273"/>
      <c r="AB16" s="283" t="s">
        <v>470</v>
      </c>
      <c r="AC16" s="283">
        <v>1344</v>
      </c>
      <c r="AD16" s="273"/>
      <c r="AE16" s="131" t="s">
        <v>495</v>
      </c>
      <c r="AF16" s="54">
        <v>36942</v>
      </c>
      <c r="AG16" s="273"/>
      <c r="AH16" s="275"/>
      <c r="AI16" s="273"/>
    </row>
    <row r="17" spans="1:35" ht="14.25" customHeight="1">
      <c r="A17" s="108" t="s">
        <v>493</v>
      </c>
      <c r="B17" s="54">
        <v>60</v>
      </c>
      <c r="C17" s="273"/>
      <c r="D17" s="273"/>
      <c r="E17" s="273"/>
      <c r="F17" s="273"/>
      <c r="G17" s="108" t="s">
        <v>486</v>
      </c>
      <c r="H17" s="54">
        <v>4370</v>
      </c>
      <c r="I17" s="273"/>
      <c r="J17" s="283" t="s">
        <v>470</v>
      </c>
      <c r="K17" s="259">
        <f>+E14+B13</f>
        <v>46924</v>
      </c>
      <c r="L17" s="274"/>
      <c r="M17" s="108"/>
      <c r="N17" s="54"/>
      <c r="O17" s="273"/>
      <c r="P17" s="273"/>
      <c r="Q17" s="273"/>
      <c r="R17" s="273"/>
      <c r="S17" s="108" t="s">
        <v>486</v>
      </c>
      <c r="T17" s="54">
        <v>9833</v>
      </c>
      <c r="U17" s="273"/>
      <c r="V17" s="273"/>
      <c r="W17" s="273"/>
      <c r="X17" s="274"/>
      <c r="Y17" s="108" t="s">
        <v>479</v>
      </c>
      <c r="Z17" s="54">
        <v>3800</v>
      </c>
      <c r="AA17" s="273"/>
      <c r="AB17" s="273"/>
      <c r="AC17" s="273"/>
      <c r="AD17" s="273"/>
      <c r="AE17" s="108" t="s">
        <v>486</v>
      </c>
      <c r="AF17" s="54">
        <v>11309</v>
      </c>
      <c r="AG17" s="273"/>
      <c r="AH17" s="273"/>
      <c r="AI17" s="273"/>
    </row>
    <row r="18" spans="1:35" ht="14.25" customHeight="1">
      <c r="A18" s="273"/>
      <c r="B18" s="273"/>
      <c r="C18" s="273"/>
      <c r="D18" s="273"/>
      <c r="E18" s="273"/>
      <c r="F18" s="273"/>
      <c r="G18" s="273"/>
      <c r="H18" s="273"/>
      <c r="I18" s="273"/>
      <c r="J18" s="283" t="s">
        <v>482</v>
      </c>
      <c r="K18" s="369">
        <f>+B15</f>
        <v>21950</v>
      </c>
      <c r="L18" s="274"/>
      <c r="M18" s="273"/>
      <c r="N18" s="273"/>
      <c r="O18" s="273"/>
      <c r="P18" s="273"/>
      <c r="Q18" s="273"/>
      <c r="R18" s="273"/>
      <c r="S18" s="108" t="s">
        <v>497</v>
      </c>
      <c r="T18" s="54">
        <v>25335</v>
      </c>
      <c r="U18" s="273"/>
      <c r="V18" s="273"/>
      <c r="W18" s="273"/>
      <c r="X18" s="274"/>
      <c r="Y18" s="108" t="s">
        <v>496</v>
      </c>
      <c r="Z18" s="54">
        <v>7500</v>
      </c>
      <c r="AA18" s="273"/>
      <c r="AB18" s="273"/>
      <c r="AC18" s="273"/>
      <c r="AD18" s="273"/>
      <c r="AE18" s="108" t="s">
        <v>497</v>
      </c>
      <c r="AF18" s="54">
        <v>9417</v>
      </c>
      <c r="AG18" s="273"/>
      <c r="AH18" s="273"/>
      <c r="AI18" s="273"/>
    </row>
    <row r="19" spans="1:35" ht="14.25" customHeight="1">
      <c r="A19" s="273"/>
      <c r="B19" s="273"/>
      <c r="C19" s="273"/>
      <c r="D19" s="273"/>
      <c r="E19" s="273"/>
      <c r="F19" s="273"/>
      <c r="G19" s="273"/>
      <c r="H19" s="273"/>
      <c r="I19" s="273"/>
      <c r="J19" s="283" t="s">
        <v>508</v>
      </c>
      <c r="K19" s="259">
        <v>1977</v>
      </c>
      <c r="L19" s="274"/>
      <c r="M19" s="273"/>
      <c r="N19" s="273"/>
      <c r="O19" s="273"/>
      <c r="P19" s="273"/>
      <c r="Q19" s="273"/>
      <c r="R19" s="273"/>
      <c r="S19" s="275" t="s">
        <v>498</v>
      </c>
      <c r="T19" s="273"/>
      <c r="U19" s="273"/>
      <c r="V19" s="273"/>
      <c r="W19" s="273"/>
      <c r="X19" s="274"/>
      <c r="Y19" s="108" t="s">
        <v>484</v>
      </c>
      <c r="Z19" s="54">
        <v>2400</v>
      </c>
      <c r="AA19" s="273"/>
      <c r="AB19" s="273"/>
      <c r="AC19" s="273"/>
      <c r="AD19" s="273"/>
      <c r="AE19" s="275" t="s">
        <v>498</v>
      </c>
      <c r="AF19" s="273"/>
      <c r="AG19" s="273"/>
      <c r="AH19" s="273"/>
      <c r="AI19" s="273"/>
    </row>
    <row r="20" spans="1:35" ht="14.25" customHeight="1">
      <c r="A20" s="273"/>
      <c r="B20" s="273"/>
      <c r="C20" s="273"/>
      <c r="D20" s="273"/>
      <c r="E20" s="273"/>
      <c r="F20" s="273"/>
      <c r="G20" s="273"/>
      <c r="H20" s="273"/>
      <c r="I20" s="273"/>
      <c r="J20" s="283" t="s">
        <v>481</v>
      </c>
      <c r="K20" s="283">
        <v>1001</v>
      </c>
      <c r="L20" s="274"/>
      <c r="M20" s="273"/>
      <c r="N20" s="273"/>
      <c r="O20" s="273"/>
      <c r="P20" s="273"/>
      <c r="Q20" s="273"/>
      <c r="R20" s="273"/>
      <c r="S20" s="275"/>
      <c r="T20" s="273"/>
      <c r="U20" s="273"/>
      <c r="V20" s="273"/>
      <c r="W20" s="273"/>
      <c r="X20" s="274"/>
      <c r="Y20" s="273"/>
      <c r="Z20" s="271"/>
      <c r="AA20" s="273"/>
      <c r="AB20" s="273"/>
      <c r="AC20" s="273"/>
      <c r="AD20" s="273"/>
      <c r="AE20" s="275"/>
      <c r="AF20" s="273"/>
      <c r="AG20" s="273"/>
      <c r="AH20" s="273"/>
      <c r="AI20" s="273"/>
    </row>
    <row r="21" spans="1:35" ht="14.25" customHeight="1">
      <c r="A21" s="265" t="s">
        <v>499</v>
      </c>
      <c r="B21" s="274"/>
      <c r="C21" s="274"/>
      <c r="D21" s="274"/>
      <c r="E21" s="274"/>
      <c r="F21" s="274"/>
      <c r="G21" s="274"/>
      <c r="H21" s="274"/>
      <c r="I21" s="274"/>
      <c r="J21" s="274"/>
      <c r="K21" s="274"/>
      <c r="L21" s="274"/>
      <c r="M21" s="265" t="s">
        <v>500</v>
      </c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68" t="s">
        <v>501</v>
      </c>
      <c r="Z21" s="274"/>
      <c r="AA21" s="274"/>
      <c r="AB21" s="274"/>
      <c r="AC21" s="274"/>
      <c r="AD21" s="274"/>
      <c r="AE21" s="274"/>
      <c r="AF21" s="274"/>
      <c r="AG21" s="274"/>
      <c r="AH21" s="274"/>
      <c r="AI21" s="274"/>
    </row>
    <row r="22" spans="1:35" ht="14.25" customHeight="1">
      <c r="A22" s="276" t="s">
        <v>2</v>
      </c>
      <c r="B22" s="277" t="s">
        <v>465</v>
      </c>
      <c r="C22" s="273"/>
      <c r="D22" s="276" t="s">
        <v>441</v>
      </c>
      <c r="E22" s="277" t="s">
        <v>465</v>
      </c>
      <c r="F22" s="273"/>
      <c r="G22" s="302" t="s">
        <v>8</v>
      </c>
      <c r="H22" s="303" t="s">
        <v>502</v>
      </c>
      <c r="I22" s="273"/>
      <c r="J22" s="273"/>
      <c r="K22" s="273"/>
      <c r="L22" s="279"/>
      <c r="M22" s="276" t="s">
        <v>2</v>
      </c>
      <c r="N22" s="277" t="s">
        <v>465</v>
      </c>
      <c r="O22" s="273"/>
      <c r="P22" s="276" t="s">
        <v>441</v>
      </c>
      <c r="Q22" s="277" t="s">
        <v>465</v>
      </c>
      <c r="R22" s="273"/>
      <c r="S22" s="276" t="s">
        <v>8</v>
      </c>
      <c r="T22" s="278" t="s">
        <v>502</v>
      </c>
      <c r="U22" s="273"/>
      <c r="V22" s="273"/>
      <c r="W22" s="273"/>
      <c r="X22" s="279"/>
      <c r="Y22" s="276" t="s">
        <v>2</v>
      </c>
      <c r="Z22" s="277" t="s">
        <v>465</v>
      </c>
      <c r="AA22" s="273"/>
      <c r="AB22" s="276" t="s">
        <v>441</v>
      </c>
      <c r="AC22" s="277" t="s">
        <v>465</v>
      </c>
      <c r="AD22" s="273"/>
      <c r="AE22" s="276" t="s">
        <v>8</v>
      </c>
      <c r="AF22" s="278" t="s">
        <v>502</v>
      </c>
      <c r="AG22" s="273"/>
      <c r="AH22" s="273"/>
      <c r="AI22" s="273"/>
    </row>
    <row r="23" spans="1:35" ht="14.25" customHeight="1">
      <c r="A23" s="108" t="s">
        <v>469</v>
      </c>
      <c r="B23" s="54">
        <v>27.257999999999999</v>
      </c>
      <c r="C23" s="273"/>
      <c r="D23" s="108" t="s">
        <v>470</v>
      </c>
      <c r="E23" s="54">
        <v>140.07</v>
      </c>
      <c r="F23" s="273"/>
      <c r="G23" s="283" t="s">
        <v>470</v>
      </c>
      <c r="H23" s="259">
        <v>176.511788</v>
      </c>
      <c r="I23" s="86"/>
      <c r="J23" s="273"/>
      <c r="K23" s="273"/>
      <c r="L23" s="279"/>
      <c r="M23" s="108" t="s">
        <v>469</v>
      </c>
      <c r="N23" s="54">
        <v>68.795000000000002</v>
      </c>
      <c r="O23" s="273"/>
      <c r="P23" s="108" t="s">
        <v>470</v>
      </c>
      <c r="Q23" s="54">
        <v>123.35299999999999</v>
      </c>
      <c r="R23" s="273"/>
      <c r="S23" s="108" t="s">
        <v>470</v>
      </c>
      <c r="T23" s="54">
        <v>194.095663</v>
      </c>
      <c r="U23" s="273"/>
      <c r="V23" s="273"/>
      <c r="W23" s="273"/>
      <c r="X23" s="279"/>
      <c r="Y23" s="108" t="s">
        <v>469</v>
      </c>
      <c r="Z23" s="284">
        <v>60.774000000000001</v>
      </c>
      <c r="AA23" s="273"/>
      <c r="AB23" s="108" t="s">
        <v>470</v>
      </c>
      <c r="AC23" s="284">
        <v>129.15</v>
      </c>
      <c r="AD23" s="271"/>
      <c r="AE23" s="108" t="s">
        <v>470</v>
      </c>
      <c r="AF23" s="284">
        <v>28.560176999999999</v>
      </c>
      <c r="AG23" s="280"/>
      <c r="AH23" s="273"/>
      <c r="AI23" s="273"/>
    </row>
    <row r="24" spans="1:35" ht="14.25" customHeight="1">
      <c r="B24" s="273"/>
      <c r="C24" s="273"/>
      <c r="D24" s="108" t="s">
        <v>485</v>
      </c>
      <c r="E24" s="54">
        <v>174.72</v>
      </c>
      <c r="F24" s="273"/>
      <c r="G24" s="353" t="s">
        <v>494</v>
      </c>
      <c r="H24" s="354">
        <v>0.15021300000000001</v>
      </c>
      <c r="I24" s="86"/>
      <c r="J24" s="358"/>
      <c r="K24" s="359"/>
      <c r="L24" s="279"/>
      <c r="M24" s="108" t="s">
        <v>470</v>
      </c>
      <c r="N24" s="54">
        <v>0.29299999999999998</v>
      </c>
      <c r="O24" s="273"/>
      <c r="P24" s="108" t="s">
        <v>485</v>
      </c>
      <c r="Q24" s="54">
        <v>76.858999999999995</v>
      </c>
      <c r="R24" s="273"/>
      <c r="S24" s="108" t="s">
        <v>494</v>
      </c>
      <c r="T24" s="355">
        <v>0.10446999999999999</v>
      </c>
      <c r="U24" s="273"/>
      <c r="V24" s="273"/>
      <c r="W24" s="273"/>
      <c r="X24" s="279"/>
      <c r="Y24" s="273"/>
      <c r="AA24" s="273"/>
      <c r="AB24" s="108" t="s">
        <v>485</v>
      </c>
      <c r="AC24" s="284">
        <v>27.173999999999999</v>
      </c>
      <c r="AD24" s="273"/>
      <c r="AE24" s="108" t="s">
        <v>503</v>
      </c>
      <c r="AF24" s="284">
        <v>0.45688699999999999</v>
      </c>
      <c r="AG24" s="273"/>
      <c r="AH24" s="273"/>
      <c r="AI24" s="273"/>
    </row>
    <row r="25" spans="1:35" ht="14.25" customHeight="1">
      <c r="A25" s="273"/>
      <c r="B25" s="273"/>
      <c r="C25" s="273"/>
      <c r="D25" s="108" t="s">
        <v>475</v>
      </c>
      <c r="E25" s="54">
        <v>33.054000000000002</v>
      </c>
      <c r="F25" s="273"/>
      <c r="G25" s="283" t="s">
        <v>506</v>
      </c>
      <c r="H25" s="354">
        <v>6.2274000000000003E-2</v>
      </c>
      <c r="I25" s="86"/>
      <c r="J25" s="358"/>
      <c r="K25" s="359"/>
      <c r="L25" s="279"/>
      <c r="M25" s="273"/>
      <c r="N25" s="273"/>
      <c r="O25" s="273"/>
      <c r="P25" s="108" t="s">
        <v>504</v>
      </c>
      <c r="Q25" s="54">
        <v>20.579000000000001</v>
      </c>
      <c r="R25" s="273"/>
      <c r="S25" s="352" t="s">
        <v>481</v>
      </c>
      <c r="T25" s="355">
        <v>5.0596000000000002E-2</v>
      </c>
      <c r="U25" s="273"/>
      <c r="V25" s="273"/>
      <c r="W25" s="273"/>
      <c r="X25" s="279"/>
      <c r="Y25" s="273"/>
      <c r="AA25" s="273"/>
      <c r="AB25" s="108" t="s">
        <v>504</v>
      </c>
      <c r="AC25" s="284">
        <v>26.88</v>
      </c>
      <c r="AD25" s="273"/>
      <c r="AE25" s="108" t="s">
        <v>494</v>
      </c>
      <c r="AF25" s="284">
        <v>27.003</v>
      </c>
      <c r="AG25" s="273"/>
      <c r="AH25" s="273"/>
      <c r="AI25" s="273"/>
    </row>
    <row r="26" spans="1:35" ht="14.25" customHeight="1">
      <c r="A26" s="273"/>
      <c r="B26" s="273"/>
      <c r="C26" s="273"/>
      <c r="D26" s="108" t="s">
        <v>505</v>
      </c>
      <c r="E26" s="54">
        <v>44.73</v>
      </c>
      <c r="F26" s="273"/>
      <c r="G26" s="283" t="s">
        <v>481</v>
      </c>
      <c r="H26" s="354">
        <v>4.8161000000000002E-2</v>
      </c>
      <c r="I26" s="86"/>
      <c r="J26" s="358"/>
      <c r="K26" s="359"/>
      <c r="L26" s="279"/>
      <c r="M26" s="273"/>
      <c r="N26" s="273"/>
      <c r="O26" s="273"/>
      <c r="P26" s="108" t="s">
        <v>475</v>
      </c>
      <c r="Q26" s="54">
        <v>12.515000000000001</v>
      </c>
      <c r="R26" s="273"/>
      <c r="S26" s="352" t="s">
        <v>506</v>
      </c>
      <c r="T26" s="355">
        <v>3.7324999999999997E-2</v>
      </c>
      <c r="U26" s="273"/>
      <c r="V26" s="273"/>
      <c r="W26" s="273"/>
      <c r="X26" s="279"/>
      <c r="Y26" s="273"/>
      <c r="AA26" s="273"/>
      <c r="AB26" s="108" t="s">
        <v>475</v>
      </c>
      <c r="AC26" s="284">
        <v>23.646000000000001</v>
      </c>
      <c r="AD26" s="273"/>
      <c r="AE26" s="108" t="s">
        <v>485</v>
      </c>
      <c r="AF26" s="284">
        <v>1.312694</v>
      </c>
      <c r="AG26" s="273"/>
      <c r="AH26" s="273"/>
      <c r="AI26" s="273"/>
    </row>
    <row r="27" spans="1:35" ht="14.25" customHeight="1">
      <c r="A27" s="273"/>
      <c r="B27" s="273"/>
      <c r="C27" s="273"/>
      <c r="D27" s="108" t="s">
        <v>504</v>
      </c>
      <c r="E27" s="54">
        <v>84.462000000000003</v>
      </c>
      <c r="F27" s="273"/>
      <c r="G27" s="283" t="s">
        <v>545</v>
      </c>
      <c r="H27" s="354">
        <v>2.8171999999999999E-2</v>
      </c>
      <c r="I27" s="86"/>
      <c r="J27" s="273"/>
      <c r="K27" s="273"/>
      <c r="L27" s="279"/>
      <c r="M27" s="273"/>
      <c r="N27" s="273"/>
      <c r="O27" s="273"/>
      <c r="P27" s="108" t="s">
        <v>505</v>
      </c>
      <c r="Q27" s="54">
        <v>12.430999999999999</v>
      </c>
      <c r="R27" s="273"/>
      <c r="S27" s="352" t="s">
        <v>544</v>
      </c>
      <c r="T27" s="355">
        <v>3.5948000000000001E-2</v>
      </c>
      <c r="U27" s="273"/>
      <c r="V27" s="273"/>
      <c r="W27" s="273"/>
      <c r="X27" s="279"/>
      <c r="Y27" s="273"/>
      <c r="AA27" s="273"/>
      <c r="AB27" s="108" t="s">
        <v>505</v>
      </c>
      <c r="AC27" s="284">
        <v>3.36</v>
      </c>
      <c r="AD27" s="273"/>
      <c r="AE27" s="108" t="s">
        <v>506</v>
      </c>
      <c r="AF27" s="284">
        <v>7.2214E-2</v>
      </c>
      <c r="AG27" s="273"/>
      <c r="AH27" s="273"/>
      <c r="AI27" s="273"/>
    </row>
    <row r="28" spans="1:35" ht="14.25" customHeight="1">
      <c r="A28" s="273"/>
      <c r="B28" s="273"/>
      <c r="C28" s="273"/>
      <c r="D28" s="273"/>
      <c r="E28" s="273"/>
      <c r="F28" s="273"/>
      <c r="G28" s="273"/>
      <c r="H28" s="273"/>
      <c r="I28" s="273"/>
      <c r="J28" s="273"/>
      <c r="K28" s="273"/>
      <c r="L28" s="274"/>
      <c r="M28" s="273"/>
      <c r="N28" s="273"/>
      <c r="O28" s="273"/>
      <c r="P28" s="108" t="s">
        <v>473</v>
      </c>
      <c r="Q28" s="54">
        <v>4.157</v>
      </c>
      <c r="R28" s="273"/>
      <c r="S28" s="273"/>
      <c r="T28" s="273"/>
      <c r="U28" s="273"/>
      <c r="V28" s="273"/>
      <c r="W28" s="273"/>
      <c r="X28" s="274"/>
      <c r="Y28" s="273"/>
      <c r="Z28" s="273"/>
      <c r="AA28" s="273"/>
      <c r="AB28" s="273"/>
      <c r="AC28" s="273"/>
      <c r="AD28" s="273"/>
      <c r="AE28" s="273"/>
      <c r="AF28" s="273"/>
      <c r="AG28" s="273"/>
      <c r="AH28" s="273"/>
      <c r="AI28" s="273"/>
    </row>
    <row r="29" spans="1:35" ht="14.25" customHeight="1">
      <c r="A29" s="273"/>
      <c r="B29" s="273"/>
      <c r="C29" s="273"/>
      <c r="D29" s="273"/>
      <c r="E29" s="273"/>
      <c r="F29" s="273"/>
      <c r="G29" s="273"/>
      <c r="H29" s="273"/>
      <c r="I29" s="273"/>
      <c r="J29" s="273"/>
      <c r="K29" s="273"/>
      <c r="L29" s="274"/>
      <c r="M29" s="273"/>
      <c r="N29" s="273"/>
      <c r="O29" s="273"/>
      <c r="P29" s="273"/>
      <c r="Q29" s="273"/>
      <c r="R29" s="273"/>
      <c r="S29" s="273"/>
      <c r="T29" s="273"/>
      <c r="U29" s="273"/>
      <c r="V29" s="273"/>
      <c r="W29" s="273"/>
      <c r="X29" s="274"/>
      <c r="Y29" s="273"/>
      <c r="Z29" s="273"/>
      <c r="AA29" s="273"/>
      <c r="AB29" s="273"/>
      <c r="AC29" s="273"/>
      <c r="AD29" s="273"/>
      <c r="AE29" s="273"/>
      <c r="AF29" s="273"/>
      <c r="AG29" s="273"/>
      <c r="AH29" s="273"/>
      <c r="AI29" s="273"/>
    </row>
    <row r="30" spans="1:35" ht="14.25" customHeight="1">
      <c r="A30" s="273"/>
      <c r="B30" s="273"/>
      <c r="C30" s="273"/>
      <c r="D30" s="273"/>
      <c r="E30" s="273"/>
      <c r="F30" s="273"/>
      <c r="G30" s="273"/>
      <c r="H30" s="356"/>
      <c r="I30" s="273"/>
      <c r="J30" s="273"/>
      <c r="K30" s="273"/>
      <c r="L30" s="274"/>
      <c r="M30" s="273"/>
      <c r="N30" s="273"/>
      <c r="O30" s="273"/>
      <c r="P30" s="273"/>
      <c r="Q30" s="273"/>
      <c r="R30" s="273"/>
      <c r="S30" s="273"/>
      <c r="T30" s="273"/>
      <c r="U30" s="273"/>
      <c r="V30" s="273"/>
      <c r="W30" s="273"/>
      <c r="X30" s="274"/>
      <c r="Y30" s="273" t="s">
        <v>170</v>
      </c>
      <c r="Z30" s="273"/>
      <c r="AA30" s="273"/>
      <c r="AB30" s="273"/>
      <c r="AC30" s="273"/>
      <c r="AD30" s="273"/>
      <c r="AE30" s="273"/>
      <c r="AF30" s="273"/>
      <c r="AG30" s="273"/>
      <c r="AH30" s="273"/>
      <c r="AI30" s="273"/>
    </row>
    <row r="31" spans="1:35" ht="14.25" customHeight="1">
      <c r="A31" s="258" t="s">
        <v>552</v>
      </c>
      <c r="B31" s="258" t="s">
        <v>553</v>
      </c>
      <c r="C31" s="258" t="s">
        <v>554</v>
      </c>
      <c r="D31" s="258" t="s">
        <v>555</v>
      </c>
      <c r="E31" s="258" t="s">
        <v>556</v>
      </c>
      <c r="F31" s="258" t="s">
        <v>557</v>
      </c>
      <c r="G31" s="367" t="s">
        <v>560</v>
      </c>
      <c r="H31" s="350"/>
      <c r="I31" s="273"/>
      <c r="J31" s="273"/>
      <c r="K31" s="273"/>
      <c r="L31" s="274"/>
      <c r="M31" s="273"/>
      <c r="N31" s="273"/>
      <c r="O31" s="273"/>
      <c r="P31" s="350"/>
      <c r="Q31" s="273"/>
      <c r="R31" s="273"/>
      <c r="S31" s="350"/>
      <c r="T31" s="273"/>
      <c r="U31" s="273"/>
      <c r="V31" s="273"/>
      <c r="W31" s="273"/>
      <c r="X31" s="274"/>
      <c r="Y31" s="273"/>
      <c r="Z31" s="273"/>
      <c r="AA31" s="273"/>
      <c r="AB31" s="273"/>
      <c r="AC31" s="273"/>
      <c r="AD31" s="273"/>
      <c r="AE31" s="273"/>
      <c r="AF31" s="273"/>
      <c r="AG31" s="273"/>
      <c r="AH31" s="273"/>
      <c r="AI31" s="273"/>
    </row>
    <row r="32" spans="1:35" ht="14.25" customHeight="1">
      <c r="A32" s="283" t="s">
        <v>549</v>
      </c>
      <c r="B32" s="259" t="s">
        <v>470</v>
      </c>
      <c r="C32" s="283" t="s">
        <v>2</v>
      </c>
      <c r="D32" s="259">
        <v>625.63199999999995</v>
      </c>
      <c r="E32" s="283" t="s">
        <v>465</v>
      </c>
      <c r="F32" s="283" t="s">
        <v>558</v>
      </c>
      <c r="G32" s="371">
        <f>+D32/(ETHANOL!$O$22*1000)</f>
        <v>0.43644887196015231</v>
      </c>
      <c r="H32" s="350"/>
      <c r="I32" s="273"/>
      <c r="J32" s="273"/>
      <c r="K32" s="273"/>
      <c r="L32" s="274"/>
      <c r="M32" s="273"/>
      <c r="N32" s="273"/>
      <c r="O32" s="273"/>
      <c r="P32" s="350"/>
      <c r="Q32" s="273"/>
      <c r="R32" s="273"/>
      <c r="S32" s="350"/>
      <c r="T32" s="273"/>
      <c r="U32" s="273"/>
      <c r="V32" s="273"/>
      <c r="W32" s="273"/>
      <c r="X32" s="274"/>
      <c r="Y32" s="273"/>
      <c r="Z32" s="273"/>
      <c r="AA32" s="273"/>
      <c r="AB32" s="273"/>
      <c r="AC32" s="273"/>
      <c r="AD32" s="273"/>
      <c r="AE32" s="273"/>
      <c r="AF32" s="273"/>
      <c r="AG32" s="273"/>
      <c r="AH32" s="273"/>
      <c r="AI32" s="273"/>
    </row>
    <row r="33" spans="1:35" ht="14.25" customHeight="1">
      <c r="A33" s="283" t="s">
        <v>549</v>
      </c>
      <c r="B33" s="259" t="s">
        <v>471</v>
      </c>
      <c r="C33" s="283" t="s">
        <v>2</v>
      </c>
      <c r="D33" s="259">
        <v>160.06200000000001</v>
      </c>
      <c r="E33" s="283" t="s">
        <v>465</v>
      </c>
      <c r="F33" s="283" t="s">
        <v>558</v>
      </c>
      <c r="G33" s="371">
        <f>+D33/(ETHANOL!$O$22*1000)</f>
        <v>0.11166129504834457</v>
      </c>
      <c r="H33" s="350"/>
      <c r="I33" s="273"/>
      <c r="J33" s="273"/>
      <c r="K33" s="273"/>
      <c r="L33" s="274"/>
      <c r="M33" s="273"/>
      <c r="N33" s="273"/>
      <c r="O33" s="273"/>
      <c r="P33" s="350"/>
      <c r="Q33" s="273"/>
      <c r="R33" s="273"/>
      <c r="S33" s="350"/>
      <c r="T33" s="273"/>
      <c r="U33" s="273"/>
      <c r="V33" s="273"/>
      <c r="W33" s="273"/>
      <c r="X33" s="274"/>
      <c r="Y33" s="273"/>
      <c r="Z33" s="273"/>
      <c r="AA33" s="273"/>
      <c r="AB33" s="273"/>
      <c r="AC33" s="273"/>
      <c r="AD33" s="273"/>
      <c r="AE33" s="273"/>
      <c r="AF33" s="273"/>
      <c r="AG33" s="273"/>
      <c r="AH33" s="273"/>
      <c r="AI33" s="273"/>
    </row>
    <row r="34" spans="1:35" ht="14.25" customHeight="1">
      <c r="A34" s="283" t="s">
        <v>549</v>
      </c>
      <c r="B34" s="259" t="s">
        <v>472</v>
      </c>
      <c r="C34" s="283" t="s">
        <v>2</v>
      </c>
      <c r="D34" s="259">
        <v>114.324</v>
      </c>
      <c r="E34" s="283" t="s">
        <v>465</v>
      </c>
      <c r="F34" s="283" t="s">
        <v>558</v>
      </c>
      <c r="G34" s="371">
        <f>+D34/(ETHANOL!$O$22*1000)</f>
        <v>7.9753882215060065E-2</v>
      </c>
      <c r="H34" s="350"/>
      <c r="I34" s="273"/>
      <c r="J34" s="273"/>
      <c r="K34" s="273"/>
      <c r="L34" s="274"/>
      <c r="M34" s="273"/>
      <c r="N34" s="273"/>
      <c r="O34" s="273"/>
      <c r="P34" s="350"/>
      <c r="Q34" s="273"/>
      <c r="R34" s="273"/>
      <c r="S34" s="273"/>
      <c r="T34" s="273"/>
      <c r="U34" s="273"/>
      <c r="V34" s="273"/>
      <c r="W34" s="273"/>
      <c r="X34" s="274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</row>
    <row r="35" spans="1:35" ht="14.25" customHeight="1">
      <c r="A35" s="283" t="s">
        <v>549</v>
      </c>
      <c r="B35" s="259" t="s">
        <v>551</v>
      </c>
      <c r="C35" s="283" t="s">
        <v>2</v>
      </c>
      <c r="D35" s="259">
        <v>99.456000000000003</v>
      </c>
      <c r="E35" s="283" t="s">
        <v>465</v>
      </c>
      <c r="F35" s="283" t="s">
        <v>558</v>
      </c>
      <c r="G35" s="371">
        <f>+D35/(ETHANOL!$O$22*1000)</f>
        <v>6.9381775564019921E-2</v>
      </c>
      <c r="H35" s="350"/>
      <c r="I35" s="273"/>
      <c r="J35" s="273"/>
      <c r="K35" s="273"/>
      <c r="L35" s="274"/>
      <c r="M35" s="273"/>
      <c r="N35" s="273"/>
      <c r="O35" s="273"/>
      <c r="P35" s="350"/>
      <c r="Q35" s="273"/>
      <c r="R35" s="273"/>
      <c r="S35" s="273"/>
      <c r="T35" s="273"/>
      <c r="U35" s="273"/>
      <c r="V35" s="273"/>
      <c r="W35" s="273"/>
      <c r="X35" s="274"/>
      <c r="Y35" s="273"/>
      <c r="Z35" s="273"/>
      <c r="AA35" s="273"/>
      <c r="AB35" s="273"/>
      <c r="AC35" s="273"/>
      <c r="AD35" s="273"/>
      <c r="AE35" s="273"/>
      <c r="AF35" s="273"/>
      <c r="AG35" s="273"/>
      <c r="AH35" s="273"/>
      <c r="AI35" s="273"/>
    </row>
    <row r="36" spans="1:35" ht="14.25" customHeight="1">
      <c r="A36" s="283" t="s">
        <v>549</v>
      </c>
      <c r="B36" s="259" t="s">
        <v>476</v>
      </c>
      <c r="C36" s="283" t="s">
        <v>2</v>
      </c>
      <c r="D36" s="259">
        <v>83.873999999999995</v>
      </c>
      <c r="E36" s="283" t="s">
        <v>465</v>
      </c>
      <c r="F36" s="283" t="s">
        <v>558</v>
      </c>
      <c r="G36" s="371">
        <f>+D36/(ETHANOL!$O$22*1000)</f>
        <v>5.8511573395839435E-2</v>
      </c>
      <c r="H36" s="273"/>
      <c r="I36" s="273"/>
      <c r="J36" s="273"/>
      <c r="K36" s="273"/>
      <c r="L36" s="274"/>
      <c r="M36" s="273"/>
      <c r="N36" s="273"/>
      <c r="O36" s="273"/>
      <c r="P36" s="273"/>
      <c r="Q36" s="273"/>
      <c r="R36" s="273"/>
      <c r="S36" s="273"/>
      <c r="T36" s="273"/>
      <c r="U36" s="273"/>
      <c r="V36" s="273"/>
      <c r="W36" s="273"/>
      <c r="X36" s="274"/>
      <c r="Y36" s="273"/>
      <c r="Z36" s="273"/>
      <c r="AA36" s="273"/>
      <c r="AB36" s="273"/>
      <c r="AC36" s="273"/>
      <c r="AD36" s="273"/>
      <c r="AE36" s="273"/>
      <c r="AF36" s="273"/>
      <c r="AG36" s="273"/>
      <c r="AH36" s="273"/>
      <c r="AI36" s="273"/>
    </row>
    <row r="37" spans="1:35" ht="14.25" customHeight="1">
      <c r="A37" s="283" t="s">
        <v>469</v>
      </c>
      <c r="B37" s="283" t="s">
        <v>549</v>
      </c>
      <c r="C37" s="283" t="s">
        <v>2</v>
      </c>
      <c r="D37" s="283">
        <v>27</v>
      </c>
      <c r="E37" s="283" t="s">
        <v>465</v>
      </c>
      <c r="F37" s="283" t="s">
        <v>559</v>
      </c>
      <c r="G37" s="371">
        <f>+D37/(ETHANOL!$O$21*1000)</f>
        <v>0.99053488883997354</v>
      </c>
      <c r="H37" s="273"/>
      <c r="I37" s="273"/>
      <c r="J37" s="273"/>
      <c r="K37" s="273"/>
      <c r="L37" s="274"/>
      <c r="M37" s="273"/>
      <c r="N37" s="273"/>
      <c r="O37" s="273"/>
      <c r="P37" s="273"/>
      <c r="Q37" s="273"/>
      <c r="R37" s="273"/>
      <c r="S37" s="273"/>
      <c r="T37" s="273"/>
      <c r="U37" s="273"/>
      <c r="V37" s="273"/>
      <c r="W37" s="273"/>
      <c r="X37" s="274"/>
      <c r="Y37" s="273"/>
      <c r="Z37" s="273"/>
      <c r="AA37" s="273"/>
      <c r="AB37" s="273"/>
      <c r="AC37" s="273"/>
      <c r="AD37" s="273"/>
      <c r="AE37" s="273"/>
      <c r="AF37" s="273"/>
      <c r="AG37" s="273"/>
      <c r="AH37" s="273"/>
      <c r="AI37" s="273"/>
    </row>
    <row r="38" spans="1:35" ht="14.25" customHeight="1">
      <c r="A38" s="283" t="s">
        <v>549</v>
      </c>
      <c r="B38" s="259" t="s">
        <v>470</v>
      </c>
      <c r="C38" s="283" t="s">
        <v>4</v>
      </c>
      <c r="D38" s="259">
        <v>230.66399999999999</v>
      </c>
      <c r="E38" s="283" t="s">
        <v>465</v>
      </c>
      <c r="F38" s="283" t="s">
        <v>558</v>
      </c>
      <c r="G38" s="372">
        <f>D38/$E$6</f>
        <v>0.89402572033208538</v>
      </c>
      <c r="H38" s="273"/>
      <c r="I38" s="273"/>
      <c r="J38" s="273"/>
      <c r="K38" s="273"/>
      <c r="L38" s="274"/>
      <c r="M38" s="273"/>
      <c r="N38" s="273"/>
      <c r="O38" s="273"/>
      <c r="P38" s="273"/>
      <c r="Q38" s="273"/>
      <c r="R38" s="273"/>
      <c r="S38" s="273"/>
      <c r="T38" s="273"/>
      <c r="U38" s="273"/>
      <c r="V38" s="273"/>
      <c r="W38" s="273"/>
      <c r="X38" s="274"/>
      <c r="Y38" s="273"/>
      <c r="Z38" s="273"/>
      <c r="AA38" s="273"/>
      <c r="AB38" s="273"/>
      <c r="AC38" s="273"/>
      <c r="AD38" s="273"/>
      <c r="AE38" s="273"/>
      <c r="AF38" s="273"/>
      <c r="AG38" s="273"/>
      <c r="AH38" s="273"/>
      <c r="AI38" s="273"/>
    </row>
    <row r="39" spans="1:35" ht="14.25" customHeight="1">
      <c r="A39" s="283" t="s">
        <v>549</v>
      </c>
      <c r="B39" s="259" t="s">
        <v>474</v>
      </c>
      <c r="C39" s="283" t="s">
        <v>4</v>
      </c>
      <c r="D39" s="259">
        <v>26.628</v>
      </c>
      <c r="E39" s="283" t="s">
        <v>465</v>
      </c>
      <c r="F39" s="283" t="s">
        <v>558</v>
      </c>
      <c r="G39" s="372">
        <f t="shared" ref="G39:G40" si="0">D39/$E$6</f>
        <v>0.10320690216506594</v>
      </c>
      <c r="H39" s="273"/>
      <c r="I39" s="273"/>
      <c r="J39" s="273"/>
      <c r="K39" s="273"/>
      <c r="L39" s="274"/>
      <c r="M39" s="273"/>
      <c r="N39" s="273"/>
      <c r="O39" s="273"/>
      <c r="P39" s="273"/>
      <c r="Q39" s="273"/>
      <c r="R39" s="273"/>
      <c r="S39" s="273"/>
      <c r="T39" s="273"/>
      <c r="U39" s="273"/>
      <c r="V39" s="273"/>
      <c r="W39" s="273"/>
      <c r="X39" s="274"/>
      <c r="Y39" s="273"/>
      <c r="Z39" s="273"/>
      <c r="AA39" s="273"/>
      <c r="AB39" s="273"/>
      <c r="AC39" s="273"/>
      <c r="AD39" s="273"/>
      <c r="AE39" s="273"/>
      <c r="AF39" s="273"/>
      <c r="AG39" s="273"/>
      <c r="AH39" s="273"/>
      <c r="AI39" s="273"/>
    </row>
    <row r="40" spans="1:35" ht="14.25" customHeight="1">
      <c r="A40" s="283" t="s">
        <v>549</v>
      </c>
      <c r="B40" s="259" t="s">
        <v>485</v>
      </c>
      <c r="C40" s="283" t="s">
        <v>4</v>
      </c>
      <c r="D40" s="259">
        <v>0.71399999999999997</v>
      </c>
      <c r="E40" s="283" t="s">
        <v>465</v>
      </c>
      <c r="F40" s="283" t="s">
        <v>558</v>
      </c>
      <c r="G40" s="372">
        <f t="shared" si="0"/>
        <v>2.767377502848771E-3</v>
      </c>
      <c r="H40" s="273"/>
      <c r="I40" s="273"/>
      <c r="J40" s="273"/>
      <c r="K40" s="273"/>
      <c r="L40" s="274"/>
      <c r="M40" s="273"/>
      <c r="N40" s="273"/>
      <c r="O40" s="273"/>
      <c r="P40" s="273"/>
      <c r="Q40" s="273"/>
      <c r="R40" s="273"/>
      <c r="S40" s="273"/>
      <c r="T40" s="273"/>
      <c r="U40" s="273"/>
      <c r="V40" s="273"/>
      <c r="W40" s="273"/>
      <c r="X40" s="274"/>
      <c r="Y40" s="273"/>
      <c r="Z40" s="273"/>
      <c r="AA40" s="273"/>
      <c r="AB40" s="273"/>
      <c r="AC40" s="273"/>
      <c r="AD40" s="273"/>
      <c r="AE40" s="273"/>
      <c r="AF40" s="273"/>
      <c r="AG40" s="273"/>
      <c r="AH40" s="273"/>
      <c r="AI40" s="273"/>
    </row>
    <row r="41" spans="1:35" ht="14.25" customHeight="1">
      <c r="A41" s="283" t="s">
        <v>470</v>
      </c>
      <c r="B41" s="283" t="s">
        <v>549</v>
      </c>
      <c r="C41" s="283" t="s">
        <v>4</v>
      </c>
      <c r="D41" s="259">
        <v>140.07</v>
      </c>
      <c r="E41" s="283" t="s">
        <v>465</v>
      </c>
      <c r="F41" s="283" t="s">
        <v>559</v>
      </c>
      <c r="G41" s="372">
        <f>D41/BIODIESEL!$O$13</f>
        <v>0.27957079386369355</v>
      </c>
      <c r="H41" s="273"/>
      <c r="I41" s="273"/>
      <c r="J41" s="273"/>
      <c r="K41" s="273"/>
      <c r="L41" s="274"/>
      <c r="M41" s="273"/>
      <c r="N41" s="273"/>
      <c r="O41" s="273"/>
      <c r="P41" s="273"/>
      <c r="Q41" s="273"/>
      <c r="R41" s="273"/>
      <c r="S41" s="273"/>
      <c r="T41" s="273"/>
      <c r="U41" s="273"/>
      <c r="V41" s="273"/>
      <c r="W41" s="273"/>
      <c r="X41" s="274"/>
      <c r="Y41" s="273"/>
      <c r="Z41" s="273"/>
      <c r="AA41" s="273"/>
      <c r="AB41" s="273"/>
      <c r="AC41" s="273"/>
      <c r="AD41" s="273"/>
      <c r="AE41" s="273"/>
      <c r="AF41" s="273"/>
      <c r="AG41" s="273"/>
      <c r="AH41" s="273"/>
      <c r="AI41" s="273"/>
    </row>
    <row r="42" spans="1:35" ht="14.25" customHeight="1">
      <c r="A42" s="283" t="s">
        <v>485</v>
      </c>
      <c r="B42" s="283" t="s">
        <v>549</v>
      </c>
      <c r="C42" s="283" t="s">
        <v>4</v>
      </c>
      <c r="D42" s="259">
        <v>174.72</v>
      </c>
      <c r="E42" s="283" t="s">
        <v>465</v>
      </c>
      <c r="F42" s="283" t="s">
        <v>559</v>
      </c>
      <c r="G42" s="372">
        <f>D42/BIODIESEL!$O$13</f>
        <v>0.34872998574901504</v>
      </c>
      <c r="H42" s="273"/>
      <c r="I42" s="273"/>
      <c r="J42" s="273"/>
      <c r="K42" s="273"/>
      <c r="L42" s="274"/>
      <c r="M42" s="273"/>
      <c r="N42" s="273"/>
      <c r="O42" s="273"/>
      <c r="P42" s="273"/>
      <c r="Q42" s="273"/>
      <c r="R42" s="273"/>
      <c r="S42" s="273"/>
      <c r="T42" s="273"/>
      <c r="U42" s="273"/>
      <c r="V42" s="273"/>
      <c r="W42" s="273"/>
      <c r="X42" s="274"/>
      <c r="Y42" s="273"/>
      <c r="Z42" s="273"/>
      <c r="AA42" s="273"/>
      <c r="AB42" s="273"/>
      <c r="AC42" s="273"/>
      <c r="AD42" s="273"/>
      <c r="AE42" s="273"/>
      <c r="AF42" s="273"/>
      <c r="AG42" s="273"/>
      <c r="AH42" s="273"/>
      <c r="AI42" s="273"/>
    </row>
    <row r="43" spans="1:35" ht="14.25" customHeight="1">
      <c r="A43" s="283" t="s">
        <v>475</v>
      </c>
      <c r="B43" s="283" t="s">
        <v>549</v>
      </c>
      <c r="C43" s="283" t="s">
        <v>4</v>
      </c>
      <c r="D43" s="259">
        <v>33.054000000000002</v>
      </c>
      <c r="E43" s="283" t="s">
        <v>465</v>
      </c>
      <c r="F43" s="283" t="s">
        <v>559</v>
      </c>
      <c r="G43" s="372">
        <f>D43/BIODIESEL!$O$13</f>
        <v>6.5973677592421842E-2</v>
      </c>
      <c r="H43" s="273"/>
      <c r="I43" s="273"/>
      <c r="J43" s="273"/>
      <c r="K43" s="273"/>
      <c r="L43" s="274"/>
      <c r="M43" s="273"/>
      <c r="N43" s="273"/>
      <c r="O43" s="273"/>
      <c r="P43" s="273"/>
      <c r="Q43" s="273"/>
      <c r="R43" s="273"/>
      <c r="S43" s="273"/>
      <c r="T43" s="273"/>
      <c r="U43" s="273"/>
      <c r="V43" s="273"/>
      <c r="W43" s="273"/>
      <c r="X43" s="274"/>
      <c r="Y43" s="273"/>
      <c r="Z43" s="273"/>
      <c r="AA43" s="273"/>
      <c r="AB43" s="273"/>
      <c r="AC43" s="273"/>
      <c r="AD43" s="273"/>
      <c r="AE43" s="273"/>
      <c r="AF43" s="273"/>
      <c r="AG43" s="273"/>
      <c r="AH43" s="273"/>
      <c r="AI43" s="273"/>
    </row>
    <row r="44" spans="1:35" ht="14.25" customHeight="1">
      <c r="A44" s="283" t="s">
        <v>505</v>
      </c>
      <c r="B44" s="283" t="s">
        <v>549</v>
      </c>
      <c r="C44" s="283" t="s">
        <v>4</v>
      </c>
      <c r="D44" s="259">
        <v>44.73</v>
      </c>
      <c r="E44" s="283" t="s">
        <v>465</v>
      </c>
      <c r="F44" s="283" t="s">
        <v>559</v>
      </c>
      <c r="G44" s="372">
        <f>D44/BIODIESEL!$O$13</f>
        <v>8.9278229524687738E-2</v>
      </c>
      <c r="H44" s="273"/>
      <c r="I44" s="273"/>
      <c r="J44" s="273"/>
      <c r="K44" s="273"/>
      <c r="L44" s="274"/>
      <c r="M44" s="273"/>
      <c r="N44" s="273"/>
      <c r="O44" s="273"/>
      <c r="P44" s="273"/>
      <c r="Q44" s="273"/>
      <c r="R44" s="273"/>
      <c r="S44" s="273"/>
      <c r="T44" s="273"/>
      <c r="U44" s="273"/>
      <c r="V44" s="273"/>
      <c r="W44" s="273"/>
      <c r="X44" s="274"/>
      <c r="Y44" s="273"/>
      <c r="Z44" s="273"/>
      <c r="AA44" s="273"/>
      <c r="AB44" s="273"/>
      <c r="AC44" s="273"/>
      <c r="AD44" s="273"/>
      <c r="AE44" s="273"/>
      <c r="AF44" s="273"/>
      <c r="AG44" s="273"/>
      <c r="AH44" s="273"/>
      <c r="AI44" s="273"/>
    </row>
    <row r="45" spans="1:35" ht="14.25" customHeight="1">
      <c r="A45" s="283" t="s">
        <v>504</v>
      </c>
      <c r="B45" s="283" t="s">
        <v>549</v>
      </c>
      <c r="C45" s="283" t="s">
        <v>4</v>
      </c>
      <c r="D45" s="259">
        <v>84.462000000000003</v>
      </c>
      <c r="E45" s="283" t="s">
        <v>465</v>
      </c>
      <c r="F45" s="283" t="s">
        <v>559</v>
      </c>
      <c r="G45" s="372">
        <f>D45/BIODIESEL!$O$13</f>
        <v>0.16858076955318974</v>
      </c>
      <c r="H45" s="273"/>
      <c r="I45" s="273"/>
      <c r="J45" s="273"/>
      <c r="K45" s="273"/>
      <c r="L45" s="274"/>
      <c r="M45" s="273"/>
      <c r="N45" s="273"/>
      <c r="O45" s="273"/>
      <c r="P45" s="273"/>
      <c r="Q45" s="273"/>
      <c r="R45" s="273"/>
      <c r="S45" s="273"/>
      <c r="T45" s="273"/>
      <c r="U45" s="273"/>
      <c r="V45" s="273"/>
      <c r="W45" s="273"/>
      <c r="X45" s="274"/>
      <c r="Y45" s="273"/>
      <c r="Z45" s="273"/>
      <c r="AA45" s="273"/>
      <c r="AB45" s="273"/>
      <c r="AC45" s="273"/>
      <c r="AD45" s="273"/>
      <c r="AE45" s="273"/>
      <c r="AF45" s="273"/>
      <c r="AG45" s="273"/>
      <c r="AH45" s="273"/>
      <c r="AI45" s="273"/>
    </row>
    <row r="46" spans="1:35" ht="14.25" customHeight="1">
      <c r="A46" s="283" t="s">
        <v>549</v>
      </c>
      <c r="B46" s="259" t="s">
        <v>471</v>
      </c>
      <c r="C46" s="283" t="s">
        <v>8</v>
      </c>
      <c r="D46" s="354">
        <v>5.2877929669999997</v>
      </c>
      <c r="E46" s="283" t="s">
        <v>466</v>
      </c>
      <c r="F46" s="283" t="s">
        <v>558</v>
      </c>
      <c r="G46" s="373">
        <f>D46/$H$8</f>
        <v>0.53826319048202742</v>
      </c>
      <c r="H46" s="368"/>
      <c r="I46" s="273"/>
      <c r="J46" s="273"/>
      <c r="K46" s="273"/>
      <c r="L46" s="274"/>
      <c r="M46" s="273"/>
      <c r="N46" s="273"/>
      <c r="O46" s="273"/>
      <c r="P46" s="273"/>
      <c r="Q46" s="273"/>
      <c r="R46" s="273"/>
      <c r="S46" s="273"/>
      <c r="T46" s="273"/>
      <c r="U46" s="273"/>
      <c r="V46" s="273"/>
      <c r="W46" s="273"/>
      <c r="X46" s="274"/>
      <c r="Y46" s="273"/>
      <c r="Z46" s="273"/>
      <c r="AA46" s="273"/>
      <c r="AB46" s="273"/>
      <c r="AC46" s="273"/>
      <c r="AD46" s="273"/>
      <c r="AE46" s="273"/>
      <c r="AF46" s="273"/>
      <c r="AG46" s="273"/>
      <c r="AH46" s="273"/>
      <c r="AI46" s="273"/>
    </row>
    <row r="47" spans="1:35" ht="14.25" customHeight="1">
      <c r="A47" s="283" t="s">
        <v>549</v>
      </c>
      <c r="B47" s="259" t="s">
        <v>472</v>
      </c>
      <c r="C47" s="283" t="s">
        <v>8</v>
      </c>
      <c r="D47" s="354">
        <v>1.4244955370000001</v>
      </c>
      <c r="E47" s="283" t="s">
        <v>466</v>
      </c>
      <c r="F47" s="283" t="s">
        <v>558</v>
      </c>
      <c r="G47" s="373">
        <f t="shared" ref="G47:G50" si="1">D47/$H$8</f>
        <v>0.14500445031758541</v>
      </c>
      <c r="H47" s="273"/>
      <c r="I47" s="273"/>
      <c r="J47" s="273"/>
      <c r="K47" s="273"/>
      <c r="L47" s="274"/>
      <c r="M47" s="273"/>
      <c r="N47" s="273"/>
      <c r="O47" s="273"/>
      <c r="P47" s="273"/>
      <c r="Q47" s="273"/>
      <c r="R47" s="273"/>
      <c r="S47" s="273"/>
      <c r="T47" s="273"/>
      <c r="U47" s="273"/>
      <c r="V47" s="273"/>
      <c r="W47" s="273"/>
      <c r="X47" s="274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</row>
    <row r="48" spans="1:35" ht="14.25" customHeight="1">
      <c r="A48" s="283" t="s">
        <v>549</v>
      </c>
      <c r="B48" s="259" t="s">
        <v>494</v>
      </c>
      <c r="C48" s="283" t="s">
        <v>8</v>
      </c>
      <c r="D48" s="354">
        <v>1.393638232</v>
      </c>
      <c r="E48" s="283" t="s">
        <v>466</v>
      </c>
      <c r="F48" s="283" t="s">
        <v>558</v>
      </c>
      <c r="G48" s="373">
        <f t="shared" si="1"/>
        <v>0.14186337585747844</v>
      </c>
      <c r="H48" s="273"/>
      <c r="I48" s="273"/>
      <c r="J48" s="273"/>
      <c r="K48" s="273"/>
      <c r="L48" s="274"/>
      <c r="M48" s="273"/>
      <c r="N48" s="273"/>
      <c r="O48" s="273"/>
      <c r="P48" s="273"/>
      <c r="Q48" s="273"/>
      <c r="R48" s="273"/>
      <c r="S48" s="273"/>
      <c r="T48" s="273"/>
      <c r="U48" s="273"/>
      <c r="V48" s="273"/>
      <c r="W48" s="273"/>
      <c r="X48" s="274"/>
      <c r="Y48" s="273"/>
      <c r="Z48" s="273"/>
      <c r="AA48" s="273"/>
      <c r="AB48" s="273"/>
      <c r="AC48" s="273"/>
      <c r="AD48" s="273"/>
      <c r="AE48" s="273"/>
      <c r="AF48" s="273"/>
      <c r="AG48" s="273"/>
      <c r="AH48" s="273"/>
      <c r="AI48" s="273"/>
    </row>
    <row r="49" spans="1:35" ht="14.25" customHeight="1">
      <c r="A49" s="283" t="s">
        <v>549</v>
      </c>
      <c r="B49" s="259" t="s">
        <v>477</v>
      </c>
      <c r="C49" s="283" t="s">
        <v>8</v>
      </c>
      <c r="D49" s="354">
        <v>1.393638232</v>
      </c>
      <c r="E49" s="283" t="s">
        <v>466</v>
      </c>
      <c r="F49" s="283" t="s">
        <v>558</v>
      </c>
      <c r="G49" s="373">
        <f t="shared" si="1"/>
        <v>0.14186337585747844</v>
      </c>
      <c r="H49" s="273"/>
      <c r="I49" s="273"/>
      <c r="J49" s="273"/>
      <c r="K49" s="273"/>
      <c r="L49" s="274"/>
      <c r="M49" s="273"/>
      <c r="N49" s="273"/>
      <c r="O49" s="273"/>
      <c r="P49" s="273"/>
      <c r="Q49" s="273"/>
      <c r="R49" s="273"/>
      <c r="S49" s="273"/>
      <c r="T49" s="273"/>
      <c r="U49" s="273"/>
      <c r="V49" s="273"/>
      <c r="W49" s="273"/>
      <c r="X49" s="274"/>
      <c r="Y49" s="273"/>
      <c r="Z49" s="273"/>
      <c r="AA49" s="273"/>
      <c r="AB49" s="273"/>
      <c r="AC49" s="273"/>
      <c r="AD49" s="273"/>
      <c r="AE49" s="273"/>
      <c r="AF49" s="273"/>
      <c r="AG49" s="273"/>
      <c r="AH49" s="273"/>
      <c r="AI49" s="273"/>
    </row>
    <row r="50" spans="1:35" ht="14.25" customHeight="1">
      <c r="A50" s="283" t="s">
        <v>549</v>
      </c>
      <c r="B50" s="259" t="s">
        <v>483</v>
      </c>
      <c r="C50" s="283" t="s">
        <v>8</v>
      </c>
      <c r="D50" s="259">
        <v>0.32424067299999998</v>
      </c>
      <c r="E50" s="283" t="s">
        <v>466</v>
      </c>
      <c r="F50" s="283" t="s">
        <v>558</v>
      </c>
      <c r="G50" s="373">
        <f t="shared" si="1"/>
        <v>3.3005607485430091E-2</v>
      </c>
      <c r="H50" s="273"/>
      <c r="I50" s="273"/>
      <c r="J50" s="273"/>
      <c r="K50" s="273"/>
      <c r="L50" s="274"/>
      <c r="M50" s="273"/>
      <c r="N50" s="273"/>
      <c r="O50" s="273"/>
      <c r="P50" s="273"/>
      <c r="Q50" s="273"/>
      <c r="R50" s="273"/>
      <c r="S50" s="273"/>
      <c r="T50" s="273"/>
      <c r="U50" s="273"/>
      <c r="V50" s="273"/>
      <c r="W50" s="273"/>
      <c r="X50" s="274"/>
      <c r="Y50" s="273"/>
      <c r="Z50" s="273"/>
      <c r="AA50" s="273"/>
      <c r="AB50" s="273"/>
      <c r="AC50" s="273"/>
      <c r="AD50" s="273"/>
      <c r="AE50" s="273"/>
      <c r="AF50" s="273"/>
      <c r="AG50" s="273"/>
      <c r="AH50" s="273"/>
      <c r="AI50" s="273"/>
    </row>
    <row r="51" spans="1:35" ht="14.25" customHeight="1">
      <c r="A51" s="283" t="s">
        <v>470</v>
      </c>
      <c r="B51" s="283" t="s">
        <v>549</v>
      </c>
      <c r="C51" s="283" t="s">
        <v>8</v>
      </c>
      <c r="D51" s="354">
        <v>0.176511788</v>
      </c>
      <c r="E51" s="283" t="s">
        <v>466</v>
      </c>
      <c r="F51" s="283" t="s">
        <v>559</v>
      </c>
      <c r="G51" s="373">
        <f>D51/'WOOD PELLETS'!$O$13</f>
        <v>0.99796203753774892</v>
      </c>
      <c r="H51" s="273"/>
      <c r="I51" s="273"/>
      <c r="J51" s="273"/>
      <c r="K51" s="273"/>
      <c r="L51" s="274"/>
      <c r="M51" s="273"/>
      <c r="N51" s="273"/>
      <c r="O51" s="273"/>
      <c r="P51" s="273"/>
      <c r="Q51" s="273"/>
      <c r="R51" s="273"/>
      <c r="S51" s="273"/>
      <c r="T51" s="273"/>
      <c r="U51" s="273"/>
      <c r="V51" s="273"/>
      <c r="W51" s="273"/>
      <c r="X51" s="274"/>
      <c r="Y51" s="273"/>
      <c r="Z51" s="273"/>
      <c r="AA51" s="273"/>
      <c r="AB51" s="273"/>
      <c r="AC51" s="273"/>
      <c r="AD51" s="273"/>
      <c r="AE51" s="273"/>
      <c r="AF51" s="273"/>
      <c r="AG51" s="273"/>
      <c r="AH51" s="273"/>
      <c r="AI51" s="273"/>
    </row>
    <row r="52" spans="1:35" ht="14.25" customHeight="1">
      <c r="A52" s="353" t="s">
        <v>494</v>
      </c>
      <c r="B52" s="283" t="s">
        <v>549</v>
      </c>
      <c r="C52" s="283" t="s">
        <v>8</v>
      </c>
      <c r="D52" s="354">
        <v>1.5021300000000001E-4</v>
      </c>
      <c r="E52" s="283" t="s">
        <v>466</v>
      </c>
      <c r="F52" s="283" t="s">
        <v>559</v>
      </c>
      <c r="G52" s="373">
        <f>D52/'WOOD PELLETS'!$O$13</f>
        <v>8.4927399604981554E-4</v>
      </c>
      <c r="H52" s="273"/>
      <c r="I52" s="273"/>
      <c r="J52" s="273"/>
      <c r="K52" s="273"/>
      <c r="L52" s="274"/>
      <c r="M52" s="273"/>
      <c r="N52" s="273"/>
      <c r="O52" s="273"/>
      <c r="P52" s="273"/>
      <c r="Q52" s="273"/>
      <c r="R52" s="273"/>
      <c r="S52" s="273"/>
      <c r="T52" s="273"/>
      <c r="U52" s="273"/>
      <c r="V52" s="273"/>
      <c r="W52" s="273"/>
      <c r="X52" s="274"/>
      <c r="Y52" s="273"/>
      <c r="Z52" s="273"/>
      <c r="AA52" s="273"/>
      <c r="AB52" s="273"/>
      <c r="AC52" s="273"/>
      <c r="AD52" s="273"/>
      <c r="AE52" s="273"/>
      <c r="AF52" s="273"/>
      <c r="AG52" s="273"/>
      <c r="AH52" s="273"/>
      <c r="AI52" s="273"/>
    </row>
    <row r="53" spans="1:35" ht="14.25" customHeight="1">
      <c r="A53" s="283" t="s">
        <v>506</v>
      </c>
      <c r="B53" s="283" t="s">
        <v>549</v>
      </c>
      <c r="C53" s="283" t="s">
        <v>8</v>
      </c>
      <c r="D53" s="354">
        <v>6.2274000000000007E-5</v>
      </c>
      <c r="E53" s="283" t="s">
        <v>466</v>
      </c>
      <c r="F53" s="283" t="s">
        <v>559</v>
      </c>
      <c r="G53" s="373">
        <f>D53/'WOOD PELLETS'!$O$13</f>
        <v>3.5208463202256938E-4</v>
      </c>
      <c r="H53" s="273"/>
      <c r="I53" s="273"/>
      <c r="J53" s="273"/>
      <c r="K53" s="273"/>
      <c r="L53" s="274"/>
      <c r="M53" s="273"/>
      <c r="N53" s="273"/>
      <c r="O53" s="273"/>
      <c r="P53" s="273"/>
      <c r="Q53" s="273"/>
      <c r="R53" s="273"/>
      <c r="S53" s="273"/>
      <c r="T53" s="273"/>
      <c r="U53" s="273"/>
      <c r="V53" s="273"/>
      <c r="W53" s="273"/>
      <c r="X53" s="274"/>
      <c r="Y53" s="273"/>
      <c r="Z53" s="273"/>
      <c r="AA53" s="273"/>
      <c r="AB53" s="273"/>
      <c r="AC53" s="273"/>
      <c r="AD53" s="273"/>
      <c r="AE53" s="273"/>
      <c r="AF53" s="273"/>
      <c r="AG53" s="273"/>
      <c r="AH53" s="273"/>
      <c r="AI53" s="273"/>
    </row>
    <row r="54" spans="1:35" ht="14.25" customHeight="1">
      <c r="A54" s="283" t="s">
        <v>481</v>
      </c>
      <c r="B54" s="283" t="s">
        <v>549</v>
      </c>
      <c r="C54" s="283" t="s">
        <v>8</v>
      </c>
      <c r="D54" s="354">
        <v>4.8161000000000002E-5</v>
      </c>
      <c r="E54" s="283" t="s">
        <v>466</v>
      </c>
      <c r="F54" s="283" t="s">
        <v>559</v>
      </c>
      <c r="G54" s="373">
        <f>D54/'WOOD PELLETS'!$O$13</f>
        <v>2.7229257736517589E-4</v>
      </c>
      <c r="H54" s="273"/>
      <c r="I54" s="273"/>
      <c r="J54" s="273"/>
      <c r="K54" s="273"/>
      <c r="L54" s="274"/>
      <c r="M54" s="273"/>
      <c r="N54" s="273"/>
      <c r="O54" s="273"/>
      <c r="P54" s="273"/>
      <c r="Q54" s="273"/>
      <c r="R54" s="273"/>
      <c r="S54" s="273"/>
      <c r="T54" s="273"/>
      <c r="U54" s="273"/>
      <c r="V54" s="273"/>
      <c r="W54" s="273"/>
      <c r="X54" s="274"/>
      <c r="Y54" s="273"/>
      <c r="Z54" s="273"/>
      <c r="AA54" s="273"/>
      <c r="AB54" s="273"/>
      <c r="AC54" s="273"/>
      <c r="AD54" s="273"/>
      <c r="AE54" s="273"/>
      <c r="AF54" s="273"/>
      <c r="AG54" s="273"/>
      <c r="AH54" s="273"/>
      <c r="AI54" s="273"/>
    </row>
    <row r="55" spans="1:35" ht="14.25" customHeight="1">
      <c r="A55" s="283" t="s">
        <v>545</v>
      </c>
      <c r="B55" s="283" t="s">
        <v>549</v>
      </c>
      <c r="C55" s="283" t="s">
        <v>8</v>
      </c>
      <c r="D55" s="354">
        <v>2.8172000000000001E-5</v>
      </c>
      <c r="E55" s="283" t="s">
        <v>466</v>
      </c>
      <c r="F55" s="283" t="s">
        <v>559</v>
      </c>
      <c r="G55" s="373">
        <f>D55/'WOOD PELLETS'!$O$13</f>
        <v>1.5927880420945858E-4</v>
      </c>
      <c r="H55" s="273"/>
      <c r="I55" s="273"/>
      <c r="J55" s="273"/>
      <c r="K55" s="273"/>
      <c r="L55" s="274"/>
      <c r="M55" s="273"/>
      <c r="N55" s="273"/>
      <c r="O55" s="273"/>
      <c r="P55" s="273"/>
      <c r="Q55" s="273"/>
      <c r="R55" s="273"/>
      <c r="S55" s="273"/>
      <c r="T55" s="273"/>
      <c r="U55" s="273"/>
      <c r="V55" s="273"/>
      <c r="W55" s="273"/>
      <c r="X55" s="274"/>
      <c r="Y55" s="273"/>
      <c r="Z55" s="273"/>
      <c r="AA55" s="273"/>
      <c r="AB55" s="273"/>
      <c r="AC55" s="273"/>
      <c r="AD55" s="273"/>
      <c r="AE55" s="273"/>
      <c r="AF55" s="273"/>
      <c r="AG55" s="273"/>
      <c r="AH55" s="273"/>
      <c r="AI55" s="273"/>
    </row>
    <row r="56" spans="1:35" ht="14.25" customHeight="1">
      <c r="A56" s="283" t="s">
        <v>549</v>
      </c>
      <c r="B56" s="374" t="s">
        <v>470</v>
      </c>
      <c r="C56" s="283" t="s">
        <v>467</v>
      </c>
      <c r="D56" s="259">
        <v>6477</v>
      </c>
      <c r="E56" s="283" t="s">
        <v>468</v>
      </c>
      <c r="F56" s="283" t="s">
        <v>558</v>
      </c>
      <c r="G56" s="373">
        <f>D56/(FATS!$P$24*1000)</f>
        <v>0.33734375</v>
      </c>
      <c r="H56" s="273"/>
      <c r="I56" s="273"/>
      <c r="J56" s="273"/>
      <c r="K56" s="273"/>
      <c r="L56" s="274"/>
      <c r="M56" s="273"/>
      <c r="N56" s="273"/>
      <c r="O56" s="273"/>
      <c r="P56" s="273"/>
      <c r="Q56" s="273"/>
      <c r="R56" s="273"/>
      <c r="S56" s="273"/>
      <c r="T56" s="273"/>
      <c r="U56" s="273"/>
      <c r="V56" s="273"/>
      <c r="W56" s="273"/>
      <c r="X56" s="274"/>
      <c r="Y56" s="273"/>
      <c r="Z56" s="273"/>
      <c r="AA56" s="273"/>
      <c r="AB56" s="273"/>
      <c r="AC56" s="273"/>
      <c r="AD56" s="273"/>
      <c r="AE56" s="273"/>
      <c r="AF56" s="273"/>
      <c r="AG56" s="273"/>
      <c r="AH56" s="273"/>
      <c r="AI56" s="273"/>
    </row>
    <row r="57" spans="1:35" ht="14.25" customHeight="1">
      <c r="A57" s="375" t="s">
        <v>549</v>
      </c>
      <c r="B57" s="375" t="s">
        <v>479</v>
      </c>
      <c r="C57" s="375" t="s">
        <v>467</v>
      </c>
      <c r="D57" s="376">
        <v>4957</v>
      </c>
      <c r="E57" s="375" t="s">
        <v>468</v>
      </c>
      <c r="F57" s="375" t="s">
        <v>558</v>
      </c>
      <c r="G57" s="377">
        <f>D57/(FATS!$P$24*1000)</f>
        <v>0.25817708333333333</v>
      </c>
      <c r="H57" s="273"/>
      <c r="I57" s="273"/>
      <c r="J57" s="273"/>
      <c r="K57" s="273"/>
      <c r="L57" s="274"/>
      <c r="M57" s="273"/>
      <c r="N57" s="273"/>
      <c r="O57" s="273"/>
      <c r="P57" s="273"/>
      <c r="Q57" s="273"/>
      <c r="R57" s="273"/>
      <c r="S57" s="273"/>
      <c r="T57" s="273"/>
      <c r="U57" s="273"/>
      <c r="V57" s="273"/>
      <c r="W57" s="273"/>
      <c r="X57" s="274"/>
      <c r="Y57" s="273"/>
      <c r="Z57" s="273"/>
      <c r="AA57" s="273"/>
      <c r="AB57" s="273"/>
      <c r="AC57" s="273"/>
      <c r="AD57" s="273"/>
      <c r="AE57" s="273"/>
      <c r="AF57" s="273"/>
      <c r="AG57" s="273"/>
      <c r="AH57" s="273"/>
      <c r="AI57" s="273"/>
    </row>
    <row r="58" spans="1:35" ht="14.25" customHeight="1">
      <c r="A58" s="375" t="s">
        <v>549</v>
      </c>
      <c r="B58" s="375" t="s">
        <v>478</v>
      </c>
      <c r="C58" s="375" t="s">
        <v>467</v>
      </c>
      <c r="D58" s="376">
        <v>3048</v>
      </c>
      <c r="E58" s="375" t="s">
        <v>468</v>
      </c>
      <c r="F58" s="375" t="s">
        <v>558</v>
      </c>
      <c r="G58" s="377">
        <f>D58/(FATS!$P$24*1000)</f>
        <v>0.15875</v>
      </c>
      <c r="H58" s="273"/>
      <c r="I58" s="273"/>
      <c r="J58" s="273"/>
      <c r="K58" s="273"/>
      <c r="L58" s="274"/>
      <c r="M58" s="273"/>
      <c r="N58" s="273"/>
      <c r="O58" s="273"/>
      <c r="P58" s="273"/>
      <c r="Q58" s="273"/>
      <c r="R58" s="273"/>
      <c r="S58" s="273"/>
      <c r="T58" s="273"/>
      <c r="U58" s="273"/>
      <c r="V58" s="273"/>
      <c r="W58" s="273"/>
      <c r="X58" s="274"/>
      <c r="Y58" s="273"/>
      <c r="Z58" s="273"/>
      <c r="AA58" s="273"/>
      <c r="AB58" s="273"/>
      <c r="AC58" s="273"/>
      <c r="AD58" s="273"/>
      <c r="AE58" s="273"/>
      <c r="AF58" s="273"/>
      <c r="AG58" s="273"/>
      <c r="AH58" s="273"/>
      <c r="AI58" s="273"/>
    </row>
    <row r="59" spans="1:35" ht="14.25" customHeight="1">
      <c r="A59" s="375" t="s">
        <v>549</v>
      </c>
      <c r="B59" s="375" t="s">
        <v>486</v>
      </c>
      <c r="C59" s="375" t="s">
        <v>467</v>
      </c>
      <c r="D59" s="376">
        <v>1232</v>
      </c>
      <c r="E59" s="375" t="s">
        <v>468</v>
      </c>
      <c r="F59" s="375" t="s">
        <v>558</v>
      </c>
      <c r="G59" s="377">
        <f>D59/(FATS!$P$24*1000)</f>
        <v>6.4166666666666664E-2</v>
      </c>
      <c r="H59" s="273"/>
      <c r="I59" s="273"/>
      <c r="J59" s="273"/>
      <c r="K59" s="273"/>
      <c r="L59" s="274"/>
      <c r="M59" s="273"/>
      <c r="N59" s="273"/>
      <c r="O59" s="273"/>
      <c r="P59" s="273"/>
      <c r="Q59" s="273"/>
      <c r="R59" s="273"/>
      <c r="S59" s="273"/>
      <c r="T59" s="273"/>
      <c r="U59" s="273"/>
      <c r="V59" s="273"/>
      <c r="W59" s="273"/>
      <c r="X59" s="274"/>
      <c r="Y59" s="273"/>
      <c r="Z59" s="273"/>
      <c r="AA59" s="273"/>
      <c r="AB59" s="273"/>
      <c r="AC59" s="273"/>
      <c r="AD59" s="273"/>
      <c r="AE59" s="273"/>
      <c r="AF59" s="273"/>
      <c r="AG59" s="273"/>
      <c r="AH59" s="273"/>
      <c r="AI59" s="273"/>
    </row>
    <row r="60" spans="1:35" ht="14.25" customHeight="1">
      <c r="A60" s="375" t="s">
        <v>549</v>
      </c>
      <c r="B60" s="375" t="s">
        <v>507</v>
      </c>
      <c r="C60" s="375" t="s">
        <v>467</v>
      </c>
      <c r="D60" s="376">
        <v>1171</v>
      </c>
      <c r="E60" s="375" t="s">
        <v>468</v>
      </c>
      <c r="F60" s="375" t="s">
        <v>558</v>
      </c>
      <c r="G60" s="377">
        <f>D60/(FATS!$P$24*1000)</f>
        <v>6.0989583333333333E-2</v>
      </c>
      <c r="H60" s="273"/>
      <c r="I60" s="273"/>
      <c r="J60" s="273"/>
      <c r="K60" s="273"/>
      <c r="L60" s="274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4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</row>
    <row r="61" spans="1:35" ht="14.25" customHeight="1">
      <c r="A61" s="375" t="s">
        <v>549</v>
      </c>
      <c r="B61" s="375" t="s">
        <v>470</v>
      </c>
      <c r="C61" s="375" t="s">
        <v>488</v>
      </c>
      <c r="D61" s="376">
        <v>45420</v>
      </c>
      <c r="E61" s="375" t="s">
        <v>468</v>
      </c>
      <c r="F61" s="375" t="s">
        <v>558</v>
      </c>
      <c r="G61" s="375"/>
      <c r="H61" s="273"/>
      <c r="I61" s="273"/>
      <c r="J61" s="273"/>
      <c r="K61" s="273"/>
      <c r="L61" s="274"/>
      <c r="M61" s="273"/>
      <c r="N61" s="273"/>
      <c r="O61" s="273"/>
      <c r="P61" s="273"/>
      <c r="Q61" s="273"/>
      <c r="R61" s="273"/>
      <c r="S61" s="273"/>
      <c r="T61" s="273"/>
      <c r="U61" s="273"/>
      <c r="V61" s="273"/>
      <c r="W61" s="273"/>
      <c r="X61" s="274"/>
      <c r="Y61" s="273"/>
      <c r="Z61" s="273"/>
      <c r="AA61" s="273"/>
      <c r="AB61" s="273"/>
      <c r="AC61" s="273"/>
      <c r="AD61" s="273"/>
      <c r="AE61" s="273"/>
      <c r="AF61" s="273"/>
      <c r="AG61" s="273"/>
      <c r="AH61" s="273"/>
      <c r="AI61" s="273"/>
    </row>
    <row r="62" spans="1:35" ht="14.25" customHeight="1">
      <c r="A62" s="375" t="s">
        <v>549</v>
      </c>
      <c r="B62" s="375" t="s">
        <v>478</v>
      </c>
      <c r="C62" s="375" t="s">
        <v>488</v>
      </c>
      <c r="D62" s="376">
        <v>38946</v>
      </c>
      <c r="E62" s="375" t="s">
        <v>468</v>
      </c>
      <c r="F62" s="375" t="s">
        <v>558</v>
      </c>
      <c r="G62" s="375"/>
      <c r="H62" s="273"/>
      <c r="I62" s="273"/>
      <c r="J62" s="273"/>
      <c r="K62" s="273"/>
      <c r="L62" s="274"/>
      <c r="M62" s="273"/>
      <c r="N62" s="273"/>
      <c r="O62" s="273"/>
      <c r="P62" s="273"/>
      <c r="Q62" s="273"/>
      <c r="R62" s="273"/>
      <c r="S62" s="273"/>
      <c r="T62" s="273"/>
      <c r="U62" s="273"/>
      <c r="V62" s="273"/>
      <c r="W62" s="273"/>
      <c r="X62" s="274"/>
      <c r="Y62" s="273"/>
      <c r="Z62" s="273"/>
      <c r="AA62" s="273"/>
      <c r="AB62" s="273"/>
      <c r="AC62" s="273"/>
      <c r="AD62" s="273"/>
      <c r="AE62" s="273"/>
      <c r="AF62" s="273"/>
      <c r="AG62" s="273"/>
      <c r="AH62" s="273"/>
      <c r="AI62" s="273"/>
    </row>
    <row r="63" spans="1:35" ht="14.25" customHeight="1">
      <c r="A63" s="375" t="s">
        <v>549</v>
      </c>
      <c r="B63" s="375" t="s">
        <v>482</v>
      </c>
      <c r="C63" s="375" t="s">
        <v>488</v>
      </c>
      <c r="D63" s="376">
        <v>21950</v>
      </c>
      <c r="E63" s="375" t="s">
        <v>468</v>
      </c>
      <c r="F63" s="375" t="s">
        <v>558</v>
      </c>
      <c r="G63" s="375"/>
      <c r="H63" s="273"/>
      <c r="I63" s="273"/>
      <c r="J63" s="273"/>
      <c r="K63" s="273"/>
      <c r="L63" s="274"/>
      <c r="M63" s="273"/>
      <c r="N63" s="273"/>
      <c r="O63" s="273"/>
      <c r="P63" s="273"/>
      <c r="Q63" s="273"/>
      <c r="R63" s="273"/>
      <c r="S63" s="273"/>
      <c r="T63" s="273"/>
      <c r="U63" s="273"/>
      <c r="V63" s="273"/>
      <c r="W63" s="273"/>
      <c r="X63" s="274"/>
      <c r="Y63" s="273"/>
      <c r="Z63" s="273"/>
      <c r="AA63" s="273"/>
      <c r="AB63" s="273"/>
      <c r="AC63" s="273"/>
      <c r="AD63" s="273"/>
      <c r="AE63" s="273"/>
      <c r="AF63" s="273"/>
      <c r="AG63" s="273"/>
      <c r="AH63" s="273"/>
      <c r="AI63" s="273"/>
    </row>
    <row r="64" spans="1:35" ht="14.25" customHeight="1">
      <c r="A64" s="375" t="s">
        <v>549</v>
      </c>
      <c r="B64" s="375" t="s">
        <v>508</v>
      </c>
      <c r="C64" s="375" t="s">
        <v>488</v>
      </c>
      <c r="D64" s="376">
        <v>1977</v>
      </c>
      <c r="E64" s="375" t="s">
        <v>468</v>
      </c>
      <c r="F64" s="375" t="s">
        <v>558</v>
      </c>
      <c r="G64" s="375"/>
      <c r="H64" s="273"/>
      <c r="I64" s="273"/>
      <c r="J64" s="273"/>
      <c r="K64" s="273"/>
      <c r="L64" s="274"/>
      <c r="M64" s="273"/>
      <c r="N64" s="273"/>
      <c r="O64" s="273"/>
      <c r="P64" s="273"/>
      <c r="Q64" s="273"/>
      <c r="R64" s="273"/>
      <c r="S64" s="273"/>
      <c r="T64" s="273"/>
      <c r="U64" s="273"/>
      <c r="V64" s="273"/>
      <c r="W64" s="273"/>
      <c r="X64" s="274"/>
      <c r="Y64" s="273"/>
      <c r="Z64" s="273"/>
      <c r="AA64" s="273"/>
      <c r="AB64" s="273"/>
      <c r="AC64" s="273"/>
      <c r="AD64" s="273"/>
      <c r="AE64" s="273"/>
      <c r="AF64" s="273"/>
      <c r="AG64" s="273"/>
      <c r="AH64" s="273"/>
      <c r="AI64" s="273"/>
    </row>
    <row r="65" spans="1:35" ht="14.25" customHeight="1">
      <c r="A65" s="375" t="s">
        <v>549</v>
      </c>
      <c r="B65" s="375" t="s">
        <v>493</v>
      </c>
      <c r="C65" s="375" t="s">
        <v>488</v>
      </c>
      <c r="D65" s="376">
        <v>60</v>
      </c>
      <c r="E65" s="375" t="s">
        <v>468</v>
      </c>
      <c r="F65" s="375" t="s">
        <v>558</v>
      </c>
      <c r="G65" s="375"/>
      <c r="H65" s="273"/>
      <c r="I65" s="273"/>
      <c r="J65" s="273"/>
      <c r="K65" s="273"/>
      <c r="L65" s="274"/>
      <c r="M65" s="273"/>
      <c r="N65" s="273"/>
      <c r="O65" s="273"/>
      <c r="P65" s="273"/>
      <c r="Q65" s="273"/>
      <c r="R65" s="273"/>
      <c r="S65" s="273"/>
      <c r="T65" s="273"/>
      <c r="U65" s="273"/>
      <c r="V65" s="273"/>
      <c r="W65" s="273"/>
      <c r="X65" s="274"/>
      <c r="Y65" s="273"/>
      <c r="Z65" s="273"/>
      <c r="AA65" s="273"/>
      <c r="AB65" s="273"/>
      <c r="AC65" s="273"/>
      <c r="AD65" s="273"/>
      <c r="AE65" s="273"/>
      <c r="AF65" s="273"/>
      <c r="AG65" s="273"/>
      <c r="AH65" s="273"/>
      <c r="AI65" s="273"/>
    </row>
    <row r="66" spans="1:35" ht="14.25" customHeight="1">
      <c r="A66" s="375" t="s">
        <v>549</v>
      </c>
      <c r="B66" s="375" t="s">
        <v>478</v>
      </c>
      <c r="C66" s="375" t="s">
        <v>489</v>
      </c>
      <c r="D66" s="376">
        <v>43177</v>
      </c>
      <c r="E66" s="375" t="s">
        <v>468</v>
      </c>
      <c r="F66" s="375" t="s">
        <v>558</v>
      </c>
      <c r="G66" s="375"/>
      <c r="H66" s="273"/>
      <c r="I66" s="273"/>
      <c r="J66" s="273"/>
      <c r="K66" s="273"/>
      <c r="L66" s="274"/>
      <c r="M66" s="273"/>
      <c r="N66" s="273"/>
      <c r="O66" s="273"/>
      <c r="P66" s="273"/>
      <c r="Q66" s="273"/>
      <c r="R66" s="273"/>
      <c r="S66" s="273"/>
      <c r="T66" s="273"/>
      <c r="U66" s="273"/>
      <c r="V66" s="273"/>
      <c r="W66" s="273"/>
      <c r="X66" s="274"/>
      <c r="Y66" s="273"/>
      <c r="Z66" s="273"/>
      <c r="AA66" s="273"/>
      <c r="AB66" s="273"/>
      <c r="AC66" s="273"/>
      <c r="AD66" s="273"/>
      <c r="AE66" s="273"/>
      <c r="AF66" s="273"/>
      <c r="AG66" s="273"/>
      <c r="AH66" s="273"/>
      <c r="AI66" s="273"/>
    </row>
    <row r="67" spans="1:35" ht="14.25" customHeight="1">
      <c r="A67" s="375" t="s">
        <v>549</v>
      </c>
      <c r="B67" s="375" t="s">
        <v>470</v>
      </c>
      <c r="C67" s="375" t="s">
        <v>489</v>
      </c>
      <c r="D67" s="376">
        <v>1504</v>
      </c>
      <c r="E67" s="375" t="s">
        <v>468</v>
      </c>
      <c r="F67" s="375" t="s">
        <v>558</v>
      </c>
      <c r="G67" s="375"/>
      <c r="H67" s="273"/>
      <c r="I67" s="273"/>
      <c r="J67" s="273"/>
      <c r="K67" s="273"/>
      <c r="L67" s="274"/>
      <c r="M67" s="273"/>
      <c r="N67" s="273"/>
      <c r="O67" s="273"/>
      <c r="P67" s="273"/>
      <c r="Q67" s="273"/>
      <c r="R67" s="273"/>
      <c r="S67" s="273"/>
      <c r="T67" s="273"/>
      <c r="U67" s="273"/>
      <c r="V67" s="273"/>
      <c r="W67" s="273"/>
      <c r="X67" s="274"/>
      <c r="Y67" s="273"/>
      <c r="Z67" s="273"/>
      <c r="AA67" s="273"/>
      <c r="AB67" s="273"/>
      <c r="AC67" s="273"/>
      <c r="AD67" s="273"/>
      <c r="AE67" s="273"/>
      <c r="AF67" s="273"/>
      <c r="AG67" s="273"/>
      <c r="AH67" s="273"/>
      <c r="AI67" s="273"/>
    </row>
    <row r="68" spans="1:35" ht="14.25" customHeight="1">
      <c r="A68" s="375" t="s">
        <v>549</v>
      </c>
      <c r="B68" s="375" t="s">
        <v>481</v>
      </c>
      <c r="C68" s="375" t="s">
        <v>489</v>
      </c>
      <c r="D68" s="376">
        <v>1001</v>
      </c>
      <c r="E68" s="375" t="s">
        <v>468</v>
      </c>
      <c r="F68" s="375" t="s">
        <v>558</v>
      </c>
      <c r="G68" s="375"/>
      <c r="H68" s="273"/>
      <c r="I68" s="273"/>
      <c r="J68" s="273"/>
      <c r="K68" s="273"/>
      <c r="L68" s="274"/>
      <c r="M68" s="273"/>
      <c r="N68" s="273"/>
      <c r="O68" s="273"/>
      <c r="P68" s="273"/>
      <c r="Q68" s="273"/>
      <c r="R68" s="273"/>
      <c r="S68" s="273"/>
      <c r="T68" s="273"/>
      <c r="U68" s="273"/>
      <c r="V68" s="273"/>
      <c r="W68" s="273"/>
      <c r="X68" s="274"/>
      <c r="Y68" s="273"/>
      <c r="Z68" s="273"/>
      <c r="AA68" s="273"/>
      <c r="AB68" s="273"/>
      <c r="AC68" s="273"/>
      <c r="AD68" s="273"/>
      <c r="AE68" s="273"/>
      <c r="AF68" s="273"/>
      <c r="AG68" s="273"/>
      <c r="AH68" s="273"/>
      <c r="AI68" s="273"/>
    </row>
    <row r="69" spans="1:35" ht="14.25" customHeight="1">
      <c r="A69" s="375" t="s">
        <v>549</v>
      </c>
      <c r="B69" s="375" t="s">
        <v>482</v>
      </c>
      <c r="C69" s="375" t="s">
        <v>490</v>
      </c>
      <c r="D69" s="376">
        <v>78264</v>
      </c>
      <c r="E69" s="375" t="s">
        <v>468</v>
      </c>
      <c r="F69" s="375" t="s">
        <v>558</v>
      </c>
      <c r="G69" s="377">
        <f>D69/(FATS!$P$27*1000)</f>
        <v>0.40677754677754679</v>
      </c>
      <c r="H69" s="368"/>
      <c r="I69" s="273"/>
      <c r="J69" s="273"/>
      <c r="K69" s="273"/>
      <c r="L69" s="274"/>
      <c r="M69" s="273"/>
      <c r="N69" s="273"/>
      <c r="O69" s="273"/>
      <c r="P69" s="273"/>
      <c r="Q69" s="273"/>
      <c r="R69" s="273"/>
      <c r="S69" s="273"/>
      <c r="T69" s="273"/>
      <c r="U69" s="273"/>
      <c r="V69" s="273"/>
      <c r="W69" s="273"/>
      <c r="X69" s="274"/>
      <c r="Y69" s="273"/>
      <c r="Z69" s="273"/>
      <c r="AA69" s="273"/>
      <c r="AB69" s="273"/>
      <c r="AC69" s="273"/>
      <c r="AD69" s="273"/>
      <c r="AE69" s="273"/>
      <c r="AF69" s="273"/>
      <c r="AG69" s="273"/>
      <c r="AH69" s="273"/>
      <c r="AI69" s="273"/>
    </row>
    <row r="70" spans="1:35" ht="14.25" customHeight="1">
      <c r="A70" s="375" t="s">
        <v>549</v>
      </c>
      <c r="B70" s="375" t="s">
        <v>478</v>
      </c>
      <c r="C70" s="375" t="s">
        <v>490</v>
      </c>
      <c r="D70" s="376">
        <v>62095</v>
      </c>
      <c r="E70" s="375" t="s">
        <v>468</v>
      </c>
      <c r="F70" s="375" t="s">
        <v>558</v>
      </c>
      <c r="G70" s="377">
        <f>D70/(FATS!$P$27*1000)</f>
        <v>0.32273908523908523</v>
      </c>
      <c r="H70" s="273"/>
      <c r="I70" s="273"/>
      <c r="J70" s="273"/>
      <c r="K70" s="273"/>
      <c r="L70" s="274"/>
      <c r="M70" s="273"/>
      <c r="N70" s="273"/>
      <c r="O70" s="273"/>
      <c r="P70" s="273"/>
      <c r="Q70" s="273"/>
      <c r="R70" s="273"/>
      <c r="S70" s="273"/>
      <c r="T70" s="273"/>
      <c r="U70" s="273"/>
      <c r="V70" s="273"/>
      <c r="W70" s="273"/>
      <c r="X70" s="274"/>
      <c r="Y70" s="273"/>
      <c r="Z70" s="273"/>
      <c r="AA70" s="273"/>
      <c r="AB70" s="273"/>
      <c r="AC70" s="273"/>
      <c r="AD70" s="273"/>
      <c r="AE70" s="273"/>
      <c r="AF70" s="273"/>
      <c r="AG70" s="273"/>
      <c r="AH70" s="273"/>
      <c r="AI70" s="273"/>
    </row>
    <row r="71" spans="1:35" ht="14.25" customHeight="1">
      <c r="A71" s="375" t="s">
        <v>549</v>
      </c>
      <c r="B71" s="375" t="s">
        <v>470</v>
      </c>
      <c r="C71" s="375" t="s">
        <v>490</v>
      </c>
      <c r="D71" s="376">
        <v>24459</v>
      </c>
      <c r="E71" s="375" t="s">
        <v>468</v>
      </c>
      <c r="F71" s="375" t="s">
        <v>558</v>
      </c>
      <c r="G71" s="377">
        <f>D71/(FATS!$P$27*1000)</f>
        <v>0.12712577962577962</v>
      </c>
      <c r="H71" s="273"/>
      <c r="I71" s="273"/>
      <c r="J71" s="273"/>
      <c r="K71" s="273"/>
      <c r="L71" s="274"/>
      <c r="M71" s="273"/>
      <c r="N71" s="273"/>
      <c r="O71" s="273"/>
      <c r="P71" s="273"/>
      <c r="Q71" s="273"/>
      <c r="R71" s="273"/>
      <c r="S71" s="273"/>
      <c r="T71" s="273"/>
      <c r="U71" s="273"/>
      <c r="V71" s="273"/>
      <c r="W71" s="273"/>
      <c r="X71" s="274"/>
      <c r="Y71" s="273"/>
      <c r="Z71" s="273"/>
      <c r="AA71" s="273"/>
      <c r="AB71" s="273"/>
      <c r="AC71" s="273"/>
      <c r="AD71" s="273"/>
      <c r="AE71" s="273"/>
      <c r="AF71" s="273"/>
      <c r="AG71" s="273"/>
      <c r="AH71" s="273"/>
      <c r="AI71" s="273"/>
    </row>
    <row r="72" spans="1:35" ht="14.25" customHeight="1">
      <c r="A72" s="375" t="s">
        <v>549</v>
      </c>
      <c r="B72" s="375" t="s">
        <v>509</v>
      </c>
      <c r="C72" s="375" t="s">
        <v>490</v>
      </c>
      <c r="D72" s="376">
        <v>4931</v>
      </c>
      <c r="E72" s="375" t="s">
        <v>468</v>
      </c>
      <c r="F72" s="375" t="s">
        <v>558</v>
      </c>
      <c r="G72" s="377">
        <f>D72/(FATS!$P$27*1000)</f>
        <v>2.5628898128898129E-2</v>
      </c>
      <c r="H72" s="273"/>
      <c r="I72" s="273"/>
      <c r="J72" s="273"/>
      <c r="K72" s="273"/>
      <c r="L72" s="274"/>
      <c r="M72" s="273"/>
      <c r="N72" s="273"/>
      <c r="O72" s="273"/>
      <c r="P72" s="273"/>
      <c r="Q72" s="273"/>
      <c r="R72" s="273"/>
      <c r="S72" s="273"/>
      <c r="T72" s="273"/>
      <c r="U72" s="273"/>
      <c r="V72" s="273"/>
      <c r="W72" s="273"/>
      <c r="X72" s="274"/>
      <c r="Y72" s="273"/>
      <c r="Z72" s="273"/>
      <c r="AA72" s="273"/>
      <c r="AB72" s="273"/>
      <c r="AC72" s="273"/>
      <c r="AD72" s="273"/>
      <c r="AE72" s="273"/>
      <c r="AF72" s="273"/>
      <c r="AG72" s="273"/>
      <c r="AH72" s="273"/>
      <c r="AI72" s="273"/>
    </row>
    <row r="73" spans="1:35" ht="14.25" customHeight="1">
      <c r="A73" s="375" t="s">
        <v>549</v>
      </c>
      <c r="B73" s="375" t="s">
        <v>486</v>
      </c>
      <c r="C73" s="375" t="s">
        <v>490</v>
      </c>
      <c r="D73" s="376">
        <v>4370</v>
      </c>
      <c r="E73" s="375" t="s">
        <v>468</v>
      </c>
      <c r="F73" s="375" t="s">
        <v>558</v>
      </c>
      <c r="G73" s="377">
        <f>D73/(FATS!$P$27*1000)</f>
        <v>2.2713097713097714E-2</v>
      </c>
      <c r="H73" s="273"/>
      <c r="I73" s="273"/>
      <c r="J73" s="273"/>
      <c r="K73" s="273"/>
      <c r="L73" s="274"/>
      <c r="M73" s="273"/>
      <c r="N73" s="273"/>
      <c r="O73" s="273"/>
      <c r="P73" s="273"/>
      <c r="Q73" s="273"/>
      <c r="R73" s="273"/>
      <c r="S73" s="273"/>
      <c r="T73" s="273"/>
      <c r="U73" s="273"/>
      <c r="V73" s="273"/>
      <c r="W73" s="273"/>
      <c r="X73" s="274"/>
      <c r="Y73" s="273"/>
      <c r="Z73" s="273"/>
      <c r="AA73" s="273"/>
      <c r="AB73" s="273"/>
      <c r="AC73" s="273"/>
      <c r="AD73" s="273"/>
      <c r="AE73" s="273"/>
      <c r="AF73" s="273"/>
      <c r="AG73" s="273"/>
      <c r="AH73" s="273"/>
      <c r="AI73" s="273"/>
    </row>
    <row r="74" spans="1:35" ht="14.25" customHeight="1">
      <c r="A74" s="375" t="s">
        <v>549</v>
      </c>
      <c r="B74" s="375" t="s">
        <v>478</v>
      </c>
      <c r="C74" s="375" t="s">
        <v>491</v>
      </c>
      <c r="D74" s="376">
        <v>107</v>
      </c>
      <c r="E74" s="375" t="s">
        <v>468</v>
      </c>
      <c r="F74" s="375" t="s">
        <v>558</v>
      </c>
      <c r="G74" s="377">
        <f>D74/(FATS!$P$26*1000)</f>
        <v>1</v>
      </c>
      <c r="H74" s="273"/>
      <c r="I74" s="273"/>
      <c r="J74" s="273"/>
      <c r="K74" s="273"/>
      <c r="L74" s="274"/>
      <c r="M74" s="273"/>
      <c r="N74" s="273"/>
      <c r="O74" s="273"/>
      <c r="P74" s="273"/>
      <c r="Q74" s="273"/>
      <c r="R74" s="273"/>
      <c r="S74" s="273"/>
      <c r="T74" s="273"/>
      <c r="U74" s="273"/>
      <c r="V74" s="273"/>
      <c r="W74" s="273"/>
      <c r="X74" s="274"/>
      <c r="Y74" s="273"/>
      <c r="Z74" s="273"/>
      <c r="AA74" s="273"/>
      <c r="AB74" s="273"/>
      <c r="AC74" s="273"/>
      <c r="AD74" s="273"/>
      <c r="AE74" s="273"/>
      <c r="AF74" s="273"/>
      <c r="AG74" s="273"/>
      <c r="AH74" s="273"/>
      <c r="AI74" s="273"/>
    </row>
    <row r="75" spans="1:35" ht="14.25" customHeight="1">
      <c r="A75" s="375" t="s">
        <v>549</v>
      </c>
      <c r="B75" s="375" t="s">
        <v>478</v>
      </c>
      <c r="C75" s="375" t="s">
        <v>561</v>
      </c>
      <c r="D75" s="376">
        <v>82123</v>
      </c>
      <c r="E75" s="375" t="s">
        <v>468</v>
      </c>
      <c r="F75" s="375" t="s">
        <v>558</v>
      </c>
      <c r="G75" s="377">
        <f>D75/(FATS!$P$25*1000)</f>
        <v>0.53292018170019462</v>
      </c>
      <c r="H75" s="370"/>
      <c r="I75" s="273"/>
      <c r="J75" s="273"/>
      <c r="K75" s="273"/>
      <c r="L75" s="274"/>
      <c r="M75" s="273"/>
      <c r="N75" s="273"/>
      <c r="O75" s="273"/>
      <c r="P75" s="273"/>
      <c r="Q75" s="273"/>
      <c r="R75" s="273"/>
      <c r="S75" s="273"/>
      <c r="T75" s="273"/>
      <c r="U75" s="273"/>
      <c r="V75" s="273"/>
      <c r="W75" s="273"/>
      <c r="X75" s="274"/>
      <c r="Y75" s="273"/>
      <c r="Z75" s="273"/>
      <c r="AA75" s="273"/>
      <c r="AB75" s="273"/>
      <c r="AC75" s="273"/>
      <c r="AD75" s="273"/>
      <c r="AE75" s="273"/>
      <c r="AF75" s="273"/>
      <c r="AG75" s="273"/>
      <c r="AH75" s="273"/>
      <c r="AI75" s="273"/>
    </row>
    <row r="76" spans="1:35" ht="14.25" customHeight="1">
      <c r="A76" s="375" t="s">
        <v>549</v>
      </c>
      <c r="B76" s="375" t="s">
        <v>470</v>
      </c>
      <c r="C76" s="375" t="s">
        <v>561</v>
      </c>
      <c r="D76" s="376">
        <v>46924</v>
      </c>
      <c r="E76" s="375" t="s">
        <v>468</v>
      </c>
      <c r="F76" s="375" t="s">
        <v>558</v>
      </c>
      <c r="G76" s="377">
        <f>D76/(FATS!$P$25*1000)</f>
        <v>0.30450356911096682</v>
      </c>
      <c r="H76" s="273"/>
      <c r="I76" s="273"/>
      <c r="J76" s="273"/>
      <c r="K76" s="273"/>
      <c r="L76" s="274"/>
      <c r="M76" s="273"/>
      <c r="N76" s="273"/>
      <c r="O76" s="273"/>
      <c r="P76" s="273"/>
      <c r="Q76" s="273"/>
      <c r="R76" s="273"/>
      <c r="S76" s="273"/>
      <c r="T76" s="273"/>
      <c r="U76" s="273"/>
      <c r="V76" s="273"/>
      <c r="W76" s="273"/>
      <c r="X76" s="274"/>
      <c r="Y76" s="273"/>
      <c r="Z76" s="273"/>
      <c r="AA76" s="273"/>
      <c r="AB76" s="273"/>
      <c r="AC76" s="273"/>
      <c r="AD76" s="273"/>
      <c r="AE76" s="273"/>
      <c r="AF76" s="273"/>
      <c r="AG76" s="273"/>
      <c r="AH76" s="273"/>
      <c r="AI76" s="273"/>
    </row>
    <row r="77" spans="1:35" ht="14.25" customHeight="1">
      <c r="A77" s="375" t="s">
        <v>549</v>
      </c>
      <c r="B77" s="375" t="s">
        <v>482</v>
      </c>
      <c r="C77" s="375" t="s">
        <v>561</v>
      </c>
      <c r="D77" s="376">
        <v>21950</v>
      </c>
      <c r="E77" s="375" t="s">
        <v>468</v>
      </c>
      <c r="F77" s="375" t="s">
        <v>558</v>
      </c>
      <c r="G77" s="377">
        <f>D77/(FATS!$P$25*1000)</f>
        <v>0.14243997404282929</v>
      </c>
      <c r="H77" s="273"/>
      <c r="I77" s="273"/>
      <c r="J77" s="273"/>
      <c r="K77" s="273"/>
      <c r="L77" s="274"/>
      <c r="M77" s="273"/>
      <c r="N77" s="273"/>
      <c r="O77" s="273"/>
      <c r="P77" s="273"/>
      <c r="Q77" s="273"/>
      <c r="R77" s="273"/>
      <c r="S77" s="273"/>
      <c r="T77" s="273"/>
      <c r="U77" s="273"/>
      <c r="V77" s="273"/>
      <c r="W77" s="273"/>
      <c r="X77" s="274"/>
      <c r="Y77" s="273"/>
      <c r="Z77" s="273"/>
      <c r="AA77" s="273"/>
      <c r="AB77" s="273"/>
      <c r="AC77" s="273"/>
      <c r="AD77" s="273"/>
      <c r="AE77" s="273"/>
      <c r="AF77" s="273"/>
      <c r="AG77" s="273"/>
      <c r="AH77" s="273"/>
      <c r="AI77" s="273"/>
    </row>
    <row r="78" spans="1:35" ht="14.25" customHeight="1">
      <c r="A78" s="375" t="s">
        <v>549</v>
      </c>
      <c r="B78" s="375" t="s">
        <v>508</v>
      </c>
      <c r="C78" s="375" t="s">
        <v>561</v>
      </c>
      <c r="D78" s="376">
        <v>1977</v>
      </c>
      <c r="E78" s="375" t="s">
        <v>468</v>
      </c>
      <c r="F78" s="375" t="s">
        <v>558</v>
      </c>
      <c r="G78" s="377">
        <f>D78/(FATS!$P$25*1000)</f>
        <v>1.2829331602855286E-2</v>
      </c>
      <c r="H78" s="273"/>
      <c r="I78" s="273"/>
      <c r="J78" s="273"/>
      <c r="K78" s="273"/>
      <c r="L78" s="274"/>
      <c r="M78" s="273"/>
      <c r="N78" s="273"/>
      <c r="O78" s="273"/>
      <c r="P78" s="273"/>
      <c r="Q78" s="273"/>
      <c r="R78" s="273"/>
      <c r="S78" s="273"/>
      <c r="T78" s="273"/>
      <c r="U78" s="273"/>
      <c r="V78" s="273"/>
      <c r="W78" s="273"/>
      <c r="X78" s="274"/>
      <c r="Y78" s="273"/>
      <c r="Z78" s="273"/>
      <c r="AA78" s="273"/>
      <c r="AB78" s="273"/>
      <c r="AC78" s="273"/>
      <c r="AD78" s="273"/>
      <c r="AE78" s="273"/>
      <c r="AF78" s="273"/>
      <c r="AG78" s="273"/>
      <c r="AH78" s="273"/>
      <c r="AI78" s="273"/>
    </row>
    <row r="79" spans="1:35" ht="14.25" customHeight="1">
      <c r="A79" s="375" t="s">
        <v>549</v>
      </c>
      <c r="B79" s="375" t="s">
        <v>481</v>
      </c>
      <c r="C79" s="375" t="s">
        <v>561</v>
      </c>
      <c r="D79" s="376">
        <v>1001</v>
      </c>
      <c r="E79" s="375" t="s">
        <v>468</v>
      </c>
      <c r="F79" s="375" t="s">
        <v>558</v>
      </c>
      <c r="G79" s="377">
        <f>D79/(FATS!$P$25*1000)</f>
        <v>6.4957819597663844E-3</v>
      </c>
      <c r="H79" s="273"/>
      <c r="I79" s="273"/>
      <c r="J79" s="273"/>
      <c r="K79" s="273"/>
      <c r="L79" s="274"/>
      <c r="M79" s="273"/>
      <c r="N79" s="273"/>
      <c r="O79" s="273"/>
      <c r="P79" s="273"/>
      <c r="Q79" s="273"/>
      <c r="R79" s="273"/>
      <c r="S79" s="273"/>
      <c r="T79" s="273"/>
      <c r="U79" s="273"/>
      <c r="V79" s="273"/>
      <c r="W79" s="273"/>
      <c r="X79" s="274"/>
      <c r="Y79" s="273"/>
      <c r="Z79" s="273"/>
      <c r="AA79" s="273"/>
      <c r="AB79" s="273"/>
      <c r="AC79" s="273"/>
      <c r="AD79" s="273"/>
      <c r="AE79" s="273"/>
      <c r="AF79" s="273"/>
      <c r="AG79" s="273"/>
      <c r="AH79" s="273"/>
      <c r="AI79" s="273"/>
    </row>
    <row r="80" spans="1:35" ht="14.25" customHeight="1">
      <c r="A80" s="273"/>
      <c r="B80" s="273"/>
      <c r="C80" s="273"/>
      <c r="D80" s="273"/>
      <c r="E80" s="273"/>
      <c r="F80" s="273"/>
      <c r="G80" s="273"/>
      <c r="H80" s="273"/>
      <c r="I80" s="273"/>
      <c r="J80" s="273"/>
      <c r="K80" s="273"/>
      <c r="L80" s="274"/>
      <c r="M80" s="273"/>
      <c r="N80" s="273"/>
      <c r="O80" s="273"/>
      <c r="P80" s="273"/>
      <c r="Q80" s="273"/>
      <c r="R80" s="273"/>
      <c r="S80" s="273"/>
      <c r="T80" s="273"/>
      <c r="U80" s="273"/>
      <c r="V80" s="273"/>
      <c r="W80" s="273"/>
      <c r="X80" s="274"/>
      <c r="Y80" s="273"/>
      <c r="Z80" s="273"/>
      <c r="AA80" s="273"/>
      <c r="AB80" s="273"/>
      <c r="AC80" s="273"/>
      <c r="AD80" s="273"/>
      <c r="AE80" s="273"/>
      <c r="AF80" s="273"/>
      <c r="AG80" s="273"/>
      <c r="AH80" s="273"/>
      <c r="AI80" s="273"/>
    </row>
    <row r="81" spans="1:35" ht="14.25" customHeight="1">
      <c r="A81" s="273"/>
      <c r="B81" s="273"/>
      <c r="C81" s="273"/>
      <c r="D81" s="273"/>
      <c r="E81" s="273"/>
      <c r="F81" s="273"/>
      <c r="G81" s="273"/>
      <c r="H81" s="273"/>
      <c r="I81" s="273"/>
      <c r="J81" s="273"/>
      <c r="K81" s="273"/>
      <c r="L81" s="274"/>
      <c r="M81" s="273"/>
      <c r="N81" s="273"/>
      <c r="O81" s="273"/>
      <c r="P81" s="273"/>
      <c r="Q81" s="273"/>
      <c r="R81" s="273"/>
      <c r="S81" s="273"/>
      <c r="T81" s="273"/>
      <c r="U81" s="273"/>
      <c r="V81" s="273"/>
      <c r="W81" s="273"/>
      <c r="X81" s="274"/>
      <c r="Y81" s="273"/>
      <c r="Z81" s="273"/>
      <c r="AA81" s="273"/>
      <c r="AB81" s="273"/>
      <c r="AC81" s="273"/>
      <c r="AD81" s="273"/>
      <c r="AE81" s="273"/>
      <c r="AF81" s="273"/>
      <c r="AG81" s="273"/>
      <c r="AH81" s="273"/>
      <c r="AI81" s="273"/>
    </row>
    <row r="82" spans="1:35" ht="14.25" customHeight="1">
      <c r="A82" s="273"/>
      <c r="B82" s="273"/>
      <c r="C82" s="273"/>
      <c r="D82" s="273"/>
      <c r="E82" s="273"/>
      <c r="F82" s="273"/>
      <c r="G82" s="273"/>
      <c r="H82" s="273"/>
      <c r="I82" s="273"/>
      <c r="J82" s="273"/>
      <c r="K82" s="273"/>
      <c r="L82" s="274"/>
      <c r="M82" s="273"/>
      <c r="N82" s="273"/>
      <c r="O82" s="273"/>
      <c r="P82" s="273"/>
      <c r="Q82" s="273"/>
      <c r="R82" s="273"/>
      <c r="S82" s="273"/>
      <c r="T82" s="273"/>
      <c r="U82" s="273"/>
      <c r="V82" s="273"/>
      <c r="W82" s="273"/>
      <c r="X82" s="274"/>
      <c r="Y82" s="273"/>
      <c r="Z82" s="273"/>
      <c r="AA82" s="273"/>
      <c r="AB82" s="273"/>
      <c r="AC82" s="273"/>
      <c r="AD82" s="273"/>
      <c r="AE82" s="273"/>
      <c r="AF82" s="273"/>
      <c r="AG82" s="273"/>
      <c r="AH82" s="273"/>
      <c r="AI82" s="273"/>
    </row>
    <row r="83" spans="1:35" ht="14.25" customHeight="1">
      <c r="A83" s="273"/>
      <c r="B83" s="273"/>
      <c r="C83" s="273"/>
      <c r="D83" s="273"/>
      <c r="E83" s="273"/>
      <c r="F83" s="273"/>
      <c r="G83" s="273"/>
      <c r="H83" s="273"/>
      <c r="I83" s="273"/>
      <c r="J83" s="273"/>
      <c r="K83" s="273"/>
      <c r="L83" s="274"/>
      <c r="M83" s="273"/>
      <c r="N83" s="273"/>
      <c r="O83" s="273"/>
      <c r="P83" s="273"/>
      <c r="Q83" s="273"/>
      <c r="R83" s="273"/>
      <c r="S83" s="273"/>
      <c r="T83" s="273"/>
      <c r="U83" s="273"/>
      <c r="V83" s="273"/>
      <c r="W83" s="273"/>
      <c r="X83" s="274"/>
      <c r="Y83" s="273"/>
      <c r="Z83" s="273"/>
      <c r="AA83" s="273"/>
      <c r="AB83" s="273"/>
      <c r="AC83" s="273"/>
      <c r="AD83" s="273"/>
      <c r="AE83" s="273"/>
      <c r="AF83" s="273"/>
      <c r="AG83" s="273"/>
      <c r="AH83" s="273"/>
      <c r="AI83" s="273"/>
    </row>
    <row r="84" spans="1:35" ht="14.25" customHeight="1">
      <c r="A84" s="273"/>
      <c r="B84" s="273"/>
      <c r="C84" s="273"/>
      <c r="D84" s="273"/>
      <c r="E84" s="273"/>
      <c r="F84" s="273"/>
      <c r="G84" s="273"/>
      <c r="H84" s="273"/>
      <c r="I84" s="273"/>
      <c r="J84" s="273"/>
      <c r="K84" s="273"/>
      <c r="L84" s="274"/>
      <c r="M84" s="273"/>
      <c r="N84" s="273"/>
      <c r="O84" s="273"/>
      <c r="P84" s="273"/>
      <c r="Q84" s="273"/>
      <c r="R84" s="273"/>
      <c r="S84" s="273"/>
      <c r="T84" s="273"/>
      <c r="U84" s="273"/>
      <c r="V84" s="273"/>
      <c r="W84" s="273"/>
      <c r="X84" s="274"/>
      <c r="Y84" s="273"/>
      <c r="Z84" s="273"/>
      <c r="AA84" s="273"/>
      <c r="AB84" s="273"/>
      <c r="AC84" s="273"/>
      <c r="AD84" s="273"/>
      <c r="AE84" s="273"/>
      <c r="AF84" s="273"/>
      <c r="AG84" s="273"/>
      <c r="AH84" s="273"/>
      <c r="AI84" s="273"/>
    </row>
    <row r="85" spans="1:35" ht="14.25" customHeight="1">
      <c r="A85" s="273"/>
      <c r="B85" s="273"/>
      <c r="C85" s="273"/>
      <c r="D85" s="273"/>
      <c r="E85" s="273"/>
      <c r="F85" s="273"/>
      <c r="G85" s="273"/>
      <c r="H85" s="273"/>
      <c r="I85" s="273"/>
      <c r="J85" s="273"/>
      <c r="K85" s="273"/>
      <c r="L85" s="274"/>
      <c r="M85" s="273"/>
      <c r="N85" s="273"/>
      <c r="O85" s="273"/>
      <c r="P85" s="273"/>
      <c r="Q85" s="273"/>
      <c r="R85" s="273"/>
      <c r="S85" s="273"/>
      <c r="T85" s="273"/>
      <c r="U85" s="273"/>
      <c r="V85" s="273"/>
      <c r="W85" s="273"/>
      <c r="X85" s="274"/>
      <c r="Y85" s="273"/>
      <c r="Z85" s="273"/>
      <c r="AA85" s="273"/>
      <c r="AB85" s="273"/>
      <c r="AC85" s="273"/>
      <c r="AD85" s="273"/>
      <c r="AE85" s="273"/>
      <c r="AF85" s="273"/>
      <c r="AG85" s="273"/>
      <c r="AH85" s="273"/>
      <c r="AI85" s="273"/>
    </row>
    <row r="86" spans="1:35" ht="14.25" customHeight="1">
      <c r="A86" s="273"/>
      <c r="B86" s="273"/>
      <c r="C86" s="273"/>
      <c r="D86" s="273"/>
      <c r="E86" s="273"/>
      <c r="F86" s="273"/>
      <c r="G86" s="273"/>
      <c r="H86" s="273"/>
      <c r="I86" s="273"/>
      <c r="J86" s="273"/>
      <c r="K86" s="273"/>
      <c r="L86" s="274"/>
      <c r="M86" s="273"/>
      <c r="N86" s="273"/>
      <c r="O86" s="273"/>
      <c r="P86" s="273"/>
      <c r="Q86" s="273"/>
      <c r="R86" s="273"/>
      <c r="S86" s="273"/>
      <c r="T86" s="273"/>
      <c r="U86" s="273"/>
      <c r="V86" s="273"/>
      <c r="W86" s="273"/>
      <c r="X86" s="274"/>
      <c r="Y86" s="273"/>
      <c r="Z86" s="273"/>
      <c r="AA86" s="273"/>
      <c r="AB86" s="273"/>
      <c r="AC86" s="273"/>
      <c r="AD86" s="273"/>
      <c r="AE86" s="273"/>
      <c r="AF86" s="273"/>
      <c r="AG86" s="273"/>
      <c r="AH86" s="273"/>
      <c r="AI86" s="273"/>
    </row>
    <row r="87" spans="1:35" ht="14.25" customHeight="1">
      <c r="A87" s="273"/>
      <c r="B87" s="273"/>
      <c r="C87" s="273"/>
      <c r="D87" s="273"/>
      <c r="E87" s="273"/>
      <c r="F87" s="273"/>
      <c r="G87" s="273"/>
      <c r="H87" s="273"/>
      <c r="I87" s="273"/>
      <c r="J87" s="273"/>
      <c r="K87" s="273"/>
      <c r="L87" s="274"/>
      <c r="M87" s="273"/>
      <c r="N87" s="273"/>
      <c r="O87" s="273"/>
      <c r="P87" s="273"/>
      <c r="Q87" s="273"/>
      <c r="R87" s="273"/>
      <c r="S87" s="273"/>
      <c r="T87" s="273"/>
      <c r="U87" s="273"/>
      <c r="V87" s="273"/>
      <c r="W87" s="273"/>
      <c r="X87" s="274"/>
      <c r="Y87" s="273"/>
      <c r="Z87" s="273"/>
      <c r="AA87" s="273"/>
      <c r="AB87" s="273"/>
      <c r="AC87" s="273"/>
      <c r="AD87" s="273"/>
      <c r="AE87" s="273"/>
      <c r="AF87" s="273"/>
      <c r="AG87" s="273"/>
      <c r="AH87" s="273"/>
      <c r="AI87" s="273"/>
    </row>
    <row r="88" spans="1:35" ht="14.25" customHeight="1">
      <c r="A88" s="273"/>
      <c r="B88" s="273"/>
      <c r="C88" s="273"/>
      <c r="D88" s="273"/>
      <c r="E88" s="273"/>
      <c r="F88" s="273"/>
      <c r="G88" s="273"/>
      <c r="H88" s="273"/>
      <c r="I88" s="273"/>
      <c r="J88" s="273"/>
      <c r="K88" s="273"/>
      <c r="L88" s="274"/>
      <c r="M88" s="273"/>
      <c r="N88" s="273"/>
      <c r="O88" s="273"/>
      <c r="P88" s="273"/>
      <c r="Q88" s="273"/>
      <c r="R88" s="273"/>
      <c r="S88" s="273"/>
      <c r="T88" s="273"/>
      <c r="U88" s="273"/>
      <c r="V88" s="273"/>
      <c r="W88" s="273"/>
      <c r="X88" s="274"/>
      <c r="Y88" s="273"/>
      <c r="Z88" s="273"/>
      <c r="AA88" s="273"/>
      <c r="AB88" s="273"/>
      <c r="AC88" s="273"/>
      <c r="AD88" s="273"/>
      <c r="AE88" s="273"/>
      <c r="AF88" s="273"/>
      <c r="AG88" s="273"/>
      <c r="AH88" s="273"/>
      <c r="AI88" s="273"/>
    </row>
    <row r="89" spans="1:35" ht="14.25" customHeight="1">
      <c r="A89" s="273"/>
      <c r="B89" s="273"/>
      <c r="C89" s="273"/>
      <c r="D89" s="273"/>
      <c r="E89" s="273"/>
      <c r="F89" s="273"/>
      <c r="G89" s="273"/>
      <c r="H89" s="273"/>
      <c r="I89" s="273"/>
      <c r="J89" s="273"/>
      <c r="K89" s="273"/>
      <c r="L89" s="274"/>
      <c r="M89" s="273"/>
      <c r="N89" s="273"/>
      <c r="O89" s="273"/>
      <c r="P89" s="273"/>
      <c r="Q89" s="273"/>
      <c r="R89" s="273"/>
      <c r="S89" s="273"/>
      <c r="T89" s="273"/>
      <c r="U89" s="273"/>
      <c r="V89" s="273"/>
      <c r="W89" s="273"/>
      <c r="X89" s="274"/>
      <c r="Y89" s="273"/>
      <c r="Z89" s="273"/>
      <c r="AA89" s="273"/>
      <c r="AB89" s="273"/>
      <c r="AC89" s="273"/>
      <c r="AD89" s="273"/>
      <c r="AE89" s="273"/>
      <c r="AF89" s="273"/>
      <c r="AG89" s="273"/>
      <c r="AH89" s="273"/>
      <c r="AI89" s="273"/>
    </row>
    <row r="90" spans="1:35" ht="14.25" customHeight="1">
      <c r="A90" s="273"/>
      <c r="B90" s="273"/>
      <c r="C90" s="273"/>
      <c r="D90" s="273"/>
      <c r="E90" s="273"/>
      <c r="F90" s="273"/>
      <c r="G90" s="273"/>
      <c r="H90" s="273"/>
      <c r="I90" s="273"/>
      <c r="J90" s="273"/>
      <c r="K90" s="273"/>
      <c r="L90" s="274"/>
      <c r="M90" s="273"/>
      <c r="N90" s="273"/>
      <c r="O90" s="273"/>
      <c r="P90" s="273"/>
      <c r="Q90" s="273"/>
      <c r="R90" s="273"/>
      <c r="S90" s="273"/>
      <c r="T90" s="273"/>
      <c r="U90" s="273"/>
      <c r="V90" s="273"/>
      <c r="W90" s="273"/>
      <c r="X90" s="274"/>
      <c r="Y90" s="273"/>
      <c r="Z90" s="273"/>
      <c r="AA90" s="273"/>
      <c r="AB90" s="273"/>
      <c r="AC90" s="273"/>
      <c r="AD90" s="273"/>
      <c r="AE90" s="273"/>
      <c r="AF90" s="273"/>
      <c r="AG90" s="273"/>
      <c r="AH90" s="273"/>
      <c r="AI90" s="273"/>
    </row>
    <row r="91" spans="1:35" ht="14.25" customHeight="1">
      <c r="A91" s="273"/>
      <c r="B91" s="273"/>
      <c r="C91" s="273"/>
      <c r="D91" s="273"/>
      <c r="E91" s="273"/>
      <c r="F91" s="273"/>
      <c r="G91" s="273"/>
      <c r="H91" s="273"/>
      <c r="I91" s="273"/>
      <c r="J91" s="273"/>
      <c r="K91" s="273"/>
      <c r="L91" s="274"/>
      <c r="M91" s="273"/>
      <c r="N91" s="273"/>
      <c r="O91" s="273"/>
      <c r="P91" s="273"/>
      <c r="Q91" s="273"/>
      <c r="R91" s="273"/>
      <c r="S91" s="273"/>
      <c r="T91" s="273"/>
      <c r="U91" s="273"/>
      <c r="V91" s="273"/>
      <c r="W91" s="273"/>
      <c r="X91" s="274"/>
      <c r="Y91" s="273"/>
      <c r="Z91" s="273"/>
      <c r="AA91" s="273"/>
      <c r="AB91" s="273"/>
      <c r="AC91" s="273"/>
      <c r="AD91" s="273"/>
      <c r="AE91" s="273"/>
      <c r="AF91" s="273"/>
      <c r="AG91" s="273"/>
      <c r="AH91" s="273"/>
      <c r="AI91" s="273"/>
    </row>
    <row r="92" spans="1:35" ht="14.25" customHeight="1">
      <c r="A92" s="273"/>
      <c r="B92" s="273"/>
      <c r="C92" s="273"/>
      <c r="D92" s="273"/>
      <c r="E92" s="273"/>
      <c r="F92" s="273"/>
      <c r="G92" s="273"/>
      <c r="H92" s="273"/>
      <c r="I92" s="273"/>
      <c r="J92" s="273"/>
      <c r="K92" s="273"/>
      <c r="L92" s="274"/>
      <c r="M92" s="273"/>
      <c r="N92" s="273"/>
      <c r="O92" s="273"/>
      <c r="P92" s="273"/>
      <c r="Q92" s="273"/>
      <c r="R92" s="273"/>
      <c r="S92" s="273"/>
      <c r="T92" s="273"/>
      <c r="U92" s="273"/>
      <c r="V92" s="273"/>
      <c r="W92" s="273"/>
      <c r="X92" s="274"/>
      <c r="Y92" s="273"/>
      <c r="Z92" s="273"/>
      <c r="AA92" s="273"/>
      <c r="AB92" s="273"/>
      <c r="AC92" s="273"/>
      <c r="AD92" s="273"/>
      <c r="AE92" s="273"/>
      <c r="AF92" s="273"/>
      <c r="AG92" s="273"/>
      <c r="AH92" s="273"/>
      <c r="AI92" s="273"/>
    </row>
    <row r="93" spans="1:35" ht="14.25" customHeight="1">
      <c r="A93" s="273"/>
      <c r="B93" s="273"/>
      <c r="C93" s="273"/>
      <c r="D93" s="273"/>
      <c r="E93" s="273"/>
      <c r="F93" s="273"/>
      <c r="G93" s="273"/>
      <c r="H93" s="273"/>
      <c r="I93" s="273"/>
      <c r="J93" s="273"/>
      <c r="K93" s="273"/>
      <c r="L93" s="274"/>
      <c r="M93" s="273"/>
      <c r="N93" s="273"/>
      <c r="O93" s="273"/>
      <c r="P93" s="273"/>
      <c r="Q93" s="273"/>
      <c r="R93" s="273"/>
      <c r="S93" s="273"/>
      <c r="T93" s="273"/>
      <c r="U93" s="273"/>
      <c r="V93" s="273"/>
      <c r="W93" s="273"/>
      <c r="X93" s="274"/>
      <c r="Y93" s="273"/>
      <c r="Z93" s="273"/>
      <c r="AA93" s="273"/>
      <c r="AB93" s="273"/>
      <c r="AC93" s="273"/>
      <c r="AD93" s="273"/>
      <c r="AE93" s="273"/>
      <c r="AF93" s="273"/>
      <c r="AG93" s="273"/>
      <c r="AH93" s="273"/>
      <c r="AI93" s="273"/>
    </row>
    <row r="94" spans="1:35" ht="14.25" customHeight="1">
      <c r="A94" s="273"/>
      <c r="B94" s="273"/>
      <c r="C94" s="273"/>
      <c r="D94" s="273"/>
      <c r="E94" s="273"/>
      <c r="F94" s="273"/>
      <c r="G94" s="273"/>
      <c r="H94" s="273"/>
      <c r="I94" s="273"/>
      <c r="J94" s="273"/>
      <c r="K94" s="273"/>
      <c r="L94" s="274"/>
      <c r="M94" s="273"/>
      <c r="N94" s="273"/>
      <c r="O94" s="273"/>
      <c r="P94" s="273"/>
      <c r="Q94" s="273"/>
      <c r="R94" s="273"/>
      <c r="S94" s="273"/>
      <c r="T94" s="273"/>
      <c r="U94" s="273"/>
      <c r="V94" s="273"/>
      <c r="W94" s="273"/>
      <c r="X94" s="274"/>
      <c r="Y94" s="273"/>
      <c r="Z94" s="273"/>
      <c r="AA94" s="273"/>
      <c r="AB94" s="273"/>
      <c r="AC94" s="273"/>
      <c r="AD94" s="273"/>
      <c r="AE94" s="273"/>
      <c r="AF94" s="273"/>
      <c r="AG94" s="273"/>
      <c r="AH94" s="273"/>
      <c r="AI94" s="273"/>
    </row>
    <row r="95" spans="1:35" ht="14.25" customHeight="1">
      <c r="A95" s="273"/>
      <c r="B95" s="273"/>
      <c r="C95" s="273"/>
      <c r="D95" s="273"/>
      <c r="E95" s="273"/>
      <c r="F95" s="273"/>
      <c r="G95" s="273"/>
      <c r="H95" s="273"/>
      <c r="I95" s="273"/>
      <c r="J95" s="273"/>
      <c r="K95" s="273"/>
      <c r="L95" s="274"/>
      <c r="M95" s="273"/>
      <c r="N95" s="273"/>
      <c r="O95" s="273"/>
      <c r="P95" s="273"/>
      <c r="Q95" s="273"/>
      <c r="R95" s="273"/>
      <c r="S95" s="273"/>
      <c r="T95" s="273"/>
      <c r="U95" s="273"/>
      <c r="V95" s="273"/>
      <c r="W95" s="273"/>
      <c r="X95" s="274"/>
      <c r="Y95" s="273"/>
      <c r="Z95" s="273"/>
      <c r="AA95" s="273"/>
      <c r="AB95" s="273"/>
      <c r="AC95" s="273"/>
      <c r="AD95" s="273"/>
      <c r="AE95" s="273"/>
      <c r="AF95" s="273"/>
      <c r="AG95" s="273"/>
      <c r="AH95" s="273"/>
      <c r="AI95" s="273"/>
    </row>
    <row r="96" spans="1:35" ht="14.25" customHeight="1">
      <c r="A96" s="273"/>
      <c r="B96" s="273"/>
      <c r="C96" s="273"/>
      <c r="D96" s="273"/>
      <c r="E96" s="273"/>
      <c r="F96" s="273"/>
      <c r="G96" s="273"/>
      <c r="H96" s="273"/>
      <c r="I96" s="273"/>
      <c r="J96" s="273"/>
      <c r="K96" s="273"/>
      <c r="L96" s="274"/>
      <c r="M96" s="273"/>
      <c r="N96" s="273"/>
      <c r="O96" s="273"/>
      <c r="P96" s="273"/>
      <c r="Q96" s="273"/>
      <c r="R96" s="273"/>
      <c r="S96" s="273"/>
      <c r="T96" s="273"/>
      <c r="U96" s="273"/>
      <c r="V96" s="273"/>
      <c r="W96" s="273"/>
      <c r="X96" s="274"/>
      <c r="Y96" s="273"/>
      <c r="Z96" s="273"/>
      <c r="AA96" s="273"/>
      <c r="AB96" s="273"/>
      <c r="AC96" s="273"/>
      <c r="AD96" s="273"/>
      <c r="AE96" s="273"/>
      <c r="AF96" s="273"/>
      <c r="AG96" s="273"/>
      <c r="AH96" s="273"/>
      <c r="AI96" s="273"/>
    </row>
    <row r="97" spans="1:35" ht="14.25" customHeight="1">
      <c r="A97" s="273"/>
      <c r="B97" s="273"/>
      <c r="C97" s="273"/>
      <c r="D97" s="273"/>
      <c r="E97" s="273"/>
      <c r="F97" s="273"/>
      <c r="G97" s="273"/>
      <c r="H97" s="273"/>
      <c r="I97" s="273"/>
      <c r="J97" s="273"/>
      <c r="K97" s="273"/>
      <c r="L97" s="274"/>
      <c r="M97" s="273"/>
      <c r="N97" s="273"/>
      <c r="O97" s="273"/>
      <c r="P97" s="273"/>
      <c r="Q97" s="273"/>
      <c r="R97" s="273"/>
      <c r="S97" s="273"/>
      <c r="T97" s="273"/>
      <c r="U97" s="273"/>
      <c r="V97" s="273"/>
      <c r="W97" s="273"/>
      <c r="X97" s="274"/>
      <c r="Y97" s="273"/>
      <c r="Z97" s="273"/>
      <c r="AA97" s="273"/>
      <c r="AB97" s="273"/>
      <c r="AC97" s="273"/>
      <c r="AD97" s="273"/>
      <c r="AE97" s="273"/>
      <c r="AF97" s="273"/>
      <c r="AG97" s="273"/>
      <c r="AH97" s="273"/>
      <c r="AI97" s="273"/>
    </row>
    <row r="98" spans="1:35" ht="14.25" customHeight="1">
      <c r="A98" s="273"/>
      <c r="B98" s="273"/>
      <c r="C98" s="273"/>
      <c r="D98" s="273"/>
      <c r="E98" s="273"/>
      <c r="F98" s="273"/>
      <c r="G98" s="273"/>
      <c r="H98" s="273"/>
      <c r="I98" s="273"/>
      <c r="J98" s="273"/>
      <c r="K98" s="273"/>
      <c r="L98" s="274"/>
      <c r="M98" s="273"/>
      <c r="N98" s="273"/>
      <c r="O98" s="273"/>
      <c r="P98" s="273"/>
      <c r="Q98" s="273"/>
      <c r="R98" s="273"/>
      <c r="S98" s="273"/>
      <c r="T98" s="273"/>
      <c r="U98" s="273"/>
      <c r="V98" s="273"/>
      <c r="W98" s="273"/>
      <c r="X98" s="274"/>
      <c r="Y98" s="273"/>
      <c r="Z98" s="273"/>
      <c r="AA98" s="273"/>
      <c r="AB98" s="273"/>
      <c r="AC98" s="273"/>
      <c r="AD98" s="273"/>
      <c r="AE98" s="273"/>
      <c r="AF98" s="273"/>
      <c r="AG98" s="273"/>
      <c r="AH98" s="273"/>
      <c r="AI98" s="273"/>
    </row>
    <row r="99" spans="1:35" ht="14.25" customHeight="1">
      <c r="A99" s="273"/>
      <c r="B99" s="273"/>
      <c r="C99" s="273"/>
      <c r="D99" s="273"/>
      <c r="E99" s="273"/>
      <c r="F99" s="273"/>
      <c r="G99" s="273"/>
      <c r="H99" s="273"/>
      <c r="I99" s="273"/>
      <c r="J99" s="273"/>
      <c r="K99" s="273"/>
      <c r="L99" s="274"/>
      <c r="M99" s="273"/>
      <c r="N99" s="273"/>
      <c r="O99" s="273"/>
      <c r="P99" s="273"/>
      <c r="Q99" s="273"/>
      <c r="R99" s="273"/>
      <c r="S99" s="273"/>
      <c r="T99" s="273"/>
      <c r="U99" s="273"/>
      <c r="V99" s="273"/>
      <c r="W99" s="273"/>
      <c r="X99" s="274"/>
      <c r="Y99" s="273"/>
      <c r="Z99" s="273"/>
      <c r="AA99" s="273"/>
      <c r="AB99" s="273"/>
      <c r="AC99" s="273"/>
      <c r="AD99" s="273"/>
      <c r="AE99" s="273"/>
      <c r="AF99" s="273"/>
      <c r="AG99" s="273"/>
      <c r="AH99" s="273"/>
      <c r="AI99" s="273"/>
    </row>
    <row r="100" spans="1:35" ht="14.25" customHeight="1">
      <c r="A100" s="273"/>
      <c r="B100" s="273"/>
      <c r="C100" s="273"/>
      <c r="D100" s="273"/>
      <c r="E100" s="273"/>
      <c r="F100" s="273"/>
      <c r="G100" s="273"/>
      <c r="H100" s="273"/>
      <c r="I100" s="273"/>
      <c r="J100" s="273"/>
      <c r="K100" s="273"/>
      <c r="L100" s="274"/>
      <c r="M100" s="273"/>
      <c r="N100" s="273"/>
      <c r="O100" s="273"/>
      <c r="P100" s="273"/>
      <c r="Q100" s="273"/>
      <c r="R100" s="273"/>
      <c r="S100" s="273"/>
      <c r="T100" s="273"/>
      <c r="U100" s="273"/>
      <c r="V100" s="273"/>
      <c r="W100" s="273"/>
      <c r="X100" s="274"/>
      <c r="Y100" s="273"/>
      <c r="Z100" s="273"/>
      <c r="AA100" s="273"/>
      <c r="AB100" s="273"/>
      <c r="AC100" s="273"/>
      <c r="AD100" s="273"/>
      <c r="AE100" s="273"/>
      <c r="AF100" s="273"/>
      <c r="AG100" s="273"/>
      <c r="AH100" s="273"/>
      <c r="AI100" s="273"/>
    </row>
    <row r="101" spans="1:35" ht="14.25" customHeight="1">
      <c r="A101" s="273"/>
      <c r="B101" s="273"/>
      <c r="C101" s="273"/>
      <c r="D101" s="273"/>
      <c r="E101" s="273"/>
      <c r="F101" s="273"/>
      <c r="G101" s="273"/>
      <c r="H101" s="273"/>
      <c r="I101" s="273"/>
      <c r="J101" s="273"/>
      <c r="K101" s="273"/>
      <c r="L101" s="274"/>
      <c r="M101" s="273"/>
      <c r="N101" s="273"/>
      <c r="O101" s="273"/>
      <c r="P101" s="273"/>
      <c r="Q101" s="273"/>
      <c r="R101" s="273"/>
      <c r="S101" s="273"/>
      <c r="T101" s="273"/>
      <c r="U101" s="273"/>
      <c r="V101" s="273"/>
      <c r="W101" s="273"/>
      <c r="X101" s="274"/>
      <c r="Y101" s="273"/>
      <c r="Z101" s="273"/>
      <c r="AA101" s="273"/>
      <c r="AB101" s="273"/>
      <c r="AC101" s="273"/>
      <c r="AD101" s="273"/>
      <c r="AE101" s="273"/>
      <c r="AF101" s="273"/>
      <c r="AG101" s="273"/>
      <c r="AH101" s="273"/>
      <c r="AI101" s="273"/>
    </row>
    <row r="102" spans="1:35" ht="14.25" customHeight="1">
      <c r="A102" s="273"/>
      <c r="B102" s="273"/>
      <c r="C102" s="273"/>
      <c r="D102" s="273"/>
      <c r="E102" s="273"/>
      <c r="F102" s="273"/>
      <c r="G102" s="273"/>
      <c r="H102" s="273"/>
      <c r="I102" s="273"/>
      <c r="J102" s="273"/>
      <c r="K102" s="273"/>
      <c r="L102" s="274"/>
      <c r="M102" s="273"/>
      <c r="N102" s="273"/>
      <c r="O102" s="273"/>
      <c r="P102" s="273"/>
      <c r="Q102" s="273"/>
      <c r="R102" s="273"/>
      <c r="S102" s="273"/>
      <c r="T102" s="273"/>
      <c r="U102" s="273"/>
      <c r="V102" s="273"/>
      <c r="W102" s="273"/>
      <c r="X102" s="274"/>
      <c r="Y102" s="273"/>
      <c r="Z102" s="273"/>
      <c r="AA102" s="273"/>
      <c r="AB102" s="273"/>
      <c r="AC102" s="273"/>
      <c r="AD102" s="273"/>
      <c r="AE102" s="273"/>
      <c r="AF102" s="273"/>
      <c r="AG102" s="273"/>
      <c r="AH102" s="273"/>
      <c r="AI102" s="273"/>
    </row>
    <row r="103" spans="1:35" ht="14.25" customHeight="1">
      <c r="A103" s="273"/>
      <c r="B103" s="273"/>
      <c r="C103" s="273"/>
      <c r="D103" s="273"/>
      <c r="E103" s="273"/>
      <c r="F103" s="273"/>
      <c r="G103" s="273"/>
      <c r="H103" s="273"/>
      <c r="I103" s="273"/>
      <c r="J103" s="273"/>
      <c r="K103" s="273"/>
      <c r="L103" s="274"/>
      <c r="M103" s="273"/>
      <c r="N103" s="273"/>
      <c r="O103" s="273"/>
      <c r="P103" s="273"/>
      <c r="Q103" s="273"/>
      <c r="R103" s="273"/>
      <c r="S103" s="273"/>
      <c r="T103" s="273"/>
      <c r="U103" s="273"/>
      <c r="V103" s="273"/>
      <c r="W103" s="273"/>
      <c r="X103" s="274"/>
      <c r="Y103" s="273"/>
      <c r="Z103" s="273"/>
      <c r="AA103" s="273"/>
      <c r="AB103" s="273"/>
      <c r="AC103" s="273"/>
      <c r="AD103" s="273"/>
      <c r="AE103" s="273"/>
      <c r="AF103" s="273"/>
      <c r="AG103" s="273"/>
      <c r="AH103" s="273"/>
      <c r="AI103" s="273"/>
    </row>
    <row r="104" spans="1:35" ht="14.25" customHeight="1">
      <c r="A104" s="273"/>
      <c r="B104" s="273"/>
      <c r="C104" s="273"/>
      <c r="D104" s="273"/>
      <c r="E104" s="273"/>
      <c r="F104" s="273"/>
      <c r="G104" s="273"/>
      <c r="H104" s="273"/>
      <c r="I104" s="273"/>
      <c r="J104" s="273"/>
      <c r="K104" s="273"/>
      <c r="L104" s="274"/>
      <c r="M104" s="273"/>
      <c r="N104" s="273"/>
      <c r="O104" s="273"/>
      <c r="P104" s="273"/>
      <c r="Q104" s="273"/>
      <c r="R104" s="273"/>
      <c r="S104" s="273"/>
      <c r="T104" s="273"/>
      <c r="U104" s="273"/>
      <c r="V104" s="273"/>
      <c r="W104" s="273"/>
      <c r="X104" s="274"/>
      <c r="Y104" s="273"/>
      <c r="Z104" s="273"/>
      <c r="AA104" s="273"/>
      <c r="AB104" s="273"/>
      <c r="AC104" s="273"/>
      <c r="AD104" s="273"/>
      <c r="AE104" s="273"/>
      <c r="AF104" s="273"/>
      <c r="AG104" s="273"/>
      <c r="AH104" s="273"/>
      <c r="AI104" s="273"/>
    </row>
    <row r="105" spans="1:35" ht="14.25" customHeight="1">
      <c r="A105" s="273"/>
      <c r="B105" s="273"/>
      <c r="C105" s="273"/>
      <c r="D105" s="273"/>
      <c r="E105" s="273"/>
      <c r="F105" s="273"/>
      <c r="G105" s="273"/>
      <c r="H105" s="273"/>
      <c r="I105" s="273"/>
      <c r="J105" s="273"/>
      <c r="K105" s="273"/>
      <c r="L105" s="274"/>
      <c r="M105" s="273"/>
      <c r="N105" s="273"/>
      <c r="O105" s="273"/>
      <c r="P105" s="273"/>
      <c r="Q105" s="273"/>
      <c r="R105" s="273"/>
      <c r="S105" s="273"/>
      <c r="T105" s="273"/>
      <c r="U105" s="273"/>
      <c r="V105" s="273"/>
      <c r="W105" s="273"/>
      <c r="X105" s="274"/>
      <c r="Y105" s="273"/>
      <c r="Z105" s="273"/>
      <c r="AA105" s="273"/>
      <c r="AB105" s="273"/>
      <c r="AC105" s="273"/>
      <c r="AD105" s="273"/>
      <c r="AE105" s="273"/>
      <c r="AF105" s="273"/>
      <c r="AG105" s="273"/>
      <c r="AH105" s="273"/>
      <c r="AI105" s="273"/>
    </row>
    <row r="106" spans="1:35" ht="14.25" customHeight="1">
      <c r="A106" s="273"/>
      <c r="B106" s="273"/>
      <c r="C106" s="273"/>
      <c r="D106" s="273"/>
      <c r="E106" s="273"/>
      <c r="F106" s="273"/>
      <c r="G106" s="273"/>
      <c r="H106" s="273"/>
      <c r="I106" s="273"/>
      <c r="J106" s="273"/>
      <c r="K106" s="273"/>
      <c r="L106" s="274"/>
      <c r="M106" s="273"/>
      <c r="N106" s="273"/>
      <c r="O106" s="273"/>
      <c r="P106" s="273"/>
      <c r="Q106" s="273"/>
      <c r="R106" s="273"/>
      <c r="S106" s="273"/>
      <c r="T106" s="273"/>
      <c r="U106" s="273"/>
      <c r="V106" s="273"/>
      <c r="W106" s="273"/>
      <c r="X106" s="274"/>
      <c r="Y106" s="273"/>
      <c r="Z106" s="273"/>
      <c r="AA106" s="273"/>
      <c r="AB106" s="273"/>
      <c r="AC106" s="273"/>
      <c r="AD106" s="273"/>
      <c r="AE106" s="273"/>
      <c r="AF106" s="273"/>
      <c r="AG106" s="273"/>
      <c r="AH106" s="273"/>
      <c r="AI106" s="273"/>
    </row>
    <row r="107" spans="1:35" ht="14.25" customHeight="1">
      <c r="A107" s="273"/>
      <c r="B107" s="273"/>
      <c r="C107" s="273"/>
      <c r="D107" s="273"/>
      <c r="E107" s="273"/>
      <c r="F107" s="273"/>
      <c r="G107" s="273"/>
      <c r="H107" s="273"/>
      <c r="I107" s="273"/>
      <c r="J107" s="273"/>
      <c r="K107" s="273"/>
      <c r="L107" s="274"/>
      <c r="M107" s="273"/>
      <c r="N107" s="273"/>
      <c r="O107" s="273"/>
      <c r="P107" s="273"/>
      <c r="Q107" s="273"/>
      <c r="R107" s="273"/>
      <c r="S107" s="273"/>
      <c r="T107" s="273"/>
      <c r="U107" s="273"/>
      <c r="V107" s="273"/>
      <c r="W107" s="273"/>
      <c r="X107" s="274"/>
      <c r="Y107" s="273"/>
      <c r="Z107" s="273"/>
      <c r="AA107" s="273"/>
      <c r="AB107" s="273"/>
      <c r="AC107" s="273"/>
      <c r="AD107" s="273"/>
      <c r="AE107" s="273"/>
      <c r="AF107" s="273"/>
      <c r="AG107" s="273"/>
      <c r="AH107" s="273"/>
      <c r="AI107" s="273"/>
    </row>
    <row r="108" spans="1:35" ht="14.25" customHeight="1">
      <c r="A108" s="273"/>
      <c r="B108" s="273"/>
      <c r="C108" s="273"/>
      <c r="D108" s="273"/>
      <c r="E108" s="273"/>
      <c r="F108" s="273"/>
      <c r="G108" s="273"/>
      <c r="H108" s="273"/>
      <c r="I108" s="273"/>
      <c r="J108" s="273"/>
      <c r="K108" s="273"/>
      <c r="L108" s="274"/>
      <c r="M108" s="273"/>
      <c r="N108" s="273"/>
      <c r="O108" s="273"/>
      <c r="P108" s="273"/>
      <c r="Q108" s="273"/>
      <c r="R108" s="273"/>
      <c r="S108" s="273"/>
      <c r="T108" s="273"/>
      <c r="U108" s="273"/>
      <c r="V108" s="273"/>
      <c r="W108" s="273"/>
      <c r="X108" s="274"/>
      <c r="Y108" s="273"/>
      <c r="Z108" s="273"/>
      <c r="AA108" s="273"/>
      <c r="AB108" s="273"/>
      <c r="AC108" s="273"/>
      <c r="AD108" s="273"/>
      <c r="AE108" s="273"/>
      <c r="AF108" s="273"/>
      <c r="AG108" s="273"/>
      <c r="AH108" s="273"/>
      <c r="AI108" s="273"/>
    </row>
    <row r="109" spans="1:35" ht="14.25" customHeight="1">
      <c r="A109" s="273"/>
      <c r="B109" s="273"/>
      <c r="C109" s="273"/>
      <c r="D109" s="273"/>
      <c r="E109" s="273"/>
      <c r="F109" s="273"/>
      <c r="G109" s="273"/>
      <c r="H109" s="273"/>
      <c r="I109" s="273"/>
      <c r="J109" s="273"/>
      <c r="K109" s="273"/>
      <c r="L109" s="274"/>
      <c r="M109" s="273"/>
      <c r="N109" s="273"/>
      <c r="O109" s="273"/>
      <c r="P109" s="273"/>
      <c r="Q109" s="273"/>
      <c r="R109" s="273"/>
      <c r="S109" s="273"/>
      <c r="T109" s="273"/>
      <c r="U109" s="273"/>
      <c r="V109" s="273"/>
      <c r="W109" s="273"/>
      <c r="X109" s="274"/>
      <c r="Y109" s="273"/>
      <c r="Z109" s="273"/>
      <c r="AA109" s="273"/>
      <c r="AB109" s="273"/>
      <c r="AC109" s="273"/>
      <c r="AD109" s="273"/>
      <c r="AE109" s="273"/>
      <c r="AF109" s="273"/>
      <c r="AG109" s="273"/>
      <c r="AH109" s="273"/>
      <c r="AI109" s="273"/>
    </row>
    <row r="110" spans="1:35" ht="14.25" customHeight="1">
      <c r="A110" s="273"/>
      <c r="B110" s="273"/>
      <c r="C110" s="273"/>
      <c r="D110" s="273"/>
      <c r="E110" s="273"/>
      <c r="F110" s="273"/>
      <c r="G110" s="273"/>
      <c r="H110" s="273"/>
      <c r="I110" s="273"/>
      <c r="J110" s="273"/>
      <c r="K110" s="273"/>
      <c r="L110" s="274"/>
      <c r="M110" s="273"/>
      <c r="N110" s="273"/>
      <c r="O110" s="273"/>
      <c r="P110" s="273"/>
      <c r="Q110" s="273"/>
      <c r="R110" s="273"/>
      <c r="S110" s="273"/>
      <c r="T110" s="273"/>
      <c r="U110" s="273"/>
      <c r="V110" s="273"/>
      <c r="W110" s="273"/>
      <c r="X110" s="274"/>
      <c r="Y110" s="273"/>
      <c r="Z110" s="273"/>
      <c r="AA110" s="273"/>
      <c r="AB110" s="273"/>
      <c r="AC110" s="273"/>
      <c r="AD110" s="273"/>
      <c r="AE110" s="273"/>
      <c r="AF110" s="273"/>
      <c r="AG110" s="273"/>
      <c r="AH110" s="273"/>
      <c r="AI110" s="273"/>
    </row>
    <row r="111" spans="1:35" ht="14.25" customHeight="1">
      <c r="A111" s="273"/>
      <c r="B111" s="273"/>
      <c r="C111" s="273"/>
      <c r="D111" s="273"/>
      <c r="E111" s="273"/>
      <c r="F111" s="273"/>
      <c r="G111" s="273"/>
      <c r="H111" s="273"/>
      <c r="I111" s="273"/>
      <c r="J111" s="273"/>
      <c r="K111" s="273"/>
      <c r="L111" s="274"/>
      <c r="M111" s="273"/>
      <c r="N111" s="273"/>
      <c r="O111" s="273"/>
      <c r="P111" s="273"/>
      <c r="Q111" s="273"/>
      <c r="R111" s="273"/>
      <c r="S111" s="273"/>
      <c r="T111" s="273"/>
      <c r="U111" s="273"/>
      <c r="V111" s="273"/>
      <c r="W111" s="273"/>
      <c r="X111" s="274"/>
      <c r="Y111" s="273"/>
      <c r="Z111" s="273"/>
      <c r="AA111" s="273"/>
      <c r="AB111" s="273"/>
      <c r="AC111" s="273"/>
      <c r="AD111" s="273"/>
      <c r="AE111" s="273"/>
      <c r="AF111" s="273"/>
      <c r="AG111" s="273"/>
      <c r="AH111" s="273"/>
      <c r="AI111" s="273"/>
    </row>
    <row r="112" spans="1:35" ht="14.25" customHeight="1">
      <c r="A112" s="273"/>
      <c r="B112" s="273"/>
      <c r="C112" s="273"/>
      <c r="D112" s="273"/>
      <c r="E112" s="273"/>
      <c r="F112" s="273"/>
      <c r="G112" s="273"/>
      <c r="H112" s="273"/>
      <c r="I112" s="273"/>
      <c r="J112" s="273"/>
      <c r="K112" s="273"/>
      <c r="L112" s="274"/>
      <c r="M112" s="273"/>
      <c r="N112" s="273"/>
      <c r="O112" s="273"/>
      <c r="P112" s="273"/>
      <c r="Q112" s="273"/>
      <c r="R112" s="273"/>
      <c r="S112" s="273"/>
      <c r="T112" s="273"/>
      <c r="U112" s="273"/>
      <c r="V112" s="273"/>
      <c r="W112" s="273"/>
      <c r="X112" s="274"/>
      <c r="Y112" s="273"/>
      <c r="Z112" s="273"/>
      <c r="AA112" s="273"/>
      <c r="AB112" s="273"/>
      <c r="AC112" s="273"/>
      <c r="AD112" s="273"/>
      <c r="AE112" s="273"/>
      <c r="AF112" s="273"/>
      <c r="AG112" s="273"/>
      <c r="AH112" s="273"/>
      <c r="AI112" s="273"/>
    </row>
    <row r="113" spans="1:35" ht="14.25" customHeight="1">
      <c r="A113" s="273"/>
      <c r="B113" s="273"/>
      <c r="C113" s="273"/>
      <c r="D113" s="273"/>
      <c r="E113" s="273"/>
      <c r="F113" s="273"/>
      <c r="G113" s="273"/>
      <c r="H113" s="273"/>
      <c r="I113" s="273"/>
      <c r="J113" s="273"/>
      <c r="K113" s="273"/>
      <c r="L113" s="274"/>
      <c r="M113" s="273"/>
      <c r="N113" s="273"/>
      <c r="O113" s="273"/>
      <c r="P113" s="273"/>
      <c r="Q113" s="273"/>
      <c r="R113" s="273"/>
      <c r="S113" s="273"/>
      <c r="T113" s="273"/>
      <c r="U113" s="273"/>
      <c r="V113" s="273"/>
      <c r="W113" s="273"/>
      <c r="X113" s="274"/>
      <c r="Y113" s="273"/>
      <c r="Z113" s="273"/>
      <c r="AA113" s="273"/>
      <c r="AB113" s="273"/>
      <c r="AC113" s="273"/>
      <c r="AD113" s="273"/>
      <c r="AE113" s="273"/>
      <c r="AF113" s="273"/>
      <c r="AG113" s="273"/>
      <c r="AH113" s="273"/>
      <c r="AI113" s="273"/>
    </row>
    <row r="114" spans="1:35" ht="14.25" customHeight="1">
      <c r="A114" s="273"/>
      <c r="B114" s="273"/>
      <c r="C114" s="273"/>
      <c r="D114" s="273"/>
      <c r="E114" s="273"/>
      <c r="F114" s="273"/>
      <c r="G114" s="273"/>
      <c r="H114" s="273"/>
      <c r="I114" s="273"/>
      <c r="J114" s="273"/>
      <c r="K114" s="273"/>
      <c r="L114" s="274"/>
      <c r="M114" s="273"/>
      <c r="N114" s="273"/>
      <c r="O114" s="273"/>
      <c r="P114" s="273"/>
      <c r="Q114" s="273"/>
      <c r="R114" s="273"/>
      <c r="S114" s="273"/>
      <c r="T114" s="273"/>
      <c r="U114" s="273"/>
      <c r="V114" s="273"/>
      <c r="W114" s="273"/>
      <c r="X114" s="274"/>
      <c r="Y114" s="273"/>
      <c r="Z114" s="273"/>
      <c r="AA114" s="273"/>
      <c r="AB114" s="273"/>
      <c r="AC114" s="273"/>
      <c r="AD114" s="273"/>
      <c r="AE114" s="273"/>
      <c r="AF114" s="273"/>
      <c r="AG114" s="273"/>
      <c r="AH114" s="273"/>
      <c r="AI114" s="273"/>
    </row>
    <row r="115" spans="1:35" ht="14.25" customHeight="1">
      <c r="A115" s="273"/>
      <c r="B115" s="273"/>
      <c r="C115" s="273"/>
      <c r="D115" s="273"/>
      <c r="E115" s="273"/>
      <c r="F115" s="273"/>
      <c r="G115" s="273"/>
      <c r="H115" s="273"/>
      <c r="I115" s="273"/>
      <c r="J115" s="273"/>
      <c r="K115" s="273"/>
      <c r="L115" s="274"/>
      <c r="M115" s="273"/>
      <c r="N115" s="273"/>
      <c r="O115" s="273"/>
      <c r="P115" s="273"/>
      <c r="Q115" s="273"/>
      <c r="R115" s="273"/>
      <c r="S115" s="273"/>
      <c r="T115" s="273"/>
      <c r="U115" s="273"/>
      <c r="V115" s="273"/>
      <c r="W115" s="273"/>
      <c r="X115" s="274"/>
      <c r="Y115" s="273"/>
      <c r="Z115" s="273"/>
      <c r="AA115" s="273"/>
      <c r="AB115" s="273"/>
      <c r="AC115" s="273"/>
      <c r="AD115" s="273"/>
      <c r="AE115" s="273"/>
      <c r="AF115" s="273"/>
      <c r="AG115" s="273"/>
      <c r="AH115" s="273"/>
      <c r="AI115" s="273"/>
    </row>
    <row r="116" spans="1:35" ht="14.25" customHeight="1">
      <c r="A116" s="273"/>
      <c r="B116" s="273"/>
      <c r="C116" s="273"/>
      <c r="D116" s="273"/>
      <c r="E116" s="273"/>
      <c r="F116" s="273"/>
      <c r="G116" s="273"/>
      <c r="H116" s="273"/>
      <c r="I116" s="273"/>
      <c r="J116" s="273"/>
      <c r="K116" s="273"/>
      <c r="L116" s="274"/>
      <c r="M116" s="273"/>
      <c r="N116" s="273"/>
      <c r="O116" s="273"/>
      <c r="P116" s="273"/>
      <c r="Q116" s="273"/>
      <c r="R116" s="273"/>
      <c r="S116" s="273"/>
      <c r="T116" s="273"/>
      <c r="U116" s="273"/>
      <c r="V116" s="273"/>
      <c r="W116" s="273"/>
      <c r="X116" s="274"/>
      <c r="Y116" s="273"/>
      <c r="Z116" s="273"/>
      <c r="AA116" s="273"/>
      <c r="AB116" s="273"/>
      <c r="AC116" s="273"/>
      <c r="AD116" s="273"/>
      <c r="AE116" s="273"/>
      <c r="AF116" s="273"/>
      <c r="AG116" s="273"/>
      <c r="AH116" s="273"/>
      <c r="AI116" s="273"/>
    </row>
    <row r="117" spans="1:35" ht="14.25" customHeight="1">
      <c r="A117" s="273"/>
      <c r="B117" s="273"/>
      <c r="C117" s="273"/>
      <c r="D117" s="273"/>
      <c r="E117" s="273"/>
      <c r="F117" s="273"/>
      <c r="G117" s="273"/>
      <c r="H117" s="273"/>
      <c r="I117" s="273"/>
      <c r="J117" s="273"/>
      <c r="K117" s="273"/>
      <c r="L117" s="274"/>
      <c r="M117" s="273"/>
      <c r="N117" s="273"/>
      <c r="O117" s="273"/>
      <c r="P117" s="273"/>
      <c r="Q117" s="273"/>
      <c r="R117" s="273"/>
      <c r="S117" s="273"/>
      <c r="T117" s="273"/>
      <c r="U117" s="273"/>
      <c r="V117" s="273"/>
      <c r="W117" s="273"/>
      <c r="X117" s="274"/>
      <c r="Y117" s="273"/>
      <c r="Z117" s="273"/>
      <c r="AA117" s="273"/>
      <c r="AB117" s="273"/>
      <c r="AC117" s="273"/>
      <c r="AD117" s="273"/>
      <c r="AE117" s="273"/>
      <c r="AF117" s="273"/>
      <c r="AG117" s="273"/>
      <c r="AH117" s="273"/>
      <c r="AI117" s="273"/>
    </row>
    <row r="118" spans="1:35" ht="14.25" customHeight="1">
      <c r="A118" s="273"/>
      <c r="B118" s="273"/>
      <c r="C118" s="273"/>
      <c r="D118" s="273"/>
      <c r="E118" s="273"/>
      <c r="F118" s="273"/>
      <c r="G118" s="273"/>
      <c r="H118" s="273"/>
      <c r="I118" s="273"/>
      <c r="J118" s="273"/>
      <c r="K118" s="273"/>
      <c r="L118" s="274"/>
      <c r="M118" s="273"/>
      <c r="N118" s="273"/>
      <c r="O118" s="273"/>
      <c r="P118" s="273"/>
      <c r="Q118" s="273"/>
      <c r="R118" s="273"/>
      <c r="S118" s="273"/>
      <c r="T118" s="273"/>
      <c r="U118" s="273"/>
      <c r="V118" s="273"/>
      <c r="W118" s="273"/>
      <c r="X118" s="274"/>
      <c r="Y118" s="273"/>
      <c r="Z118" s="273"/>
      <c r="AA118" s="273"/>
      <c r="AB118" s="273"/>
      <c r="AC118" s="273"/>
      <c r="AD118" s="273"/>
      <c r="AE118" s="273"/>
      <c r="AF118" s="273"/>
      <c r="AG118" s="273"/>
      <c r="AH118" s="273"/>
      <c r="AI118" s="273"/>
    </row>
    <row r="119" spans="1:35" ht="14.25" customHeight="1">
      <c r="A119" s="273"/>
      <c r="B119" s="273"/>
      <c r="C119" s="273"/>
      <c r="D119" s="273"/>
      <c r="E119" s="273"/>
      <c r="F119" s="273"/>
      <c r="G119" s="273"/>
      <c r="H119" s="273"/>
      <c r="I119" s="273"/>
      <c r="J119" s="273"/>
      <c r="K119" s="273"/>
      <c r="L119" s="274"/>
      <c r="M119" s="273"/>
      <c r="N119" s="273"/>
      <c r="O119" s="273"/>
      <c r="P119" s="273"/>
      <c r="Q119" s="273"/>
      <c r="R119" s="273"/>
      <c r="S119" s="273"/>
      <c r="T119" s="273"/>
      <c r="U119" s="273"/>
      <c r="V119" s="273"/>
      <c r="W119" s="273"/>
      <c r="X119" s="274"/>
      <c r="Y119" s="273"/>
      <c r="Z119" s="273"/>
      <c r="AA119" s="273"/>
      <c r="AB119" s="273"/>
      <c r="AC119" s="273"/>
      <c r="AD119" s="273"/>
      <c r="AE119" s="273"/>
      <c r="AF119" s="273"/>
      <c r="AG119" s="273"/>
      <c r="AH119" s="273"/>
      <c r="AI119" s="273"/>
    </row>
    <row r="120" spans="1:35" ht="14.25" customHeight="1">
      <c r="A120" s="273"/>
      <c r="B120" s="273"/>
      <c r="C120" s="273"/>
      <c r="D120" s="273"/>
      <c r="E120" s="273"/>
      <c r="F120" s="273"/>
      <c r="G120" s="273"/>
      <c r="H120" s="273"/>
      <c r="I120" s="273"/>
      <c r="J120" s="273"/>
      <c r="K120" s="273"/>
      <c r="L120" s="274"/>
      <c r="M120" s="273"/>
      <c r="N120" s="273"/>
      <c r="O120" s="273"/>
      <c r="P120" s="273"/>
      <c r="Q120" s="273"/>
      <c r="R120" s="273"/>
      <c r="S120" s="273"/>
      <c r="T120" s="273"/>
      <c r="U120" s="273"/>
      <c r="V120" s="273"/>
      <c r="W120" s="273"/>
      <c r="X120" s="274"/>
      <c r="Y120" s="273"/>
      <c r="Z120" s="273"/>
      <c r="AA120" s="273"/>
      <c r="AB120" s="273"/>
      <c r="AC120" s="273"/>
      <c r="AD120" s="273"/>
      <c r="AE120" s="273"/>
      <c r="AF120" s="273"/>
      <c r="AG120" s="273"/>
      <c r="AH120" s="273"/>
      <c r="AI120" s="273"/>
    </row>
    <row r="121" spans="1:35" ht="14.25" customHeight="1">
      <c r="A121" s="273"/>
      <c r="B121" s="273"/>
      <c r="C121" s="273"/>
      <c r="D121" s="273"/>
      <c r="E121" s="273"/>
      <c r="F121" s="273"/>
      <c r="G121" s="273"/>
      <c r="H121" s="273"/>
      <c r="I121" s="273"/>
      <c r="J121" s="273"/>
      <c r="K121" s="273"/>
      <c r="L121" s="274"/>
      <c r="M121" s="273"/>
      <c r="N121" s="273"/>
      <c r="O121" s="273"/>
      <c r="P121" s="273"/>
      <c r="Q121" s="273"/>
      <c r="R121" s="273"/>
      <c r="S121" s="273"/>
      <c r="T121" s="273"/>
      <c r="U121" s="273"/>
      <c r="V121" s="273"/>
      <c r="W121" s="273"/>
      <c r="X121" s="274"/>
      <c r="Y121" s="273"/>
      <c r="Z121" s="273"/>
      <c r="AA121" s="273"/>
      <c r="AB121" s="273"/>
      <c r="AC121" s="273"/>
      <c r="AD121" s="273"/>
      <c r="AE121" s="273"/>
      <c r="AF121" s="273"/>
      <c r="AG121" s="273"/>
      <c r="AH121" s="273"/>
      <c r="AI121" s="273"/>
    </row>
    <row r="122" spans="1:35" ht="14.25" customHeight="1">
      <c r="A122" s="273"/>
      <c r="B122" s="273"/>
      <c r="C122" s="273"/>
      <c r="D122" s="273"/>
      <c r="E122" s="273"/>
      <c r="F122" s="273"/>
      <c r="G122" s="273"/>
      <c r="H122" s="273"/>
      <c r="I122" s="273"/>
      <c r="J122" s="273"/>
      <c r="K122" s="273"/>
      <c r="L122" s="274"/>
      <c r="M122" s="273"/>
      <c r="N122" s="273"/>
      <c r="O122" s="273"/>
      <c r="P122" s="273"/>
      <c r="Q122" s="273"/>
      <c r="R122" s="273"/>
      <c r="S122" s="273"/>
      <c r="T122" s="273"/>
      <c r="U122" s="273"/>
      <c r="V122" s="273"/>
      <c r="W122" s="273"/>
      <c r="X122" s="274"/>
      <c r="Y122" s="273"/>
      <c r="Z122" s="273"/>
      <c r="AA122" s="273"/>
      <c r="AB122" s="273"/>
      <c r="AC122" s="273"/>
      <c r="AD122" s="273"/>
      <c r="AE122" s="273"/>
      <c r="AF122" s="273"/>
      <c r="AG122" s="273"/>
      <c r="AH122" s="273"/>
      <c r="AI122" s="273"/>
    </row>
    <row r="123" spans="1:35" ht="14.25" customHeight="1">
      <c r="A123" s="273"/>
      <c r="B123" s="273"/>
      <c r="C123" s="273"/>
      <c r="D123" s="273"/>
      <c r="E123" s="273"/>
      <c r="F123" s="273"/>
      <c r="G123" s="273"/>
      <c r="H123" s="273"/>
      <c r="I123" s="273"/>
      <c r="J123" s="273"/>
      <c r="K123" s="273"/>
      <c r="L123" s="274"/>
      <c r="M123" s="273"/>
      <c r="N123" s="273"/>
      <c r="O123" s="273"/>
      <c r="P123" s="273"/>
      <c r="Q123" s="273"/>
      <c r="R123" s="273"/>
      <c r="S123" s="273"/>
      <c r="T123" s="273"/>
      <c r="U123" s="273"/>
      <c r="V123" s="273"/>
      <c r="W123" s="273"/>
      <c r="X123" s="274"/>
      <c r="Y123" s="273"/>
      <c r="Z123" s="273"/>
      <c r="AA123" s="273"/>
      <c r="AB123" s="273"/>
      <c r="AC123" s="273"/>
      <c r="AD123" s="273"/>
      <c r="AE123" s="273"/>
      <c r="AF123" s="273"/>
      <c r="AG123" s="273"/>
      <c r="AH123" s="273"/>
      <c r="AI123" s="273"/>
    </row>
    <row r="124" spans="1:35" ht="14.25" customHeight="1">
      <c r="A124" s="273"/>
      <c r="B124" s="273"/>
      <c r="C124" s="273"/>
      <c r="D124" s="273"/>
      <c r="E124" s="273"/>
      <c r="F124" s="273"/>
      <c r="G124" s="273"/>
      <c r="H124" s="273"/>
      <c r="I124" s="273"/>
      <c r="J124" s="273"/>
      <c r="K124" s="273"/>
      <c r="L124" s="274"/>
      <c r="M124" s="273"/>
      <c r="N124" s="273"/>
      <c r="O124" s="273"/>
      <c r="P124" s="273"/>
      <c r="Q124" s="273"/>
      <c r="R124" s="273"/>
      <c r="S124" s="273"/>
      <c r="T124" s="273"/>
      <c r="U124" s="273"/>
      <c r="V124" s="273"/>
      <c r="W124" s="273"/>
      <c r="X124" s="274"/>
      <c r="Y124" s="273"/>
      <c r="Z124" s="273"/>
      <c r="AA124" s="273"/>
      <c r="AB124" s="273"/>
      <c r="AC124" s="273"/>
      <c r="AD124" s="273"/>
      <c r="AE124" s="273"/>
      <c r="AF124" s="273"/>
      <c r="AG124" s="273"/>
      <c r="AH124" s="273"/>
      <c r="AI124" s="273"/>
    </row>
    <row r="125" spans="1:35" ht="14.25" customHeight="1">
      <c r="A125" s="273"/>
      <c r="B125" s="273"/>
      <c r="C125" s="273"/>
      <c r="D125" s="273"/>
      <c r="E125" s="273"/>
      <c r="F125" s="273"/>
      <c r="G125" s="273"/>
      <c r="H125" s="273"/>
      <c r="I125" s="273"/>
      <c r="J125" s="273"/>
      <c r="K125" s="273"/>
      <c r="L125" s="274"/>
      <c r="M125" s="273"/>
      <c r="N125" s="273"/>
      <c r="O125" s="273"/>
      <c r="P125" s="273"/>
      <c r="Q125" s="273"/>
      <c r="R125" s="273"/>
      <c r="S125" s="273"/>
      <c r="T125" s="273"/>
      <c r="U125" s="273"/>
      <c r="V125" s="273"/>
      <c r="W125" s="273"/>
      <c r="X125" s="274"/>
      <c r="Y125" s="273"/>
      <c r="Z125" s="273"/>
      <c r="AA125" s="273"/>
      <c r="AB125" s="273"/>
      <c r="AC125" s="273"/>
      <c r="AD125" s="273"/>
      <c r="AE125" s="273"/>
      <c r="AF125" s="273"/>
      <c r="AG125" s="273"/>
      <c r="AH125" s="273"/>
      <c r="AI125" s="273"/>
    </row>
    <row r="126" spans="1:35" ht="14.25" customHeight="1">
      <c r="A126" s="273"/>
      <c r="B126" s="273"/>
      <c r="C126" s="273"/>
      <c r="D126" s="273"/>
      <c r="E126" s="273"/>
      <c r="F126" s="273"/>
      <c r="G126" s="273"/>
      <c r="H126" s="273"/>
      <c r="I126" s="273"/>
      <c r="J126" s="273"/>
      <c r="K126" s="273"/>
      <c r="L126" s="274"/>
      <c r="M126" s="273"/>
      <c r="N126" s="273"/>
      <c r="O126" s="273"/>
      <c r="P126" s="273"/>
      <c r="Q126" s="273"/>
      <c r="R126" s="273"/>
      <c r="S126" s="273"/>
      <c r="T126" s="273"/>
      <c r="U126" s="273"/>
      <c r="V126" s="273"/>
      <c r="W126" s="273"/>
      <c r="X126" s="274"/>
      <c r="Y126" s="273"/>
      <c r="Z126" s="273"/>
      <c r="AA126" s="273"/>
      <c r="AB126" s="273"/>
      <c r="AC126" s="273"/>
      <c r="AD126" s="273"/>
      <c r="AE126" s="273"/>
      <c r="AF126" s="273"/>
      <c r="AG126" s="273"/>
      <c r="AH126" s="273"/>
      <c r="AI126" s="273"/>
    </row>
    <row r="127" spans="1:35" ht="14.25" customHeight="1">
      <c r="A127" s="273"/>
      <c r="B127" s="273"/>
      <c r="C127" s="273"/>
      <c r="D127" s="273"/>
      <c r="E127" s="273"/>
      <c r="F127" s="273"/>
      <c r="G127" s="273"/>
      <c r="H127" s="273"/>
      <c r="I127" s="273"/>
      <c r="J127" s="273"/>
      <c r="K127" s="273"/>
      <c r="L127" s="274"/>
      <c r="M127" s="273"/>
      <c r="N127" s="273"/>
      <c r="O127" s="273"/>
      <c r="P127" s="273"/>
      <c r="Q127" s="273"/>
      <c r="R127" s="273"/>
      <c r="S127" s="273"/>
      <c r="T127" s="273"/>
      <c r="U127" s="273"/>
      <c r="V127" s="273"/>
      <c r="W127" s="273"/>
      <c r="X127" s="274"/>
      <c r="Y127" s="273"/>
      <c r="Z127" s="273"/>
      <c r="AA127" s="273"/>
      <c r="AB127" s="273"/>
      <c r="AC127" s="273"/>
      <c r="AD127" s="273"/>
      <c r="AE127" s="273"/>
      <c r="AF127" s="273"/>
      <c r="AG127" s="273"/>
      <c r="AH127" s="273"/>
      <c r="AI127" s="273"/>
    </row>
    <row r="128" spans="1:35" ht="14.25" customHeight="1">
      <c r="A128" s="273"/>
      <c r="B128" s="273"/>
      <c r="C128" s="273"/>
      <c r="D128" s="273"/>
      <c r="E128" s="273"/>
      <c r="F128" s="273"/>
      <c r="G128" s="273"/>
      <c r="H128" s="273"/>
      <c r="I128" s="273"/>
      <c r="J128" s="273"/>
      <c r="K128" s="273"/>
      <c r="L128" s="274"/>
      <c r="M128" s="273"/>
      <c r="N128" s="273"/>
      <c r="O128" s="273"/>
      <c r="P128" s="273"/>
      <c r="Q128" s="273"/>
      <c r="R128" s="273"/>
      <c r="S128" s="273"/>
      <c r="T128" s="273"/>
      <c r="U128" s="273"/>
      <c r="V128" s="273"/>
      <c r="W128" s="273"/>
      <c r="X128" s="274"/>
      <c r="Y128" s="273"/>
      <c r="Z128" s="273"/>
      <c r="AA128" s="273"/>
      <c r="AB128" s="273"/>
      <c r="AC128" s="273"/>
      <c r="AD128" s="273"/>
      <c r="AE128" s="273"/>
      <c r="AF128" s="273"/>
      <c r="AG128" s="273"/>
      <c r="AH128" s="273"/>
      <c r="AI128" s="273"/>
    </row>
    <row r="129" spans="1:35" ht="14.25" customHeight="1">
      <c r="A129" s="273"/>
      <c r="B129" s="273"/>
      <c r="C129" s="273"/>
      <c r="D129" s="273"/>
      <c r="E129" s="273"/>
      <c r="F129" s="273"/>
      <c r="G129" s="273"/>
      <c r="H129" s="273"/>
      <c r="I129" s="273"/>
      <c r="J129" s="273"/>
      <c r="K129" s="273"/>
      <c r="L129" s="274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/>
      <c r="W129" s="273"/>
      <c r="X129" s="274"/>
      <c r="Y129" s="273"/>
      <c r="Z129" s="273"/>
      <c r="AA129" s="273"/>
      <c r="AB129" s="273"/>
      <c r="AC129" s="273"/>
      <c r="AD129" s="273"/>
      <c r="AE129" s="273"/>
      <c r="AF129" s="273"/>
      <c r="AG129" s="273"/>
      <c r="AH129" s="273"/>
      <c r="AI129" s="273"/>
    </row>
    <row r="130" spans="1:35" ht="14.25" customHeight="1">
      <c r="A130" s="273"/>
      <c r="B130" s="273"/>
      <c r="C130" s="273"/>
      <c r="D130" s="273"/>
      <c r="E130" s="273"/>
      <c r="F130" s="273"/>
      <c r="G130" s="273"/>
      <c r="H130" s="273"/>
      <c r="I130" s="273"/>
      <c r="J130" s="273"/>
      <c r="K130" s="273"/>
      <c r="L130" s="274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4"/>
      <c r="Y130" s="273"/>
      <c r="Z130" s="273"/>
      <c r="AA130" s="273"/>
      <c r="AB130" s="273"/>
      <c r="AC130" s="273"/>
      <c r="AD130" s="273"/>
      <c r="AE130" s="273"/>
      <c r="AF130" s="273"/>
      <c r="AG130" s="273"/>
      <c r="AH130" s="273"/>
      <c r="AI130" s="273"/>
    </row>
    <row r="131" spans="1:35" ht="14.25" customHeight="1">
      <c r="A131" s="273"/>
      <c r="B131" s="273"/>
      <c r="C131" s="273"/>
      <c r="D131" s="273"/>
      <c r="E131" s="273"/>
      <c r="F131" s="273"/>
      <c r="G131" s="273"/>
      <c r="H131" s="273"/>
      <c r="I131" s="273"/>
      <c r="J131" s="273"/>
      <c r="K131" s="273"/>
      <c r="L131" s="274"/>
      <c r="M131" s="273"/>
      <c r="N131" s="273"/>
      <c r="O131" s="273"/>
      <c r="P131" s="273"/>
      <c r="Q131" s="273"/>
      <c r="R131" s="273"/>
      <c r="S131" s="273"/>
      <c r="T131" s="273"/>
      <c r="U131" s="273"/>
      <c r="V131" s="273"/>
      <c r="W131" s="273"/>
      <c r="X131" s="274"/>
      <c r="Y131" s="273"/>
      <c r="Z131" s="273"/>
      <c r="AA131" s="273"/>
      <c r="AB131" s="273"/>
      <c r="AC131" s="273"/>
      <c r="AD131" s="273"/>
      <c r="AE131" s="273"/>
      <c r="AF131" s="273"/>
      <c r="AG131" s="273"/>
      <c r="AH131" s="273"/>
      <c r="AI131" s="273"/>
    </row>
    <row r="132" spans="1:35" ht="14.25" customHeight="1">
      <c r="A132" s="273"/>
      <c r="B132" s="273"/>
      <c r="C132" s="273"/>
      <c r="D132" s="273"/>
      <c r="E132" s="273"/>
      <c r="F132" s="273"/>
      <c r="G132" s="273"/>
      <c r="H132" s="273"/>
      <c r="I132" s="273"/>
      <c r="J132" s="273"/>
      <c r="K132" s="273"/>
      <c r="L132" s="274"/>
      <c r="M132" s="273"/>
      <c r="N132" s="273"/>
      <c r="O132" s="273"/>
      <c r="P132" s="273"/>
      <c r="Q132" s="273"/>
      <c r="R132" s="273"/>
      <c r="S132" s="273"/>
      <c r="T132" s="273"/>
      <c r="U132" s="273"/>
      <c r="V132" s="273"/>
      <c r="W132" s="273"/>
      <c r="X132" s="274"/>
      <c r="Y132" s="273"/>
      <c r="Z132" s="273"/>
      <c r="AA132" s="273"/>
      <c r="AB132" s="273"/>
      <c r="AC132" s="273"/>
      <c r="AD132" s="273"/>
      <c r="AE132" s="273"/>
      <c r="AF132" s="273"/>
      <c r="AG132" s="273"/>
      <c r="AH132" s="273"/>
      <c r="AI132" s="273"/>
    </row>
    <row r="133" spans="1:35" ht="14.25" customHeight="1">
      <c r="A133" s="273"/>
      <c r="B133" s="273"/>
      <c r="C133" s="273"/>
      <c r="D133" s="273"/>
      <c r="E133" s="273"/>
      <c r="F133" s="273"/>
      <c r="G133" s="273"/>
      <c r="H133" s="273"/>
      <c r="I133" s="273"/>
      <c r="J133" s="273"/>
      <c r="K133" s="273"/>
      <c r="L133" s="274"/>
      <c r="M133" s="273"/>
      <c r="N133" s="273"/>
      <c r="O133" s="273"/>
      <c r="P133" s="273"/>
      <c r="Q133" s="273"/>
      <c r="R133" s="273"/>
      <c r="S133" s="273"/>
      <c r="T133" s="273"/>
      <c r="U133" s="273"/>
      <c r="V133" s="273"/>
      <c r="W133" s="273"/>
      <c r="X133" s="274"/>
      <c r="Y133" s="273"/>
      <c r="Z133" s="273"/>
      <c r="AA133" s="273"/>
      <c r="AB133" s="273"/>
      <c r="AC133" s="273"/>
      <c r="AD133" s="273"/>
      <c r="AE133" s="273"/>
      <c r="AF133" s="273"/>
      <c r="AG133" s="273"/>
      <c r="AH133" s="273"/>
      <c r="AI133" s="273"/>
    </row>
    <row r="134" spans="1:35" ht="14.25" customHeight="1">
      <c r="A134" s="273"/>
      <c r="B134" s="273"/>
      <c r="C134" s="273"/>
      <c r="D134" s="273"/>
      <c r="E134" s="273"/>
      <c r="F134" s="273"/>
      <c r="G134" s="273"/>
      <c r="H134" s="273"/>
      <c r="I134" s="273"/>
      <c r="J134" s="273"/>
      <c r="K134" s="273"/>
      <c r="L134" s="274"/>
      <c r="M134" s="273"/>
      <c r="N134" s="273"/>
      <c r="O134" s="273"/>
      <c r="P134" s="273"/>
      <c r="Q134" s="273"/>
      <c r="R134" s="273"/>
      <c r="S134" s="273"/>
      <c r="T134" s="273"/>
      <c r="U134" s="273"/>
      <c r="V134" s="273"/>
      <c r="W134" s="273"/>
      <c r="X134" s="274"/>
      <c r="Y134" s="273"/>
      <c r="Z134" s="273"/>
      <c r="AA134" s="273"/>
      <c r="AB134" s="273"/>
      <c r="AC134" s="273"/>
      <c r="AD134" s="273"/>
      <c r="AE134" s="273"/>
      <c r="AF134" s="273"/>
      <c r="AG134" s="273"/>
      <c r="AH134" s="273"/>
      <c r="AI134" s="273"/>
    </row>
    <row r="135" spans="1:35" ht="14.25" customHeight="1">
      <c r="A135" s="273"/>
      <c r="B135" s="273"/>
      <c r="C135" s="273"/>
      <c r="D135" s="273"/>
      <c r="E135" s="273"/>
      <c r="F135" s="273"/>
      <c r="G135" s="273"/>
      <c r="H135" s="273"/>
      <c r="I135" s="273"/>
      <c r="J135" s="273"/>
      <c r="K135" s="273"/>
      <c r="L135" s="274"/>
      <c r="M135" s="273"/>
      <c r="N135" s="273"/>
      <c r="O135" s="273"/>
      <c r="P135" s="273"/>
      <c r="Q135" s="273"/>
      <c r="R135" s="273"/>
      <c r="S135" s="273"/>
      <c r="T135" s="273"/>
      <c r="U135" s="273"/>
      <c r="V135" s="273"/>
      <c r="W135" s="273"/>
      <c r="X135" s="274"/>
      <c r="Y135" s="273"/>
      <c r="Z135" s="273"/>
      <c r="AA135" s="273"/>
      <c r="AB135" s="273"/>
      <c r="AC135" s="273"/>
      <c r="AD135" s="273"/>
      <c r="AE135" s="273"/>
      <c r="AF135" s="273"/>
      <c r="AG135" s="273"/>
      <c r="AH135" s="273"/>
      <c r="AI135" s="273"/>
    </row>
    <row r="136" spans="1:35" ht="14.25" customHeight="1">
      <c r="A136" s="273"/>
      <c r="B136" s="273"/>
      <c r="C136" s="273"/>
      <c r="D136" s="273"/>
      <c r="E136" s="273"/>
      <c r="F136" s="273"/>
      <c r="G136" s="273"/>
      <c r="H136" s="273"/>
      <c r="I136" s="273"/>
      <c r="J136" s="273"/>
      <c r="K136" s="273"/>
      <c r="L136" s="274"/>
      <c r="M136" s="273"/>
      <c r="N136" s="273"/>
      <c r="O136" s="273"/>
      <c r="P136" s="273"/>
      <c r="Q136" s="273"/>
      <c r="R136" s="273"/>
      <c r="S136" s="273"/>
      <c r="T136" s="273"/>
      <c r="U136" s="273"/>
      <c r="V136" s="273"/>
      <c r="W136" s="273"/>
      <c r="X136" s="274"/>
      <c r="Y136" s="273"/>
      <c r="Z136" s="273"/>
      <c r="AA136" s="273"/>
      <c r="AB136" s="273"/>
      <c r="AC136" s="273"/>
      <c r="AD136" s="273"/>
      <c r="AE136" s="273"/>
      <c r="AF136" s="273"/>
      <c r="AG136" s="273"/>
      <c r="AH136" s="273"/>
      <c r="AI136" s="273"/>
    </row>
    <row r="137" spans="1:35" ht="14.25" customHeight="1">
      <c r="A137" s="273"/>
      <c r="B137" s="273"/>
      <c r="C137" s="273"/>
      <c r="D137" s="273"/>
      <c r="E137" s="273"/>
      <c r="F137" s="273"/>
      <c r="G137" s="273"/>
      <c r="H137" s="273"/>
      <c r="I137" s="273"/>
      <c r="J137" s="273"/>
      <c r="K137" s="273"/>
      <c r="L137" s="274"/>
      <c r="M137" s="273"/>
      <c r="N137" s="273"/>
      <c r="O137" s="273"/>
      <c r="P137" s="273"/>
      <c r="Q137" s="273"/>
      <c r="R137" s="273"/>
      <c r="S137" s="273"/>
      <c r="T137" s="273"/>
      <c r="U137" s="273"/>
      <c r="V137" s="273"/>
      <c r="W137" s="273"/>
      <c r="X137" s="274"/>
      <c r="Y137" s="273"/>
      <c r="Z137" s="273"/>
      <c r="AA137" s="273"/>
      <c r="AB137" s="273"/>
      <c r="AC137" s="273"/>
      <c r="AD137" s="273"/>
      <c r="AE137" s="273"/>
      <c r="AF137" s="273"/>
      <c r="AG137" s="273"/>
      <c r="AH137" s="273"/>
      <c r="AI137" s="273"/>
    </row>
    <row r="138" spans="1:35" ht="14.25" customHeight="1">
      <c r="A138" s="273"/>
      <c r="B138" s="273"/>
      <c r="C138" s="273"/>
      <c r="D138" s="273"/>
      <c r="E138" s="273"/>
      <c r="F138" s="273"/>
      <c r="G138" s="273"/>
      <c r="H138" s="273"/>
      <c r="I138" s="273"/>
      <c r="J138" s="273"/>
      <c r="K138" s="273"/>
      <c r="L138" s="274"/>
      <c r="M138" s="273"/>
      <c r="N138" s="273"/>
      <c r="O138" s="273"/>
      <c r="P138" s="273"/>
      <c r="Q138" s="273"/>
      <c r="R138" s="273"/>
      <c r="S138" s="273"/>
      <c r="T138" s="273"/>
      <c r="U138" s="273"/>
      <c r="V138" s="273"/>
      <c r="W138" s="273"/>
      <c r="X138" s="274"/>
      <c r="Y138" s="273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</row>
    <row r="139" spans="1:35" ht="14.25" customHeight="1">
      <c r="A139" s="273"/>
      <c r="B139" s="273"/>
      <c r="C139" s="273"/>
      <c r="D139" s="273"/>
      <c r="E139" s="273"/>
      <c r="F139" s="273"/>
      <c r="G139" s="273"/>
      <c r="H139" s="273"/>
      <c r="I139" s="273"/>
      <c r="J139" s="273"/>
      <c r="K139" s="273"/>
      <c r="L139" s="274"/>
      <c r="M139" s="273"/>
      <c r="N139" s="273"/>
      <c r="O139" s="273"/>
      <c r="P139" s="273"/>
      <c r="Q139" s="273"/>
      <c r="R139" s="273"/>
      <c r="S139" s="273"/>
      <c r="T139" s="273"/>
      <c r="U139" s="273"/>
      <c r="V139" s="273"/>
      <c r="W139" s="273"/>
      <c r="X139" s="274"/>
      <c r="Y139" s="273"/>
      <c r="Z139" s="273"/>
      <c r="AA139" s="273"/>
      <c r="AB139" s="273"/>
      <c r="AC139" s="273"/>
      <c r="AD139" s="273"/>
      <c r="AE139" s="273"/>
      <c r="AF139" s="273"/>
      <c r="AG139" s="273"/>
      <c r="AH139" s="273"/>
      <c r="AI139" s="273"/>
    </row>
    <row r="140" spans="1:35" ht="14.25" customHeight="1">
      <c r="A140" s="273"/>
      <c r="B140" s="273"/>
      <c r="C140" s="273"/>
      <c r="D140" s="273"/>
      <c r="E140" s="273"/>
      <c r="F140" s="273"/>
      <c r="G140" s="273"/>
      <c r="H140" s="273"/>
      <c r="I140" s="273"/>
      <c r="J140" s="273"/>
      <c r="K140" s="273"/>
      <c r="L140" s="274"/>
      <c r="M140" s="273"/>
      <c r="N140" s="273"/>
      <c r="O140" s="273"/>
      <c r="P140" s="273"/>
      <c r="Q140" s="273"/>
      <c r="R140" s="273"/>
      <c r="S140" s="273"/>
      <c r="T140" s="273"/>
      <c r="U140" s="273"/>
      <c r="V140" s="273"/>
      <c r="W140" s="273"/>
      <c r="X140" s="274"/>
      <c r="Y140" s="273"/>
      <c r="Z140" s="273"/>
      <c r="AA140" s="273"/>
      <c r="AB140" s="273"/>
      <c r="AC140" s="273"/>
      <c r="AD140" s="273"/>
      <c r="AE140" s="273"/>
      <c r="AF140" s="273"/>
      <c r="AG140" s="273"/>
      <c r="AH140" s="273"/>
      <c r="AI140" s="273"/>
    </row>
    <row r="141" spans="1:35" ht="14.25" customHeight="1">
      <c r="A141" s="273"/>
      <c r="B141" s="273"/>
      <c r="C141" s="273"/>
      <c r="D141" s="273"/>
      <c r="E141" s="273"/>
      <c r="F141" s="273"/>
      <c r="G141" s="273"/>
      <c r="H141" s="273"/>
      <c r="I141" s="273"/>
      <c r="J141" s="273"/>
      <c r="K141" s="273"/>
      <c r="L141" s="274"/>
      <c r="M141" s="273"/>
      <c r="N141" s="273"/>
      <c r="O141" s="273"/>
      <c r="P141" s="273"/>
      <c r="Q141" s="273"/>
      <c r="R141" s="273"/>
      <c r="S141" s="273"/>
      <c r="T141" s="273"/>
      <c r="U141" s="273"/>
      <c r="V141" s="273"/>
      <c r="W141" s="273"/>
      <c r="X141" s="274"/>
      <c r="Y141" s="273"/>
      <c r="Z141" s="273"/>
      <c r="AA141" s="273"/>
      <c r="AB141" s="273"/>
      <c r="AC141" s="273"/>
      <c r="AD141" s="273"/>
      <c r="AE141" s="273"/>
      <c r="AF141" s="273"/>
      <c r="AG141" s="273"/>
      <c r="AH141" s="273"/>
      <c r="AI141" s="273"/>
    </row>
    <row r="142" spans="1:35" ht="14.25" customHeight="1">
      <c r="A142" s="273"/>
      <c r="B142" s="273"/>
      <c r="C142" s="273"/>
      <c r="D142" s="273"/>
      <c r="E142" s="273"/>
      <c r="F142" s="273"/>
      <c r="G142" s="273"/>
      <c r="H142" s="273"/>
      <c r="I142" s="273"/>
      <c r="J142" s="273"/>
      <c r="K142" s="273"/>
      <c r="L142" s="274"/>
      <c r="M142" s="273"/>
      <c r="N142" s="273"/>
      <c r="O142" s="273"/>
      <c r="P142" s="273"/>
      <c r="Q142" s="273"/>
      <c r="R142" s="273"/>
      <c r="S142" s="273"/>
      <c r="T142" s="273"/>
      <c r="U142" s="273"/>
      <c r="V142" s="273"/>
      <c r="W142" s="273"/>
      <c r="X142" s="274"/>
      <c r="Y142" s="273"/>
      <c r="Z142" s="273"/>
      <c r="AA142" s="273"/>
      <c r="AB142" s="273"/>
      <c r="AC142" s="273"/>
      <c r="AD142" s="273"/>
      <c r="AE142" s="273"/>
      <c r="AF142" s="273"/>
      <c r="AG142" s="273"/>
      <c r="AH142" s="273"/>
      <c r="AI142" s="273"/>
    </row>
    <row r="143" spans="1:35" ht="14.25" customHeight="1">
      <c r="A143" s="273"/>
      <c r="B143" s="273"/>
      <c r="C143" s="273"/>
      <c r="D143" s="273"/>
      <c r="E143" s="273"/>
      <c r="F143" s="273"/>
      <c r="G143" s="273"/>
      <c r="H143" s="273"/>
      <c r="I143" s="273"/>
      <c r="J143" s="273"/>
      <c r="K143" s="273"/>
      <c r="L143" s="274"/>
      <c r="M143" s="273"/>
      <c r="N143" s="273"/>
      <c r="O143" s="273"/>
      <c r="P143" s="273"/>
      <c r="Q143" s="273"/>
      <c r="R143" s="273"/>
      <c r="S143" s="273"/>
      <c r="T143" s="273"/>
      <c r="U143" s="273"/>
      <c r="V143" s="273"/>
      <c r="W143" s="273"/>
      <c r="X143" s="274"/>
      <c r="Y143" s="273"/>
      <c r="Z143" s="273"/>
      <c r="AA143" s="273"/>
      <c r="AB143" s="273"/>
      <c r="AC143" s="273"/>
      <c r="AD143" s="273"/>
      <c r="AE143" s="273"/>
      <c r="AF143" s="273"/>
      <c r="AG143" s="273"/>
      <c r="AH143" s="273"/>
      <c r="AI143" s="273"/>
    </row>
    <row r="144" spans="1:35" ht="14.25" customHeight="1">
      <c r="A144" s="273"/>
      <c r="B144" s="273"/>
      <c r="C144" s="273"/>
      <c r="D144" s="273"/>
      <c r="E144" s="273"/>
      <c r="F144" s="273"/>
      <c r="G144" s="273"/>
      <c r="H144" s="273"/>
      <c r="I144" s="273"/>
      <c r="J144" s="273"/>
      <c r="K144" s="273"/>
      <c r="L144" s="274"/>
      <c r="M144" s="273"/>
      <c r="N144" s="273"/>
      <c r="O144" s="273"/>
      <c r="P144" s="273"/>
      <c r="Q144" s="273"/>
      <c r="R144" s="273"/>
      <c r="S144" s="273"/>
      <c r="T144" s="273"/>
      <c r="U144" s="273"/>
      <c r="V144" s="273"/>
      <c r="W144" s="273"/>
      <c r="X144" s="274"/>
      <c r="Y144" s="273"/>
      <c r="Z144" s="273"/>
      <c r="AA144" s="273"/>
      <c r="AB144" s="273"/>
      <c r="AC144" s="273"/>
      <c r="AD144" s="273"/>
      <c r="AE144" s="273"/>
      <c r="AF144" s="273"/>
      <c r="AG144" s="273"/>
      <c r="AH144" s="273"/>
      <c r="AI144" s="273"/>
    </row>
    <row r="145" spans="1:35" ht="14.25" customHeight="1">
      <c r="A145" s="273"/>
      <c r="B145" s="273"/>
      <c r="C145" s="273"/>
      <c r="D145" s="273"/>
      <c r="E145" s="273"/>
      <c r="F145" s="273"/>
      <c r="G145" s="273"/>
      <c r="H145" s="273"/>
      <c r="I145" s="273"/>
      <c r="J145" s="273"/>
      <c r="K145" s="273"/>
      <c r="L145" s="274"/>
      <c r="M145" s="273"/>
      <c r="N145" s="273"/>
      <c r="O145" s="273"/>
      <c r="P145" s="273"/>
      <c r="Q145" s="273"/>
      <c r="R145" s="273"/>
      <c r="S145" s="273"/>
      <c r="T145" s="273"/>
      <c r="U145" s="273"/>
      <c r="V145" s="273"/>
      <c r="W145" s="273"/>
      <c r="X145" s="274"/>
      <c r="Y145" s="273"/>
      <c r="Z145" s="273"/>
      <c r="AA145" s="273"/>
      <c r="AB145" s="273"/>
      <c r="AC145" s="273"/>
      <c r="AD145" s="273"/>
      <c r="AE145" s="273"/>
      <c r="AF145" s="273"/>
      <c r="AG145" s="273"/>
      <c r="AH145" s="273"/>
      <c r="AI145" s="273"/>
    </row>
    <row r="146" spans="1:35" ht="14.25" customHeight="1">
      <c r="A146" s="273"/>
      <c r="B146" s="273"/>
      <c r="C146" s="273"/>
      <c r="D146" s="273"/>
      <c r="E146" s="273"/>
      <c r="F146" s="273"/>
      <c r="G146" s="273"/>
      <c r="H146" s="273"/>
      <c r="I146" s="273"/>
      <c r="J146" s="273"/>
      <c r="K146" s="273"/>
      <c r="L146" s="274"/>
      <c r="M146" s="273"/>
      <c r="N146" s="273"/>
      <c r="O146" s="273"/>
      <c r="P146" s="273"/>
      <c r="Q146" s="273"/>
      <c r="R146" s="273"/>
      <c r="S146" s="273"/>
      <c r="T146" s="273"/>
      <c r="U146" s="273"/>
      <c r="V146" s="273"/>
      <c r="W146" s="273"/>
      <c r="X146" s="274"/>
      <c r="Y146" s="273"/>
      <c r="Z146" s="273"/>
      <c r="AA146" s="273"/>
      <c r="AB146" s="273"/>
      <c r="AC146" s="273"/>
      <c r="AD146" s="273"/>
      <c r="AE146" s="273"/>
      <c r="AF146" s="273"/>
      <c r="AG146" s="273"/>
      <c r="AH146" s="273"/>
      <c r="AI146" s="273"/>
    </row>
    <row r="147" spans="1:35" ht="14.25" customHeight="1">
      <c r="A147" s="273"/>
      <c r="B147" s="273"/>
      <c r="C147" s="273"/>
      <c r="D147" s="273"/>
      <c r="E147" s="273"/>
      <c r="F147" s="273"/>
      <c r="G147" s="273"/>
      <c r="H147" s="273"/>
      <c r="I147" s="273"/>
      <c r="J147" s="273"/>
      <c r="K147" s="273"/>
      <c r="L147" s="274"/>
      <c r="M147" s="273"/>
      <c r="N147" s="273"/>
      <c r="O147" s="273"/>
      <c r="P147" s="273"/>
      <c r="Q147" s="273"/>
      <c r="R147" s="273"/>
      <c r="S147" s="273"/>
      <c r="T147" s="273"/>
      <c r="U147" s="273"/>
      <c r="V147" s="273"/>
      <c r="W147" s="273"/>
      <c r="X147" s="274"/>
      <c r="Y147" s="273"/>
      <c r="Z147" s="273"/>
      <c r="AA147" s="273"/>
      <c r="AB147" s="273"/>
      <c r="AC147" s="273"/>
      <c r="AD147" s="273"/>
      <c r="AE147" s="273"/>
      <c r="AF147" s="273"/>
      <c r="AG147" s="273"/>
      <c r="AH147" s="273"/>
      <c r="AI147" s="273"/>
    </row>
    <row r="148" spans="1:35" ht="14.25" customHeight="1">
      <c r="A148" s="273"/>
      <c r="B148" s="273"/>
      <c r="C148" s="273"/>
      <c r="D148" s="273"/>
      <c r="E148" s="273"/>
      <c r="F148" s="273"/>
      <c r="G148" s="273"/>
      <c r="H148" s="273"/>
      <c r="I148" s="273"/>
      <c r="J148" s="273"/>
      <c r="K148" s="273"/>
      <c r="L148" s="274"/>
      <c r="M148" s="273"/>
      <c r="N148" s="273"/>
      <c r="O148" s="273"/>
      <c r="P148" s="273"/>
      <c r="Q148" s="273"/>
      <c r="R148" s="273"/>
      <c r="S148" s="273"/>
      <c r="T148" s="273"/>
      <c r="U148" s="273"/>
      <c r="V148" s="273"/>
      <c r="W148" s="273"/>
      <c r="X148" s="274"/>
      <c r="Y148" s="273"/>
      <c r="Z148" s="273"/>
      <c r="AA148" s="273"/>
      <c r="AB148" s="273"/>
      <c r="AC148" s="273"/>
      <c r="AD148" s="273"/>
      <c r="AE148" s="273"/>
      <c r="AF148" s="273"/>
      <c r="AG148" s="273"/>
      <c r="AH148" s="273"/>
      <c r="AI148" s="273"/>
    </row>
    <row r="149" spans="1:35" ht="14.25" customHeight="1">
      <c r="A149" s="273"/>
      <c r="B149" s="273"/>
      <c r="C149" s="273"/>
      <c r="D149" s="273"/>
      <c r="E149" s="273"/>
      <c r="F149" s="273"/>
      <c r="G149" s="273"/>
      <c r="H149" s="273"/>
      <c r="I149" s="273"/>
      <c r="J149" s="273"/>
      <c r="K149" s="273"/>
      <c r="L149" s="274"/>
      <c r="M149" s="273"/>
      <c r="N149" s="273"/>
      <c r="O149" s="273"/>
      <c r="P149" s="273"/>
      <c r="Q149" s="273"/>
      <c r="R149" s="273"/>
      <c r="S149" s="273"/>
      <c r="T149" s="273"/>
      <c r="U149" s="273"/>
      <c r="V149" s="273"/>
      <c r="W149" s="273"/>
      <c r="X149" s="274"/>
      <c r="Y149" s="273"/>
      <c r="Z149" s="273"/>
      <c r="AA149" s="273"/>
      <c r="AB149" s="273"/>
      <c r="AC149" s="273"/>
      <c r="AD149" s="273"/>
      <c r="AE149" s="273"/>
      <c r="AF149" s="273"/>
      <c r="AG149" s="273"/>
      <c r="AH149" s="273"/>
      <c r="AI149" s="273"/>
    </row>
    <row r="150" spans="1:35" ht="14.25" customHeight="1">
      <c r="A150" s="273"/>
      <c r="B150" s="273"/>
      <c r="C150" s="273"/>
      <c r="D150" s="273"/>
      <c r="E150" s="273"/>
      <c r="F150" s="273"/>
      <c r="G150" s="273"/>
      <c r="H150" s="273"/>
      <c r="I150" s="273"/>
      <c r="J150" s="273"/>
      <c r="K150" s="273"/>
      <c r="L150" s="274"/>
      <c r="M150" s="273"/>
      <c r="N150" s="273"/>
      <c r="O150" s="273"/>
      <c r="P150" s="273"/>
      <c r="Q150" s="273"/>
      <c r="R150" s="273"/>
      <c r="S150" s="273"/>
      <c r="T150" s="273"/>
      <c r="U150" s="273"/>
      <c r="V150" s="273"/>
      <c r="W150" s="273"/>
      <c r="X150" s="274"/>
      <c r="Y150" s="273"/>
      <c r="Z150" s="273"/>
      <c r="AA150" s="273"/>
      <c r="AB150" s="273"/>
      <c r="AC150" s="273"/>
      <c r="AD150" s="273"/>
      <c r="AE150" s="273"/>
      <c r="AF150" s="273"/>
      <c r="AG150" s="273"/>
      <c r="AH150" s="273"/>
      <c r="AI150" s="273"/>
    </row>
    <row r="151" spans="1:35" ht="14.25" customHeight="1">
      <c r="A151" s="273"/>
      <c r="B151" s="273"/>
      <c r="C151" s="273"/>
      <c r="D151" s="273"/>
      <c r="E151" s="273"/>
      <c r="F151" s="273"/>
      <c r="G151" s="273"/>
      <c r="H151" s="273"/>
      <c r="I151" s="273"/>
      <c r="J151" s="273"/>
      <c r="K151" s="273"/>
      <c r="L151" s="274"/>
      <c r="M151" s="273"/>
      <c r="N151" s="273"/>
      <c r="O151" s="273"/>
      <c r="P151" s="273"/>
      <c r="Q151" s="273"/>
      <c r="R151" s="273"/>
      <c r="S151" s="273"/>
      <c r="T151" s="273"/>
      <c r="U151" s="273"/>
      <c r="V151" s="273"/>
      <c r="W151" s="273"/>
      <c r="X151" s="274"/>
      <c r="Y151" s="273"/>
      <c r="Z151" s="273"/>
      <c r="AA151" s="273"/>
      <c r="AB151" s="273"/>
      <c r="AC151" s="273"/>
      <c r="AD151" s="273"/>
      <c r="AE151" s="273"/>
      <c r="AF151" s="273"/>
      <c r="AG151" s="273"/>
      <c r="AH151" s="273"/>
      <c r="AI151" s="273"/>
    </row>
    <row r="152" spans="1:35" ht="14.25" customHeight="1">
      <c r="A152" s="273"/>
      <c r="B152" s="273"/>
      <c r="C152" s="273"/>
      <c r="D152" s="273"/>
      <c r="E152" s="273"/>
      <c r="F152" s="273"/>
      <c r="G152" s="273"/>
      <c r="H152" s="273"/>
      <c r="I152" s="273"/>
      <c r="J152" s="273"/>
      <c r="K152" s="273"/>
      <c r="L152" s="274"/>
      <c r="M152" s="273"/>
      <c r="N152" s="273"/>
      <c r="O152" s="273"/>
      <c r="P152" s="273"/>
      <c r="Q152" s="273"/>
      <c r="R152" s="273"/>
      <c r="S152" s="273"/>
      <c r="T152" s="273"/>
      <c r="U152" s="273"/>
      <c r="V152" s="273"/>
      <c r="W152" s="273"/>
      <c r="X152" s="274"/>
      <c r="Y152" s="273"/>
      <c r="Z152" s="273"/>
      <c r="AA152" s="273"/>
      <c r="AB152" s="273"/>
      <c r="AC152" s="273"/>
      <c r="AD152" s="273"/>
      <c r="AE152" s="273"/>
      <c r="AF152" s="273"/>
      <c r="AG152" s="273"/>
      <c r="AH152" s="273"/>
      <c r="AI152" s="273"/>
    </row>
    <row r="153" spans="1:35" ht="14.25" customHeight="1">
      <c r="A153" s="273"/>
      <c r="B153" s="273"/>
      <c r="C153" s="273"/>
      <c r="D153" s="273"/>
      <c r="E153" s="273"/>
      <c r="F153" s="273"/>
      <c r="G153" s="273"/>
      <c r="H153" s="273"/>
      <c r="I153" s="273"/>
      <c r="J153" s="273"/>
      <c r="K153" s="273"/>
      <c r="L153" s="274"/>
      <c r="M153" s="273"/>
      <c r="N153" s="273"/>
      <c r="O153" s="273"/>
      <c r="P153" s="273"/>
      <c r="Q153" s="273"/>
      <c r="R153" s="273"/>
      <c r="S153" s="273"/>
      <c r="T153" s="273"/>
      <c r="U153" s="273"/>
      <c r="V153" s="273"/>
      <c r="W153" s="273"/>
      <c r="X153" s="274"/>
      <c r="Y153" s="273"/>
      <c r="Z153" s="273"/>
      <c r="AA153" s="273"/>
      <c r="AB153" s="273"/>
      <c r="AC153" s="273"/>
      <c r="AD153" s="273"/>
      <c r="AE153" s="273"/>
      <c r="AF153" s="273"/>
      <c r="AG153" s="273"/>
      <c r="AH153" s="273"/>
      <c r="AI153" s="273"/>
    </row>
    <row r="154" spans="1:35" ht="14.25" customHeight="1">
      <c r="A154" s="273"/>
      <c r="B154" s="273"/>
      <c r="C154" s="273"/>
      <c r="D154" s="273"/>
      <c r="E154" s="273"/>
      <c r="F154" s="273"/>
      <c r="G154" s="273"/>
      <c r="H154" s="273"/>
      <c r="I154" s="273"/>
      <c r="J154" s="273"/>
      <c r="K154" s="273"/>
      <c r="L154" s="274"/>
      <c r="M154" s="273"/>
      <c r="N154" s="273"/>
      <c r="O154" s="273"/>
      <c r="P154" s="273"/>
      <c r="Q154" s="273"/>
      <c r="R154" s="273"/>
      <c r="S154" s="273"/>
      <c r="T154" s="273"/>
      <c r="U154" s="273"/>
      <c r="V154" s="273"/>
      <c r="W154" s="273"/>
      <c r="X154" s="274"/>
      <c r="Y154" s="273"/>
      <c r="Z154" s="273"/>
      <c r="AA154" s="273"/>
      <c r="AB154" s="273"/>
      <c r="AC154" s="273"/>
      <c r="AD154" s="273"/>
      <c r="AE154" s="273"/>
      <c r="AF154" s="273"/>
      <c r="AG154" s="273"/>
      <c r="AH154" s="273"/>
      <c r="AI154" s="273"/>
    </row>
    <row r="155" spans="1:35" ht="14.25" customHeight="1">
      <c r="A155" s="273"/>
      <c r="B155" s="273"/>
      <c r="C155" s="273"/>
      <c r="D155" s="273"/>
      <c r="E155" s="273"/>
      <c r="F155" s="273"/>
      <c r="G155" s="273"/>
      <c r="H155" s="273"/>
      <c r="I155" s="273"/>
      <c r="J155" s="273"/>
      <c r="K155" s="273"/>
      <c r="L155" s="274"/>
      <c r="M155" s="273"/>
      <c r="N155" s="273"/>
      <c r="O155" s="273"/>
      <c r="P155" s="273"/>
      <c r="Q155" s="273"/>
      <c r="R155" s="273"/>
      <c r="S155" s="273"/>
      <c r="T155" s="273"/>
      <c r="U155" s="273"/>
      <c r="V155" s="273"/>
      <c r="W155" s="273"/>
      <c r="X155" s="274"/>
      <c r="Y155" s="273"/>
      <c r="Z155" s="273"/>
      <c r="AA155" s="273"/>
      <c r="AB155" s="273"/>
      <c r="AC155" s="273"/>
      <c r="AD155" s="273"/>
      <c r="AE155" s="273"/>
      <c r="AF155" s="273"/>
      <c r="AG155" s="273"/>
      <c r="AH155" s="273"/>
      <c r="AI155" s="273"/>
    </row>
    <row r="156" spans="1:35" ht="14.25" customHeight="1">
      <c r="A156" s="273"/>
      <c r="B156" s="273"/>
      <c r="C156" s="273"/>
      <c r="D156" s="273"/>
      <c r="E156" s="273"/>
      <c r="F156" s="273"/>
      <c r="G156" s="273"/>
      <c r="H156" s="273"/>
      <c r="I156" s="273"/>
      <c r="J156" s="273"/>
      <c r="K156" s="273"/>
      <c r="L156" s="274"/>
      <c r="M156" s="273"/>
      <c r="N156" s="273"/>
      <c r="O156" s="273"/>
      <c r="P156" s="273"/>
      <c r="Q156" s="273"/>
      <c r="R156" s="273"/>
      <c r="S156" s="273"/>
      <c r="T156" s="273"/>
      <c r="U156" s="273"/>
      <c r="V156" s="273"/>
      <c r="W156" s="273"/>
      <c r="X156" s="274"/>
      <c r="Y156" s="273"/>
      <c r="Z156" s="273"/>
      <c r="AA156" s="273"/>
      <c r="AB156" s="273"/>
      <c r="AC156" s="273"/>
      <c r="AD156" s="273"/>
      <c r="AE156" s="273"/>
      <c r="AF156" s="273"/>
      <c r="AG156" s="273"/>
      <c r="AH156" s="273"/>
      <c r="AI156" s="273"/>
    </row>
    <row r="157" spans="1:35" ht="14.25" customHeight="1">
      <c r="A157" s="273"/>
      <c r="B157" s="273"/>
      <c r="C157" s="273"/>
      <c r="D157" s="273"/>
      <c r="E157" s="273"/>
      <c r="F157" s="273"/>
      <c r="G157" s="273"/>
      <c r="H157" s="273"/>
      <c r="I157" s="273"/>
      <c r="J157" s="273"/>
      <c r="K157" s="273"/>
      <c r="L157" s="274"/>
      <c r="M157" s="273"/>
      <c r="N157" s="273"/>
      <c r="O157" s="273"/>
      <c r="P157" s="273"/>
      <c r="Q157" s="273"/>
      <c r="R157" s="273"/>
      <c r="S157" s="273"/>
      <c r="T157" s="273"/>
      <c r="U157" s="273"/>
      <c r="V157" s="273"/>
      <c r="W157" s="273"/>
      <c r="X157" s="274"/>
      <c r="Y157" s="273"/>
      <c r="Z157" s="273"/>
      <c r="AA157" s="273"/>
      <c r="AB157" s="273"/>
      <c r="AC157" s="273"/>
      <c r="AD157" s="273"/>
      <c r="AE157" s="273"/>
      <c r="AF157" s="273"/>
      <c r="AG157" s="273"/>
      <c r="AH157" s="273"/>
      <c r="AI157" s="273"/>
    </row>
    <row r="158" spans="1:35" ht="14.25" customHeight="1">
      <c r="A158" s="273"/>
      <c r="B158" s="273"/>
      <c r="C158" s="273"/>
      <c r="D158" s="273"/>
      <c r="E158" s="273"/>
      <c r="F158" s="273"/>
      <c r="G158" s="273"/>
      <c r="H158" s="273"/>
      <c r="I158" s="273"/>
      <c r="J158" s="273"/>
      <c r="K158" s="273"/>
      <c r="L158" s="274"/>
      <c r="M158" s="273"/>
      <c r="N158" s="273"/>
      <c r="O158" s="273"/>
      <c r="P158" s="273"/>
      <c r="Q158" s="273"/>
      <c r="R158" s="273"/>
      <c r="S158" s="273"/>
      <c r="T158" s="273"/>
      <c r="U158" s="273"/>
      <c r="V158" s="273"/>
      <c r="W158" s="273"/>
      <c r="X158" s="274"/>
      <c r="Y158" s="273"/>
      <c r="Z158" s="273"/>
      <c r="AA158" s="273"/>
      <c r="AB158" s="273"/>
      <c r="AC158" s="273"/>
      <c r="AD158" s="273"/>
      <c r="AE158" s="273"/>
      <c r="AF158" s="273"/>
      <c r="AG158" s="273"/>
      <c r="AH158" s="273"/>
      <c r="AI158" s="273"/>
    </row>
    <row r="159" spans="1:35" ht="14.25" customHeight="1">
      <c r="A159" s="273"/>
      <c r="B159" s="273"/>
      <c r="C159" s="273"/>
      <c r="D159" s="273"/>
      <c r="E159" s="273"/>
      <c r="F159" s="273"/>
      <c r="G159" s="273"/>
      <c r="H159" s="273"/>
      <c r="I159" s="273"/>
      <c r="J159" s="273"/>
      <c r="K159" s="273"/>
      <c r="L159" s="274"/>
      <c r="M159" s="273"/>
      <c r="N159" s="273"/>
      <c r="O159" s="273"/>
      <c r="P159" s="273"/>
      <c r="Q159" s="273"/>
      <c r="R159" s="273"/>
      <c r="S159" s="273"/>
      <c r="T159" s="273"/>
      <c r="U159" s="273"/>
      <c r="V159" s="273"/>
      <c r="W159" s="273"/>
      <c r="X159" s="274"/>
      <c r="Y159" s="273"/>
      <c r="Z159" s="273"/>
      <c r="AA159" s="273"/>
      <c r="AB159" s="273"/>
      <c r="AC159" s="273"/>
      <c r="AD159" s="273"/>
      <c r="AE159" s="273"/>
      <c r="AF159" s="273"/>
      <c r="AG159" s="273"/>
      <c r="AH159" s="273"/>
      <c r="AI159" s="273"/>
    </row>
    <row r="160" spans="1:35" ht="14.25" customHeight="1">
      <c r="A160" s="273"/>
      <c r="B160" s="273"/>
      <c r="C160" s="273"/>
      <c r="D160" s="273"/>
      <c r="E160" s="273"/>
      <c r="F160" s="273"/>
      <c r="G160" s="273"/>
      <c r="H160" s="273"/>
      <c r="I160" s="273"/>
      <c r="J160" s="273"/>
      <c r="K160" s="273"/>
      <c r="L160" s="274"/>
      <c r="M160" s="273"/>
      <c r="N160" s="273"/>
      <c r="O160" s="273"/>
      <c r="P160" s="273"/>
      <c r="Q160" s="273"/>
      <c r="R160" s="273"/>
      <c r="S160" s="273"/>
      <c r="T160" s="273"/>
      <c r="U160" s="273"/>
      <c r="V160" s="273"/>
      <c r="W160" s="273"/>
      <c r="X160" s="274"/>
      <c r="Y160" s="273"/>
      <c r="Z160" s="273"/>
      <c r="AA160" s="273"/>
      <c r="AB160" s="273"/>
      <c r="AC160" s="273"/>
      <c r="AD160" s="273"/>
      <c r="AE160" s="273"/>
      <c r="AF160" s="273"/>
      <c r="AG160" s="273"/>
      <c r="AH160" s="273"/>
      <c r="AI160" s="273"/>
    </row>
    <row r="161" spans="1:35" ht="14.25" customHeight="1">
      <c r="A161" s="273"/>
      <c r="B161" s="273"/>
      <c r="C161" s="273"/>
      <c r="D161" s="273"/>
      <c r="E161" s="273"/>
      <c r="F161" s="273"/>
      <c r="G161" s="273"/>
      <c r="H161" s="273"/>
      <c r="I161" s="273"/>
      <c r="J161" s="273"/>
      <c r="K161" s="273"/>
      <c r="L161" s="274"/>
      <c r="M161" s="273"/>
      <c r="N161" s="273"/>
      <c r="O161" s="273"/>
      <c r="P161" s="273"/>
      <c r="Q161" s="273"/>
      <c r="R161" s="273"/>
      <c r="S161" s="273"/>
      <c r="T161" s="273"/>
      <c r="U161" s="273"/>
      <c r="V161" s="273"/>
      <c r="W161" s="273"/>
      <c r="X161" s="274"/>
      <c r="Y161" s="273"/>
      <c r="Z161" s="273"/>
      <c r="AA161" s="273"/>
      <c r="AB161" s="273"/>
      <c r="AC161" s="273"/>
      <c r="AD161" s="273"/>
      <c r="AE161" s="273"/>
      <c r="AF161" s="273"/>
      <c r="AG161" s="273"/>
      <c r="AH161" s="273"/>
      <c r="AI161" s="273"/>
    </row>
    <row r="162" spans="1:35" ht="14.25" customHeight="1">
      <c r="A162" s="273"/>
      <c r="B162" s="273"/>
      <c r="C162" s="273"/>
      <c r="D162" s="273"/>
      <c r="E162" s="273"/>
      <c r="F162" s="273"/>
      <c r="G162" s="273"/>
      <c r="H162" s="273"/>
      <c r="I162" s="273"/>
      <c r="J162" s="273"/>
      <c r="K162" s="273"/>
      <c r="L162" s="274"/>
      <c r="M162" s="273"/>
      <c r="N162" s="273"/>
      <c r="O162" s="273"/>
      <c r="P162" s="273"/>
      <c r="Q162" s="273"/>
      <c r="R162" s="273"/>
      <c r="S162" s="273"/>
      <c r="T162" s="273"/>
      <c r="U162" s="273"/>
      <c r="V162" s="273"/>
      <c r="W162" s="273"/>
      <c r="X162" s="274"/>
      <c r="Y162" s="273"/>
      <c r="Z162" s="273"/>
      <c r="AA162" s="273"/>
      <c r="AB162" s="273"/>
      <c r="AC162" s="273"/>
      <c r="AD162" s="273"/>
      <c r="AE162" s="273"/>
      <c r="AF162" s="273"/>
      <c r="AG162" s="273"/>
      <c r="AH162" s="273"/>
      <c r="AI162" s="273"/>
    </row>
    <row r="163" spans="1:35" ht="14.25" customHeight="1">
      <c r="A163" s="273"/>
      <c r="B163" s="273"/>
      <c r="C163" s="273"/>
      <c r="D163" s="273"/>
      <c r="E163" s="273"/>
      <c r="F163" s="273"/>
      <c r="G163" s="273"/>
      <c r="H163" s="273"/>
      <c r="I163" s="273"/>
      <c r="J163" s="273"/>
      <c r="K163" s="273"/>
      <c r="L163" s="274"/>
      <c r="M163" s="273"/>
      <c r="N163" s="273"/>
      <c r="O163" s="273"/>
      <c r="P163" s="273"/>
      <c r="Q163" s="273"/>
      <c r="R163" s="273"/>
      <c r="S163" s="273"/>
      <c r="T163" s="273"/>
      <c r="U163" s="273"/>
      <c r="V163" s="273"/>
      <c r="W163" s="273"/>
      <c r="X163" s="274"/>
      <c r="Y163" s="273"/>
      <c r="Z163" s="273"/>
      <c r="AA163" s="273"/>
      <c r="AB163" s="273"/>
      <c r="AC163" s="273"/>
      <c r="AD163" s="273"/>
      <c r="AE163" s="273"/>
      <c r="AF163" s="273"/>
      <c r="AG163" s="273"/>
      <c r="AH163" s="273"/>
      <c r="AI163" s="273"/>
    </row>
    <row r="164" spans="1:35" ht="14.25" customHeight="1">
      <c r="A164" s="273"/>
      <c r="B164" s="273"/>
      <c r="C164" s="273"/>
      <c r="D164" s="273"/>
      <c r="E164" s="273"/>
      <c r="F164" s="273"/>
      <c r="G164" s="273"/>
      <c r="H164" s="273"/>
      <c r="I164" s="273"/>
      <c r="J164" s="273"/>
      <c r="K164" s="273"/>
      <c r="L164" s="274"/>
      <c r="M164" s="273"/>
      <c r="N164" s="273"/>
      <c r="O164" s="273"/>
      <c r="P164" s="273"/>
      <c r="Q164" s="273"/>
      <c r="R164" s="273"/>
      <c r="S164" s="273"/>
      <c r="T164" s="273"/>
      <c r="U164" s="273"/>
      <c r="V164" s="273"/>
      <c r="W164" s="273"/>
      <c r="X164" s="274"/>
      <c r="Y164" s="273"/>
      <c r="Z164" s="273"/>
      <c r="AA164" s="273"/>
      <c r="AB164" s="273"/>
      <c r="AC164" s="273"/>
      <c r="AD164" s="273"/>
      <c r="AE164" s="273"/>
      <c r="AF164" s="273"/>
      <c r="AG164" s="273"/>
      <c r="AH164" s="273"/>
      <c r="AI164" s="273"/>
    </row>
    <row r="165" spans="1:35" ht="14.25" customHeight="1">
      <c r="A165" s="273"/>
      <c r="B165" s="273"/>
      <c r="C165" s="273"/>
      <c r="D165" s="273"/>
      <c r="E165" s="273"/>
      <c r="F165" s="273"/>
      <c r="G165" s="273"/>
      <c r="H165" s="273"/>
      <c r="I165" s="273"/>
      <c r="J165" s="273"/>
      <c r="K165" s="273"/>
      <c r="L165" s="274"/>
      <c r="M165" s="273"/>
      <c r="N165" s="273"/>
      <c r="O165" s="273"/>
      <c r="P165" s="273"/>
      <c r="Q165" s="273"/>
      <c r="R165" s="273"/>
      <c r="S165" s="273"/>
      <c r="T165" s="273"/>
      <c r="U165" s="273"/>
      <c r="V165" s="273"/>
      <c r="W165" s="273"/>
      <c r="X165" s="274"/>
      <c r="Y165" s="273"/>
      <c r="Z165" s="273"/>
      <c r="AA165" s="273"/>
      <c r="AB165" s="273"/>
      <c r="AC165" s="273"/>
      <c r="AD165" s="273"/>
      <c r="AE165" s="273"/>
      <c r="AF165" s="273"/>
      <c r="AG165" s="273"/>
      <c r="AH165" s="273"/>
      <c r="AI165" s="273"/>
    </row>
    <row r="166" spans="1:35" ht="14.25" customHeight="1">
      <c r="A166" s="273"/>
      <c r="B166" s="273"/>
      <c r="C166" s="273"/>
      <c r="D166" s="273"/>
      <c r="E166" s="273"/>
      <c r="F166" s="273"/>
      <c r="G166" s="273"/>
      <c r="H166" s="273"/>
      <c r="I166" s="273"/>
      <c r="J166" s="273"/>
      <c r="K166" s="273"/>
      <c r="L166" s="274"/>
      <c r="M166" s="273"/>
      <c r="N166" s="273"/>
      <c r="O166" s="273"/>
      <c r="P166" s="273"/>
      <c r="Q166" s="273"/>
      <c r="R166" s="273"/>
      <c r="S166" s="273"/>
      <c r="T166" s="273"/>
      <c r="U166" s="273"/>
      <c r="V166" s="273"/>
      <c r="W166" s="273"/>
      <c r="X166" s="274"/>
      <c r="Y166" s="273"/>
      <c r="Z166" s="273"/>
      <c r="AA166" s="273"/>
      <c r="AB166" s="273"/>
      <c r="AC166" s="273"/>
      <c r="AD166" s="273"/>
      <c r="AE166" s="273"/>
      <c r="AF166" s="273"/>
      <c r="AG166" s="273"/>
      <c r="AH166" s="273"/>
      <c r="AI166" s="273"/>
    </row>
    <row r="167" spans="1:35" ht="14.25" customHeight="1">
      <c r="A167" s="273"/>
      <c r="B167" s="273"/>
      <c r="C167" s="273"/>
      <c r="D167" s="273"/>
      <c r="E167" s="273"/>
      <c r="F167" s="273"/>
      <c r="G167" s="273"/>
      <c r="H167" s="273"/>
      <c r="I167" s="273"/>
      <c r="J167" s="273"/>
      <c r="K167" s="273"/>
      <c r="L167" s="274"/>
      <c r="M167" s="273"/>
      <c r="N167" s="273"/>
      <c r="O167" s="273"/>
      <c r="P167" s="273"/>
      <c r="Q167" s="273"/>
      <c r="R167" s="273"/>
      <c r="S167" s="273"/>
      <c r="T167" s="273"/>
      <c r="U167" s="273"/>
      <c r="V167" s="273"/>
      <c r="W167" s="273"/>
      <c r="X167" s="274"/>
      <c r="Y167" s="273"/>
      <c r="Z167" s="273"/>
      <c r="AA167" s="273"/>
      <c r="AB167" s="273"/>
      <c r="AC167" s="273"/>
      <c r="AD167" s="273"/>
      <c r="AE167" s="273"/>
      <c r="AF167" s="273"/>
      <c r="AG167" s="273"/>
      <c r="AH167" s="273"/>
      <c r="AI167" s="273"/>
    </row>
    <row r="168" spans="1:35" ht="14.25" customHeight="1">
      <c r="A168" s="273"/>
      <c r="B168" s="273"/>
      <c r="C168" s="273"/>
      <c r="D168" s="273"/>
      <c r="E168" s="273"/>
      <c r="F168" s="273"/>
      <c r="G168" s="273"/>
      <c r="H168" s="273"/>
      <c r="I168" s="273"/>
      <c r="J168" s="273"/>
      <c r="K168" s="273"/>
      <c r="L168" s="274"/>
      <c r="M168" s="273"/>
      <c r="N168" s="273"/>
      <c r="O168" s="273"/>
      <c r="P168" s="273"/>
      <c r="Q168" s="273"/>
      <c r="R168" s="273"/>
      <c r="S168" s="273"/>
      <c r="T168" s="273"/>
      <c r="U168" s="273"/>
      <c r="V168" s="273"/>
      <c r="W168" s="273"/>
      <c r="X168" s="274"/>
      <c r="Y168" s="273"/>
      <c r="Z168" s="273"/>
      <c r="AA168" s="273"/>
      <c r="AB168" s="273"/>
      <c r="AC168" s="273"/>
      <c r="AD168" s="273"/>
      <c r="AE168" s="273"/>
      <c r="AF168" s="273"/>
      <c r="AG168" s="273"/>
      <c r="AH168" s="273"/>
      <c r="AI168" s="273"/>
    </row>
    <row r="169" spans="1:35" ht="14.25" customHeight="1">
      <c r="A169" s="273"/>
      <c r="B169" s="273"/>
      <c r="C169" s="273"/>
      <c r="D169" s="273"/>
      <c r="E169" s="273"/>
      <c r="F169" s="273"/>
      <c r="G169" s="273"/>
      <c r="H169" s="273"/>
      <c r="I169" s="273"/>
      <c r="J169" s="273"/>
      <c r="K169" s="273"/>
      <c r="L169" s="274"/>
      <c r="M169" s="273"/>
      <c r="N169" s="273"/>
      <c r="O169" s="273"/>
      <c r="P169" s="273"/>
      <c r="Q169" s="273"/>
      <c r="R169" s="273"/>
      <c r="S169" s="273"/>
      <c r="T169" s="273"/>
      <c r="U169" s="273"/>
      <c r="V169" s="273"/>
      <c r="W169" s="273"/>
      <c r="X169" s="274"/>
      <c r="Y169" s="273"/>
      <c r="Z169" s="273"/>
      <c r="AA169" s="273"/>
      <c r="AB169" s="273"/>
      <c r="AC169" s="273"/>
      <c r="AD169" s="273"/>
      <c r="AE169" s="273"/>
      <c r="AF169" s="273"/>
      <c r="AG169" s="273"/>
      <c r="AH169" s="273"/>
      <c r="AI169" s="273"/>
    </row>
    <row r="170" spans="1:35" ht="14.25" customHeight="1">
      <c r="A170" s="273"/>
      <c r="B170" s="273"/>
      <c r="C170" s="273"/>
      <c r="D170" s="273"/>
      <c r="E170" s="273"/>
      <c r="F170" s="273"/>
      <c r="G170" s="273"/>
      <c r="H170" s="273"/>
      <c r="I170" s="273"/>
      <c r="J170" s="273"/>
      <c r="K170" s="273"/>
      <c r="L170" s="274"/>
      <c r="M170" s="273"/>
      <c r="N170" s="273"/>
      <c r="O170" s="273"/>
      <c r="P170" s="273"/>
      <c r="Q170" s="273"/>
      <c r="R170" s="273"/>
      <c r="S170" s="273"/>
      <c r="T170" s="273"/>
      <c r="U170" s="273"/>
      <c r="V170" s="273"/>
      <c r="W170" s="273"/>
      <c r="X170" s="274"/>
      <c r="Y170" s="273"/>
      <c r="Z170" s="273"/>
      <c r="AA170" s="273"/>
      <c r="AB170" s="273"/>
      <c r="AC170" s="273"/>
      <c r="AD170" s="273"/>
      <c r="AE170" s="273"/>
      <c r="AF170" s="273"/>
      <c r="AG170" s="273"/>
      <c r="AH170" s="273"/>
      <c r="AI170" s="273"/>
    </row>
    <row r="171" spans="1:35" ht="14.25" customHeight="1">
      <c r="A171" s="273"/>
      <c r="B171" s="273"/>
      <c r="C171" s="273"/>
      <c r="D171" s="273"/>
      <c r="E171" s="273"/>
      <c r="F171" s="273"/>
      <c r="G171" s="273"/>
      <c r="H171" s="273"/>
      <c r="I171" s="273"/>
      <c r="J171" s="273"/>
      <c r="K171" s="273"/>
      <c r="L171" s="274"/>
      <c r="M171" s="273"/>
      <c r="N171" s="273"/>
      <c r="O171" s="273"/>
      <c r="P171" s="273"/>
      <c r="Q171" s="273"/>
      <c r="R171" s="273"/>
      <c r="S171" s="273"/>
      <c r="T171" s="273"/>
      <c r="U171" s="273"/>
      <c r="V171" s="273"/>
      <c r="W171" s="273"/>
      <c r="X171" s="274"/>
      <c r="Y171" s="273"/>
      <c r="Z171" s="273"/>
      <c r="AA171" s="273"/>
      <c r="AB171" s="273"/>
      <c r="AC171" s="273"/>
      <c r="AD171" s="273"/>
      <c r="AE171" s="273"/>
      <c r="AF171" s="273"/>
      <c r="AG171" s="273"/>
      <c r="AH171" s="273"/>
      <c r="AI171" s="273"/>
    </row>
    <row r="172" spans="1:35" ht="14.25" customHeight="1">
      <c r="A172" s="273"/>
      <c r="B172" s="273"/>
      <c r="C172" s="273"/>
      <c r="D172" s="273"/>
      <c r="E172" s="273"/>
      <c r="F172" s="273"/>
      <c r="G172" s="273"/>
      <c r="H172" s="273"/>
      <c r="I172" s="273"/>
      <c r="J172" s="273"/>
      <c r="K172" s="273"/>
      <c r="L172" s="274"/>
      <c r="M172" s="273"/>
      <c r="N172" s="273"/>
      <c r="O172" s="273"/>
      <c r="P172" s="273"/>
      <c r="Q172" s="273"/>
      <c r="R172" s="273"/>
      <c r="S172" s="273"/>
      <c r="T172" s="273"/>
      <c r="U172" s="273"/>
      <c r="V172" s="273"/>
      <c r="W172" s="273"/>
      <c r="X172" s="274"/>
      <c r="Y172" s="273"/>
      <c r="Z172" s="273"/>
      <c r="AA172" s="273"/>
      <c r="AB172" s="273"/>
      <c r="AC172" s="273"/>
      <c r="AD172" s="273"/>
      <c r="AE172" s="273"/>
      <c r="AF172" s="273"/>
      <c r="AG172" s="273"/>
      <c r="AH172" s="273"/>
      <c r="AI172" s="273"/>
    </row>
    <row r="173" spans="1:35" ht="14.25" customHeight="1">
      <c r="A173" s="273"/>
      <c r="B173" s="273"/>
      <c r="C173" s="273"/>
      <c r="D173" s="273"/>
      <c r="E173" s="273"/>
      <c r="F173" s="273"/>
      <c r="G173" s="273"/>
      <c r="H173" s="273"/>
      <c r="I173" s="273"/>
      <c r="J173" s="273"/>
      <c r="K173" s="273"/>
      <c r="L173" s="274"/>
      <c r="M173" s="273"/>
      <c r="N173" s="273"/>
      <c r="O173" s="273"/>
      <c r="P173" s="273"/>
      <c r="Q173" s="273"/>
      <c r="R173" s="273"/>
      <c r="S173" s="273"/>
      <c r="T173" s="273"/>
      <c r="U173" s="273"/>
      <c r="V173" s="273"/>
      <c r="W173" s="273"/>
      <c r="X173" s="274"/>
      <c r="Y173" s="273"/>
      <c r="Z173" s="273"/>
      <c r="AA173" s="273"/>
      <c r="AB173" s="273"/>
      <c r="AC173" s="273"/>
      <c r="AD173" s="273"/>
      <c r="AE173" s="273"/>
      <c r="AF173" s="273"/>
      <c r="AG173" s="273"/>
      <c r="AH173" s="273"/>
      <c r="AI173" s="273"/>
    </row>
    <row r="174" spans="1:35" ht="14.25" customHeight="1">
      <c r="A174" s="273"/>
      <c r="B174" s="273"/>
      <c r="C174" s="273"/>
      <c r="D174" s="273"/>
      <c r="E174" s="273"/>
      <c r="F174" s="273"/>
      <c r="G174" s="273"/>
      <c r="H174" s="273"/>
      <c r="I174" s="273"/>
      <c r="J174" s="273"/>
      <c r="K174" s="273"/>
      <c r="L174" s="274"/>
      <c r="M174" s="273"/>
      <c r="N174" s="273"/>
      <c r="O174" s="273"/>
      <c r="P174" s="273"/>
      <c r="Q174" s="273"/>
      <c r="R174" s="273"/>
      <c r="S174" s="273"/>
      <c r="T174" s="273"/>
      <c r="U174" s="273"/>
      <c r="V174" s="273"/>
      <c r="W174" s="273"/>
      <c r="X174" s="274"/>
      <c r="Y174" s="273"/>
      <c r="Z174" s="273"/>
      <c r="AA174" s="273"/>
      <c r="AB174" s="273"/>
      <c r="AC174" s="273"/>
      <c r="AD174" s="273"/>
      <c r="AE174" s="273"/>
      <c r="AF174" s="273"/>
      <c r="AG174" s="273"/>
      <c r="AH174" s="273"/>
      <c r="AI174" s="273"/>
    </row>
    <row r="175" spans="1:35" ht="14.25" customHeight="1">
      <c r="A175" s="273"/>
      <c r="B175" s="273"/>
      <c r="C175" s="273"/>
      <c r="D175" s="273"/>
      <c r="E175" s="273"/>
      <c r="F175" s="273"/>
      <c r="G175" s="273"/>
      <c r="H175" s="273"/>
      <c r="I175" s="273"/>
      <c r="J175" s="273"/>
      <c r="K175" s="273"/>
      <c r="L175" s="274"/>
      <c r="M175" s="273"/>
      <c r="N175" s="273"/>
      <c r="O175" s="273"/>
      <c r="P175" s="273"/>
      <c r="Q175" s="273"/>
      <c r="R175" s="273"/>
      <c r="S175" s="273"/>
      <c r="T175" s="273"/>
      <c r="U175" s="273"/>
      <c r="V175" s="273"/>
      <c r="W175" s="273"/>
      <c r="X175" s="274"/>
      <c r="Y175" s="273"/>
      <c r="Z175" s="273"/>
      <c r="AA175" s="273"/>
      <c r="AB175" s="273"/>
      <c r="AC175" s="273"/>
      <c r="AD175" s="273"/>
      <c r="AE175" s="273"/>
      <c r="AF175" s="273"/>
      <c r="AG175" s="273"/>
      <c r="AH175" s="273"/>
      <c r="AI175" s="273"/>
    </row>
    <row r="176" spans="1:35" ht="14.25" customHeight="1">
      <c r="A176" s="273"/>
      <c r="B176" s="273"/>
      <c r="C176" s="273"/>
      <c r="D176" s="273"/>
      <c r="E176" s="273"/>
      <c r="F176" s="273"/>
      <c r="G176" s="273"/>
      <c r="H176" s="273"/>
      <c r="I176" s="273"/>
      <c r="J176" s="273"/>
      <c r="K176" s="273"/>
      <c r="L176" s="274"/>
      <c r="M176" s="273"/>
      <c r="N176" s="273"/>
      <c r="O176" s="273"/>
      <c r="P176" s="273"/>
      <c r="Q176" s="273"/>
      <c r="R176" s="273"/>
      <c r="S176" s="273"/>
      <c r="T176" s="273"/>
      <c r="U176" s="273"/>
      <c r="V176" s="273"/>
      <c r="W176" s="273"/>
      <c r="X176" s="274"/>
      <c r="Y176" s="273"/>
      <c r="Z176" s="273"/>
      <c r="AA176" s="273"/>
      <c r="AB176" s="273"/>
      <c r="AC176" s="273"/>
      <c r="AD176" s="273"/>
      <c r="AE176" s="273"/>
      <c r="AF176" s="273"/>
      <c r="AG176" s="273"/>
      <c r="AH176" s="273"/>
      <c r="AI176" s="273"/>
    </row>
    <row r="177" spans="1:35" ht="14.25" customHeight="1">
      <c r="A177" s="273"/>
      <c r="B177" s="273"/>
      <c r="C177" s="273"/>
      <c r="D177" s="273"/>
      <c r="E177" s="273"/>
      <c r="F177" s="273"/>
      <c r="G177" s="273"/>
      <c r="H177" s="273"/>
      <c r="I177" s="273"/>
      <c r="J177" s="273"/>
      <c r="K177" s="273"/>
      <c r="L177" s="274"/>
      <c r="M177" s="273"/>
      <c r="N177" s="273"/>
      <c r="O177" s="273"/>
      <c r="P177" s="273"/>
      <c r="Q177" s="273"/>
      <c r="R177" s="273"/>
      <c r="S177" s="273"/>
      <c r="T177" s="273"/>
      <c r="U177" s="273"/>
      <c r="V177" s="273"/>
      <c r="W177" s="273"/>
      <c r="X177" s="274"/>
      <c r="Y177" s="273"/>
      <c r="Z177" s="273"/>
      <c r="AA177" s="273"/>
      <c r="AB177" s="273"/>
      <c r="AC177" s="273"/>
      <c r="AD177" s="273"/>
      <c r="AE177" s="273"/>
      <c r="AF177" s="273"/>
      <c r="AG177" s="273"/>
      <c r="AH177" s="273"/>
      <c r="AI177" s="273"/>
    </row>
    <row r="178" spans="1:35" ht="14.25" customHeight="1">
      <c r="A178" s="273"/>
      <c r="B178" s="273"/>
      <c r="C178" s="273"/>
      <c r="D178" s="273"/>
      <c r="E178" s="273"/>
      <c r="F178" s="273"/>
      <c r="G178" s="273"/>
      <c r="H178" s="273"/>
      <c r="I178" s="273"/>
      <c r="J178" s="273"/>
      <c r="K178" s="273"/>
      <c r="L178" s="274"/>
      <c r="M178" s="273"/>
      <c r="N178" s="273"/>
      <c r="O178" s="273"/>
      <c r="P178" s="273"/>
      <c r="Q178" s="273"/>
      <c r="R178" s="273"/>
      <c r="S178" s="273"/>
      <c r="T178" s="273"/>
      <c r="U178" s="273"/>
      <c r="V178" s="273"/>
      <c r="W178" s="273"/>
      <c r="X178" s="274"/>
      <c r="Y178" s="273"/>
      <c r="Z178" s="273"/>
      <c r="AA178" s="273"/>
      <c r="AB178" s="273"/>
      <c r="AC178" s="273"/>
      <c r="AD178" s="273"/>
      <c r="AE178" s="273"/>
      <c r="AF178" s="273"/>
      <c r="AG178" s="273"/>
      <c r="AH178" s="273"/>
      <c r="AI178" s="273"/>
    </row>
    <row r="179" spans="1:35" ht="14.25" customHeight="1">
      <c r="A179" s="273"/>
      <c r="B179" s="273"/>
      <c r="C179" s="273"/>
      <c r="D179" s="273"/>
      <c r="E179" s="273"/>
      <c r="F179" s="273"/>
      <c r="G179" s="273"/>
      <c r="H179" s="273"/>
      <c r="I179" s="273"/>
      <c r="J179" s="273"/>
      <c r="K179" s="273"/>
      <c r="L179" s="274"/>
      <c r="M179" s="273"/>
      <c r="N179" s="273"/>
      <c r="O179" s="273"/>
      <c r="P179" s="273"/>
      <c r="Q179" s="273"/>
      <c r="R179" s="273"/>
      <c r="S179" s="273"/>
      <c r="T179" s="273"/>
      <c r="U179" s="273"/>
      <c r="V179" s="273"/>
      <c r="W179" s="273"/>
      <c r="X179" s="274"/>
      <c r="Y179" s="273"/>
      <c r="Z179" s="273"/>
      <c r="AA179" s="273"/>
      <c r="AB179" s="273"/>
      <c r="AC179" s="273"/>
      <c r="AD179" s="273"/>
      <c r="AE179" s="273"/>
      <c r="AF179" s="273"/>
      <c r="AG179" s="273"/>
      <c r="AH179" s="273"/>
      <c r="AI179" s="273"/>
    </row>
    <row r="180" spans="1:35" ht="14.25" customHeight="1">
      <c r="A180" s="273"/>
      <c r="B180" s="273"/>
      <c r="C180" s="273"/>
      <c r="D180" s="273"/>
      <c r="E180" s="273"/>
      <c r="F180" s="273"/>
      <c r="G180" s="273"/>
      <c r="H180" s="273"/>
      <c r="I180" s="273"/>
      <c r="J180" s="273"/>
      <c r="K180" s="273"/>
      <c r="L180" s="274"/>
      <c r="M180" s="273"/>
      <c r="N180" s="273"/>
      <c r="O180" s="273"/>
      <c r="P180" s="273"/>
      <c r="Q180" s="273"/>
      <c r="R180" s="273"/>
      <c r="S180" s="273"/>
      <c r="T180" s="273"/>
      <c r="U180" s="273"/>
      <c r="V180" s="273"/>
      <c r="W180" s="273"/>
      <c r="X180" s="274"/>
      <c r="Y180" s="273"/>
      <c r="Z180" s="273"/>
      <c r="AA180" s="273"/>
      <c r="AB180" s="273"/>
      <c r="AC180" s="273"/>
      <c r="AD180" s="273"/>
      <c r="AE180" s="273"/>
      <c r="AF180" s="273"/>
      <c r="AG180" s="273"/>
      <c r="AH180" s="273"/>
      <c r="AI180" s="273"/>
    </row>
    <row r="181" spans="1:35" ht="14.25" customHeight="1">
      <c r="A181" s="273"/>
      <c r="B181" s="273"/>
      <c r="C181" s="273"/>
      <c r="D181" s="273"/>
      <c r="E181" s="273"/>
      <c r="F181" s="273"/>
      <c r="G181" s="273"/>
      <c r="H181" s="273"/>
      <c r="I181" s="273"/>
      <c r="J181" s="273"/>
      <c r="K181" s="273"/>
      <c r="L181" s="274"/>
      <c r="M181" s="273"/>
      <c r="N181" s="273"/>
      <c r="O181" s="273"/>
      <c r="P181" s="273"/>
      <c r="Q181" s="273"/>
      <c r="R181" s="273"/>
      <c r="S181" s="273"/>
      <c r="T181" s="273"/>
      <c r="U181" s="273"/>
      <c r="V181" s="273"/>
      <c r="W181" s="273"/>
      <c r="X181" s="274"/>
      <c r="Y181" s="273"/>
      <c r="Z181" s="273"/>
      <c r="AA181" s="273"/>
      <c r="AB181" s="273"/>
      <c r="AC181" s="273"/>
      <c r="AD181" s="273"/>
      <c r="AE181" s="273"/>
      <c r="AF181" s="273"/>
      <c r="AG181" s="273"/>
      <c r="AH181" s="273"/>
      <c r="AI181" s="273"/>
    </row>
    <row r="182" spans="1:35" ht="14.25" customHeight="1">
      <c r="A182" s="273"/>
      <c r="B182" s="273"/>
      <c r="C182" s="273"/>
      <c r="D182" s="273"/>
      <c r="E182" s="273"/>
      <c r="F182" s="273"/>
      <c r="G182" s="273"/>
      <c r="H182" s="273"/>
      <c r="I182" s="273"/>
      <c r="J182" s="273"/>
      <c r="K182" s="273"/>
      <c r="L182" s="274"/>
      <c r="M182" s="273"/>
      <c r="N182" s="273"/>
      <c r="O182" s="273"/>
      <c r="P182" s="273"/>
      <c r="Q182" s="273"/>
      <c r="R182" s="273"/>
      <c r="S182" s="273"/>
      <c r="T182" s="273"/>
      <c r="U182" s="273"/>
      <c r="V182" s="273"/>
      <c r="W182" s="273"/>
      <c r="X182" s="274"/>
      <c r="Y182" s="273"/>
      <c r="Z182" s="273"/>
      <c r="AA182" s="273"/>
      <c r="AB182" s="273"/>
      <c r="AC182" s="273"/>
      <c r="AD182" s="273"/>
      <c r="AE182" s="273"/>
      <c r="AF182" s="273"/>
      <c r="AG182" s="273"/>
      <c r="AH182" s="273"/>
      <c r="AI182" s="273"/>
    </row>
    <row r="183" spans="1:35" ht="14.25" customHeight="1">
      <c r="A183" s="273"/>
      <c r="B183" s="273"/>
      <c r="C183" s="273"/>
      <c r="D183" s="273"/>
      <c r="E183" s="273"/>
      <c r="F183" s="273"/>
      <c r="G183" s="273"/>
      <c r="H183" s="273"/>
      <c r="I183" s="273"/>
      <c r="J183" s="273"/>
      <c r="K183" s="273"/>
      <c r="L183" s="274"/>
      <c r="M183" s="273"/>
      <c r="N183" s="273"/>
      <c r="O183" s="273"/>
      <c r="P183" s="273"/>
      <c r="Q183" s="273"/>
      <c r="R183" s="273"/>
      <c r="S183" s="273"/>
      <c r="T183" s="273"/>
      <c r="U183" s="273"/>
      <c r="V183" s="273"/>
      <c r="W183" s="273"/>
      <c r="X183" s="274"/>
      <c r="Y183" s="273"/>
      <c r="Z183" s="273"/>
      <c r="AA183" s="273"/>
      <c r="AB183" s="273"/>
      <c r="AC183" s="273"/>
      <c r="AD183" s="273"/>
      <c r="AE183" s="273"/>
      <c r="AF183" s="273"/>
      <c r="AG183" s="273"/>
      <c r="AH183" s="273"/>
      <c r="AI183" s="273"/>
    </row>
    <row r="184" spans="1:35" ht="14.25" customHeight="1">
      <c r="A184" s="273"/>
      <c r="B184" s="273"/>
      <c r="C184" s="273"/>
      <c r="D184" s="273"/>
      <c r="E184" s="273"/>
      <c r="F184" s="273"/>
      <c r="G184" s="273"/>
      <c r="H184" s="273"/>
      <c r="I184" s="273"/>
      <c r="J184" s="273"/>
      <c r="K184" s="273"/>
      <c r="L184" s="274"/>
      <c r="M184" s="273"/>
      <c r="N184" s="273"/>
      <c r="O184" s="273"/>
      <c r="P184" s="273"/>
      <c r="Q184" s="273"/>
      <c r="R184" s="273"/>
      <c r="S184" s="273"/>
      <c r="T184" s="273"/>
      <c r="U184" s="273"/>
      <c r="V184" s="273"/>
      <c r="W184" s="273"/>
      <c r="X184" s="274"/>
      <c r="Y184" s="273"/>
      <c r="Z184" s="273"/>
      <c r="AA184" s="273"/>
      <c r="AB184" s="273"/>
      <c r="AC184" s="273"/>
      <c r="AD184" s="273"/>
      <c r="AE184" s="273"/>
      <c r="AF184" s="273"/>
      <c r="AG184" s="273"/>
      <c r="AH184" s="273"/>
      <c r="AI184" s="273"/>
    </row>
    <row r="185" spans="1:35" ht="14.25" customHeight="1">
      <c r="A185" s="273"/>
      <c r="B185" s="273"/>
      <c r="C185" s="273"/>
      <c r="D185" s="273"/>
      <c r="E185" s="273"/>
      <c r="F185" s="273"/>
      <c r="G185" s="273"/>
      <c r="H185" s="273"/>
      <c r="I185" s="273"/>
      <c r="J185" s="273"/>
      <c r="K185" s="273"/>
      <c r="L185" s="274"/>
      <c r="M185" s="273"/>
      <c r="N185" s="273"/>
      <c r="O185" s="273"/>
      <c r="P185" s="273"/>
      <c r="Q185" s="273"/>
      <c r="R185" s="273"/>
      <c r="S185" s="273"/>
      <c r="T185" s="273"/>
      <c r="U185" s="273"/>
      <c r="V185" s="273"/>
      <c r="W185" s="273"/>
      <c r="X185" s="274"/>
      <c r="Y185" s="273"/>
      <c r="Z185" s="273"/>
      <c r="AA185" s="273"/>
      <c r="AB185" s="273"/>
      <c r="AC185" s="273"/>
      <c r="AD185" s="273"/>
      <c r="AE185" s="273"/>
      <c r="AF185" s="273"/>
      <c r="AG185" s="273"/>
      <c r="AH185" s="273"/>
      <c r="AI185" s="273"/>
    </row>
    <row r="186" spans="1:35" ht="14.25" customHeight="1">
      <c r="A186" s="273"/>
      <c r="B186" s="273"/>
      <c r="C186" s="273"/>
      <c r="D186" s="273"/>
      <c r="E186" s="273"/>
      <c r="F186" s="273"/>
      <c r="G186" s="273"/>
      <c r="H186" s="273"/>
      <c r="I186" s="273"/>
      <c r="J186" s="273"/>
      <c r="K186" s="273"/>
      <c r="L186" s="274"/>
      <c r="M186" s="273"/>
      <c r="N186" s="273"/>
      <c r="O186" s="273"/>
      <c r="P186" s="273"/>
      <c r="Q186" s="273"/>
      <c r="R186" s="273"/>
      <c r="S186" s="273"/>
      <c r="T186" s="273"/>
      <c r="U186" s="273"/>
      <c r="V186" s="273"/>
      <c r="W186" s="273"/>
      <c r="X186" s="274"/>
      <c r="Y186" s="273"/>
      <c r="Z186" s="273"/>
      <c r="AA186" s="273"/>
      <c r="AB186" s="273"/>
      <c r="AC186" s="273"/>
      <c r="AD186" s="273"/>
      <c r="AE186" s="273"/>
      <c r="AF186" s="273"/>
      <c r="AG186" s="273"/>
      <c r="AH186" s="273"/>
      <c r="AI186" s="273"/>
    </row>
    <row r="187" spans="1:35" ht="14.25" customHeight="1">
      <c r="A187" s="273"/>
      <c r="B187" s="273"/>
      <c r="C187" s="273"/>
      <c r="D187" s="273"/>
      <c r="E187" s="273"/>
      <c r="F187" s="273"/>
      <c r="G187" s="273"/>
      <c r="H187" s="273"/>
      <c r="I187" s="273"/>
      <c r="J187" s="273"/>
      <c r="K187" s="273"/>
      <c r="L187" s="274"/>
      <c r="M187" s="273"/>
      <c r="N187" s="273"/>
      <c r="O187" s="273"/>
      <c r="P187" s="273"/>
      <c r="Q187" s="273"/>
      <c r="R187" s="273"/>
      <c r="S187" s="273"/>
      <c r="T187" s="273"/>
      <c r="U187" s="273"/>
      <c r="V187" s="273"/>
      <c r="W187" s="273"/>
      <c r="X187" s="274"/>
      <c r="Y187" s="273"/>
      <c r="Z187" s="273"/>
      <c r="AA187" s="273"/>
      <c r="AB187" s="273"/>
      <c r="AC187" s="273"/>
      <c r="AD187" s="273"/>
      <c r="AE187" s="273"/>
      <c r="AF187" s="273"/>
      <c r="AG187" s="273"/>
      <c r="AH187" s="273"/>
      <c r="AI187" s="273"/>
    </row>
    <row r="188" spans="1:35" ht="14.25" customHeight="1">
      <c r="A188" s="273"/>
      <c r="B188" s="273"/>
      <c r="C188" s="273"/>
      <c r="D188" s="273"/>
      <c r="E188" s="273"/>
      <c r="F188" s="273"/>
      <c r="G188" s="273"/>
      <c r="H188" s="273"/>
      <c r="I188" s="273"/>
      <c r="J188" s="273"/>
      <c r="K188" s="273"/>
      <c r="L188" s="274"/>
      <c r="M188" s="273"/>
      <c r="N188" s="273"/>
      <c r="O188" s="273"/>
      <c r="P188" s="273"/>
      <c r="Q188" s="273"/>
      <c r="R188" s="273"/>
      <c r="S188" s="273"/>
      <c r="T188" s="273"/>
      <c r="U188" s="273"/>
      <c r="V188" s="273"/>
      <c r="W188" s="273"/>
      <c r="X188" s="274"/>
      <c r="Y188" s="273"/>
      <c r="Z188" s="273"/>
      <c r="AA188" s="273"/>
      <c r="AB188" s="273"/>
      <c r="AC188" s="273"/>
      <c r="AD188" s="273"/>
      <c r="AE188" s="273"/>
      <c r="AF188" s="273"/>
      <c r="AG188" s="273"/>
      <c r="AH188" s="273"/>
      <c r="AI188" s="273"/>
    </row>
    <row r="189" spans="1:35" ht="14.25" customHeight="1">
      <c r="A189" s="273"/>
      <c r="B189" s="273"/>
      <c r="C189" s="273"/>
      <c r="D189" s="273"/>
      <c r="E189" s="273"/>
      <c r="F189" s="273"/>
      <c r="G189" s="273"/>
      <c r="H189" s="273"/>
      <c r="I189" s="273"/>
      <c r="J189" s="273"/>
      <c r="K189" s="273"/>
      <c r="L189" s="274"/>
      <c r="M189" s="273"/>
      <c r="N189" s="273"/>
      <c r="O189" s="273"/>
      <c r="P189" s="273"/>
      <c r="Q189" s="273"/>
      <c r="R189" s="273"/>
      <c r="S189" s="273"/>
      <c r="T189" s="273"/>
      <c r="U189" s="273"/>
      <c r="V189" s="273"/>
      <c r="W189" s="273"/>
      <c r="X189" s="274"/>
      <c r="Y189" s="273"/>
      <c r="Z189" s="273"/>
      <c r="AA189" s="273"/>
      <c r="AB189" s="273"/>
      <c r="AC189" s="273"/>
      <c r="AD189" s="273"/>
      <c r="AE189" s="273"/>
      <c r="AF189" s="273"/>
      <c r="AG189" s="273"/>
      <c r="AH189" s="273"/>
      <c r="AI189" s="273"/>
    </row>
    <row r="190" spans="1:35" ht="14.25" customHeight="1">
      <c r="A190" s="273"/>
      <c r="B190" s="273"/>
      <c r="C190" s="273"/>
      <c r="D190" s="273"/>
      <c r="E190" s="273"/>
      <c r="F190" s="273"/>
      <c r="G190" s="273"/>
      <c r="H190" s="273"/>
      <c r="I190" s="273"/>
      <c r="J190" s="273"/>
      <c r="K190" s="273"/>
      <c r="L190" s="274"/>
      <c r="M190" s="273"/>
      <c r="N190" s="273"/>
      <c r="O190" s="273"/>
      <c r="P190" s="273"/>
      <c r="Q190" s="273"/>
      <c r="R190" s="273"/>
      <c r="S190" s="273"/>
      <c r="T190" s="273"/>
      <c r="U190" s="273"/>
      <c r="V190" s="273"/>
      <c r="W190" s="273"/>
      <c r="X190" s="274"/>
      <c r="Y190" s="273"/>
      <c r="Z190" s="273"/>
      <c r="AA190" s="273"/>
      <c r="AB190" s="273"/>
      <c r="AC190" s="273"/>
      <c r="AD190" s="273"/>
      <c r="AE190" s="273"/>
      <c r="AF190" s="273"/>
      <c r="AG190" s="273"/>
      <c r="AH190" s="273"/>
      <c r="AI190" s="273"/>
    </row>
    <row r="191" spans="1:35" ht="14.25" customHeight="1">
      <c r="A191" s="273"/>
      <c r="B191" s="273"/>
      <c r="C191" s="273"/>
      <c r="D191" s="273"/>
      <c r="E191" s="273"/>
      <c r="F191" s="273"/>
      <c r="G191" s="273"/>
      <c r="H191" s="273"/>
      <c r="I191" s="273"/>
      <c r="J191" s="273"/>
      <c r="K191" s="273"/>
      <c r="L191" s="274"/>
      <c r="M191" s="273"/>
      <c r="N191" s="273"/>
      <c r="O191" s="273"/>
      <c r="P191" s="273"/>
      <c r="Q191" s="273"/>
      <c r="R191" s="273"/>
      <c r="S191" s="273"/>
      <c r="T191" s="273"/>
      <c r="U191" s="273"/>
      <c r="V191" s="273"/>
      <c r="W191" s="273"/>
      <c r="X191" s="274"/>
      <c r="Y191" s="273"/>
      <c r="Z191" s="273"/>
      <c r="AA191" s="273"/>
      <c r="AB191" s="273"/>
      <c r="AC191" s="273"/>
      <c r="AD191" s="273"/>
      <c r="AE191" s="273"/>
      <c r="AF191" s="273"/>
      <c r="AG191" s="273"/>
      <c r="AH191" s="273"/>
      <c r="AI191" s="273"/>
    </row>
    <row r="192" spans="1:35" ht="14.25" customHeight="1">
      <c r="A192" s="273"/>
      <c r="B192" s="273"/>
      <c r="C192" s="273"/>
      <c r="D192" s="273"/>
      <c r="E192" s="273"/>
      <c r="F192" s="273"/>
      <c r="G192" s="273"/>
      <c r="H192" s="273"/>
      <c r="I192" s="273"/>
      <c r="J192" s="273"/>
      <c r="K192" s="273"/>
      <c r="L192" s="274"/>
      <c r="M192" s="273"/>
      <c r="N192" s="273"/>
      <c r="O192" s="273"/>
      <c r="P192" s="273"/>
      <c r="Q192" s="273"/>
      <c r="R192" s="273"/>
      <c r="S192" s="273"/>
      <c r="T192" s="273"/>
      <c r="U192" s="273"/>
      <c r="V192" s="273"/>
      <c r="W192" s="273"/>
      <c r="X192" s="274"/>
      <c r="Y192" s="273"/>
      <c r="Z192" s="273"/>
      <c r="AA192" s="273"/>
      <c r="AB192" s="273"/>
      <c r="AC192" s="273"/>
      <c r="AD192" s="273"/>
      <c r="AE192" s="273"/>
      <c r="AF192" s="273"/>
      <c r="AG192" s="273"/>
      <c r="AH192" s="273"/>
      <c r="AI192" s="273"/>
    </row>
    <row r="193" spans="1:35" ht="14.25" customHeight="1">
      <c r="A193" s="273"/>
      <c r="B193" s="273"/>
      <c r="C193" s="273"/>
      <c r="D193" s="273"/>
      <c r="E193" s="273"/>
      <c r="F193" s="273"/>
      <c r="G193" s="273"/>
      <c r="H193" s="273"/>
      <c r="I193" s="273"/>
      <c r="J193" s="273"/>
      <c r="K193" s="273"/>
      <c r="L193" s="274"/>
      <c r="M193" s="273"/>
      <c r="N193" s="273"/>
      <c r="O193" s="273"/>
      <c r="P193" s="273"/>
      <c r="Q193" s="273"/>
      <c r="R193" s="273"/>
      <c r="S193" s="273"/>
      <c r="T193" s="273"/>
      <c r="U193" s="273"/>
      <c r="V193" s="273"/>
      <c r="W193" s="273"/>
      <c r="X193" s="274"/>
      <c r="Y193" s="273"/>
      <c r="Z193" s="273"/>
      <c r="AA193" s="273"/>
      <c r="AB193" s="273"/>
      <c r="AC193" s="273"/>
      <c r="AD193" s="273"/>
      <c r="AE193" s="273"/>
      <c r="AF193" s="273"/>
      <c r="AG193" s="273"/>
      <c r="AH193" s="273"/>
      <c r="AI193" s="273"/>
    </row>
    <row r="194" spans="1:35" ht="14.25" customHeight="1">
      <c r="A194" s="273"/>
      <c r="B194" s="273"/>
      <c r="C194" s="273"/>
      <c r="D194" s="273"/>
      <c r="E194" s="273"/>
      <c r="F194" s="273"/>
      <c r="G194" s="273"/>
      <c r="H194" s="273"/>
      <c r="I194" s="273"/>
      <c r="J194" s="273"/>
      <c r="K194" s="273"/>
      <c r="L194" s="274"/>
      <c r="M194" s="273"/>
      <c r="N194" s="273"/>
      <c r="O194" s="273"/>
      <c r="P194" s="273"/>
      <c r="Q194" s="273"/>
      <c r="R194" s="273"/>
      <c r="S194" s="273"/>
      <c r="T194" s="273"/>
      <c r="U194" s="273"/>
      <c r="V194" s="273"/>
      <c r="W194" s="273"/>
      <c r="X194" s="274"/>
      <c r="Y194" s="273"/>
      <c r="Z194" s="273"/>
      <c r="AA194" s="273"/>
      <c r="AB194" s="273"/>
      <c r="AC194" s="273"/>
      <c r="AD194" s="273"/>
      <c r="AE194" s="273"/>
      <c r="AF194" s="273"/>
      <c r="AG194" s="273"/>
      <c r="AH194" s="273"/>
      <c r="AI194" s="273"/>
    </row>
    <row r="195" spans="1:35" ht="14.25" customHeight="1">
      <c r="A195" s="273"/>
      <c r="B195" s="273"/>
      <c r="C195" s="273"/>
      <c r="D195" s="273"/>
      <c r="E195" s="273"/>
      <c r="F195" s="273"/>
      <c r="G195" s="273"/>
      <c r="H195" s="273"/>
      <c r="I195" s="273"/>
      <c r="J195" s="273"/>
      <c r="K195" s="273"/>
      <c r="L195" s="274"/>
      <c r="M195" s="273"/>
      <c r="N195" s="273"/>
      <c r="O195" s="273"/>
      <c r="P195" s="273"/>
      <c r="Q195" s="273"/>
      <c r="R195" s="273"/>
      <c r="S195" s="273"/>
      <c r="T195" s="273"/>
      <c r="U195" s="273"/>
      <c r="V195" s="273"/>
      <c r="W195" s="273"/>
      <c r="X195" s="274"/>
      <c r="Y195" s="273"/>
      <c r="Z195" s="273"/>
      <c r="AA195" s="273"/>
      <c r="AB195" s="273"/>
      <c r="AC195" s="273"/>
      <c r="AD195" s="273"/>
      <c r="AE195" s="273"/>
      <c r="AF195" s="273"/>
      <c r="AG195" s="273"/>
      <c r="AH195" s="273"/>
      <c r="AI195" s="273"/>
    </row>
    <row r="196" spans="1:35" ht="14.25" customHeight="1">
      <c r="A196" s="273"/>
      <c r="B196" s="273"/>
      <c r="C196" s="273"/>
      <c r="D196" s="273"/>
      <c r="E196" s="273"/>
      <c r="F196" s="273"/>
      <c r="G196" s="273"/>
      <c r="H196" s="273"/>
      <c r="I196" s="273"/>
      <c r="J196" s="273"/>
      <c r="K196" s="273"/>
      <c r="L196" s="274"/>
      <c r="M196" s="273"/>
      <c r="N196" s="273"/>
      <c r="O196" s="273"/>
      <c r="P196" s="273"/>
      <c r="Q196" s="273"/>
      <c r="R196" s="273"/>
      <c r="S196" s="273"/>
      <c r="T196" s="273"/>
      <c r="U196" s="273"/>
      <c r="V196" s="273"/>
      <c r="W196" s="273"/>
      <c r="X196" s="274"/>
      <c r="Y196" s="273"/>
      <c r="Z196" s="273"/>
      <c r="AA196" s="273"/>
      <c r="AB196" s="273"/>
      <c r="AC196" s="273"/>
      <c r="AD196" s="273"/>
      <c r="AE196" s="273"/>
      <c r="AF196" s="273"/>
      <c r="AG196" s="273"/>
      <c r="AH196" s="273"/>
      <c r="AI196" s="273"/>
    </row>
    <row r="197" spans="1:35" ht="14.25" customHeight="1">
      <c r="A197" s="273"/>
      <c r="B197" s="273"/>
      <c r="C197" s="273"/>
      <c r="D197" s="273"/>
      <c r="E197" s="273"/>
      <c r="F197" s="273"/>
      <c r="G197" s="273"/>
      <c r="H197" s="273"/>
      <c r="I197" s="273"/>
      <c r="J197" s="273"/>
      <c r="K197" s="273"/>
      <c r="L197" s="274"/>
      <c r="M197" s="273"/>
      <c r="N197" s="273"/>
      <c r="O197" s="273"/>
      <c r="P197" s="273"/>
      <c r="Q197" s="273"/>
      <c r="R197" s="273"/>
      <c r="S197" s="273"/>
      <c r="T197" s="273"/>
      <c r="U197" s="273"/>
      <c r="V197" s="273"/>
      <c r="W197" s="273"/>
      <c r="X197" s="274"/>
      <c r="Y197" s="273"/>
      <c r="Z197" s="273"/>
      <c r="AA197" s="273"/>
      <c r="AB197" s="273"/>
      <c r="AC197" s="273"/>
      <c r="AD197" s="273"/>
      <c r="AE197" s="273"/>
      <c r="AF197" s="273"/>
      <c r="AG197" s="273"/>
      <c r="AH197" s="273"/>
      <c r="AI197" s="273"/>
    </row>
    <row r="198" spans="1:35" ht="14.25" customHeight="1">
      <c r="A198" s="273"/>
      <c r="B198" s="273"/>
      <c r="C198" s="273"/>
      <c r="D198" s="273"/>
      <c r="E198" s="273"/>
      <c r="F198" s="273"/>
      <c r="G198" s="273"/>
      <c r="H198" s="273"/>
      <c r="I198" s="273"/>
      <c r="J198" s="273"/>
      <c r="K198" s="273"/>
      <c r="L198" s="274"/>
      <c r="M198" s="273"/>
      <c r="N198" s="273"/>
      <c r="O198" s="273"/>
      <c r="P198" s="273"/>
      <c r="Q198" s="273"/>
      <c r="R198" s="273"/>
      <c r="S198" s="273"/>
      <c r="T198" s="273"/>
      <c r="U198" s="273"/>
      <c r="V198" s="273"/>
      <c r="W198" s="273"/>
      <c r="X198" s="274"/>
      <c r="Y198" s="273"/>
      <c r="Z198" s="273"/>
      <c r="AA198" s="273"/>
      <c r="AB198" s="273"/>
      <c r="AC198" s="273"/>
      <c r="AD198" s="273"/>
      <c r="AE198" s="273"/>
      <c r="AF198" s="273"/>
      <c r="AG198" s="273"/>
      <c r="AH198" s="273"/>
      <c r="AI198" s="273"/>
    </row>
    <row r="199" spans="1:35" ht="14.25" customHeight="1">
      <c r="A199" s="273"/>
      <c r="B199" s="273"/>
      <c r="C199" s="273"/>
      <c r="D199" s="273"/>
      <c r="E199" s="273"/>
      <c r="F199" s="273"/>
      <c r="G199" s="273"/>
      <c r="H199" s="273"/>
      <c r="I199" s="273"/>
      <c r="J199" s="273"/>
      <c r="K199" s="273"/>
      <c r="L199" s="274"/>
      <c r="M199" s="273"/>
      <c r="N199" s="273"/>
      <c r="O199" s="273"/>
      <c r="P199" s="273"/>
      <c r="Q199" s="273"/>
      <c r="R199" s="273"/>
      <c r="S199" s="273"/>
      <c r="T199" s="273"/>
      <c r="U199" s="273"/>
      <c r="V199" s="273"/>
      <c r="W199" s="273"/>
      <c r="X199" s="274"/>
      <c r="Y199" s="273"/>
      <c r="Z199" s="273"/>
      <c r="AA199" s="273"/>
      <c r="AB199" s="273"/>
      <c r="AC199" s="273"/>
      <c r="AD199" s="273"/>
      <c r="AE199" s="273"/>
      <c r="AF199" s="273"/>
      <c r="AG199" s="273"/>
      <c r="AH199" s="273"/>
      <c r="AI199" s="273"/>
    </row>
    <row r="200" spans="1:35" ht="14.25" customHeight="1">
      <c r="A200" s="273"/>
      <c r="B200" s="273"/>
      <c r="C200" s="273"/>
      <c r="D200" s="273"/>
      <c r="E200" s="273"/>
      <c r="F200" s="273"/>
      <c r="G200" s="273"/>
      <c r="H200" s="273"/>
      <c r="I200" s="273"/>
      <c r="J200" s="273"/>
      <c r="K200" s="273"/>
      <c r="L200" s="274"/>
      <c r="M200" s="273"/>
      <c r="N200" s="273"/>
      <c r="O200" s="273"/>
      <c r="P200" s="273"/>
      <c r="Q200" s="273"/>
      <c r="R200" s="273"/>
      <c r="S200" s="273"/>
      <c r="T200" s="273"/>
      <c r="U200" s="273"/>
      <c r="V200" s="273"/>
      <c r="W200" s="273"/>
      <c r="X200" s="274"/>
      <c r="Y200" s="273"/>
      <c r="Z200" s="273"/>
      <c r="AA200" s="273"/>
      <c r="AB200" s="273"/>
      <c r="AC200" s="273"/>
      <c r="AD200" s="273"/>
      <c r="AE200" s="273"/>
      <c r="AF200" s="273"/>
      <c r="AG200" s="273"/>
      <c r="AH200" s="273"/>
      <c r="AI200" s="273"/>
    </row>
    <row r="201" spans="1:35" ht="14.25" customHeight="1">
      <c r="A201" s="273"/>
      <c r="B201" s="273"/>
      <c r="C201" s="273"/>
      <c r="D201" s="273"/>
      <c r="E201" s="273"/>
      <c r="F201" s="273"/>
      <c r="G201" s="273"/>
      <c r="H201" s="273"/>
      <c r="I201" s="273"/>
      <c r="J201" s="273"/>
      <c r="K201" s="273"/>
      <c r="L201" s="274"/>
      <c r="M201" s="273"/>
      <c r="N201" s="273"/>
      <c r="O201" s="273"/>
      <c r="P201" s="273"/>
      <c r="Q201" s="273"/>
      <c r="R201" s="273"/>
      <c r="S201" s="273"/>
      <c r="T201" s="273"/>
      <c r="U201" s="273"/>
      <c r="V201" s="273"/>
      <c r="W201" s="273"/>
      <c r="X201" s="274"/>
      <c r="Y201" s="273"/>
      <c r="Z201" s="273"/>
      <c r="AA201" s="273"/>
      <c r="AB201" s="273"/>
      <c r="AC201" s="273"/>
      <c r="AD201" s="273"/>
      <c r="AE201" s="273"/>
      <c r="AF201" s="273"/>
      <c r="AG201" s="273"/>
      <c r="AH201" s="273"/>
      <c r="AI201" s="273"/>
    </row>
    <row r="202" spans="1:35" ht="14.25" customHeight="1">
      <c r="A202" s="273"/>
      <c r="B202" s="273"/>
      <c r="C202" s="273"/>
      <c r="D202" s="273"/>
      <c r="E202" s="273"/>
      <c r="F202" s="273"/>
      <c r="G202" s="273"/>
      <c r="H202" s="273"/>
      <c r="I202" s="273"/>
      <c r="J202" s="273"/>
      <c r="K202" s="273"/>
      <c r="L202" s="274"/>
      <c r="M202" s="273"/>
      <c r="N202" s="273"/>
      <c r="O202" s="273"/>
      <c r="P202" s="273"/>
      <c r="Q202" s="273"/>
      <c r="R202" s="273"/>
      <c r="S202" s="273"/>
      <c r="T202" s="273"/>
      <c r="U202" s="273"/>
      <c r="V202" s="273"/>
      <c r="W202" s="273"/>
      <c r="X202" s="274"/>
      <c r="Y202" s="273"/>
      <c r="Z202" s="273"/>
      <c r="AA202" s="273"/>
      <c r="AB202" s="273"/>
      <c r="AC202" s="273"/>
      <c r="AD202" s="273"/>
      <c r="AE202" s="273"/>
      <c r="AF202" s="273"/>
      <c r="AG202" s="273"/>
      <c r="AH202" s="273"/>
      <c r="AI202" s="273"/>
    </row>
    <row r="203" spans="1:35" ht="14.25" customHeight="1">
      <c r="A203" s="273"/>
      <c r="B203" s="273"/>
      <c r="C203" s="273"/>
      <c r="D203" s="273"/>
      <c r="E203" s="273"/>
      <c r="F203" s="273"/>
      <c r="G203" s="273"/>
      <c r="H203" s="273"/>
      <c r="I203" s="273"/>
      <c r="J203" s="273"/>
      <c r="K203" s="273"/>
      <c r="L203" s="274"/>
      <c r="M203" s="273"/>
      <c r="N203" s="273"/>
      <c r="O203" s="273"/>
      <c r="P203" s="273"/>
      <c r="Q203" s="273"/>
      <c r="R203" s="273"/>
      <c r="S203" s="273"/>
      <c r="T203" s="273"/>
      <c r="U203" s="273"/>
      <c r="V203" s="273"/>
      <c r="W203" s="273"/>
      <c r="X203" s="274"/>
      <c r="Y203" s="273"/>
      <c r="Z203" s="273"/>
      <c r="AA203" s="273"/>
      <c r="AB203" s="273"/>
      <c r="AC203" s="273"/>
      <c r="AD203" s="273"/>
      <c r="AE203" s="273"/>
      <c r="AF203" s="273"/>
      <c r="AG203" s="273"/>
      <c r="AH203" s="273"/>
      <c r="AI203" s="273"/>
    </row>
    <row r="204" spans="1:35" ht="14.25" customHeight="1">
      <c r="A204" s="273"/>
      <c r="B204" s="273"/>
      <c r="C204" s="273"/>
      <c r="D204" s="273"/>
      <c r="E204" s="273"/>
      <c r="F204" s="273"/>
      <c r="G204" s="273"/>
      <c r="H204" s="273"/>
      <c r="I204" s="273"/>
      <c r="J204" s="273"/>
      <c r="K204" s="273"/>
      <c r="L204" s="274"/>
      <c r="M204" s="273"/>
      <c r="N204" s="273"/>
      <c r="O204" s="273"/>
      <c r="P204" s="273"/>
      <c r="Q204" s="273"/>
      <c r="R204" s="273"/>
      <c r="S204" s="273"/>
      <c r="T204" s="273"/>
      <c r="U204" s="273"/>
      <c r="V204" s="273"/>
      <c r="W204" s="273"/>
      <c r="X204" s="274"/>
      <c r="Y204" s="273"/>
      <c r="Z204" s="273"/>
      <c r="AA204" s="273"/>
      <c r="AB204" s="273"/>
      <c r="AC204" s="273"/>
      <c r="AD204" s="273"/>
      <c r="AE204" s="273"/>
      <c r="AF204" s="273"/>
      <c r="AG204" s="273"/>
      <c r="AH204" s="273"/>
      <c r="AI204" s="273"/>
    </row>
    <row r="205" spans="1:35" ht="14.25" customHeight="1">
      <c r="A205" s="273"/>
      <c r="B205" s="273"/>
      <c r="C205" s="273"/>
      <c r="D205" s="273"/>
      <c r="E205" s="273"/>
      <c r="F205" s="273"/>
      <c r="G205" s="273"/>
      <c r="H205" s="273"/>
      <c r="I205" s="273"/>
      <c r="J205" s="273"/>
      <c r="K205" s="273"/>
      <c r="L205" s="274"/>
      <c r="M205" s="273"/>
      <c r="N205" s="273"/>
      <c r="O205" s="273"/>
      <c r="P205" s="273"/>
      <c r="Q205" s="273"/>
      <c r="R205" s="273"/>
      <c r="S205" s="273"/>
      <c r="T205" s="273"/>
      <c r="U205" s="273"/>
      <c r="V205" s="273"/>
      <c r="W205" s="273"/>
      <c r="X205" s="274"/>
      <c r="Y205" s="273"/>
      <c r="Z205" s="273"/>
      <c r="AA205" s="273"/>
      <c r="AB205" s="273"/>
      <c r="AC205" s="273"/>
      <c r="AD205" s="273"/>
      <c r="AE205" s="273"/>
      <c r="AF205" s="273"/>
      <c r="AG205" s="273"/>
      <c r="AH205" s="273"/>
      <c r="AI205" s="273"/>
    </row>
    <row r="206" spans="1:35" ht="14.25" customHeight="1">
      <c r="A206" s="273"/>
      <c r="B206" s="273"/>
      <c r="C206" s="273"/>
      <c r="D206" s="273"/>
      <c r="E206" s="273"/>
      <c r="F206" s="273"/>
      <c r="G206" s="273"/>
      <c r="H206" s="273"/>
      <c r="I206" s="273"/>
      <c r="J206" s="273"/>
      <c r="K206" s="273"/>
      <c r="L206" s="274"/>
      <c r="M206" s="273"/>
      <c r="N206" s="273"/>
      <c r="O206" s="273"/>
      <c r="P206" s="273"/>
      <c r="Q206" s="273"/>
      <c r="R206" s="273"/>
      <c r="S206" s="273"/>
      <c r="T206" s="273"/>
      <c r="U206" s="273"/>
      <c r="V206" s="273"/>
      <c r="W206" s="273"/>
      <c r="X206" s="274"/>
      <c r="Y206" s="273"/>
      <c r="Z206" s="273"/>
      <c r="AA206" s="273"/>
      <c r="AB206" s="273"/>
      <c r="AC206" s="273"/>
      <c r="AD206" s="273"/>
      <c r="AE206" s="273"/>
      <c r="AF206" s="273"/>
      <c r="AG206" s="273"/>
      <c r="AH206" s="273"/>
      <c r="AI206" s="273"/>
    </row>
    <row r="207" spans="1:35" ht="14.25" customHeight="1">
      <c r="A207" s="273"/>
      <c r="B207" s="273"/>
      <c r="C207" s="273"/>
      <c r="D207" s="273"/>
      <c r="E207" s="273"/>
      <c r="F207" s="273"/>
      <c r="G207" s="273"/>
      <c r="H207" s="273"/>
      <c r="I207" s="273"/>
      <c r="J207" s="273"/>
      <c r="K207" s="273"/>
      <c r="L207" s="274"/>
      <c r="M207" s="273"/>
      <c r="N207" s="273"/>
      <c r="O207" s="273"/>
      <c r="P207" s="273"/>
      <c r="Q207" s="273"/>
      <c r="R207" s="273"/>
      <c r="S207" s="273"/>
      <c r="T207" s="273"/>
      <c r="U207" s="273"/>
      <c r="V207" s="273"/>
      <c r="W207" s="273"/>
      <c r="X207" s="274"/>
      <c r="Y207" s="273"/>
      <c r="Z207" s="273"/>
      <c r="AA207" s="273"/>
      <c r="AB207" s="273"/>
      <c r="AC207" s="273"/>
      <c r="AD207" s="273"/>
      <c r="AE207" s="273"/>
      <c r="AF207" s="273"/>
      <c r="AG207" s="273"/>
      <c r="AH207" s="273"/>
      <c r="AI207" s="273"/>
    </row>
    <row r="208" spans="1:35" ht="14.25" customHeight="1">
      <c r="A208" s="273"/>
      <c r="B208" s="273"/>
      <c r="C208" s="273"/>
      <c r="D208" s="273"/>
      <c r="E208" s="273"/>
      <c r="F208" s="273"/>
      <c r="G208" s="273"/>
      <c r="H208" s="273"/>
      <c r="I208" s="273"/>
      <c r="J208" s="273"/>
      <c r="K208" s="273"/>
      <c r="L208" s="274"/>
      <c r="M208" s="273"/>
      <c r="N208" s="273"/>
      <c r="O208" s="273"/>
      <c r="P208" s="273"/>
      <c r="Q208" s="273"/>
      <c r="R208" s="273"/>
      <c r="S208" s="273"/>
      <c r="T208" s="273"/>
      <c r="U208" s="273"/>
      <c r="V208" s="273"/>
      <c r="W208" s="273"/>
      <c r="X208" s="274"/>
      <c r="Y208" s="273"/>
      <c r="Z208" s="273"/>
      <c r="AA208" s="273"/>
      <c r="AB208" s="273"/>
      <c r="AC208" s="273"/>
      <c r="AD208" s="273"/>
      <c r="AE208" s="273"/>
      <c r="AF208" s="273"/>
      <c r="AG208" s="273"/>
      <c r="AH208" s="273"/>
      <c r="AI208" s="273"/>
    </row>
    <row r="209" spans="1:35" ht="14.25" customHeight="1">
      <c r="A209" s="273"/>
      <c r="B209" s="273"/>
      <c r="C209" s="273"/>
      <c r="D209" s="273"/>
      <c r="E209" s="273"/>
      <c r="F209" s="273"/>
      <c r="G209" s="273"/>
      <c r="H209" s="273"/>
      <c r="I209" s="273"/>
      <c r="J209" s="273"/>
      <c r="K209" s="273"/>
      <c r="L209" s="274"/>
      <c r="M209" s="273"/>
      <c r="N209" s="273"/>
      <c r="O209" s="273"/>
      <c r="P209" s="273"/>
      <c r="Q209" s="273"/>
      <c r="R209" s="273"/>
      <c r="S209" s="273"/>
      <c r="T209" s="273"/>
      <c r="U209" s="273"/>
      <c r="V209" s="273"/>
      <c r="W209" s="273"/>
      <c r="X209" s="274"/>
      <c r="Y209" s="273"/>
      <c r="Z209" s="273"/>
      <c r="AA209" s="273"/>
      <c r="AB209" s="273"/>
      <c r="AC209" s="273"/>
      <c r="AD209" s="273"/>
      <c r="AE209" s="273"/>
      <c r="AF209" s="273"/>
      <c r="AG209" s="273"/>
      <c r="AH209" s="273"/>
      <c r="AI209" s="273"/>
    </row>
    <row r="210" spans="1:35" ht="14.25" customHeight="1">
      <c r="A210" s="273"/>
      <c r="B210" s="273"/>
      <c r="C210" s="273"/>
      <c r="D210" s="273"/>
      <c r="E210" s="273"/>
      <c r="F210" s="273"/>
      <c r="G210" s="273"/>
      <c r="H210" s="273"/>
      <c r="I210" s="273"/>
      <c r="J210" s="273"/>
      <c r="K210" s="273"/>
      <c r="L210" s="274"/>
      <c r="M210" s="273"/>
      <c r="N210" s="273"/>
      <c r="O210" s="273"/>
      <c r="P210" s="273"/>
      <c r="Q210" s="273"/>
      <c r="R210" s="273"/>
      <c r="S210" s="273"/>
      <c r="T210" s="273"/>
      <c r="U210" s="273"/>
      <c r="V210" s="273"/>
      <c r="W210" s="273"/>
      <c r="X210" s="274"/>
      <c r="Y210" s="273"/>
      <c r="Z210" s="273"/>
      <c r="AA210" s="273"/>
      <c r="AB210" s="273"/>
      <c r="AC210" s="273"/>
      <c r="AD210" s="273"/>
      <c r="AE210" s="273"/>
      <c r="AF210" s="273"/>
      <c r="AG210" s="273"/>
      <c r="AH210" s="273"/>
      <c r="AI210" s="273"/>
    </row>
    <row r="211" spans="1:35" ht="14.25" customHeight="1">
      <c r="A211" s="273"/>
      <c r="B211" s="273"/>
      <c r="C211" s="273"/>
      <c r="D211" s="273"/>
      <c r="E211" s="273"/>
      <c r="F211" s="273"/>
      <c r="G211" s="273"/>
      <c r="H211" s="273"/>
      <c r="I211" s="273"/>
      <c r="J211" s="273"/>
      <c r="K211" s="273"/>
      <c r="L211" s="274"/>
      <c r="M211" s="273"/>
      <c r="N211" s="273"/>
      <c r="O211" s="273"/>
      <c r="P211" s="273"/>
      <c r="Q211" s="273"/>
      <c r="R211" s="273"/>
      <c r="S211" s="273"/>
      <c r="T211" s="273"/>
      <c r="U211" s="273"/>
      <c r="V211" s="273"/>
      <c r="W211" s="273"/>
      <c r="X211" s="274"/>
      <c r="Y211" s="273"/>
      <c r="Z211" s="273"/>
      <c r="AA211" s="273"/>
      <c r="AB211" s="273"/>
      <c r="AC211" s="273"/>
      <c r="AD211" s="273"/>
      <c r="AE211" s="273"/>
      <c r="AF211" s="273"/>
      <c r="AG211" s="273"/>
      <c r="AH211" s="273"/>
      <c r="AI211" s="273"/>
    </row>
    <row r="212" spans="1:35" ht="14.25" customHeight="1">
      <c r="A212" s="273"/>
      <c r="B212" s="273"/>
      <c r="C212" s="273"/>
      <c r="D212" s="273"/>
      <c r="E212" s="273"/>
      <c r="F212" s="273"/>
      <c r="G212" s="273"/>
      <c r="H212" s="273"/>
      <c r="I212" s="273"/>
      <c r="J212" s="273"/>
      <c r="K212" s="273"/>
      <c r="L212" s="274"/>
      <c r="M212" s="273"/>
      <c r="N212" s="273"/>
      <c r="O212" s="273"/>
      <c r="P212" s="273"/>
      <c r="Q212" s="273"/>
      <c r="R212" s="273"/>
      <c r="S212" s="273"/>
      <c r="T212" s="273"/>
      <c r="U212" s="273"/>
      <c r="V212" s="273"/>
      <c r="W212" s="273"/>
      <c r="X212" s="274"/>
      <c r="Y212" s="273"/>
      <c r="Z212" s="273"/>
      <c r="AA212" s="273"/>
      <c r="AB212" s="273"/>
      <c r="AC212" s="273"/>
      <c r="AD212" s="273"/>
      <c r="AE212" s="273"/>
      <c r="AF212" s="273"/>
      <c r="AG212" s="273"/>
      <c r="AH212" s="273"/>
      <c r="AI212" s="273"/>
    </row>
    <row r="213" spans="1:35" ht="14.25" customHeight="1">
      <c r="A213" s="273"/>
      <c r="B213" s="273"/>
      <c r="C213" s="273"/>
      <c r="D213" s="273"/>
      <c r="E213" s="273"/>
      <c r="F213" s="273"/>
      <c r="G213" s="273"/>
      <c r="H213" s="273"/>
      <c r="I213" s="273"/>
      <c r="J213" s="273"/>
      <c r="K213" s="273"/>
      <c r="L213" s="274"/>
      <c r="M213" s="273"/>
      <c r="N213" s="273"/>
      <c r="O213" s="273"/>
      <c r="P213" s="273"/>
      <c r="Q213" s="273"/>
      <c r="R213" s="273"/>
      <c r="S213" s="273"/>
      <c r="T213" s="273"/>
      <c r="U213" s="273"/>
      <c r="V213" s="273"/>
      <c r="W213" s="273"/>
      <c r="X213" s="274"/>
      <c r="Y213" s="273"/>
      <c r="Z213" s="273"/>
      <c r="AA213" s="273"/>
      <c r="AB213" s="273"/>
      <c r="AC213" s="273"/>
      <c r="AD213" s="273"/>
      <c r="AE213" s="273"/>
      <c r="AF213" s="273"/>
      <c r="AG213" s="273"/>
      <c r="AH213" s="273"/>
      <c r="AI213" s="273"/>
    </row>
    <row r="214" spans="1:35" ht="14.25" customHeight="1">
      <c r="A214" s="273"/>
      <c r="B214" s="273"/>
      <c r="C214" s="273"/>
      <c r="D214" s="273"/>
      <c r="E214" s="273"/>
      <c r="F214" s="273"/>
      <c r="G214" s="273"/>
      <c r="H214" s="273"/>
      <c r="I214" s="273"/>
      <c r="J214" s="273"/>
      <c r="K214" s="273"/>
      <c r="L214" s="274"/>
      <c r="M214" s="273"/>
      <c r="N214" s="273"/>
      <c r="O214" s="273"/>
      <c r="P214" s="273"/>
      <c r="Q214" s="273"/>
      <c r="R214" s="273"/>
      <c r="S214" s="273"/>
      <c r="T214" s="273"/>
      <c r="U214" s="273"/>
      <c r="V214" s="273"/>
      <c r="W214" s="273"/>
      <c r="X214" s="274"/>
      <c r="Y214" s="273"/>
      <c r="Z214" s="273"/>
      <c r="AA214" s="273"/>
      <c r="AB214" s="273"/>
      <c r="AC214" s="273"/>
      <c r="AD214" s="273"/>
      <c r="AE214" s="273"/>
      <c r="AF214" s="273"/>
      <c r="AG214" s="273"/>
      <c r="AH214" s="273"/>
      <c r="AI214" s="273"/>
    </row>
    <row r="215" spans="1:35" ht="14.25" customHeight="1">
      <c r="A215" s="273"/>
      <c r="B215" s="273"/>
      <c r="C215" s="273"/>
      <c r="D215" s="273"/>
      <c r="E215" s="273"/>
      <c r="F215" s="273"/>
      <c r="G215" s="273"/>
      <c r="H215" s="273"/>
      <c r="I215" s="273"/>
      <c r="J215" s="273"/>
      <c r="K215" s="273"/>
      <c r="L215" s="274"/>
      <c r="M215" s="273"/>
      <c r="N215" s="273"/>
      <c r="O215" s="273"/>
      <c r="P215" s="273"/>
      <c r="Q215" s="273"/>
      <c r="R215" s="273"/>
      <c r="S215" s="273"/>
      <c r="T215" s="273"/>
      <c r="U215" s="273"/>
      <c r="V215" s="273"/>
      <c r="W215" s="273"/>
      <c r="X215" s="274"/>
      <c r="Y215" s="273"/>
      <c r="Z215" s="273"/>
      <c r="AA215" s="273"/>
      <c r="AB215" s="273"/>
      <c r="AC215" s="273"/>
      <c r="AD215" s="273"/>
      <c r="AE215" s="273"/>
      <c r="AF215" s="273"/>
      <c r="AG215" s="273"/>
      <c r="AH215" s="273"/>
      <c r="AI215" s="273"/>
    </row>
    <row r="216" spans="1:35" ht="14.25" customHeight="1">
      <c r="A216" s="273"/>
      <c r="B216" s="273"/>
      <c r="C216" s="273"/>
      <c r="D216" s="273"/>
      <c r="E216" s="273"/>
      <c r="F216" s="273"/>
      <c r="G216" s="273"/>
      <c r="H216" s="273"/>
      <c r="I216" s="273"/>
      <c r="J216" s="273"/>
      <c r="K216" s="273"/>
      <c r="L216" s="274"/>
      <c r="M216" s="273"/>
      <c r="N216" s="273"/>
      <c r="O216" s="273"/>
      <c r="P216" s="273"/>
      <c r="Q216" s="273"/>
      <c r="R216" s="273"/>
      <c r="S216" s="273"/>
      <c r="T216" s="273"/>
      <c r="U216" s="273"/>
      <c r="V216" s="273"/>
      <c r="W216" s="273"/>
      <c r="X216" s="274"/>
      <c r="Y216" s="273"/>
      <c r="Z216" s="273"/>
      <c r="AA216" s="273"/>
      <c r="AB216" s="273"/>
      <c r="AC216" s="273"/>
      <c r="AD216" s="273"/>
      <c r="AE216" s="273"/>
      <c r="AF216" s="273"/>
      <c r="AG216" s="273"/>
      <c r="AH216" s="273"/>
      <c r="AI216" s="273"/>
    </row>
    <row r="217" spans="1:35" ht="14.25" customHeight="1">
      <c r="A217" s="273"/>
      <c r="B217" s="273"/>
      <c r="C217" s="273"/>
      <c r="D217" s="273"/>
      <c r="E217" s="273"/>
      <c r="F217" s="273"/>
      <c r="G217" s="273"/>
      <c r="H217" s="273"/>
      <c r="I217" s="273"/>
      <c r="J217" s="273"/>
      <c r="K217" s="273"/>
      <c r="L217" s="274"/>
      <c r="M217" s="273"/>
      <c r="N217" s="273"/>
      <c r="O217" s="273"/>
      <c r="P217" s="273"/>
      <c r="Q217" s="273"/>
      <c r="R217" s="273"/>
      <c r="S217" s="273"/>
      <c r="T217" s="273"/>
      <c r="U217" s="273"/>
      <c r="V217" s="273"/>
      <c r="W217" s="273"/>
      <c r="X217" s="274"/>
      <c r="Y217" s="273"/>
      <c r="Z217" s="273"/>
      <c r="AA217" s="273"/>
      <c r="AB217" s="273"/>
      <c r="AC217" s="273"/>
      <c r="AD217" s="273"/>
      <c r="AE217" s="273"/>
      <c r="AF217" s="273"/>
      <c r="AG217" s="273"/>
      <c r="AH217" s="273"/>
      <c r="AI217" s="273"/>
    </row>
    <row r="218" spans="1:35" ht="14.25" customHeight="1">
      <c r="A218" s="273"/>
      <c r="B218" s="273"/>
      <c r="C218" s="273"/>
      <c r="D218" s="273"/>
      <c r="E218" s="273"/>
      <c r="F218" s="273"/>
      <c r="G218" s="273"/>
      <c r="H218" s="273"/>
      <c r="I218" s="273"/>
      <c r="J218" s="273"/>
      <c r="K218" s="273"/>
      <c r="L218" s="274"/>
      <c r="M218" s="273"/>
      <c r="N218" s="273"/>
      <c r="O218" s="273"/>
      <c r="P218" s="273"/>
      <c r="Q218" s="273"/>
      <c r="R218" s="273"/>
      <c r="S218" s="273"/>
      <c r="T218" s="273"/>
      <c r="U218" s="273"/>
      <c r="V218" s="273"/>
      <c r="W218" s="273"/>
      <c r="X218" s="274"/>
      <c r="Y218" s="273"/>
      <c r="Z218" s="273"/>
      <c r="AA218" s="273"/>
      <c r="AB218" s="273"/>
      <c r="AC218" s="273"/>
      <c r="AD218" s="273"/>
      <c r="AE218" s="273"/>
      <c r="AF218" s="273"/>
      <c r="AG218" s="273"/>
      <c r="AH218" s="273"/>
      <c r="AI218" s="273"/>
    </row>
    <row r="219" spans="1:35" ht="14.25" customHeight="1">
      <c r="A219" s="273"/>
      <c r="B219" s="273"/>
      <c r="C219" s="273"/>
      <c r="D219" s="273"/>
      <c r="E219" s="273"/>
      <c r="F219" s="273"/>
      <c r="G219" s="273"/>
      <c r="H219" s="273"/>
      <c r="I219" s="273"/>
      <c r="J219" s="273"/>
      <c r="K219" s="273"/>
      <c r="L219" s="274"/>
      <c r="M219" s="273"/>
      <c r="N219" s="273"/>
      <c r="O219" s="273"/>
      <c r="P219" s="273"/>
      <c r="Q219" s="273"/>
      <c r="R219" s="273"/>
      <c r="S219" s="273"/>
      <c r="T219" s="273"/>
      <c r="U219" s="273"/>
      <c r="V219" s="273"/>
      <c r="W219" s="273"/>
      <c r="X219" s="274"/>
      <c r="Y219" s="273"/>
      <c r="Z219" s="273"/>
      <c r="AA219" s="273"/>
      <c r="AB219" s="273"/>
      <c r="AC219" s="273"/>
      <c r="AD219" s="273"/>
      <c r="AE219" s="273"/>
      <c r="AF219" s="273"/>
      <c r="AG219" s="273"/>
      <c r="AH219" s="273"/>
      <c r="AI219" s="273"/>
    </row>
    <row r="220" spans="1:35" ht="14.25" customHeight="1">
      <c r="A220" s="273"/>
      <c r="B220" s="273"/>
      <c r="C220" s="273"/>
      <c r="D220" s="273"/>
      <c r="E220" s="273"/>
      <c r="F220" s="273"/>
      <c r="G220" s="273"/>
      <c r="H220" s="273"/>
      <c r="I220" s="273"/>
      <c r="J220" s="273"/>
      <c r="K220" s="273"/>
      <c r="L220" s="274"/>
      <c r="M220" s="273"/>
      <c r="N220" s="273"/>
      <c r="O220" s="273"/>
      <c r="P220" s="273"/>
      <c r="Q220" s="273"/>
      <c r="R220" s="273"/>
      <c r="S220" s="273"/>
      <c r="T220" s="273"/>
      <c r="U220" s="273"/>
      <c r="V220" s="273"/>
      <c r="W220" s="273"/>
      <c r="X220" s="274"/>
      <c r="Y220" s="273"/>
      <c r="Z220" s="273"/>
      <c r="AA220" s="273"/>
      <c r="AB220" s="273"/>
      <c r="AC220" s="273"/>
      <c r="AD220" s="273"/>
      <c r="AE220" s="273"/>
      <c r="AF220" s="273"/>
      <c r="AG220" s="273"/>
      <c r="AH220" s="273"/>
      <c r="AI220" s="273"/>
    </row>
    <row r="221" spans="1:35" ht="14.25" customHeight="1">
      <c r="A221" s="273"/>
      <c r="B221" s="273"/>
      <c r="C221" s="273"/>
      <c r="D221" s="273"/>
      <c r="E221" s="273"/>
      <c r="F221" s="273"/>
      <c r="G221" s="273"/>
      <c r="H221" s="273"/>
      <c r="I221" s="273"/>
      <c r="J221" s="273"/>
      <c r="K221" s="273"/>
      <c r="L221" s="274"/>
      <c r="M221" s="273"/>
      <c r="N221" s="273"/>
      <c r="O221" s="273"/>
      <c r="P221" s="273"/>
      <c r="Q221" s="273"/>
      <c r="R221" s="273"/>
      <c r="S221" s="273"/>
      <c r="T221" s="273"/>
      <c r="U221" s="273"/>
      <c r="V221" s="273"/>
      <c r="W221" s="273"/>
      <c r="X221" s="274"/>
      <c r="Y221" s="273"/>
      <c r="Z221" s="273"/>
      <c r="AA221" s="273"/>
      <c r="AB221" s="273"/>
      <c r="AC221" s="273"/>
      <c r="AD221" s="273"/>
      <c r="AE221" s="273"/>
      <c r="AF221" s="273"/>
      <c r="AG221" s="273"/>
      <c r="AH221" s="273"/>
      <c r="AI221" s="273"/>
    </row>
    <row r="222" spans="1:35" ht="14.25" customHeight="1">
      <c r="A222" s="273"/>
      <c r="B222" s="273"/>
      <c r="C222" s="273"/>
      <c r="D222" s="273"/>
      <c r="E222" s="273"/>
      <c r="F222" s="273"/>
      <c r="G222" s="273"/>
      <c r="H222" s="273"/>
      <c r="I222" s="273"/>
      <c r="J222" s="273"/>
      <c r="K222" s="273"/>
      <c r="L222" s="274"/>
      <c r="M222" s="273"/>
      <c r="N222" s="273"/>
      <c r="O222" s="273"/>
      <c r="P222" s="273"/>
      <c r="Q222" s="273"/>
      <c r="R222" s="273"/>
      <c r="S222" s="273"/>
      <c r="T222" s="273"/>
      <c r="U222" s="273"/>
      <c r="V222" s="273"/>
      <c r="W222" s="273"/>
      <c r="X222" s="274"/>
      <c r="Y222" s="273"/>
      <c r="Z222" s="273"/>
      <c r="AA222" s="273"/>
      <c r="AB222" s="273"/>
      <c r="AC222" s="273"/>
      <c r="AD222" s="273"/>
      <c r="AE222" s="273"/>
      <c r="AF222" s="273"/>
      <c r="AG222" s="273"/>
      <c r="AH222" s="273"/>
      <c r="AI222" s="273"/>
    </row>
    <row r="223" spans="1:35" ht="14.25" customHeight="1">
      <c r="A223" s="273"/>
      <c r="B223" s="273"/>
      <c r="C223" s="273"/>
      <c r="D223" s="273"/>
      <c r="E223" s="273"/>
      <c r="F223" s="273"/>
      <c r="G223" s="273"/>
      <c r="H223" s="273"/>
      <c r="I223" s="273"/>
      <c r="J223" s="273"/>
      <c r="K223" s="273"/>
      <c r="L223" s="274"/>
      <c r="M223" s="273"/>
      <c r="N223" s="273"/>
      <c r="O223" s="273"/>
      <c r="P223" s="273"/>
      <c r="Q223" s="273"/>
      <c r="R223" s="273"/>
      <c r="S223" s="273"/>
      <c r="T223" s="273"/>
      <c r="U223" s="273"/>
      <c r="V223" s="273"/>
      <c r="W223" s="273"/>
      <c r="X223" s="274"/>
      <c r="Y223" s="273"/>
      <c r="Z223" s="273"/>
      <c r="AA223" s="273"/>
      <c r="AB223" s="273"/>
      <c r="AC223" s="273"/>
      <c r="AD223" s="273"/>
      <c r="AE223" s="273"/>
      <c r="AF223" s="273"/>
      <c r="AG223" s="273"/>
      <c r="AH223" s="273"/>
      <c r="AI223" s="273"/>
    </row>
    <row r="224" spans="1:35" ht="14.25" customHeight="1">
      <c r="A224" s="273"/>
      <c r="B224" s="273"/>
      <c r="C224" s="273"/>
      <c r="D224" s="273"/>
      <c r="E224" s="273"/>
      <c r="F224" s="273"/>
      <c r="G224" s="273"/>
      <c r="H224" s="273"/>
      <c r="I224" s="273"/>
      <c r="J224" s="273"/>
      <c r="K224" s="273"/>
      <c r="L224" s="274"/>
      <c r="M224" s="273"/>
      <c r="N224" s="273"/>
      <c r="O224" s="273"/>
      <c r="P224" s="273"/>
      <c r="Q224" s="273"/>
      <c r="R224" s="273"/>
      <c r="S224" s="273"/>
      <c r="T224" s="273"/>
      <c r="U224" s="273"/>
      <c r="V224" s="273"/>
      <c r="W224" s="273"/>
      <c r="X224" s="274"/>
      <c r="Y224" s="273"/>
      <c r="Z224" s="273"/>
      <c r="AA224" s="273"/>
      <c r="AB224" s="273"/>
      <c r="AC224" s="273"/>
      <c r="AD224" s="273"/>
      <c r="AE224" s="273"/>
      <c r="AF224" s="273"/>
      <c r="AG224" s="273"/>
      <c r="AH224" s="273"/>
      <c r="AI224" s="273"/>
    </row>
    <row r="225" spans="1:35" ht="14.25" customHeight="1">
      <c r="A225" s="273"/>
      <c r="B225" s="273"/>
      <c r="C225" s="273"/>
      <c r="D225" s="273"/>
      <c r="E225" s="273"/>
      <c r="F225" s="273"/>
      <c r="G225" s="273"/>
      <c r="H225" s="273"/>
      <c r="I225" s="273"/>
      <c r="J225" s="273"/>
      <c r="K225" s="273"/>
      <c r="L225" s="274"/>
      <c r="M225" s="273"/>
      <c r="N225" s="273"/>
      <c r="O225" s="273"/>
      <c r="P225" s="273"/>
      <c r="Q225" s="273"/>
      <c r="R225" s="273"/>
      <c r="S225" s="273"/>
      <c r="T225" s="273"/>
      <c r="U225" s="273"/>
      <c r="V225" s="273"/>
      <c r="W225" s="273"/>
      <c r="X225" s="274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</row>
    <row r="226" spans="1:35" ht="14.25" customHeight="1">
      <c r="A226" s="273"/>
      <c r="B226" s="273"/>
      <c r="C226" s="273"/>
      <c r="D226" s="273"/>
      <c r="E226" s="273"/>
      <c r="F226" s="273"/>
      <c r="G226" s="273"/>
      <c r="H226" s="273"/>
      <c r="I226" s="273"/>
      <c r="J226" s="273"/>
      <c r="K226" s="273"/>
      <c r="L226" s="274"/>
      <c r="M226" s="273"/>
      <c r="N226" s="273"/>
      <c r="O226" s="273"/>
      <c r="P226" s="273"/>
      <c r="Q226" s="273"/>
      <c r="R226" s="273"/>
      <c r="S226" s="273"/>
      <c r="T226" s="273"/>
      <c r="U226" s="273"/>
      <c r="V226" s="273"/>
      <c r="W226" s="273"/>
      <c r="X226" s="274"/>
      <c r="Y226" s="273"/>
      <c r="Z226" s="273"/>
      <c r="AA226" s="273"/>
      <c r="AB226" s="273"/>
      <c r="AC226" s="273"/>
      <c r="AD226" s="273"/>
      <c r="AE226" s="273"/>
      <c r="AF226" s="273"/>
      <c r="AG226" s="273"/>
      <c r="AH226" s="273"/>
      <c r="AI226" s="273"/>
    </row>
    <row r="227" spans="1:35" ht="14.25" customHeight="1">
      <c r="A227" s="273"/>
      <c r="B227" s="273"/>
      <c r="C227" s="273"/>
      <c r="D227" s="273"/>
      <c r="E227" s="273"/>
      <c r="F227" s="273"/>
      <c r="G227" s="273"/>
      <c r="H227" s="273"/>
      <c r="I227" s="273"/>
      <c r="J227" s="273"/>
      <c r="K227" s="273"/>
      <c r="L227" s="274"/>
      <c r="M227" s="273"/>
      <c r="N227" s="273"/>
      <c r="O227" s="273"/>
      <c r="P227" s="273"/>
      <c r="Q227" s="273"/>
      <c r="R227" s="273"/>
      <c r="S227" s="273"/>
      <c r="T227" s="273"/>
      <c r="U227" s="273"/>
      <c r="V227" s="273"/>
      <c r="W227" s="273"/>
      <c r="X227" s="274"/>
      <c r="Y227" s="273"/>
      <c r="Z227" s="273"/>
      <c r="AA227" s="273"/>
      <c r="AB227" s="273"/>
      <c r="AC227" s="273"/>
      <c r="AD227" s="273"/>
      <c r="AE227" s="273"/>
      <c r="AF227" s="273"/>
      <c r="AG227" s="273"/>
      <c r="AH227" s="273"/>
      <c r="AI227" s="273"/>
    </row>
    <row r="228" spans="1:35" ht="14.25" customHeight="1">
      <c r="A228" s="273"/>
      <c r="B228" s="273"/>
      <c r="C228" s="273"/>
      <c r="D228" s="273"/>
      <c r="E228" s="273"/>
      <c r="F228" s="273"/>
      <c r="G228" s="273"/>
      <c r="H228" s="273"/>
      <c r="I228" s="273"/>
      <c r="J228" s="273"/>
      <c r="K228" s="273"/>
      <c r="L228" s="274"/>
      <c r="M228" s="273"/>
      <c r="N228" s="273"/>
      <c r="O228" s="273"/>
      <c r="P228" s="273"/>
      <c r="Q228" s="273"/>
      <c r="R228" s="273"/>
      <c r="S228" s="273"/>
      <c r="T228" s="273"/>
      <c r="U228" s="273"/>
      <c r="V228" s="273"/>
      <c r="W228" s="273"/>
      <c r="X228" s="274"/>
      <c r="Y228" s="273"/>
      <c r="Z228" s="273"/>
      <c r="AA228" s="273"/>
      <c r="AB228" s="273"/>
      <c r="AC228" s="273"/>
      <c r="AD228" s="273"/>
      <c r="AE228" s="273"/>
      <c r="AF228" s="273"/>
      <c r="AG228" s="273"/>
      <c r="AH228" s="273"/>
      <c r="AI228" s="273"/>
    </row>
    <row r="229" spans="1:35" ht="14.25" customHeight="1">
      <c r="A229" s="273"/>
      <c r="B229" s="273"/>
      <c r="C229" s="273"/>
      <c r="D229" s="273"/>
      <c r="E229" s="273"/>
      <c r="F229" s="273"/>
      <c r="G229" s="273"/>
      <c r="H229" s="273"/>
      <c r="I229" s="273"/>
      <c r="J229" s="273"/>
      <c r="K229" s="273"/>
      <c r="L229" s="274"/>
      <c r="M229" s="273"/>
      <c r="N229" s="273"/>
      <c r="O229" s="273"/>
      <c r="P229" s="273"/>
      <c r="Q229" s="273"/>
      <c r="R229" s="273"/>
      <c r="S229" s="273"/>
      <c r="T229" s="273"/>
      <c r="U229" s="273"/>
      <c r="V229" s="273"/>
      <c r="W229" s="273"/>
      <c r="X229" s="274"/>
      <c r="Y229" s="273"/>
      <c r="Z229" s="273"/>
      <c r="AA229" s="273"/>
      <c r="AB229" s="273"/>
      <c r="AC229" s="273"/>
      <c r="AD229" s="273"/>
      <c r="AE229" s="273"/>
      <c r="AF229" s="273"/>
      <c r="AG229" s="273"/>
      <c r="AH229" s="273"/>
      <c r="AI229" s="273"/>
    </row>
    <row r="230" spans="1:35" ht="14.25" customHeight="1">
      <c r="A230" s="273"/>
      <c r="B230" s="273"/>
      <c r="C230" s="273"/>
      <c r="D230" s="273"/>
      <c r="E230" s="273"/>
      <c r="F230" s="273"/>
      <c r="G230" s="273"/>
      <c r="H230" s="273"/>
      <c r="I230" s="273"/>
      <c r="J230" s="273"/>
      <c r="K230" s="273"/>
      <c r="L230" s="274"/>
      <c r="M230" s="273"/>
      <c r="N230" s="273"/>
      <c r="O230" s="273"/>
      <c r="P230" s="273"/>
      <c r="Q230" s="273"/>
      <c r="R230" s="273"/>
      <c r="S230" s="273"/>
      <c r="T230" s="273"/>
      <c r="U230" s="273"/>
      <c r="V230" s="273"/>
      <c r="W230" s="273"/>
      <c r="X230" s="274"/>
      <c r="Y230" s="273"/>
      <c r="Z230" s="273"/>
      <c r="AA230" s="273"/>
      <c r="AB230" s="273"/>
      <c r="AC230" s="273"/>
      <c r="AD230" s="273"/>
      <c r="AE230" s="273"/>
      <c r="AF230" s="273"/>
      <c r="AG230" s="273"/>
      <c r="AH230" s="273"/>
      <c r="AI230" s="273"/>
    </row>
    <row r="231" spans="1:35" ht="14.25" customHeight="1">
      <c r="A231" s="273"/>
      <c r="B231" s="273"/>
      <c r="C231" s="273"/>
      <c r="D231" s="273"/>
      <c r="E231" s="273"/>
      <c r="F231" s="273"/>
      <c r="G231" s="273"/>
      <c r="H231" s="273"/>
      <c r="I231" s="273"/>
      <c r="J231" s="273"/>
      <c r="K231" s="273"/>
      <c r="L231" s="274"/>
      <c r="M231" s="273"/>
      <c r="N231" s="273"/>
      <c r="O231" s="273"/>
      <c r="P231" s="273"/>
      <c r="Q231" s="273"/>
      <c r="R231" s="273"/>
      <c r="S231" s="273"/>
      <c r="T231" s="273"/>
      <c r="U231" s="273"/>
      <c r="V231" s="273"/>
      <c r="W231" s="273"/>
      <c r="X231" s="274"/>
      <c r="Y231" s="273"/>
      <c r="Z231" s="273"/>
      <c r="AA231" s="273"/>
      <c r="AB231" s="273"/>
      <c r="AC231" s="273"/>
      <c r="AD231" s="273"/>
      <c r="AE231" s="273"/>
      <c r="AF231" s="273"/>
      <c r="AG231" s="273"/>
      <c r="AH231" s="273"/>
      <c r="AI231" s="273"/>
    </row>
    <row r="232" spans="1:35" ht="14.25" customHeight="1">
      <c r="A232" s="273"/>
      <c r="B232" s="273"/>
      <c r="C232" s="273"/>
      <c r="D232" s="273"/>
      <c r="E232" s="273"/>
      <c r="F232" s="273"/>
      <c r="G232" s="273"/>
      <c r="H232" s="273"/>
      <c r="I232" s="273"/>
      <c r="J232" s="273"/>
      <c r="K232" s="273"/>
      <c r="L232" s="274"/>
      <c r="M232" s="273"/>
      <c r="N232" s="273"/>
      <c r="O232" s="273"/>
      <c r="P232" s="273"/>
      <c r="Q232" s="273"/>
      <c r="R232" s="273"/>
      <c r="S232" s="273"/>
      <c r="T232" s="273"/>
      <c r="U232" s="273"/>
      <c r="V232" s="273"/>
      <c r="W232" s="273"/>
      <c r="X232" s="274"/>
      <c r="Y232" s="273"/>
      <c r="Z232" s="273"/>
      <c r="AA232" s="273"/>
      <c r="AB232" s="273"/>
      <c r="AC232" s="273"/>
      <c r="AD232" s="273"/>
      <c r="AE232" s="273"/>
      <c r="AF232" s="273"/>
      <c r="AG232" s="273"/>
      <c r="AH232" s="273"/>
      <c r="AI232" s="273"/>
    </row>
    <row r="233" spans="1:35" ht="14.25" customHeight="1">
      <c r="A233" s="273"/>
      <c r="B233" s="273"/>
      <c r="C233" s="273"/>
      <c r="D233" s="273"/>
      <c r="E233" s="273"/>
      <c r="F233" s="273"/>
      <c r="G233" s="273"/>
      <c r="H233" s="273"/>
      <c r="I233" s="273"/>
      <c r="J233" s="273"/>
      <c r="K233" s="273"/>
      <c r="L233" s="274"/>
      <c r="M233" s="273"/>
      <c r="N233" s="273"/>
      <c r="O233" s="273"/>
      <c r="P233" s="273"/>
      <c r="Q233" s="273"/>
      <c r="R233" s="273"/>
      <c r="S233" s="273"/>
      <c r="T233" s="273"/>
      <c r="U233" s="273"/>
      <c r="V233" s="273"/>
      <c r="W233" s="273"/>
      <c r="X233" s="274"/>
      <c r="Y233" s="273"/>
      <c r="Z233" s="273"/>
      <c r="AA233" s="273"/>
      <c r="AB233" s="273"/>
      <c r="AC233" s="273"/>
      <c r="AD233" s="273"/>
      <c r="AE233" s="273"/>
      <c r="AF233" s="273"/>
      <c r="AG233" s="273"/>
      <c r="AH233" s="273"/>
      <c r="AI233" s="273"/>
    </row>
    <row r="234" spans="1:35" ht="14.25" customHeight="1">
      <c r="A234" s="273"/>
      <c r="B234" s="273"/>
      <c r="C234" s="273"/>
      <c r="D234" s="273"/>
      <c r="E234" s="273"/>
      <c r="F234" s="273"/>
      <c r="G234" s="273"/>
      <c r="H234" s="273"/>
      <c r="I234" s="273"/>
      <c r="J234" s="273"/>
      <c r="K234" s="273"/>
      <c r="L234" s="274"/>
      <c r="M234" s="273"/>
      <c r="N234" s="273"/>
      <c r="O234" s="273"/>
      <c r="P234" s="273"/>
      <c r="Q234" s="273"/>
      <c r="R234" s="273"/>
      <c r="S234" s="273"/>
      <c r="T234" s="273"/>
      <c r="U234" s="273"/>
      <c r="V234" s="273"/>
      <c r="W234" s="273"/>
      <c r="X234" s="274"/>
      <c r="Y234" s="273"/>
      <c r="Z234" s="273"/>
      <c r="AA234" s="273"/>
      <c r="AB234" s="273"/>
      <c r="AC234" s="273"/>
      <c r="AD234" s="273"/>
      <c r="AE234" s="273"/>
      <c r="AF234" s="273"/>
      <c r="AG234" s="273"/>
      <c r="AH234" s="273"/>
      <c r="AI234" s="273"/>
    </row>
    <row r="235" spans="1:35" ht="14.25" customHeight="1">
      <c r="A235" s="273"/>
      <c r="B235" s="273"/>
      <c r="C235" s="273"/>
      <c r="D235" s="273"/>
      <c r="E235" s="273"/>
      <c r="F235" s="273"/>
      <c r="G235" s="273"/>
      <c r="H235" s="273"/>
      <c r="I235" s="273"/>
      <c r="J235" s="273"/>
      <c r="K235" s="273"/>
      <c r="L235" s="274"/>
      <c r="M235" s="273"/>
      <c r="N235" s="273"/>
      <c r="O235" s="273"/>
      <c r="P235" s="273"/>
      <c r="Q235" s="273"/>
      <c r="R235" s="273"/>
      <c r="S235" s="273"/>
      <c r="T235" s="273"/>
      <c r="U235" s="273"/>
      <c r="V235" s="273"/>
      <c r="W235" s="273"/>
      <c r="X235" s="274"/>
      <c r="Y235" s="273"/>
      <c r="Z235" s="273"/>
      <c r="AA235" s="273"/>
      <c r="AB235" s="273"/>
      <c r="AC235" s="273"/>
      <c r="AD235" s="273"/>
      <c r="AE235" s="273"/>
      <c r="AF235" s="273"/>
      <c r="AG235" s="273"/>
      <c r="AH235" s="273"/>
      <c r="AI235" s="273"/>
    </row>
    <row r="236" spans="1:35" ht="14.25" customHeight="1">
      <c r="A236" s="273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4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4"/>
      <c r="Y236" s="273"/>
      <c r="Z236" s="273"/>
      <c r="AA236" s="273"/>
      <c r="AB236" s="273"/>
      <c r="AC236" s="273"/>
      <c r="AD236" s="273"/>
      <c r="AE236" s="273"/>
      <c r="AF236" s="273"/>
      <c r="AG236" s="273"/>
      <c r="AH236" s="273"/>
      <c r="AI236" s="273"/>
    </row>
    <row r="237" spans="1:35" ht="14.25" customHeight="1">
      <c r="A237" s="273"/>
      <c r="B237" s="273"/>
      <c r="C237" s="273"/>
      <c r="D237" s="273"/>
      <c r="E237" s="273"/>
      <c r="F237" s="273"/>
      <c r="G237" s="273"/>
      <c r="H237" s="273"/>
      <c r="I237" s="273"/>
      <c r="J237" s="273"/>
      <c r="K237" s="273"/>
      <c r="L237" s="274"/>
      <c r="M237" s="273"/>
      <c r="N237" s="273"/>
      <c r="O237" s="273"/>
      <c r="P237" s="273"/>
      <c r="Q237" s="273"/>
      <c r="R237" s="273"/>
      <c r="S237" s="273"/>
      <c r="T237" s="273"/>
      <c r="U237" s="273"/>
      <c r="V237" s="273"/>
      <c r="W237" s="273"/>
      <c r="X237" s="274"/>
      <c r="Y237" s="273"/>
      <c r="Z237" s="273"/>
      <c r="AA237" s="273"/>
      <c r="AB237" s="273"/>
      <c r="AC237" s="273"/>
      <c r="AD237" s="273"/>
      <c r="AE237" s="273"/>
      <c r="AF237" s="273"/>
      <c r="AG237" s="273"/>
      <c r="AH237" s="273"/>
      <c r="AI237" s="273"/>
    </row>
    <row r="238" spans="1:35" ht="14.25" customHeight="1">
      <c r="A238" s="273"/>
      <c r="B238" s="273"/>
      <c r="C238" s="273"/>
      <c r="D238" s="273"/>
      <c r="E238" s="273"/>
      <c r="F238" s="273"/>
      <c r="G238" s="273"/>
      <c r="H238" s="273"/>
      <c r="I238" s="273"/>
      <c r="J238" s="273"/>
      <c r="K238" s="273"/>
      <c r="L238" s="274"/>
      <c r="M238" s="273"/>
      <c r="N238" s="273"/>
      <c r="O238" s="273"/>
      <c r="P238" s="273"/>
      <c r="Q238" s="273"/>
      <c r="R238" s="273"/>
      <c r="S238" s="273"/>
      <c r="T238" s="273"/>
      <c r="U238" s="273"/>
      <c r="V238" s="273"/>
      <c r="W238" s="273"/>
      <c r="X238" s="274"/>
      <c r="Y238" s="273"/>
      <c r="Z238" s="273"/>
      <c r="AA238" s="273"/>
      <c r="AB238" s="273"/>
      <c r="AC238" s="273"/>
      <c r="AD238" s="273"/>
      <c r="AE238" s="273"/>
      <c r="AF238" s="273"/>
      <c r="AG238" s="273"/>
      <c r="AH238" s="273"/>
      <c r="AI238" s="273"/>
    </row>
    <row r="239" spans="1:35" ht="14.25" customHeight="1">
      <c r="A239" s="273"/>
      <c r="B239" s="273"/>
      <c r="C239" s="273"/>
      <c r="D239" s="273"/>
      <c r="E239" s="273"/>
      <c r="F239" s="273"/>
      <c r="G239" s="273"/>
      <c r="H239" s="273"/>
      <c r="I239" s="273"/>
      <c r="J239" s="273"/>
      <c r="K239" s="273"/>
      <c r="L239" s="274"/>
      <c r="M239" s="273"/>
      <c r="N239" s="273"/>
      <c r="O239" s="273"/>
      <c r="P239" s="273"/>
      <c r="Q239" s="273"/>
      <c r="R239" s="273"/>
      <c r="S239" s="273"/>
      <c r="T239" s="273"/>
      <c r="U239" s="273"/>
      <c r="V239" s="273"/>
      <c r="W239" s="273"/>
      <c r="X239" s="274"/>
      <c r="Y239" s="273"/>
      <c r="Z239" s="273"/>
      <c r="AA239" s="273"/>
      <c r="AB239" s="273"/>
      <c r="AC239" s="273"/>
      <c r="AD239" s="273"/>
      <c r="AE239" s="273"/>
      <c r="AF239" s="273"/>
      <c r="AG239" s="273"/>
      <c r="AH239" s="273"/>
      <c r="AI239" s="273"/>
    </row>
    <row r="240" spans="1:35" ht="14.25" customHeight="1">
      <c r="A240" s="273"/>
      <c r="B240" s="273"/>
      <c r="C240" s="273"/>
      <c r="D240" s="273"/>
      <c r="E240" s="273"/>
      <c r="F240" s="273"/>
      <c r="G240" s="273"/>
      <c r="H240" s="273"/>
      <c r="I240" s="273"/>
      <c r="J240" s="273"/>
      <c r="K240" s="273"/>
      <c r="L240" s="274"/>
      <c r="M240" s="273"/>
      <c r="N240" s="273"/>
      <c r="O240" s="273"/>
      <c r="P240" s="273"/>
      <c r="Q240" s="273"/>
      <c r="R240" s="273"/>
      <c r="S240" s="273"/>
      <c r="T240" s="273"/>
      <c r="U240" s="273"/>
      <c r="V240" s="273"/>
      <c r="W240" s="273"/>
      <c r="X240" s="274"/>
      <c r="Y240" s="273"/>
      <c r="Z240" s="273"/>
      <c r="AA240" s="273"/>
      <c r="AB240" s="273"/>
      <c r="AC240" s="273"/>
      <c r="AD240" s="273"/>
      <c r="AE240" s="273"/>
      <c r="AF240" s="273"/>
      <c r="AG240" s="273"/>
      <c r="AH240" s="273"/>
      <c r="AI240" s="273"/>
    </row>
    <row r="241" spans="1:35" ht="14.25" customHeight="1">
      <c r="A241" s="273"/>
      <c r="B241" s="273"/>
      <c r="C241" s="273"/>
      <c r="D241" s="273"/>
      <c r="E241" s="273"/>
      <c r="F241" s="273"/>
      <c r="G241" s="273"/>
      <c r="H241" s="273"/>
      <c r="I241" s="273"/>
      <c r="J241" s="273"/>
      <c r="K241" s="273"/>
      <c r="L241" s="274"/>
      <c r="M241" s="273"/>
      <c r="N241" s="273"/>
      <c r="O241" s="273"/>
      <c r="P241" s="273"/>
      <c r="Q241" s="273"/>
      <c r="R241" s="273"/>
      <c r="S241" s="273"/>
      <c r="T241" s="273"/>
      <c r="U241" s="273"/>
      <c r="V241" s="273"/>
      <c r="W241" s="273"/>
      <c r="X241" s="274"/>
      <c r="Y241" s="273"/>
      <c r="Z241" s="273"/>
      <c r="AA241" s="273"/>
      <c r="AB241" s="273"/>
      <c r="AC241" s="273"/>
      <c r="AD241" s="273"/>
      <c r="AE241" s="273"/>
      <c r="AF241" s="273"/>
      <c r="AG241" s="273"/>
      <c r="AH241" s="273"/>
      <c r="AI241" s="273"/>
    </row>
    <row r="242" spans="1:35" ht="14.25" customHeight="1">
      <c r="A242" s="273"/>
      <c r="B242" s="273"/>
      <c r="C242" s="273"/>
      <c r="D242" s="273"/>
      <c r="E242" s="273"/>
      <c r="F242" s="273"/>
      <c r="G242" s="273"/>
      <c r="H242" s="273"/>
      <c r="I242" s="273"/>
      <c r="J242" s="273"/>
      <c r="K242" s="273"/>
      <c r="L242" s="274"/>
      <c r="M242" s="273"/>
      <c r="N242" s="273"/>
      <c r="O242" s="273"/>
      <c r="P242" s="273"/>
      <c r="Q242" s="273"/>
      <c r="R242" s="273"/>
      <c r="S242" s="273"/>
      <c r="T242" s="273"/>
      <c r="U242" s="273"/>
      <c r="V242" s="273"/>
      <c r="W242" s="273"/>
      <c r="X242" s="274"/>
      <c r="Y242" s="273"/>
      <c r="Z242" s="273"/>
      <c r="AA242" s="273"/>
      <c r="AB242" s="273"/>
      <c r="AC242" s="273"/>
      <c r="AD242" s="273"/>
      <c r="AE242" s="273"/>
      <c r="AF242" s="273"/>
      <c r="AG242" s="273"/>
      <c r="AH242" s="273"/>
      <c r="AI242" s="273"/>
    </row>
    <row r="243" spans="1:35" ht="14.25" customHeight="1">
      <c r="A243" s="273"/>
      <c r="B243" s="273"/>
      <c r="C243" s="273"/>
      <c r="D243" s="273"/>
      <c r="E243" s="273"/>
      <c r="F243" s="273"/>
      <c r="G243" s="273"/>
      <c r="H243" s="273"/>
      <c r="I243" s="273"/>
      <c r="J243" s="273"/>
      <c r="K243" s="273"/>
      <c r="L243" s="274"/>
      <c r="M243" s="273"/>
      <c r="N243" s="273"/>
      <c r="O243" s="273"/>
      <c r="P243" s="273"/>
      <c r="Q243" s="273"/>
      <c r="R243" s="273"/>
      <c r="S243" s="273"/>
      <c r="T243" s="273"/>
      <c r="U243" s="273"/>
      <c r="V243" s="273"/>
      <c r="W243" s="273"/>
      <c r="X243" s="274"/>
      <c r="Y243" s="273"/>
      <c r="Z243" s="273"/>
      <c r="AA243" s="273"/>
      <c r="AB243" s="273"/>
      <c r="AC243" s="273"/>
      <c r="AD243" s="273"/>
      <c r="AE243" s="273"/>
      <c r="AF243" s="273"/>
      <c r="AG243" s="273"/>
      <c r="AH243" s="273"/>
      <c r="AI243" s="273"/>
    </row>
    <row r="244" spans="1:35" ht="14.25" customHeight="1">
      <c r="A244" s="273"/>
      <c r="B244" s="273"/>
      <c r="C244" s="273"/>
      <c r="D244" s="273"/>
      <c r="E244" s="273"/>
      <c r="F244" s="273"/>
      <c r="G244" s="273"/>
      <c r="H244" s="273"/>
      <c r="I244" s="273"/>
      <c r="J244" s="273"/>
      <c r="K244" s="273"/>
      <c r="L244" s="274"/>
      <c r="M244" s="273"/>
      <c r="N244" s="273"/>
      <c r="O244" s="273"/>
      <c r="P244" s="273"/>
      <c r="Q244" s="273"/>
      <c r="R244" s="273"/>
      <c r="S244" s="273"/>
      <c r="T244" s="273"/>
      <c r="U244" s="273"/>
      <c r="V244" s="273"/>
      <c r="W244" s="273"/>
      <c r="X244" s="274"/>
      <c r="Y244" s="273"/>
      <c r="Z244" s="273"/>
      <c r="AA244" s="273"/>
      <c r="AB244" s="273"/>
      <c r="AC244" s="273"/>
      <c r="AD244" s="273"/>
      <c r="AE244" s="273"/>
      <c r="AF244" s="273"/>
      <c r="AG244" s="273"/>
      <c r="AH244" s="273"/>
      <c r="AI244" s="273"/>
    </row>
    <row r="245" spans="1:35" ht="14.25" customHeight="1">
      <c r="A245" s="273"/>
      <c r="B245" s="273"/>
      <c r="C245" s="273"/>
      <c r="D245" s="273"/>
      <c r="E245" s="273"/>
      <c r="F245" s="273"/>
      <c r="G245" s="273"/>
      <c r="H245" s="273"/>
      <c r="I245" s="273"/>
      <c r="J245" s="273"/>
      <c r="K245" s="273"/>
      <c r="L245" s="274"/>
      <c r="M245" s="273"/>
      <c r="N245" s="273"/>
      <c r="O245" s="273"/>
      <c r="P245" s="273"/>
      <c r="Q245" s="273"/>
      <c r="R245" s="273"/>
      <c r="S245" s="273"/>
      <c r="T245" s="273"/>
      <c r="U245" s="273"/>
      <c r="V245" s="273"/>
      <c r="W245" s="273"/>
      <c r="X245" s="274"/>
      <c r="Y245" s="273"/>
      <c r="Z245" s="273"/>
      <c r="AA245" s="273"/>
      <c r="AB245" s="273"/>
      <c r="AC245" s="273"/>
      <c r="AD245" s="273"/>
      <c r="AE245" s="273"/>
      <c r="AF245" s="273"/>
      <c r="AG245" s="273"/>
      <c r="AH245" s="273"/>
      <c r="AI245" s="273"/>
    </row>
    <row r="246" spans="1:35" ht="14.25" customHeight="1">
      <c r="A246" s="273"/>
      <c r="B246" s="273"/>
      <c r="C246" s="273"/>
      <c r="D246" s="273"/>
      <c r="E246" s="273"/>
      <c r="F246" s="273"/>
      <c r="G246" s="273"/>
      <c r="H246" s="273"/>
      <c r="I246" s="273"/>
      <c r="J246" s="273"/>
      <c r="K246" s="273"/>
      <c r="L246" s="274"/>
      <c r="M246" s="273"/>
      <c r="N246" s="273"/>
      <c r="O246" s="273"/>
      <c r="P246" s="273"/>
      <c r="Q246" s="273"/>
      <c r="R246" s="273"/>
      <c r="S246" s="273"/>
      <c r="T246" s="273"/>
      <c r="U246" s="273"/>
      <c r="V246" s="273"/>
      <c r="W246" s="273"/>
      <c r="X246" s="274"/>
      <c r="Y246" s="273"/>
      <c r="Z246" s="273"/>
      <c r="AA246" s="273"/>
      <c r="AB246" s="273"/>
      <c r="AC246" s="273"/>
      <c r="AD246" s="273"/>
      <c r="AE246" s="273"/>
      <c r="AF246" s="273"/>
      <c r="AG246" s="273"/>
      <c r="AH246" s="273"/>
      <c r="AI246" s="273"/>
    </row>
    <row r="247" spans="1:35" ht="14.25" customHeight="1">
      <c r="A247" s="273"/>
      <c r="B247" s="273"/>
      <c r="C247" s="273"/>
      <c r="D247" s="273"/>
      <c r="E247" s="273"/>
      <c r="F247" s="273"/>
      <c r="G247" s="273"/>
      <c r="H247" s="273"/>
      <c r="I247" s="273"/>
      <c r="J247" s="273"/>
      <c r="K247" s="273"/>
      <c r="L247" s="274"/>
      <c r="M247" s="273"/>
      <c r="N247" s="273"/>
      <c r="O247" s="273"/>
      <c r="P247" s="273"/>
      <c r="Q247" s="273"/>
      <c r="R247" s="273"/>
      <c r="S247" s="273"/>
      <c r="T247" s="273"/>
      <c r="U247" s="273"/>
      <c r="V247" s="273"/>
      <c r="W247" s="273"/>
      <c r="X247" s="274"/>
      <c r="Y247" s="273"/>
      <c r="Z247" s="273"/>
      <c r="AA247" s="273"/>
      <c r="AB247" s="273"/>
      <c r="AC247" s="273"/>
      <c r="AD247" s="273"/>
      <c r="AE247" s="273"/>
      <c r="AF247" s="273"/>
      <c r="AG247" s="273"/>
      <c r="AH247" s="273"/>
      <c r="AI247" s="273"/>
    </row>
    <row r="248" spans="1:35" ht="14.25" customHeight="1">
      <c r="A248" s="273"/>
      <c r="B248" s="273"/>
      <c r="C248" s="273"/>
      <c r="D248" s="273"/>
      <c r="E248" s="273"/>
      <c r="F248" s="273"/>
      <c r="G248" s="273"/>
      <c r="H248" s="273"/>
      <c r="I248" s="273"/>
      <c r="J248" s="273"/>
      <c r="K248" s="273"/>
      <c r="L248" s="274"/>
      <c r="M248" s="273"/>
      <c r="N248" s="273"/>
      <c r="O248" s="273"/>
      <c r="P248" s="273"/>
      <c r="Q248" s="273"/>
      <c r="R248" s="273"/>
      <c r="S248" s="273"/>
      <c r="T248" s="273"/>
      <c r="U248" s="273"/>
      <c r="V248" s="273"/>
      <c r="W248" s="273"/>
      <c r="X248" s="274"/>
      <c r="Y248" s="273"/>
      <c r="Z248" s="273"/>
      <c r="AA248" s="273"/>
      <c r="AB248" s="273"/>
      <c r="AC248" s="273"/>
      <c r="AD248" s="273"/>
      <c r="AE248" s="273"/>
      <c r="AF248" s="273"/>
      <c r="AG248" s="273"/>
      <c r="AH248" s="273"/>
      <c r="AI248" s="273"/>
    </row>
    <row r="249" spans="1:35" ht="14.25" customHeight="1">
      <c r="A249" s="273"/>
      <c r="B249" s="273"/>
      <c r="C249" s="273"/>
      <c r="D249" s="273"/>
      <c r="E249" s="273"/>
      <c r="F249" s="273"/>
      <c r="G249" s="273"/>
      <c r="H249" s="273"/>
      <c r="I249" s="273"/>
      <c r="J249" s="273"/>
      <c r="K249" s="273"/>
      <c r="L249" s="274"/>
      <c r="M249" s="273"/>
      <c r="N249" s="273"/>
      <c r="O249" s="273"/>
      <c r="P249" s="273"/>
      <c r="Q249" s="273"/>
      <c r="R249" s="273"/>
      <c r="S249" s="273"/>
      <c r="T249" s="273"/>
      <c r="U249" s="273"/>
      <c r="V249" s="273"/>
      <c r="W249" s="273"/>
      <c r="X249" s="274"/>
      <c r="Y249" s="273"/>
      <c r="Z249" s="273"/>
      <c r="AA249" s="273"/>
      <c r="AB249" s="273"/>
      <c r="AC249" s="273"/>
      <c r="AD249" s="273"/>
      <c r="AE249" s="273"/>
      <c r="AF249" s="273"/>
      <c r="AG249" s="273"/>
      <c r="AH249" s="273"/>
      <c r="AI249" s="273"/>
    </row>
    <row r="250" spans="1:35" ht="14.25" customHeight="1">
      <c r="A250" s="273"/>
      <c r="B250" s="273"/>
      <c r="C250" s="273"/>
      <c r="D250" s="273"/>
      <c r="E250" s="273"/>
      <c r="F250" s="273"/>
      <c r="G250" s="273"/>
      <c r="H250" s="273"/>
      <c r="I250" s="273"/>
      <c r="J250" s="273"/>
      <c r="K250" s="273"/>
      <c r="L250" s="274"/>
      <c r="M250" s="273"/>
      <c r="N250" s="273"/>
      <c r="O250" s="273"/>
      <c r="P250" s="273"/>
      <c r="Q250" s="273"/>
      <c r="R250" s="273"/>
      <c r="S250" s="273"/>
      <c r="T250" s="273"/>
      <c r="U250" s="273"/>
      <c r="V250" s="273"/>
      <c r="W250" s="273"/>
      <c r="X250" s="274"/>
      <c r="Y250" s="273"/>
      <c r="Z250" s="273"/>
      <c r="AA250" s="273"/>
      <c r="AB250" s="273"/>
      <c r="AC250" s="273"/>
      <c r="AD250" s="273"/>
      <c r="AE250" s="273"/>
      <c r="AF250" s="273"/>
      <c r="AG250" s="273"/>
      <c r="AH250" s="273"/>
      <c r="AI250" s="273"/>
    </row>
    <row r="251" spans="1:35" ht="14.25" customHeight="1">
      <c r="A251" s="273"/>
      <c r="B251" s="273"/>
      <c r="C251" s="273"/>
      <c r="D251" s="273"/>
      <c r="E251" s="273"/>
      <c r="F251" s="273"/>
      <c r="G251" s="273"/>
      <c r="H251" s="273"/>
      <c r="I251" s="273"/>
      <c r="J251" s="273"/>
      <c r="K251" s="273"/>
      <c r="L251" s="274"/>
      <c r="M251" s="273"/>
      <c r="N251" s="273"/>
      <c r="O251" s="273"/>
      <c r="P251" s="273"/>
      <c r="Q251" s="273"/>
      <c r="R251" s="273"/>
      <c r="S251" s="273"/>
      <c r="T251" s="273"/>
      <c r="U251" s="273"/>
      <c r="V251" s="273"/>
      <c r="W251" s="273"/>
      <c r="X251" s="274"/>
      <c r="Y251" s="273"/>
      <c r="Z251" s="273"/>
      <c r="AA251" s="273"/>
      <c r="AB251" s="273"/>
      <c r="AC251" s="273"/>
      <c r="AD251" s="273"/>
      <c r="AE251" s="273"/>
      <c r="AF251" s="273"/>
      <c r="AG251" s="273"/>
      <c r="AH251" s="273"/>
      <c r="AI251" s="273"/>
    </row>
    <row r="252" spans="1:35" ht="14.25" customHeight="1">
      <c r="A252" s="273"/>
      <c r="B252" s="273"/>
      <c r="C252" s="273"/>
      <c r="D252" s="273"/>
      <c r="E252" s="273"/>
      <c r="F252" s="273"/>
      <c r="G252" s="273"/>
      <c r="H252" s="273"/>
      <c r="I252" s="273"/>
      <c r="J252" s="273"/>
      <c r="K252" s="273"/>
      <c r="L252" s="274"/>
      <c r="M252" s="273"/>
      <c r="N252" s="273"/>
      <c r="O252" s="273"/>
      <c r="P252" s="273"/>
      <c r="Q252" s="273"/>
      <c r="R252" s="273"/>
      <c r="S252" s="273"/>
      <c r="T252" s="273"/>
      <c r="U252" s="273"/>
      <c r="V252" s="273"/>
      <c r="W252" s="273"/>
      <c r="X252" s="274"/>
      <c r="Y252" s="273"/>
      <c r="Z252" s="273"/>
      <c r="AA252" s="273"/>
      <c r="AB252" s="273"/>
      <c r="AC252" s="273"/>
      <c r="AD252" s="273"/>
      <c r="AE252" s="273"/>
      <c r="AF252" s="273"/>
      <c r="AG252" s="273"/>
      <c r="AH252" s="273"/>
      <c r="AI252" s="273"/>
    </row>
    <row r="253" spans="1:35" ht="14.25" customHeight="1">
      <c r="A253" s="273"/>
      <c r="B253" s="273"/>
      <c r="C253" s="273"/>
      <c r="D253" s="273"/>
      <c r="E253" s="273"/>
      <c r="F253" s="273"/>
      <c r="G253" s="273"/>
      <c r="H253" s="273"/>
      <c r="I253" s="273"/>
      <c r="J253" s="273"/>
      <c r="K253" s="273"/>
      <c r="L253" s="274"/>
      <c r="M253" s="273"/>
      <c r="N253" s="273"/>
      <c r="O253" s="273"/>
      <c r="P253" s="273"/>
      <c r="Q253" s="273"/>
      <c r="R253" s="273"/>
      <c r="S253" s="273"/>
      <c r="T253" s="273"/>
      <c r="U253" s="273"/>
      <c r="V253" s="273"/>
      <c r="W253" s="273"/>
      <c r="X253" s="274"/>
      <c r="Y253" s="273"/>
      <c r="Z253" s="273"/>
      <c r="AA253" s="273"/>
      <c r="AB253" s="273"/>
      <c r="AC253" s="273"/>
      <c r="AD253" s="273"/>
      <c r="AE253" s="273"/>
      <c r="AF253" s="273"/>
      <c r="AG253" s="273"/>
      <c r="AH253" s="273"/>
      <c r="AI253" s="273"/>
    </row>
    <row r="254" spans="1:35" ht="14.25" customHeight="1">
      <c r="A254" s="273"/>
      <c r="B254" s="273"/>
      <c r="C254" s="273"/>
      <c r="D254" s="273"/>
      <c r="E254" s="273"/>
      <c r="F254" s="273"/>
      <c r="G254" s="273"/>
      <c r="H254" s="273"/>
      <c r="I254" s="273"/>
      <c r="J254" s="273"/>
      <c r="K254" s="273"/>
      <c r="L254" s="274"/>
      <c r="M254" s="273"/>
      <c r="N254" s="273"/>
      <c r="O254" s="273"/>
      <c r="P254" s="273"/>
      <c r="Q254" s="273"/>
      <c r="R254" s="273"/>
      <c r="S254" s="273"/>
      <c r="T254" s="273"/>
      <c r="U254" s="273"/>
      <c r="V254" s="273"/>
      <c r="W254" s="273"/>
      <c r="X254" s="274"/>
      <c r="Y254" s="273"/>
      <c r="Z254" s="273"/>
      <c r="AA254" s="273"/>
      <c r="AB254" s="273"/>
      <c r="AC254" s="273"/>
      <c r="AD254" s="273"/>
      <c r="AE254" s="273"/>
      <c r="AF254" s="273"/>
      <c r="AG254" s="273"/>
      <c r="AH254" s="273"/>
      <c r="AI254" s="273"/>
    </row>
    <row r="255" spans="1:35" ht="14.25" customHeight="1">
      <c r="A255" s="273"/>
      <c r="B255" s="273"/>
      <c r="C255" s="273"/>
      <c r="D255" s="273"/>
      <c r="E255" s="273"/>
      <c r="F255" s="273"/>
      <c r="G255" s="273"/>
      <c r="H255" s="273"/>
      <c r="I255" s="273"/>
      <c r="J255" s="273"/>
      <c r="K255" s="273"/>
      <c r="L255" s="274"/>
      <c r="M255" s="273"/>
      <c r="N255" s="273"/>
      <c r="O255" s="273"/>
      <c r="P255" s="273"/>
      <c r="Q255" s="273"/>
      <c r="R255" s="273"/>
      <c r="S255" s="273"/>
      <c r="T255" s="273"/>
      <c r="U255" s="273"/>
      <c r="V255" s="273"/>
      <c r="W255" s="273"/>
      <c r="X255" s="274"/>
      <c r="Y255" s="273"/>
      <c r="Z255" s="273"/>
      <c r="AA255" s="273"/>
      <c r="AB255" s="273"/>
      <c r="AC255" s="273"/>
      <c r="AD255" s="273"/>
      <c r="AE255" s="273"/>
      <c r="AF255" s="273"/>
      <c r="AG255" s="273"/>
      <c r="AH255" s="273"/>
      <c r="AI255" s="273"/>
    </row>
    <row r="256" spans="1:35" ht="14.25" customHeight="1">
      <c r="A256" s="273"/>
      <c r="B256" s="273"/>
      <c r="C256" s="273"/>
      <c r="D256" s="273"/>
      <c r="E256" s="273"/>
      <c r="F256" s="273"/>
      <c r="G256" s="273"/>
      <c r="H256" s="273"/>
      <c r="I256" s="273"/>
      <c r="J256" s="273"/>
      <c r="K256" s="273"/>
      <c r="L256" s="274"/>
      <c r="M256" s="273"/>
      <c r="N256" s="273"/>
      <c r="O256" s="273"/>
      <c r="P256" s="273"/>
      <c r="Q256" s="273"/>
      <c r="R256" s="273"/>
      <c r="S256" s="273"/>
      <c r="T256" s="273"/>
      <c r="U256" s="273"/>
      <c r="V256" s="273"/>
      <c r="W256" s="273"/>
      <c r="X256" s="274"/>
      <c r="Y256" s="273"/>
      <c r="Z256" s="273"/>
      <c r="AA256" s="273"/>
      <c r="AB256" s="273"/>
      <c r="AC256" s="273"/>
      <c r="AD256" s="273"/>
      <c r="AE256" s="273"/>
      <c r="AF256" s="273"/>
      <c r="AG256" s="273"/>
      <c r="AH256" s="273"/>
      <c r="AI256" s="273"/>
    </row>
    <row r="257" spans="1:35" ht="14.25" customHeight="1">
      <c r="A257" s="273"/>
      <c r="B257" s="273"/>
      <c r="C257" s="273"/>
      <c r="D257" s="273"/>
      <c r="E257" s="273"/>
      <c r="F257" s="273"/>
      <c r="G257" s="273"/>
      <c r="H257" s="273"/>
      <c r="I257" s="273"/>
      <c r="J257" s="273"/>
      <c r="K257" s="273"/>
      <c r="L257" s="274"/>
      <c r="M257" s="273"/>
      <c r="N257" s="273"/>
      <c r="O257" s="273"/>
      <c r="P257" s="273"/>
      <c r="Q257" s="273"/>
      <c r="R257" s="273"/>
      <c r="S257" s="273"/>
      <c r="T257" s="273"/>
      <c r="U257" s="273"/>
      <c r="V257" s="273"/>
      <c r="W257" s="273"/>
      <c r="X257" s="274"/>
      <c r="Y257" s="273"/>
      <c r="Z257" s="273"/>
      <c r="AA257" s="273"/>
      <c r="AB257" s="273"/>
      <c r="AC257" s="273"/>
      <c r="AD257" s="273"/>
      <c r="AE257" s="273"/>
      <c r="AF257" s="273"/>
      <c r="AG257" s="273"/>
      <c r="AH257" s="273"/>
      <c r="AI257" s="273"/>
    </row>
    <row r="258" spans="1:35" ht="14.25" customHeight="1">
      <c r="A258" s="273"/>
      <c r="B258" s="273"/>
      <c r="C258" s="273"/>
      <c r="D258" s="273"/>
      <c r="E258" s="273"/>
      <c r="F258" s="273"/>
      <c r="G258" s="273"/>
      <c r="H258" s="273"/>
      <c r="I258" s="273"/>
      <c r="J258" s="273"/>
      <c r="K258" s="273"/>
      <c r="L258" s="274"/>
      <c r="M258" s="273"/>
      <c r="N258" s="273"/>
      <c r="O258" s="273"/>
      <c r="P258" s="273"/>
      <c r="Q258" s="273"/>
      <c r="R258" s="273"/>
      <c r="S258" s="273"/>
      <c r="T258" s="273"/>
      <c r="U258" s="273"/>
      <c r="V258" s="273"/>
      <c r="W258" s="273"/>
      <c r="X258" s="274"/>
      <c r="Y258" s="273"/>
      <c r="Z258" s="273"/>
      <c r="AA258" s="273"/>
      <c r="AB258" s="273"/>
      <c r="AC258" s="273"/>
      <c r="AD258" s="273"/>
      <c r="AE258" s="273"/>
      <c r="AF258" s="273"/>
      <c r="AG258" s="273"/>
      <c r="AH258" s="273"/>
      <c r="AI258" s="273"/>
    </row>
    <row r="259" spans="1:35" ht="14.25" customHeight="1">
      <c r="A259" s="273"/>
      <c r="B259" s="273"/>
      <c r="C259" s="273"/>
      <c r="D259" s="273"/>
      <c r="E259" s="273"/>
      <c r="F259" s="273"/>
      <c r="G259" s="273"/>
      <c r="H259" s="273"/>
      <c r="I259" s="273"/>
      <c r="J259" s="273"/>
      <c r="K259" s="273"/>
      <c r="L259" s="274"/>
      <c r="M259" s="273"/>
      <c r="N259" s="273"/>
      <c r="O259" s="273"/>
      <c r="P259" s="273"/>
      <c r="Q259" s="273"/>
      <c r="R259" s="273"/>
      <c r="S259" s="273"/>
      <c r="T259" s="273"/>
      <c r="U259" s="273"/>
      <c r="V259" s="273"/>
      <c r="W259" s="273"/>
      <c r="X259" s="274"/>
      <c r="Y259" s="273"/>
      <c r="Z259" s="273"/>
      <c r="AA259" s="273"/>
      <c r="AB259" s="273"/>
      <c r="AC259" s="273"/>
      <c r="AD259" s="273"/>
      <c r="AE259" s="273"/>
      <c r="AF259" s="273"/>
      <c r="AG259" s="273"/>
      <c r="AH259" s="273"/>
      <c r="AI259" s="273"/>
    </row>
    <row r="260" spans="1:35" ht="14.25" customHeight="1">
      <c r="A260" s="273"/>
      <c r="B260" s="273"/>
      <c r="C260" s="273"/>
      <c r="D260" s="273"/>
      <c r="E260" s="273"/>
      <c r="F260" s="273"/>
      <c r="G260" s="273"/>
      <c r="H260" s="273"/>
      <c r="I260" s="273"/>
      <c r="J260" s="273"/>
      <c r="K260" s="273"/>
      <c r="L260" s="274"/>
      <c r="M260" s="273"/>
      <c r="N260" s="273"/>
      <c r="O260" s="273"/>
      <c r="P260" s="273"/>
      <c r="Q260" s="273"/>
      <c r="R260" s="273"/>
      <c r="S260" s="273"/>
      <c r="T260" s="273"/>
      <c r="U260" s="273"/>
      <c r="V260" s="273"/>
      <c r="W260" s="273"/>
      <c r="X260" s="274"/>
      <c r="Y260" s="273"/>
      <c r="Z260" s="273"/>
      <c r="AA260" s="273"/>
      <c r="AB260" s="273"/>
      <c r="AC260" s="273"/>
      <c r="AD260" s="273"/>
      <c r="AE260" s="273"/>
      <c r="AF260" s="273"/>
      <c r="AG260" s="273"/>
      <c r="AH260" s="273"/>
      <c r="AI260" s="273"/>
    </row>
    <row r="261" spans="1:35" ht="14.25" customHeight="1">
      <c r="A261" s="273"/>
      <c r="B261" s="273"/>
      <c r="C261" s="273"/>
      <c r="D261" s="273"/>
      <c r="E261" s="273"/>
      <c r="F261" s="273"/>
      <c r="G261" s="273"/>
      <c r="H261" s="273"/>
      <c r="I261" s="273"/>
      <c r="J261" s="273"/>
      <c r="K261" s="273"/>
      <c r="L261" s="274"/>
      <c r="M261" s="273"/>
      <c r="N261" s="273"/>
      <c r="O261" s="273"/>
      <c r="P261" s="273"/>
      <c r="Q261" s="273"/>
      <c r="R261" s="273"/>
      <c r="S261" s="273"/>
      <c r="T261" s="273"/>
      <c r="U261" s="273"/>
      <c r="V261" s="273"/>
      <c r="W261" s="273"/>
      <c r="X261" s="274"/>
      <c r="Y261" s="273"/>
      <c r="Z261" s="273"/>
      <c r="AA261" s="273"/>
      <c r="AB261" s="273"/>
      <c r="AC261" s="273"/>
      <c r="AD261" s="273"/>
      <c r="AE261" s="273"/>
      <c r="AF261" s="273"/>
      <c r="AG261" s="273"/>
      <c r="AH261" s="273"/>
      <c r="AI261" s="273"/>
    </row>
    <row r="262" spans="1:35" ht="14.25" customHeight="1">
      <c r="A262" s="273"/>
      <c r="B262" s="273"/>
      <c r="C262" s="273"/>
      <c r="D262" s="273"/>
      <c r="E262" s="273"/>
      <c r="F262" s="273"/>
      <c r="G262" s="273"/>
      <c r="H262" s="273"/>
      <c r="I262" s="273"/>
      <c r="J262" s="273"/>
      <c r="K262" s="273"/>
      <c r="L262" s="274"/>
      <c r="M262" s="273"/>
      <c r="N262" s="273"/>
      <c r="O262" s="273"/>
      <c r="P262" s="273"/>
      <c r="Q262" s="273"/>
      <c r="R262" s="273"/>
      <c r="S262" s="273"/>
      <c r="T262" s="273"/>
      <c r="U262" s="273"/>
      <c r="V262" s="273"/>
      <c r="W262" s="273"/>
      <c r="X262" s="274"/>
      <c r="Y262" s="273"/>
      <c r="Z262" s="273"/>
      <c r="AA262" s="273"/>
      <c r="AB262" s="273"/>
      <c r="AC262" s="273"/>
      <c r="AD262" s="273"/>
      <c r="AE262" s="273"/>
      <c r="AF262" s="273"/>
      <c r="AG262" s="273"/>
      <c r="AH262" s="273"/>
      <c r="AI262" s="273"/>
    </row>
    <row r="263" spans="1:35" ht="14.25" customHeight="1">
      <c r="A263" s="273"/>
      <c r="B263" s="273"/>
      <c r="C263" s="273"/>
      <c r="D263" s="273"/>
      <c r="E263" s="273"/>
      <c r="F263" s="273"/>
      <c r="G263" s="273"/>
      <c r="H263" s="273"/>
      <c r="I263" s="273"/>
      <c r="J263" s="273"/>
      <c r="K263" s="273"/>
      <c r="L263" s="274"/>
      <c r="M263" s="273"/>
      <c r="N263" s="273"/>
      <c r="O263" s="273"/>
      <c r="P263" s="273"/>
      <c r="Q263" s="273"/>
      <c r="R263" s="273"/>
      <c r="S263" s="273"/>
      <c r="T263" s="273"/>
      <c r="U263" s="273"/>
      <c r="V263" s="273"/>
      <c r="W263" s="273"/>
      <c r="X263" s="274"/>
      <c r="Y263" s="273"/>
      <c r="Z263" s="273"/>
      <c r="AA263" s="273"/>
      <c r="AB263" s="273"/>
      <c r="AC263" s="273"/>
      <c r="AD263" s="273"/>
      <c r="AE263" s="273"/>
      <c r="AF263" s="273"/>
      <c r="AG263" s="273"/>
      <c r="AH263" s="273"/>
      <c r="AI263" s="273"/>
    </row>
    <row r="264" spans="1:35" ht="14.25" customHeight="1">
      <c r="A264" s="273"/>
      <c r="B264" s="273"/>
      <c r="C264" s="273"/>
      <c r="D264" s="273"/>
      <c r="E264" s="273"/>
      <c r="F264" s="273"/>
      <c r="G264" s="273"/>
      <c r="H264" s="273"/>
      <c r="I264" s="273"/>
      <c r="J264" s="273"/>
      <c r="K264" s="273"/>
      <c r="L264" s="274"/>
      <c r="M264" s="273"/>
      <c r="N264" s="273"/>
      <c r="O264" s="273"/>
      <c r="P264" s="273"/>
      <c r="Q264" s="273"/>
      <c r="R264" s="273"/>
      <c r="S264" s="273"/>
      <c r="T264" s="273"/>
      <c r="U264" s="273"/>
      <c r="V264" s="273"/>
      <c r="W264" s="273"/>
      <c r="X264" s="274"/>
      <c r="Y264" s="273"/>
      <c r="Z264" s="273"/>
      <c r="AA264" s="273"/>
      <c r="AB264" s="273"/>
      <c r="AC264" s="273"/>
      <c r="AD264" s="273"/>
      <c r="AE264" s="273"/>
      <c r="AF264" s="273"/>
      <c r="AG264" s="273"/>
      <c r="AH264" s="273"/>
      <c r="AI264" s="273"/>
    </row>
    <row r="265" spans="1:35" ht="14.25" customHeight="1">
      <c r="A265" s="273"/>
      <c r="B265" s="273"/>
      <c r="C265" s="273"/>
      <c r="D265" s="273"/>
      <c r="E265" s="273"/>
      <c r="F265" s="273"/>
      <c r="G265" s="273"/>
      <c r="H265" s="273"/>
      <c r="I265" s="273"/>
      <c r="J265" s="273"/>
      <c r="K265" s="273"/>
      <c r="L265" s="274"/>
      <c r="M265" s="273"/>
      <c r="N265" s="273"/>
      <c r="O265" s="273"/>
      <c r="P265" s="273"/>
      <c r="Q265" s="273"/>
      <c r="R265" s="273"/>
      <c r="S265" s="273"/>
      <c r="T265" s="273"/>
      <c r="U265" s="273"/>
      <c r="V265" s="273"/>
      <c r="W265" s="273"/>
      <c r="X265" s="274"/>
      <c r="Y265" s="273"/>
      <c r="Z265" s="273"/>
      <c r="AA265" s="273"/>
      <c r="AB265" s="273"/>
      <c r="AC265" s="273"/>
      <c r="AD265" s="273"/>
      <c r="AE265" s="273"/>
      <c r="AF265" s="273"/>
      <c r="AG265" s="273"/>
      <c r="AH265" s="273"/>
      <c r="AI265" s="273"/>
    </row>
    <row r="266" spans="1:35" ht="14.25" customHeight="1">
      <c r="A266" s="273"/>
      <c r="B266" s="273"/>
      <c r="C266" s="273"/>
      <c r="D266" s="273"/>
      <c r="E266" s="273"/>
      <c r="F266" s="273"/>
      <c r="G266" s="273"/>
      <c r="H266" s="273"/>
      <c r="I266" s="273"/>
      <c r="J266" s="273"/>
      <c r="K266" s="273"/>
      <c r="L266" s="274"/>
      <c r="M266" s="273"/>
      <c r="N266" s="273"/>
      <c r="O266" s="273"/>
      <c r="P266" s="273"/>
      <c r="Q266" s="273"/>
      <c r="R266" s="273"/>
      <c r="S266" s="273"/>
      <c r="T266" s="273"/>
      <c r="U266" s="273"/>
      <c r="V266" s="273"/>
      <c r="W266" s="273"/>
      <c r="X266" s="274"/>
      <c r="Y266" s="273"/>
      <c r="Z266" s="273"/>
      <c r="AA266" s="273"/>
      <c r="AB266" s="273"/>
      <c r="AC266" s="273"/>
      <c r="AD266" s="273"/>
      <c r="AE266" s="273"/>
      <c r="AF266" s="273"/>
      <c r="AG266" s="273"/>
      <c r="AH266" s="273"/>
      <c r="AI266" s="273"/>
    </row>
    <row r="267" spans="1:35" ht="14.25" customHeight="1">
      <c r="A267" s="273"/>
      <c r="B267" s="273"/>
      <c r="C267" s="273"/>
      <c r="D267" s="273"/>
      <c r="E267" s="273"/>
      <c r="F267" s="273"/>
      <c r="G267" s="273"/>
      <c r="H267" s="273"/>
      <c r="I267" s="273"/>
      <c r="J267" s="273"/>
      <c r="K267" s="273"/>
      <c r="L267" s="274"/>
      <c r="M267" s="273"/>
      <c r="N267" s="273"/>
      <c r="O267" s="273"/>
      <c r="P267" s="273"/>
      <c r="Q267" s="273"/>
      <c r="R267" s="273"/>
      <c r="S267" s="273"/>
      <c r="T267" s="273"/>
      <c r="U267" s="273"/>
      <c r="V267" s="273"/>
      <c r="W267" s="273"/>
      <c r="X267" s="274"/>
      <c r="Y267" s="273"/>
      <c r="Z267" s="273"/>
      <c r="AA267" s="273"/>
      <c r="AB267" s="273"/>
      <c r="AC267" s="273"/>
      <c r="AD267" s="273"/>
      <c r="AE267" s="273"/>
      <c r="AF267" s="273"/>
      <c r="AG267" s="273"/>
      <c r="AH267" s="273"/>
      <c r="AI267" s="273"/>
    </row>
    <row r="268" spans="1:35" ht="14.25" customHeight="1">
      <c r="A268" s="273"/>
      <c r="B268" s="273"/>
      <c r="C268" s="273"/>
      <c r="D268" s="273"/>
      <c r="E268" s="273"/>
      <c r="F268" s="273"/>
      <c r="G268" s="273"/>
      <c r="H268" s="273"/>
      <c r="I268" s="273"/>
      <c r="J268" s="273"/>
      <c r="K268" s="273"/>
      <c r="L268" s="274"/>
      <c r="M268" s="273"/>
      <c r="N268" s="273"/>
      <c r="O268" s="273"/>
      <c r="P268" s="273"/>
      <c r="Q268" s="273"/>
      <c r="R268" s="273"/>
      <c r="S268" s="273"/>
      <c r="T268" s="273"/>
      <c r="U268" s="273"/>
      <c r="V268" s="273"/>
      <c r="W268" s="273"/>
      <c r="X268" s="274"/>
      <c r="Y268" s="273"/>
      <c r="Z268" s="273"/>
      <c r="AA268" s="273"/>
      <c r="AB268" s="273"/>
      <c r="AC268" s="273"/>
      <c r="AD268" s="273"/>
      <c r="AE268" s="273"/>
      <c r="AF268" s="273"/>
      <c r="AG268" s="273"/>
      <c r="AH268" s="273"/>
      <c r="AI268" s="273"/>
    </row>
    <row r="269" spans="1:35" ht="14.25" customHeight="1">
      <c r="A269" s="273"/>
      <c r="B269" s="273"/>
      <c r="C269" s="273"/>
      <c r="D269" s="273"/>
      <c r="E269" s="273"/>
      <c r="F269" s="273"/>
      <c r="G269" s="273"/>
      <c r="H269" s="273"/>
      <c r="I269" s="273"/>
      <c r="J269" s="273"/>
      <c r="K269" s="273"/>
      <c r="L269" s="274"/>
      <c r="M269" s="273"/>
      <c r="N269" s="273"/>
      <c r="O269" s="273"/>
      <c r="P269" s="273"/>
      <c r="Q269" s="273"/>
      <c r="R269" s="273"/>
      <c r="S269" s="273"/>
      <c r="T269" s="273"/>
      <c r="U269" s="273"/>
      <c r="V269" s="273"/>
      <c r="W269" s="273"/>
      <c r="X269" s="274"/>
      <c r="Y269" s="273"/>
      <c r="Z269" s="273"/>
      <c r="AA269" s="273"/>
      <c r="AB269" s="273"/>
      <c r="AC269" s="273"/>
      <c r="AD269" s="273"/>
      <c r="AE269" s="273"/>
      <c r="AF269" s="273"/>
      <c r="AG269" s="273"/>
      <c r="AH269" s="273"/>
      <c r="AI269" s="273"/>
    </row>
    <row r="270" spans="1:35" ht="14.25" customHeight="1">
      <c r="A270" s="273"/>
      <c r="B270" s="273"/>
      <c r="C270" s="273"/>
      <c r="D270" s="273"/>
      <c r="E270" s="273"/>
      <c r="F270" s="273"/>
      <c r="G270" s="273"/>
      <c r="H270" s="273"/>
      <c r="I270" s="273"/>
      <c r="J270" s="273"/>
      <c r="K270" s="273"/>
      <c r="L270" s="274"/>
      <c r="M270" s="273"/>
      <c r="N270" s="273"/>
      <c r="O270" s="273"/>
      <c r="P270" s="273"/>
      <c r="Q270" s="273"/>
      <c r="R270" s="273"/>
      <c r="S270" s="273"/>
      <c r="T270" s="273"/>
      <c r="U270" s="273"/>
      <c r="V270" s="273"/>
      <c r="W270" s="273"/>
      <c r="X270" s="274"/>
      <c r="Y270" s="273"/>
      <c r="Z270" s="273"/>
      <c r="AA270" s="273"/>
      <c r="AB270" s="273"/>
      <c r="AC270" s="273"/>
      <c r="AD270" s="273"/>
      <c r="AE270" s="273"/>
      <c r="AF270" s="273"/>
      <c r="AG270" s="273"/>
      <c r="AH270" s="273"/>
      <c r="AI270" s="273"/>
    </row>
    <row r="271" spans="1:35" ht="14.25" customHeight="1">
      <c r="A271" s="273"/>
      <c r="B271" s="273"/>
      <c r="C271" s="273"/>
      <c r="D271" s="273"/>
      <c r="E271" s="273"/>
      <c r="F271" s="273"/>
      <c r="G271" s="273"/>
      <c r="H271" s="273"/>
      <c r="I271" s="273"/>
      <c r="J271" s="273"/>
      <c r="K271" s="273"/>
      <c r="L271" s="274"/>
      <c r="M271" s="273"/>
      <c r="N271" s="273"/>
      <c r="O271" s="273"/>
      <c r="P271" s="273"/>
      <c r="Q271" s="273"/>
      <c r="R271" s="273"/>
      <c r="S271" s="273"/>
      <c r="T271" s="273"/>
      <c r="U271" s="273"/>
      <c r="V271" s="273"/>
      <c r="W271" s="273"/>
      <c r="X271" s="274"/>
      <c r="Y271" s="273"/>
      <c r="Z271" s="273"/>
      <c r="AA271" s="273"/>
      <c r="AB271" s="273"/>
      <c r="AC271" s="273"/>
      <c r="AD271" s="273"/>
      <c r="AE271" s="273"/>
      <c r="AF271" s="273"/>
      <c r="AG271" s="273"/>
      <c r="AH271" s="273"/>
      <c r="AI271" s="273"/>
    </row>
    <row r="272" spans="1:35" ht="14.25" customHeight="1">
      <c r="A272" s="273"/>
      <c r="B272" s="273"/>
      <c r="C272" s="273"/>
      <c r="D272" s="273"/>
      <c r="E272" s="273"/>
      <c r="F272" s="273"/>
      <c r="G272" s="273"/>
      <c r="H272" s="273"/>
      <c r="I272" s="273"/>
      <c r="J272" s="273"/>
      <c r="K272" s="273"/>
      <c r="L272" s="274"/>
      <c r="M272" s="273"/>
      <c r="N272" s="273"/>
      <c r="O272" s="273"/>
      <c r="P272" s="273"/>
      <c r="Q272" s="273"/>
      <c r="R272" s="273"/>
      <c r="S272" s="273"/>
      <c r="T272" s="273"/>
      <c r="U272" s="273"/>
      <c r="V272" s="273"/>
      <c r="W272" s="273"/>
      <c r="X272" s="274"/>
      <c r="Y272" s="273"/>
      <c r="Z272" s="273"/>
      <c r="AA272" s="273"/>
      <c r="AB272" s="273"/>
      <c r="AC272" s="273"/>
      <c r="AD272" s="273"/>
      <c r="AE272" s="273"/>
      <c r="AF272" s="273"/>
      <c r="AG272" s="273"/>
      <c r="AH272" s="273"/>
      <c r="AI272" s="273"/>
    </row>
    <row r="273" spans="1:35" ht="14.25" customHeight="1">
      <c r="A273" s="273"/>
      <c r="B273" s="273"/>
      <c r="C273" s="273"/>
      <c r="D273" s="273"/>
      <c r="E273" s="273"/>
      <c r="F273" s="273"/>
      <c r="G273" s="273"/>
      <c r="H273" s="273"/>
      <c r="I273" s="273"/>
      <c r="J273" s="273"/>
      <c r="K273" s="273"/>
      <c r="L273" s="274"/>
      <c r="M273" s="273"/>
      <c r="N273" s="273"/>
      <c r="O273" s="273"/>
      <c r="P273" s="273"/>
      <c r="Q273" s="273"/>
      <c r="R273" s="273"/>
      <c r="S273" s="273"/>
      <c r="T273" s="273"/>
      <c r="U273" s="273"/>
      <c r="V273" s="273"/>
      <c r="W273" s="273"/>
      <c r="X273" s="274"/>
      <c r="Y273" s="273"/>
      <c r="Z273" s="273"/>
      <c r="AA273" s="273"/>
      <c r="AB273" s="273"/>
      <c r="AC273" s="273"/>
      <c r="AD273" s="273"/>
      <c r="AE273" s="273"/>
      <c r="AF273" s="273"/>
      <c r="AG273" s="273"/>
      <c r="AH273" s="273"/>
      <c r="AI273" s="273"/>
    </row>
    <row r="274" spans="1:35" ht="14.25" customHeight="1">
      <c r="A274" s="273"/>
      <c r="B274" s="273"/>
      <c r="C274" s="273"/>
      <c r="D274" s="273"/>
      <c r="E274" s="273"/>
      <c r="F274" s="273"/>
      <c r="G274" s="273"/>
      <c r="H274" s="273"/>
      <c r="I274" s="273"/>
      <c r="J274" s="273"/>
      <c r="K274" s="273"/>
      <c r="L274" s="274"/>
      <c r="M274" s="273"/>
      <c r="N274" s="273"/>
      <c r="O274" s="273"/>
      <c r="P274" s="273"/>
      <c r="Q274" s="273"/>
      <c r="R274" s="273"/>
      <c r="S274" s="273"/>
      <c r="T274" s="273"/>
      <c r="U274" s="273"/>
      <c r="V274" s="273"/>
      <c r="W274" s="273"/>
      <c r="X274" s="274"/>
      <c r="Y274" s="273"/>
      <c r="Z274" s="273"/>
      <c r="AA274" s="273"/>
      <c r="AB274" s="273"/>
      <c r="AC274" s="273"/>
      <c r="AD274" s="273"/>
      <c r="AE274" s="273"/>
      <c r="AF274" s="273"/>
      <c r="AG274" s="273"/>
      <c r="AH274" s="273"/>
      <c r="AI274" s="273"/>
    </row>
    <row r="275" spans="1:35" ht="14.25" customHeight="1">
      <c r="A275" s="273"/>
      <c r="B275" s="273"/>
      <c r="C275" s="273"/>
      <c r="D275" s="273"/>
      <c r="E275" s="273"/>
      <c r="F275" s="273"/>
      <c r="G275" s="273"/>
      <c r="H275" s="273"/>
      <c r="I275" s="273"/>
      <c r="J275" s="273"/>
      <c r="K275" s="273"/>
      <c r="L275" s="274"/>
      <c r="M275" s="273"/>
      <c r="N275" s="273"/>
      <c r="O275" s="273"/>
      <c r="P275" s="273"/>
      <c r="Q275" s="273"/>
      <c r="R275" s="273"/>
      <c r="S275" s="273"/>
      <c r="T275" s="273"/>
      <c r="U275" s="273"/>
      <c r="V275" s="273"/>
      <c r="W275" s="273"/>
      <c r="X275" s="274"/>
      <c r="Y275" s="273"/>
      <c r="Z275" s="273"/>
      <c r="AA275" s="273"/>
      <c r="AB275" s="273"/>
      <c r="AC275" s="273"/>
      <c r="AD275" s="273"/>
      <c r="AE275" s="273"/>
      <c r="AF275" s="273"/>
      <c r="AG275" s="273"/>
      <c r="AH275" s="273"/>
      <c r="AI275" s="273"/>
    </row>
    <row r="276" spans="1:35" ht="14.25" customHeight="1">
      <c r="A276" s="273"/>
      <c r="B276" s="273"/>
      <c r="C276" s="273"/>
      <c r="D276" s="273"/>
      <c r="E276" s="273"/>
      <c r="F276" s="273"/>
      <c r="G276" s="273"/>
      <c r="H276" s="273"/>
      <c r="I276" s="273"/>
      <c r="J276" s="273"/>
      <c r="K276" s="273"/>
      <c r="L276" s="274"/>
      <c r="M276" s="273"/>
      <c r="N276" s="273"/>
      <c r="O276" s="273"/>
      <c r="P276" s="273"/>
      <c r="Q276" s="273"/>
      <c r="R276" s="273"/>
      <c r="S276" s="273"/>
      <c r="T276" s="273"/>
      <c r="U276" s="273"/>
      <c r="V276" s="273"/>
      <c r="W276" s="273"/>
      <c r="X276" s="274"/>
      <c r="Y276" s="273"/>
      <c r="Z276" s="273"/>
      <c r="AA276" s="273"/>
      <c r="AB276" s="273"/>
      <c r="AC276" s="273"/>
      <c r="AD276" s="273"/>
      <c r="AE276" s="273"/>
      <c r="AF276" s="273"/>
      <c r="AG276" s="273"/>
      <c r="AH276" s="273"/>
      <c r="AI276" s="273"/>
    </row>
    <row r="277" spans="1:35" ht="14.25" customHeight="1">
      <c r="A277" s="273"/>
      <c r="B277" s="273"/>
      <c r="C277" s="273"/>
      <c r="D277" s="273"/>
      <c r="E277" s="273"/>
      <c r="F277" s="273"/>
      <c r="G277" s="273"/>
      <c r="H277" s="273"/>
      <c r="I277" s="273"/>
      <c r="J277" s="273"/>
      <c r="K277" s="273"/>
      <c r="L277" s="274"/>
      <c r="M277" s="273"/>
      <c r="N277" s="273"/>
      <c r="O277" s="273"/>
      <c r="P277" s="273"/>
      <c r="Q277" s="273"/>
      <c r="R277" s="273"/>
      <c r="S277" s="273"/>
      <c r="T277" s="273"/>
      <c r="U277" s="273"/>
      <c r="V277" s="273"/>
      <c r="W277" s="273"/>
      <c r="X277" s="274"/>
      <c r="Y277" s="273"/>
      <c r="Z277" s="273"/>
      <c r="AA277" s="273"/>
      <c r="AB277" s="273"/>
      <c r="AC277" s="273"/>
      <c r="AD277" s="273"/>
      <c r="AE277" s="273"/>
      <c r="AF277" s="273"/>
      <c r="AG277" s="273"/>
      <c r="AH277" s="273"/>
      <c r="AI277" s="273"/>
    </row>
    <row r="278" spans="1:35" ht="14.25" customHeight="1">
      <c r="A278" s="273"/>
      <c r="B278" s="273"/>
      <c r="C278" s="273"/>
      <c r="D278" s="273"/>
      <c r="E278" s="273"/>
      <c r="F278" s="273"/>
      <c r="G278" s="273"/>
      <c r="H278" s="273"/>
      <c r="I278" s="273"/>
      <c r="J278" s="273"/>
      <c r="K278" s="273"/>
      <c r="L278" s="274"/>
      <c r="M278" s="273"/>
      <c r="N278" s="273"/>
      <c r="O278" s="273"/>
      <c r="P278" s="273"/>
      <c r="Q278" s="273"/>
      <c r="R278" s="273"/>
      <c r="S278" s="273"/>
      <c r="T278" s="273"/>
      <c r="U278" s="273"/>
      <c r="V278" s="273"/>
      <c r="W278" s="273"/>
      <c r="X278" s="274"/>
      <c r="Y278" s="273"/>
      <c r="Z278" s="273"/>
      <c r="AA278" s="273"/>
      <c r="AB278" s="273"/>
      <c r="AC278" s="273"/>
      <c r="AD278" s="273"/>
      <c r="AE278" s="273"/>
      <c r="AF278" s="273"/>
      <c r="AG278" s="273"/>
      <c r="AH278" s="273"/>
      <c r="AI278" s="273"/>
    </row>
    <row r="279" spans="1:35" ht="14.25" customHeight="1">
      <c r="A279" s="273"/>
      <c r="B279" s="273"/>
      <c r="C279" s="273"/>
      <c r="D279" s="273"/>
      <c r="E279" s="273"/>
      <c r="F279" s="273"/>
      <c r="G279" s="273"/>
      <c r="H279" s="273"/>
      <c r="I279" s="273"/>
      <c r="J279" s="273"/>
      <c r="K279" s="273"/>
      <c r="L279" s="274"/>
      <c r="M279" s="273"/>
      <c r="N279" s="273"/>
      <c r="O279" s="273"/>
      <c r="P279" s="273"/>
      <c r="Q279" s="273"/>
      <c r="R279" s="273"/>
      <c r="S279" s="273"/>
      <c r="T279" s="273"/>
      <c r="U279" s="273"/>
      <c r="V279" s="273"/>
      <c r="W279" s="273"/>
      <c r="X279" s="274"/>
      <c r="Y279" s="273"/>
      <c r="Z279" s="273"/>
      <c r="AA279" s="273"/>
      <c r="AB279" s="273"/>
      <c r="AC279" s="273"/>
      <c r="AD279" s="273"/>
      <c r="AE279" s="273"/>
      <c r="AF279" s="273"/>
      <c r="AG279" s="273"/>
      <c r="AH279" s="273"/>
      <c r="AI279" s="273"/>
    </row>
    <row r="280" spans="1:35" ht="14.25" customHeight="1">
      <c r="A280" s="273"/>
      <c r="B280" s="273"/>
      <c r="C280" s="273"/>
      <c r="D280" s="273"/>
      <c r="E280" s="273"/>
      <c r="F280" s="273"/>
      <c r="G280" s="273"/>
      <c r="H280" s="273"/>
      <c r="I280" s="273"/>
      <c r="J280" s="273"/>
      <c r="K280" s="273"/>
      <c r="L280" s="274"/>
      <c r="M280" s="273"/>
      <c r="N280" s="273"/>
      <c r="O280" s="273"/>
      <c r="P280" s="273"/>
      <c r="Q280" s="273"/>
      <c r="R280" s="273"/>
      <c r="S280" s="273"/>
      <c r="T280" s="273"/>
      <c r="U280" s="273"/>
      <c r="V280" s="273"/>
      <c r="W280" s="273"/>
      <c r="X280" s="274"/>
      <c r="Y280" s="273"/>
      <c r="Z280" s="273"/>
      <c r="AA280" s="273"/>
      <c r="AB280" s="273"/>
      <c r="AC280" s="273"/>
      <c r="AD280" s="273"/>
      <c r="AE280" s="273"/>
      <c r="AF280" s="273"/>
      <c r="AG280" s="273"/>
      <c r="AH280" s="273"/>
      <c r="AI280" s="273"/>
    </row>
    <row r="281" spans="1:35" ht="14.25" customHeight="1">
      <c r="A281" s="273"/>
      <c r="B281" s="273"/>
      <c r="C281" s="273"/>
      <c r="D281" s="273"/>
      <c r="E281" s="273"/>
      <c r="F281" s="273"/>
      <c r="G281" s="273"/>
      <c r="H281" s="273"/>
      <c r="I281" s="273"/>
      <c r="J281" s="273"/>
      <c r="K281" s="273"/>
      <c r="L281" s="274"/>
      <c r="M281" s="273"/>
      <c r="N281" s="273"/>
      <c r="O281" s="273"/>
      <c r="P281" s="273"/>
      <c r="Q281" s="273"/>
      <c r="R281" s="273"/>
      <c r="S281" s="273"/>
      <c r="T281" s="273"/>
      <c r="U281" s="273"/>
      <c r="V281" s="273"/>
      <c r="W281" s="273"/>
      <c r="X281" s="274"/>
      <c r="Y281" s="273"/>
      <c r="Z281" s="273"/>
      <c r="AA281" s="273"/>
      <c r="AB281" s="273"/>
      <c r="AC281" s="273"/>
      <c r="AD281" s="273"/>
      <c r="AE281" s="273"/>
      <c r="AF281" s="273"/>
      <c r="AG281" s="273"/>
      <c r="AH281" s="273"/>
      <c r="AI281" s="273"/>
    </row>
    <row r="282" spans="1:35" ht="14.25" customHeight="1">
      <c r="A282" s="273"/>
      <c r="B282" s="273"/>
      <c r="C282" s="273"/>
      <c r="D282" s="273"/>
      <c r="E282" s="273"/>
      <c r="F282" s="273"/>
      <c r="G282" s="273"/>
      <c r="H282" s="273"/>
      <c r="I282" s="273"/>
      <c r="J282" s="273"/>
      <c r="K282" s="273"/>
      <c r="L282" s="274"/>
      <c r="M282" s="273"/>
      <c r="N282" s="273"/>
      <c r="O282" s="273"/>
      <c r="P282" s="273"/>
      <c r="Q282" s="273"/>
      <c r="R282" s="273"/>
      <c r="S282" s="273"/>
      <c r="T282" s="273"/>
      <c r="U282" s="273"/>
      <c r="V282" s="273"/>
      <c r="W282" s="273"/>
      <c r="X282" s="274"/>
      <c r="Y282" s="273"/>
      <c r="Z282" s="273"/>
      <c r="AA282" s="273"/>
      <c r="AB282" s="273"/>
      <c r="AC282" s="273"/>
      <c r="AD282" s="273"/>
      <c r="AE282" s="273"/>
      <c r="AF282" s="273"/>
      <c r="AG282" s="273"/>
      <c r="AH282" s="273"/>
      <c r="AI282" s="273"/>
    </row>
    <row r="283" spans="1:35" ht="14.25" customHeight="1">
      <c r="A283" s="273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4"/>
      <c r="M283" s="273"/>
      <c r="N283" s="273"/>
      <c r="O283" s="273"/>
      <c r="P283" s="273"/>
      <c r="Q283" s="273"/>
      <c r="R283" s="273"/>
      <c r="S283" s="273"/>
      <c r="T283" s="273"/>
      <c r="U283" s="273"/>
      <c r="V283" s="273"/>
      <c r="W283" s="273"/>
      <c r="X283" s="274"/>
      <c r="Y283" s="273"/>
      <c r="Z283" s="273"/>
      <c r="AA283" s="273"/>
      <c r="AB283" s="273"/>
      <c r="AC283" s="273"/>
      <c r="AD283" s="273"/>
      <c r="AE283" s="273"/>
      <c r="AF283" s="273"/>
      <c r="AG283" s="273"/>
      <c r="AH283" s="273"/>
      <c r="AI283" s="273"/>
    </row>
    <row r="284" spans="1:35" ht="14.25" customHeight="1">
      <c r="A284" s="273"/>
      <c r="B284" s="273"/>
      <c r="C284" s="273"/>
      <c r="D284" s="273"/>
      <c r="E284" s="273"/>
      <c r="F284" s="273"/>
      <c r="G284" s="273"/>
      <c r="H284" s="273"/>
      <c r="I284" s="273"/>
      <c r="J284" s="273"/>
      <c r="K284" s="273"/>
      <c r="L284" s="274"/>
      <c r="M284" s="273"/>
      <c r="N284" s="273"/>
      <c r="O284" s="273"/>
      <c r="P284" s="273"/>
      <c r="Q284" s="273"/>
      <c r="R284" s="273"/>
      <c r="S284" s="273"/>
      <c r="T284" s="273"/>
      <c r="U284" s="273"/>
      <c r="V284" s="273"/>
      <c r="W284" s="273"/>
      <c r="X284" s="274"/>
      <c r="Y284" s="273"/>
      <c r="Z284" s="273"/>
      <c r="AA284" s="273"/>
      <c r="AB284" s="273"/>
      <c r="AC284" s="273"/>
      <c r="AD284" s="273"/>
      <c r="AE284" s="273"/>
      <c r="AF284" s="273"/>
      <c r="AG284" s="273"/>
      <c r="AH284" s="273"/>
      <c r="AI284" s="273"/>
    </row>
    <row r="285" spans="1:35" ht="14.25" customHeight="1">
      <c r="A285" s="273"/>
      <c r="B285" s="273"/>
      <c r="C285" s="273"/>
      <c r="D285" s="273"/>
      <c r="E285" s="273"/>
      <c r="F285" s="273"/>
      <c r="G285" s="273"/>
      <c r="H285" s="273"/>
      <c r="I285" s="273"/>
      <c r="J285" s="273"/>
      <c r="K285" s="273"/>
      <c r="L285" s="274"/>
      <c r="M285" s="273"/>
      <c r="N285" s="273"/>
      <c r="O285" s="273"/>
      <c r="P285" s="273"/>
      <c r="Q285" s="273"/>
      <c r="R285" s="273"/>
      <c r="S285" s="273"/>
      <c r="T285" s="273"/>
      <c r="U285" s="273"/>
      <c r="V285" s="273"/>
      <c r="W285" s="273"/>
      <c r="X285" s="274"/>
      <c r="Y285" s="273"/>
      <c r="Z285" s="273"/>
      <c r="AA285" s="273"/>
      <c r="AB285" s="273"/>
      <c r="AC285" s="273"/>
      <c r="AD285" s="273"/>
      <c r="AE285" s="273"/>
      <c r="AF285" s="273"/>
      <c r="AG285" s="273"/>
      <c r="AH285" s="273"/>
      <c r="AI285" s="273"/>
    </row>
    <row r="286" spans="1:35" ht="14.25" customHeight="1">
      <c r="A286" s="273"/>
      <c r="B286" s="273"/>
      <c r="C286" s="273"/>
      <c r="D286" s="273"/>
      <c r="E286" s="273"/>
      <c r="F286" s="273"/>
      <c r="G286" s="273"/>
      <c r="H286" s="273"/>
      <c r="I286" s="273"/>
      <c r="J286" s="273"/>
      <c r="K286" s="273"/>
      <c r="L286" s="274"/>
      <c r="M286" s="273"/>
      <c r="N286" s="273"/>
      <c r="O286" s="273"/>
      <c r="P286" s="273"/>
      <c r="Q286" s="273"/>
      <c r="R286" s="273"/>
      <c r="S286" s="273"/>
      <c r="T286" s="273"/>
      <c r="U286" s="273"/>
      <c r="V286" s="273"/>
      <c r="W286" s="273"/>
      <c r="X286" s="274"/>
      <c r="Y286" s="273"/>
      <c r="Z286" s="273"/>
      <c r="AA286" s="273"/>
      <c r="AB286" s="273"/>
      <c r="AC286" s="273"/>
      <c r="AD286" s="273"/>
      <c r="AE286" s="273"/>
      <c r="AF286" s="273"/>
      <c r="AG286" s="273"/>
      <c r="AH286" s="273"/>
      <c r="AI286" s="273"/>
    </row>
    <row r="287" spans="1:35" ht="14.25" customHeight="1">
      <c r="A287" s="273"/>
      <c r="B287" s="273"/>
      <c r="C287" s="273"/>
      <c r="D287" s="273"/>
      <c r="E287" s="273"/>
      <c r="F287" s="273"/>
      <c r="G287" s="273"/>
      <c r="H287" s="273"/>
      <c r="I287" s="273"/>
      <c r="J287" s="273"/>
      <c r="K287" s="273"/>
      <c r="L287" s="274"/>
      <c r="M287" s="273"/>
      <c r="N287" s="273"/>
      <c r="O287" s="273"/>
      <c r="P287" s="273"/>
      <c r="Q287" s="273"/>
      <c r="R287" s="273"/>
      <c r="S287" s="273"/>
      <c r="T287" s="273"/>
      <c r="U287" s="273"/>
      <c r="V287" s="273"/>
      <c r="W287" s="273"/>
      <c r="X287" s="274"/>
      <c r="Y287" s="273"/>
      <c r="Z287" s="273"/>
      <c r="AA287" s="273"/>
      <c r="AB287" s="273"/>
      <c r="AC287" s="273"/>
      <c r="AD287" s="273"/>
      <c r="AE287" s="273"/>
      <c r="AF287" s="273"/>
      <c r="AG287" s="273"/>
      <c r="AH287" s="273"/>
      <c r="AI287" s="273"/>
    </row>
    <row r="288" spans="1:35" ht="14.25" customHeight="1">
      <c r="A288" s="273"/>
      <c r="B288" s="273"/>
      <c r="C288" s="273"/>
      <c r="D288" s="273"/>
      <c r="E288" s="273"/>
      <c r="F288" s="273"/>
      <c r="G288" s="273"/>
      <c r="H288" s="273"/>
      <c r="I288" s="273"/>
      <c r="J288" s="273"/>
      <c r="K288" s="273"/>
      <c r="L288" s="274"/>
      <c r="M288" s="273"/>
      <c r="N288" s="273"/>
      <c r="O288" s="273"/>
      <c r="P288" s="273"/>
      <c r="Q288" s="273"/>
      <c r="R288" s="273"/>
      <c r="S288" s="273"/>
      <c r="T288" s="273"/>
      <c r="U288" s="273"/>
      <c r="V288" s="273"/>
      <c r="W288" s="273"/>
      <c r="X288" s="274"/>
      <c r="Y288" s="273"/>
      <c r="Z288" s="273"/>
      <c r="AA288" s="273"/>
      <c r="AB288" s="273"/>
      <c r="AC288" s="273"/>
      <c r="AD288" s="273"/>
      <c r="AE288" s="273"/>
      <c r="AF288" s="273"/>
      <c r="AG288" s="273"/>
      <c r="AH288" s="273"/>
      <c r="AI288" s="273"/>
    </row>
    <row r="289" spans="1:35" ht="14.25" customHeight="1">
      <c r="A289" s="273"/>
      <c r="B289" s="273"/>
      <c r="C289" s="273"/>
      <c r="D289" s="273"/>
      <c r="E289" s="273"/>
      <c r="F289" s="273"/>
      <c r="G289" s="273"/>
      <c r="H289" s="273"/>
      <c r="I289" s="273"/>
      <c r="J289" s="273"/>
      <c r="K289" s="273"/>
      <c r="L289" s="274"/>
      <c r="M289" s="273"/>
      <c r="N289" s="273"/>
      <c r="O289" s="273"/>
      <c r="P289" s="273"/>
      <c r="Q289" s="273"/>
      <c r="R289" s="273"/>
      <c r="S289" s="273"/>
      <c r="T289" s="273"/>
      <c r="U289" s="273"/>
      <c r="V289" s="273"/>
      <c r="W289" s="273"/>
      <c r="X289" s="274"/>
      <c r="Y289" s="273"/>
      <c r="Z289" s="273"/>
      <c r="AA289" s="273"/>
      <c r="AB289" s="273"/>
      <c r="AC289" s="273"/>
      <c r="AD289" s="273"/>
      <c r="AE289" s="273"/>
      <c r="AF289" s="273"/>
      <c r="AG289" s="273"/>
      <c r="AH289" s="273"/>
      <c r="AI289" s="273"/>
    </row>
    <row r="290" spans="1:35" ht="14.25" customHeight="1">
      <c r="A290" s="273"/>
      <c r="B290" s="273"/>
      <c r="C290" s="273"/>
      <c r="D290" s="273"/>
      <c r="E290" s="273"/>
      <c r="F290" s="273"/>
      <c r="G290" s="273"/>
      <c r="H290" s="273"/>
      <c r="I290" s="273"/>
      <c r="J290" s="273"/>
      <c r="K290" s="273"/>
      <c r="L290" s="274"/>
      <c r="M290" s="273"/>
      <c r="N290" s="273"/>
      <c r="O290" s="273"/>
      <c r="P290" s="273"/>
      <c r="Q290" s="273"/>
      <c r="R290" s="273"/>
      <c r="S290" s="273"/>
      <c r="T290" s="273"/>
      <c r="U290" s="273"/>
      <c r="V290" s="273"/>
      <c r="W290" s="273"/>
      <c r="X290" s="274"/>
      <c r="Y290" s="273"/>
      <c r="Z290" s="273"/>
      <c r="AA290" s="273"/>
      <c r="AB290" s="273"/>
      <c r="AC290" s="273"/>
      <c r="AD290" s="273"/>
      <c r="AE290" s="273"/>
      <c r="AF290" s="273"/>
      <c r="AG290" s="273"/>
      <c r="AH290" s="273"/>
      <c r="AI290" s="273"/>
    </row>
    <row r="291" spans="1:35" ht="14.25" customHeight="1">
      <c r="A291" s="273"/>
      <c r="B291" s="273"/>
      <c r="C291" s="273"/>
      <c r="D291" s="273"/>
      <c r="E291" s="273"/>
      <c r="F291" s="273"/>
      <c r="G291" s="273"/>
      <c r="H291" s="273"/>
      <c r="I291" s="273"/>
      <c r="J291" s="273"/>
      <c r="K291" s="273"/>
      <c r="L291" s="274"/>
      <c r="M291" s="273"/>
      <c r="N291" s="273"/>
      <c r="O291" s="273"/>
      <c r="P291" s="273"/>
      <c r="Q291" s="273"/>
      <c r="R291" s="273"/>
      <c r="S291" s="273"/>
      <c r="T291" s="273"/>
      <c r="U291" s="273"/>
      <c r="V291" s="273"/>
      <c r="W291" s="273"/>
      <c r="X291" s="274"/>
      <c r="Y291" s="273"/>
      <c r="Z291" s="273"/>
      <c r="AA291" s="273"/>
      <c r="AB291" s="273"/>
      <c r="AC291" s="273"/>
      <c r="AD291" s="273"/>
      <c r="AE291" s="273"/>
      <c r="AF291" s="273"/>
      <c r="AG291" s="273"/>
      <c r="AH291" s="273"/>
      <c r="AI291" s="273"/>
    </row>
    <row r="292" spans="1:35" ht="14.25" customHeight="1">
      <c r="A292" s="273"/>
      <c r="B292" s="273"/>
      <c r="C292" s="273"/>
      <c r="D292" s="273"/>
      <c r="E292" s="273"/>
      <c r="F292" s="273"/>
      <c r="G292" s="273"/>
      <c r="H292" s="273"/>
      <c r="I292" s="273"/>
      <c r="J292" s="273"/>
      <c r="K292" s="273"/>
      <c r="L292" s="274"/>
      <c r="M292" s="273"/>
      <c r="N292" s="273"/>
      <c r="O292" s="273"/>
      <c r="P292" s="273"/>
      <c r="Q292" s="273"/>
      <c r="R292" s="273"/>
      <c r="S292" s="273"/>
      <c r="T292" s="273"/>
      <c r="U292" s="273"/>
      <c r="V292" s="273"/>
      <c r="W292" s="273"/>
      <c r="X292" s="274"/>
      <c r="Y292" s="273"/>
      <c r="Z292" s="273"/>
      <c r="AA292" s="273"/>
      <c r="AB292" s="273"/>
      <c r="AC292" s="273"/>
      <c r="AD292" s="273"/>
      <c r="AE292" s="273"/>
      <c r="AF292" s="273"/>
      <c r="AG292" s="273"/>
      <c r="AH292" s="273"/>
      <c r="AI292" s="273"/>
    </row>
    <row r="293" spans="1:35" ht="14.25" customHeight="1">
      <c r="A293" s="273"/>
      <c r="B293" s="273"/>
      <c r="C293" s="273"/>
      <c r="D293" s="273"/>
      <c r="E293" s="273"/>
      <c r="F293" s="273"/>
      <c r="G293" s="273"/>
      <c r="H293" s="273"/>
      <c r="I293" s="273"/>
      <c r="J293" s="273"/>
      <c r="K293" s="273"/>
      <c r="L293" s="274"/>
      <c r="M293" s="273"/>
      <c r="N293" s="273"/>
      <c r="O293" s="273"/>
      <c r="P293" s="273"/>
      <c r="Q293" s="273"/>
      <c r="R293" s="273"/>
      <c r="S293" s="273"/>
      <c r="T293" s="273"/>
      <c r="U293" s="273"/>
      <c r="V293" s="273"/>
      <c r="W293" s="273"/>
      <c r="X293" s="274"/>
      <c r="Y293" s="273"/>
      <c r="Z293" s="273"/>
      <c r="AA293" s="273"/>
      <c r="AB293" s="273"/>
      <c r="AC293" s="273"/>
      <c r="AD293" s="273"/>
      <c r="AE293" s="273"/>
      <c r="AF293" s="273"/>
      <c r="AG293" s="273"/>
      <c r="AH293" s="273"/>
      <c r="AI293" s="273"/>
    </row>
    <row r="294" spans="1:35" ht="14.25" customHeight="1">
      <c r="A294" s="273"/>
      <c r="B294" s="273"/>
      <c r="C294" s="273"/>
      <c r="D294" s="273"/>
      <c r="E294" s="273"/>
      <c r="F294" s="273"/>
      <c r="G294" s="273"/>
      <c r="H294" s="273"/>
      <c r="I294" s="273"/>
      <c r="J294" s="273"/>
      <c r="K294" s="273"/>
      <c r="L294" s="274"/>
      <c r="M294" s="273"/>
      <c r="N294" s="273"/>
      <c r="O294" s="273"/>
      <c r="P294" s="273"/>
      <c r="Q294" s="273"/>
      <c r="R294" s="273"/>
      <c r="S294" s="273"/>
      <c r="T294" s="273"/>
      <c r="U294" s="273"/>
      <c r="V294" s="273"/>
      <c r="W294" s="273"/>
      <c r="X294" s="274"/>
      <c r="Y294" s="273"/>
      <c r="Z294" s="273"/>
      <c r="AA294" s="273"/>
      <c r="AB294" s="273"/>
      <c r="AC294" s="273"/>
      <c r="AD294" s="273"/>
      <c r="AE294" s="273"/>
      <c r="AF294" s="273"/>
      <c r="AG294" s="273"/>
      <c r="AH294" s="273"/>
      <c r="AI294" s="273"/>
    </row>
    <row r="295" spans="1:35" ht="14.25" customHeight="1">
      <c r="A295" s="273"/>
      <c r="B295" s="273"/>
      <c r="C295" s="273"/>
      <c r="D295" s="273"/>
      <c r="E295" s="273"/>
      <c r="F295" s="273"/>
      <c r="G295" s="273"/>
      <c r="H295" s="273"/>
      <c r="I295" s="273"/>
      <c r="J295" s="273"/>
      <c r="K295" s="273"/>
      <c r="L295" s="274"/>
      <c r="M295" s="273"/>
      <c r="N295" s="273"/>
      <c r="O295" s="273"/>
      <c r="P295" s="273"/>
      <c r="Q295" s="273"/>
      <c r="R295" s="273"/>
      <c r="S295" s="273"/>
      <c r="T295" s="273"/>
      <c r="U295" s="273"/>
      <c r="V295" s="273"/>
      <c r="W295" s="273"/>
      <c r="X295" s="274"/>
      <c r="Y295" s="273"/>
      <c r="Z295" s="273"/>
      <c r="AA295" s="273"/>
      <c r="AB295" s="273"/>
      <c r="AC295" s="273"/>
      <c r="AD295" s="273"/>
      <c r="AE295" s="273"/>
      <c r="AF295" s="273"/>
      <c r="AG295" s="273"/>
      <c r="AH295" s="273"/>
      <c r="AI295" s="273"/>
    </row>
    <row r="296" spans="1:35" ht="14.25" customHeight="1">
      <c r="A296" s="273"/>
      <c r="B296" s="273"/>
      <c r="C296" s="273"/>
      <c r="D296" s="273"/>
      <c r="E296" s="273"/>
      <c r="F296" s="273"/>
      <c r="G296" s="273"/>
      <c r="H296" s="273"/>
      <c r="I296" s="273"/>
      <c r="J296" s="273"/>
      <c r="K296" s="273"/>
      <c r="L296" s="274"/>
      <c r="M296" s="273"/>
      <c r="N296" s="273"/>
      <c r="O296" s="273"/>
      <c r="P296" s="273"/>
      <c r="Q296" s="273"/>
      <c r="R296" s="273"/>
      <c r="S296" s="273"/>
      <c r="T296" s="273"/>
      <c r="U296" s="273"/>
      <c r="V296" s="273"/>
      <c r="W296" s="273"/>
      <c r="X296" s="274"/>
      <c r="Y296" s="273"/>
      <c r="Z296" s="273"/>
      <c r="AA296" s="273"/>
      <c r="AB296" s="273"/>
      <c r="AC296" s="273"/>
      <c r="AD296" s="273"/>
      <c r="AE296" s="273"/>
      <c r="AF296" s="273"/>
      <c r="AG296" s="273"/>
      <c r="AH296" s="273"/>
      <c r="AI296" s="273"/>
    </row>
    <row r="297" spans="1:35" ht="14.25" customHeight="1">
      <c r="A297" s="273"/>
      <c r="B297" s="273"/>
      <c r="C297" s="273"/>
      <c r="D297" s="273"/>
      <c r="E297" s="273"/>
      <c r="F297" s="273"/>
      <c r="G297" s="273"/>
      <c r="H297" s="273"/>
      <c r="I297" s="273"/>
      <c r="J297" s="273"/>
      <c r="K297" s="273"/>
      <c r="L297" s="274"/>
      <c r="M297" s="273"/>
      <c r="N297" s="273"/>
      <c r="O297" s="273"/>
      <c r="P297" s="273"/>
      <c r="Q297" s="273"/>
      <c r="R297" s="273"/>
      <c r="S297" s="273"/>
      <c r="T297" s="273"/>
      <c r="U297" s="273"/>
      <c r="V297" s="273"/>
      <c r="W297" s="273"/>
      <c r="X297" s="274"/>
      <c r="Y297" s="273"/>
      <c r="Z297" s="273"/>
      <c r="AA297" s="273"/>
      <c r="AB297" s="273"/>
      <c r="AC297" s="273"/>
      <c r="AD297" s="273"/>
      <c r="AE297" s="273"/>
      <c r="AF297" s="273"/>
      <c r="AG297" s="273"/>
      <c r="AH297" s="273"/>
      <c r="AI297" s="273"/>
    </row>
    <row r="298" spans="1:35" ht="14.25" customHeight="1">
      <c r="A298" s="273"/>
      <c r="B298" s="273"/>
      <c r="C298" s="273"/>
      <c r="D298" s="273"/>
      <c r="E298" s="273"/>
      <c r="F298" s="273"/>
      <c r="G298" s="273"/>
      <c r="H298" s="273"/>
      <c r="I298" s="273"/>
      <c r="J298" s="273"/>
      <c r="K298" s="273"/>
      <c r="L298" s="274"/>
      <c r="M298" s="273"/>
      <c r="N298" s="273"/>
      <c r="O298" s="273"/>
      <c r="P298" s="273"/>
      <c r="Q298" s="273"/>
      <c r="R298" s="273"/>
      <c r="S298" s="273"/>
      <c r="T298" s="273"/>
      <c r="U298" s="273"/>
      <c r="V298" s="273"/>
      <c r="W298" s="273"/>
      <c r="X298" s="274"/>
      <c r="Y298" s="273"/>
      <c r="Z298" s="273"/>
      <c r="AA298" s="273"/>
      <c r="AB298" s="273"/>
      <c r="AC298" s="273"/>
      <c r="AD298" s="273"/>
      <c r="AE298" s="273"/>
      <c r="AF298" s="273"/>
      <c r="AG298" s="273"/>
      <c r="AH298" s="273"/>
      <c r="AI298" s="273"/>
    </row>
    <row r="299" spans="1:35" ht="14.25" customHeight="1">
      <c r="A299" s="273"/>
      <c r="B299" s="273"/>
      <c r="C299" s="273"/>
      <c r="D299" s="273"/>
      <c r="E299" s="273"/>
      <c r="F299" s="273"/>
      <c r="G299" s="273"/>
      <c r="H299" s="273"/>
      <c r="I299" s="273"/>
      <c r="J299" s="273"/>
      <c r="K299" s="273"/>
      <c r="L299" s="274"/>
      <c r="M299" s="273"/>
      <c r="N299" s="273"/>
      <c r="O299" s="273"/>
      <c r="P299" s="273"/>
      <c r="Q299" s="273"/>
      <c r="R299" s="273"/>
      <c r="S299" s="273"/>
      <c r="T299" s="273"/>
      <c r="U299" s="273"/>
      <c r="V299" s="273"/>
      <c r="W299" s="273"/>
      <c r="X299" s="274"/>
      <c r="Y299" s="273"/>
      <c r="Z299" s="273"/>
      <c r="AA299" s="273"/>
      <c r="AB299" s="273"/>
      <c r="AC299" s="273"/>
      <c r="AD299" s="273"/>
      <c r="AE299" s="273"/>
      <c r="AF299" s="273"/>
      <c r="AG299" s="273"/>
      <c r="AH299" s="273"/>
      <c r="AI299" s="273"/>
    </row>
    <row r="300" spans="1:35" ht="14.25" customHeight="1">
      <c r="A300" s="273"/>
      <c r="B300" s="273"/>
      <c r="C300" s="273"/>
      <c r="D300" s="273"/>
      <c r="E300" s="273"/>
      <c r="F300" s="273"/>
      <c r="G300" s="273"/>
      <c r="H300" s="273"/>
      <c r="I300" s="273"/>
      <c r="J300" s="273"/>
      <c r="K300" s="273"/>
      <c r="L300" s="274"/>
      <c r="M300" s="273"/>
      <c r="N300" s="273"/>
      <c r="O300" s="273"/>
      <c r="P300" s="273"/>
      <c r="Q300" s="273"/>
      <c r="R300" s="273"/>
      <c r="S300" s="273"/>
      <c r="T300" s="273"/>
      <c r="U300" s="273"/>
      <c r="V300" s="273"/>
      <c r="W300" s="273"/>
      <c r="X300" s="274"/>
      <c r="Y300" s="273"/>
      <c r="Z300" s="273"/>
      <c r="AA300" s="273"/>
      <c r="AB300" s="273"/>
      <c r="AC300" s="273"/>
      <c r="AD300" s="273"/>
      <c r="AE300" s="273"/>
      <c r="AF300" s="273"/>
      <c r="AG300" s="273"/>
      <c r="AH300" s="273"/>
      <c r="AI300" s="273"/>
    </row>
    <row r="301" spans="1:35" ht="14.25" customHeight="1">
      <c r="A301" s="273"/>
      <c r="B301" s="273"/>
      <c r="C301" s="273"/>
      <c r="D301" s="273"/>
      <c r="E301" s="273"/>
      <c r="F301" s="273"/>
      <c r="G301" s="273"/>
      <c r="H301" s="273"/>
      <c r="I301" s="273"/>
      <c r="J301" s="273"/>
      <c r="K301" s="273"/>
      <c r="L301" s="274"/>
      <c r="M301" s="273"/>
      <c r="N301" s="273"/>
      <c r="O301" s="273"/>
      <c r="P301" s="273"/>
      <c r="Q301" s="273"/>
      <c r="R301" s="273"/>
      <c r="S301" s="273"/>
      <c r="T301" s="273"/>
      <c r="U301" s="273"/>
      <c r="V301" s="273"/>
      <c r="W301" s="273"/>
      <c r="X301" s="274"/>
      <c r="Y301" s="273"/>
      <c r="Z301" s="273"/>
      <c r="AA301" s="273"/>
      <c r="AB301" s="273"/>
      <c r="AC301" s="273"/>
      <c r="AD301" s="273"/>
      <c r="AE301" s="273"/>
      <c r="AF301" s="273"/>
      <c r="AG301" s="273"/>
      <c r="AH301" s="273"/>
      <c r="AI301" s="273"/>
    </row>
    <row r="302" spans="1:35" ht="14.25" customHeight="1">
      <c r="A302" s="273"/>
      <c r="B302" s="273"/>
      <c r="C302" s="273"/>
      <c r="D302" s="273"/>
      <c r="E302" s="273"/>
      <c r="F302" s="273"/>
      <c r="G302" s="273"/>
      <c r="H302" s="273"/>
      <c r="I302" s="273"/>
      <c r="J302" s="273"/>
      <c r="K302" s="273"/>
      <c r="L302" s="274"/>
      <c r="M302" s="273"/>
      <c r="N302" s="273"/>
      <c r="O302" s="273"/>
      <c r="P302" s="273"/>
      <c r="Q302" s="273"/>
      <c r="R302" s="273"/>
      <c r="S302" s="273"/>
      <c r="T302" s="273"/>
      <c r="U302" s="273"/>
      <c r="V302" s="273"/>
      <c r="W302" s="273"/>
      <c r="X302" s="274"/>
      <c r="Y302" s="273"/>
      <c r="Z302" s="273"/>
      <c r="AA302" s="273"/>
      <c r="AB302" s="273"/>
      <c r="AC302" s="273"/>
      <c r="AD302" s="273"/>
      <c r="AE302" s="273"/>
      <c r="AF302" s="273"/>
      <c r="AG302" s="273"/>
      <c r="AH302" s="273"/>
      <c r="AI302" s="273"/>
    </row>
    <row r="303" spans="1:35" ht="14.25" customHeight="1">
      <c r="A303" s="273"/>
      <c r="B303" s="273"/>
      <c r="C303" s="273"/>
      <c r="D303" s="273"/>
      <c r="E303" s="273"/>
      <c r="F303" s="273"/>
      <c r="G303" s="273"/>
      <c r="H303" s="273"/>
      <c r="I303" s="273"/>
      <c r="J303" s="273"/>
      <c r="K303" s="273"/>
      <c r="L303" s="274"/>
      <c r="M303" s="273"/>
      <c r="N303" s="273"/>
      <c r="O303" s="273"/>
      <c r="P303" s="273"/>
      <c r="Q303" s="273"/>
      <c r="R303" s="273"/>
      <c r="S303" s="273"/>
      <c r="T303" s="273"/>
      <c r="U303" s="273"/>
      <c r="V303" s="273"/>
      <c r="W303" s="273"/>
      <c r="X303" s="274"/>
      <c r="Y303" s="273"/>
      <c r="Z303" s="273"/>
      <c r="AA303" s="273"/>
      <c r="AB303" s="273"/>
      <c r="AC303" s="273"/>
      <c r="AD303" s="273"/>
      <c r="AE303" s="273"/>
      <c r="AF303" s="273"/>
      <c r="AG303" s="273"/>
      <c r="AH303" s="273"/>
      <c r="AI303" s="273"/>
    </row>
    <row r="304" spans="1:35" ht="14.25" customHeight="1">
      <c r="A304" s="273"/>
      <c r="B304" s="273"/>
      <c r="C304" s="273"/>
      <c r="D304" s="273"/>
      <c r="E304" s="273"/>
      <c r="F304" s="273"/>
      <c r="G304" s="273"/>
      <c r="H304" s="273"/>
      <c r="I304" s="273"/>
      <c r="J304" s="273"/>
      <c r="K304" s="273"/>
      <c r="L304" s="274"/>
      <c r="M304" s="273"/>
      <c r="N304" s="273"/>
      <c r="O304" s="273"/>
      <c r="P304" s="273"/>
      <c r="Q304" s="273"/>
      <c r="R304" s="273"/>
      <c r="S304" s="273"/>
      <c r="T304" s="273"/>
      <c r="U304" s="273"/>
      <c r="V304" s="273"/>
      <c r="W304" s="273"/>
      <c r="X304" s="274"/>
      <c r="Y304" s="273"/>
      <c r="Z304" s="273"/>
      <c r="AA304" s="273"/>
      <c r="AB304" s="273"/>
      <c r="AC304" s="273"/>
      <c r="AD304" s="273"/>
      <c r="AE304" s="273"/>
      <c r="AF304" s="273"/>
      <c r="AG304" s="273"/>
      <c r="AH304" s="273"/>
      <c r="AI304" s="273"/>
    </row>
    <row r="305" spans="1:35" ht="14.25" customHeight="1">
      <c r="A305" s="273"/>
      <c r="B305" s="273"/>
      <c r="C305" s="273"/>
      <c r="D305" s="273"/>
      <c r="E305" s="273"/>
      <c r="F305" s="273"/>
      <c r="G305" s="273"/>
      <c r="H305" s="273"/>
      <c r="I305" s="273"/>
      <c r="J305" s="273"/>
      <c r="K305" s="273"/>
      <c r="L305" s="274"/>
      <c r="M305" s="273"/>
      <c r="N305" s="273"/>
      <c r="O305" s="273"/>
      <c r="P305" s="273"/>
      <c r="Q305" s="273"/>
      <c r="R305" s="273"/>
      <c r="S305" s="273"/>
      <c r="T305" s="273"/>
      <c r="U305" s="273"/>
      <c r="V305" s="273"/>
      <c r="W305" s="273"/>
      <c r="X305" s="274"/>
      <c r="Y305" s="273"/>
      <c r="Z305" s="273"/>
      <c r="AA305" s="273"/>
      <c r="AB305" s="273"/>
      <c r="AC305" s="273"/>
      <c r="AD305" s="273"/>
      <c r="AE305" s="273"/>
      <c r="AF305" s="273"/>
      <c r="AG305" s="273"/>
      <c r="AH305" s="273"/>
      <c r="AI305" s="273"/>
    </row>
    <row r="306" spans="1:35" ht="14.25" customHeight="1">
      <c r="A306" s="273"/>
      <c r="B306" s="273"/>
      <c r="C306" s="273"/>
      <c r="D306" s="273"/>
      <c r="E306" s="273"/>
      <c r="F306" s="273"/>
      <c r="G306" s="273"/>
      <c r="H306" s="273"/>
      <c r="I306" s="273"/>
      <c r="J306" s="273"/>
      <c r="K306" s="273"/>
      <c r="L306" s="274"/>
      <c r="M306" s="273"/>
      <c r="N306" s="273"/>
      <c r="O306" s="273"/>
      <c r="P306" s="273"/>
      <c r="Q306" s="273"/>
      <c r="R306" s="273"/>
      <c r="S306" s="273"/>
      <c r="T306" s="273"/>
      <c r="U306" s="273"/>
      <c r="V306" s="273"/>
      <c r="W306" s="273"/>
      <c r="X306" s="274"/>
      <c r="Y306" s="273"/>
      <c r="Z306" s="273"/>
      <c r="AA306" s="273"/>
      <c r="AB306" s="273"/>
      <c r="AC306" s="273"/>
      <c r="AD306" s="273"/>
      <c r="AE306" s="273"/>
      <c r="AF306" s="273"/>
      <c r="AG306" s="273"/>
      <c r="AH306" s="273"/>
      <c r="AI306" s="273"/>
    </row>
    <row r="307" spans="1:35" ht="14.25" customHeight="1">
      <c r="A307" s="273"/>
      <c r="B307" s="273"/>
      <c r="C307" s="273"/>
      <c r="D307" s="273"/>
      <c r="E307" s="273"/>
      <c r="F307" s="273"/>
      <c r="G307" s="273"/>
      <c r="H307" s="273"/>
      <c r="I307" s="273"/>
      <c r="J307" s="273"/>
      <c r="K307" s="273"/>
      <c r="L307" s="274"/>
      <c r="M307" s="273"/>
      <c r="N307" s="273"/>
      <c r="O307" s="273"/>
      <c r="P307" s="273"/>
      <c r="Q307" s="273"/>
      <c r="R307" s="273"/>
      <c r="S307" s="273"/>
      <c r="T307" s="273"/>
      <c r="U307" s="273"/>
      <c r="V307" s="273"/>
      <c r="W307" s="273"/>
      <c r="X307" s="274"/>
      <c r="Y307" s="273"/>
      <c r="Z307" s="273"/>
      <c r="AA307" s="273"/>
      <c r="AB307" s="273"/>
      <c r="AC307" s="273"/>
      <c r="AD307" s="273"/>
      <c r="AE307" s="273"/>
      <c r="AF307" s="273"/>
      <c r="AG307" s="273"/>
      <c r="AH307" s="273"/>
      <c r="AI307" s="273"/>
    </row>
    <row r="308" spans="1:35" ht="14.25" customHeight="1">
      <c r="A308" s="273"/>
      <c r="B308" s="273"/>
      <c r="C308" s="273"/>
      <c r="D308" s="273"/>
      <c r="E308" s="273"/>
      <c r="F308" s="273"/>
      <c r="G308" s="273"/>
      <c r="H308" s="273"/>
      <c r="I308" s="273"/>
      <c r="J308" s="273"/>
      <c r="K308" s="273"/>
      <c r="L308" s="274"/>
      <c r="M308" s="273"/>
      <c r="N308" s="273"/>
      <c r="O308" s="273"/>
      <c r="P308" s="273"/>
      <c r="Q308" s="273"/>
      <c r="R308" s="273"/>
      <c r="S308" s="273"/>
      <c r="T308" s="273"/>
      <c r="U308" s="273"/>
      <c r="V308" s="273"/>
      <c r="W308" s="273"/>
      <c r="X308" s="274"/>
      <c r="Y308" s="273"/>
      <c r="Z308" s="273"/>
      <c r="AA308" s="273"/>
      <c r="AB308" s="273"/>
      <c r="AC308" s="273"/>
      <c r="AD308" s="273"/>
      <c r="AE308" s="273"/>
      <c r="AF308" s="273"/>
      <c r="AG308" s="273"/>
      <c r="AH308" s="273"/>
      <c r="AI308" s="273"/>
    </row>
    <row r="309" spans="1:35" ht="14.25" customHeight="1">
      <c r="A309" s="273"/>
      <c r="B309" s="273"/>
      <c r="C309" s="273"/>
      <c r="D309" s="273"/>
      <c r="E309" s="273"/>
      <c r="F309" s="273"/>
      <c r="G309" s="273"/>
      <c r="H309" s="273"/>
      <c r="I309" s="273"/>
      <c r="J309" s="273"/>
      <c r="K309" s="273"/>
      <c r="L309" s="274"/>
      <c r="M309" s="273"/>
      <c r="N309" s="273"/>
      <c r="O309" s="273"/>
      <c r="P309" s="273"/>
      <c r="Q309" s="273"/>
      <c r="R309" s="273"/>
      <c r="S309" s="273"/>
      <c r="T309" s="273"/>
      <c r="U309" s="273"/>
      <c r="V309" s="273"/>
      <c r="W309" s="273"/>
      <c r="X309" s="274"/>
      <c r="Y309" s="273"/>
      <c r="Z309" s="273"/>
      <c r="AA309" s="273"/>
      <c r="AB309" s="273"/>
      <c r="AC309" s="273"/>
      <c r="AD309" s="273"/>
      <c r="AE309" s="273"/>
      <c r="AF309" s="273"/>
      <c r="AG309" s="273"/>
      <c r="AH309" s="273"/>
      <c r="AI309" s="273"/>
    </row>
    <row r="310" spans="1:35" ht="14.25" customHeight="1">
      <c r="A310" s="273"/>
      <c r="B310" s="273"/>
      <c r="C310" s="273"/>
      <c r="D310" s="273"/>
      <c r="E310" s="273"/>
      <c r="F310" s="273"/>
      <c r="G310" s="273"/>
      <c r="H310" s="273"/>
      <c r="I310" s="273"/>
      <c r="J310" s="273"/>
      <c r="K310" s="273"/>
      <c r="L310" s="274"/>
      <c r="M310" s="273"/>
      <c r="N310" s="273"/>
      <c r="O310" s="273"/>
      <c r="P310" s="273"/>
      <c r="Q310" s="273"/>
      <c r="R310" s="273"/>
      <c r="S310" s="273"/>
      <c r="T310" s="273"/>
      <c r="U310" s="273"/>
      <c r="V310" s="273"/>
      <c r="W310" s="273"/>
      <c r="X310" s="274"/>
      <c r="Y310" s="273"/>
      <c r="Z310" s="273"/>
      <c r="AA310" s="273"/>
      <c r="AB310" s="273"/>
      <c r="AC310" s="273"/>
      <c r="AD310" s="273"/>
      <c r="AE310" s="273"/>
      <c r="AF310" s="273"/>
      <c r="AG310" s="273"/>
      <c r="AH310" s="273"/>
      <c r="AI310" s="273"/>
    </row>
    <row r="311" spans="1:35" ht="14.25" customHeight="1">
      <c r="A311" s="273"/>
      <c r="B311" s="273"/>
      <c r="C311" s="273"/>
      <c r="D311" s="273"/>
      <c r="E311" s="273"/>
      <c r="F311" s="273"/>
      <c r="G311" s="273"/>
      <c r="H311" s="273"/>
      <c r="I311" s="273"/>
      <c r="J311" s="273"/>
      <c r="K311" s="273"/>
      <c r="L311" s="274"/>
      <c r="M311" s="273"/>
      <c r="N311" s="273"/>
      <c r="O311" s="273"/>
      <c r="P311" s="273"/>
      <c r="Q311" s="273"/>
      <c r="R311" s="273"/>
      <c r="S311" s="273"/>
      <c r="T311" s="273"/>
      <c r="U311" s="273"/>
      <c r="V311" s="273"/>
      <c r="W311" s="273"/>
      <c r="X311" s="274"/>
      <c r="Y311" s="273"/>
      <c r="Z311" s="273"/>
      <c r="AA311" s="273"/>
      <c r="AB311" s="273"/>
      <c r="AC311" s="273"/>
      <c r="AD311" s="273"/>
      <c r="AE311" s="273"/>
      <c r="AF311" s="273"/>
      <c r="AG311" s="273"/>
      <c r="AH311" s="273"/>
      <c r="AI311" s="273"/>
    </row>
    <row r="312" spans="1:35" ht="14.25" customHeight="1">
      <c r="A312" s="273"/>
      <c r="B312" s="273"/>
      <c r="C312" s="273"/>
      <c r="D312" s="273"/>
      <c r="E312" s="273"/>
      <c r="F312" s="273"/>
      <c r="G312" s="273"/>
      <c r="H312" s="273"/>
      <c r="I312" s="273"/>
      <c r="J312" s="273"/>
      <c r="K312" s="273"/>
      <c r="L312" s="274"/>
      <c r="M312" s="273"/>
      <c r="N312" s="273"/>
      <c r="O312" s="273"/>
      <c r="P312" s="273"/>
      <c r="Q312" s="273"/>
      <c r="R312" s="273"/>
      <c r="S312" s="273"/>
      <c r="T312" s="273"/>
      <c r="U312" s="273"/>
      <c r="V312" s="273"/>
      <c r="W312" s="273"/>
      <c r="X312" s="274"/>
      <c r="Y312" s="273"/>
      <c r="Z312" s="273"/>
      <c r="AA312" s="273"/>
      <c r="AB312" s="273"/>
      <c r="AC312" s="273"/>
      <c r="AD312" s="273"/>
      <c r="AE312" s="273"/>
      <c r="AF312" s="273"/>
      <c r="AG312" s="273"/>
      <c r="AH312" s="273"/>
      <c r="AI312" s="273"/>
    </row>
    <row r="313" spans="1:35" ht="14.25" customHeight="1">
      <c r="A313" s="273"/>
      <c r="B313" s="273"/>
      <c r="C313" s="273"/>
      <c r="D313" s="273"/>
      <c r="E313" s="273"/>
      <c r="F313" s="273"/>
      <c r="G313" s="273"/>
      <c r="H313" s="273"/>
      <c r="I313" s="273"/>
      <c r="J313" s="273"/>
      <c r="K313" s="273"/>
      <c r="L313" s="274"/>
      <c r="M313" s="273"/>
      <c r="N313" s="273"/>
      <c r="O313" s="273"/>
      <c r="P313" s="273"/>
      <c r="Q313" s="273"/>
      <c r="R313" s="273"/>
      <c r="S313" s="273"/>
      <c r="T313" s="273"/>
      <c r="U313" s="273"/>
      <c r="V313" s="273"/>
      <c r="W313" s="273"/>
      <c r="X313" s="274"/>
      <c r="Y313" s="273"/>
      <c r="Z313" s="273"/>
      <c r="AA313" s="273"/>
      <c r="AB313" s="273"/>
      <c r="AC313" s="273"/>
      <c r="AD313" s="273"/>
      <c r="AE313" s="273"/>
      <c r="AF313" s="273"/>
      <c r="AG313" s="273"/>
      <c r="AH313" s="273"/>
      <c r="AI313" s="273"/>
    </row>
    <row r="314" spans="1:35" ht="14.25" customHeight="1">
      <c r="A314" s="273"/>
      <c r="B314" s="273"/>
      <c r="C314" s="273"/>
      <c r="D314" s="273"/>
      <c r="E314" s="273"/>
      <c r="F314" s="273"/>
      <c r="G314" s="273"/>
      <c r="H314" s="273"/>
      <c r="I314" s="273"/>
      <c r="J314" s="273"/>
      <c r="K314" s="273"/>
      <c r="L314" s="274"/>
      <c r="M314" s="273"/>
      <c r="N314" s="273"/>
      <c r="O314" s="273"/>
      <c r="P314" s="273"/>
      <c r="Q314" s="273"/>
      <c r="R314" s="273"/>
      <c r="S314" s="273"/>
      <c r="T314" s="273"/>
      <c r="U314" s="273"/>
      <c r="V314" s="273"/>
      <c r="W314" s="273"/>
      <c r="X314" s="274"/>
      <c r="Y314" s="273"/>
      <c r="Z314" s="273"/>
      <c r="AA314" s="273"/>
      <c r="AB314" s="273"/>
      <c r="AC314" s="273"/>
      <c r="AD314" s="273"/>
      <c r="AE314" s="273"/>
      <c r="AF314" s="273"/>
      <c r="AG314" s="273"/>
      <c r="AH314" s="273"/>
      <c r="AI314" s="273"/>
    </row>
    <row r="315" spans="1:35" ht="14.25" customHeight="1">
      <c r="A315" s="273"/>
      <c r="B315" s="273"/>
      <c r="C315" s="273"/>
      <c r="D315" s="273"/>
      <c r="E315" s="273"/>
      <c r="F315" s="273"/>
      <c r="G315" s="273"/>
      <c r="H315" s="273"/>
      <c r="I315" s="273"/>
      <c r="J315" s="273"/>
      <c r="K315" s="273"/>
      <c r="L315" s="274"/>
      <c r="M315" s="273"/>
      <c r="N315" s="273"/>
      <c r="O315" s="273"/>
      <c r="P315" s="273"/>
      <c r="Q315" s="273"/>
      <c r="R315" s="273"/>
      <c r="S315" s="273"/>
      <c r="T315" s="273"/>
      <c r="U315" s="273"/>
      <c r="V315" s="273"/>
      <c r="W315" s="273"/>
      <c r="X315" s="274"/>
      <c r="Y315" s="273"/>
      <c r="Z315" s="273"/>
      <c r="AA315" s="273"/>
      <c r="AB315" s="273"/>
      <c r="AC315" s="273"/>
      <c r="AD315" s="273"/>
      <c r="AE315" s="273"/>
      <c r="AF315" s="273"/>
      <c r="AG315" s="273"/>
      <c r="AH315" s="273"/>
      <c r="AI315" s="273"/>
    </row>
    <row r="316" spans="1:35" ht="14.25" customHeight="1">
      <c r="A316" s="273"/>
      <c r="B316" s="273"/>
      <c r="C316" s="273"/>
      <c r="D316" s="273"/>
      <c r="E316" s="273"/>
      <c r="F316" s="273"/>
      <c r="G316" s="273"/>
      <c r="H316" s="273"/>
      <c r="I316" s="273"/>
      <c r="J316" s="273"/>
      <c r="K316" s="273"/>
      <c r="L316" s="274"/>
      <c r="M316" s="273"/>
      <c r="N316" s="273"/>
      <c r="O316" s="273"/>
      <c r="P316" s="273"/>
      <c r="Q316" s="273"/>
      <c r="R316" s="273"/>
      <c r="S316" s="273"/>
      <c r="T316" s="273"/>
      <c r="U316" s="273"/>
      <c r="V316" s="273"/>
      <c r="W316" s="273"/>
      <c r="X316" s="274"/>
      <c r="Y316" s="273"/>
      <c r="Z316" s="273"/>
      <c r="AA316" s="273"/>
      <c r="AB316" s="273"/>
      <c r="AC316" s="273"/>
      <c r="AD316" s="273"/>
      <c r="AE316" s="273"/>
      <c r="AF316" s="273"/>
      <c r="AG316" s="273"/>
      <c r="AH316" s="273"/>
      <c r="AI316" s="273"/>
    </row>
    <row r="317" spans="1:35" ht="14.25" customHeight="1">
      <c r="A317" s="273"/>
      <c r="B317" s="273"/>
      <c r="C317" s="273"/>
      <c r="D317" s="273"/>
      <c r="E317" s="273"/>
      <c r="F317" s="273"/>
      <c r="G317" s="273"/>
      <c r="H317" s="273"/>
      <c r="I317" s="273"/>
      <c r="J317" s="273"/>
      <c r="K317" s="273"/>
      <c r="L317" s="274"/>
      <c r="M317" s="273"/>
      <c r="N317" s="273"/>
      <c r="O317" s="273"/>
      <c r="P317" s="273"/>
      <c r="Q317" s="273"/>
      <c r="R317" s="273"/>
      <c r="S317" s="273"/>
      <c r="T317" s="273"/>
      <c r="U317" s="273"/>
      <c r="V317" s="273"/>
      <c r="W317" s="273"/>
      <c r="X317" s="274"/>
      <c r="Y317" s="273"/>
      <c r="Z317" s="273"/>
      <c r="AA317" s="273"/>
      <c r="AB317" s="273"/>
      <c r="AC317" s="273"/>
      <c r="AD317" s="273"/>
      <c r="AE317" s="273"/>
      <c r="AF317" s="273"/>
      <c r="AG317" s="273"/>
      <c r="AH317" s="273"/>
      <c r="AI317" s="273"/>
    </row>
    <row r="318" spans="1:35" ht="14.25" customHeight="1">
      <c r="A318" s="273"/>
      <c r="B318" s="273"/>
      <c r="C318" s="273"/>
      <c r="D318" s="273"/>
      <c r="E318" s="273"/>
      <c r="F318" s="273"/>
      <c r="G318" s="273"/>
      <c r="H318" s="273"/>
      <c r="I318" s="273"/>
      <c r="J318" s="273"/>
      <c r="K318" s="273"/>
      <c r="L318" s="274"/>
      <c r="M318" s="273"/>
      <c r="N318" s="273"/>
      <c r="O318" s="273"/>
      <c r="P318" s="273"/>
      <c r="Q318" s="273"/>
      <c r="R318" s="273"/>
      <c r="S318" s="273"/>
      <c r="T318" s="273"/>
      <c r="U318" s="273"/>
      <c r="V318" s="273"/>
      <c r="W318" s="273"/>
      <c r="X318" s="274"/>
      <c r="Y318" s="273"/>
      <c r="Z318" s="273"/>
      <c r="AA318" s="273"/>
      <c r="AB318" s="273"/>
      <c r="AC318" s="273"/>
      <c r="AD318" s="273"/>
      <c r="AE318" s="273"/>
      <c r="AF318" s="273"/>
      <c r="AG318" s="273"/>
      <c r="AH318" s="273"/>
      <c r="AI318" s="273"/>
    </row>
    <row r="319" spans="1:35" ht="14.25" customHeight="1">
      <c r="A319" s="273"/>
      <c r="B319" s="273"/>
      <c r="C319" s="273"/>
      <c r="D319" s="273"/>
      <c r="E319" s="273"/>
      <c r="F319" s="273"/>
      <c r="G319" s="273"/>
      <c r="H319" s="273"/>
      <c r="I319" s="273"/>
      <c r="J319" s="273"/>
      <c r="K319" s="273"/>
      <c r="L319" s="274"/>
      <c r="M319" s="273"/>
      <c r="N319" s="273"/>
      <c r="O319" s="273"/>
      <c r="P319" s="273"/>
      <c r="Q319" s="273"/>
      <c r="R319" s="273"/>
      <c r="S319" s="273"/>
      <c r="T319" s="273"/>
      <c r="U319" s="273"/>
      <c r="V319" s="273"/>
      <c r="W319" s="273"/>
      <c r="X319" s="274"/>
      <c r="Y319" s="273"/>
      <c r="Z319" s="273"/>
      <c r="AA319" s="273"/>
      <c r="AB319" s="273"/>
      <c r="AC319" s="273"/>
      <c r="AD319" s="273"/>
      <c r="AE319" s="273"/>
      <c r="AF319" s="273"/>
      <c r="AG319" s="273"/>
      <c r="AH319" s="273"/>
      <c r="AI319" s="273"/>
    </row>
    <row r="320" spans="1:35" ht="14.25" customHeight="1">
      <c r="A320" s="273"/>
      <c r="B320" s="273"/>
      <c r="C320" s="273"/>
      <c r="D320" s="273"/>
      <c r="E320" s="273"/>
      <c r="F320" s="273"/>
      <c r="G320" s="273"/>
      <c r="H320" s="273"/>
      <c r="I320" s="273"/>
      <c r="J320" s="273"/>
      <c r="K320" s="273"/>
      <c r="L320" s="274"/>
      <c r="M320" s="273"/>
      <c r="N320" s="273"/>
      <c r="O320" s="273"/>
      <c r="P320" s="273"/>
      <c r="Q320" s="273"/>
      <c r="R320" s="273"/>
      <c r="S320" s="273"/>
      <c r="T320" s="273"/>
      <c r="U320" s="273"/>
      <c r="V320" s="273"/>
      <c r="W320" s="273"/>
      <c r="X320" s="274"/>
      <c r="Y320" s="273"/>
      <c r="Z320" s="273"/>
      <c r="AA320" s="273"/>
      <c r="AB320" s="273"/>
      <c r="AC320" s="273"/>
      <c r="AD320" s="273"/>
      <c r="AE320" s="273"/>
      <c r="AF320" s="273"/>
      <c r="AG320" s="273"/>
      <c r="AH320" s="273"/>
      <c r="AI320" s="273"/>
    </row>
    <row r="321" spans="1:35" ht="14.25" customHeight="1">
      <c r="A321" s="273"/>
      <c r="B321" s="273"/>
      <c r="C321" s="273"/>
      <c r="D321" s="273"/>
      <c r="E321" s="273"/>
      <c r="F321" s="273"/>
      <c r="G321" s="273"/>
      <c r="H321" s="273"/>
      <c r="I321" s="273"/>
      <c r="J321" s="273"/>
      <c r="K321" s="273"/>
      <c r="L321" s="274"/>
      <c r="M321" s="273"/>
      <c r="N321" s="273"/>
      <c r="O321" s="273"/>
      <c r="P321" s="273"/>
      <c r="Q321" s="273"/>
      <c r="R321" s="273"/>
      <c r="S321" s="273"/>
      <c r="T321" s="273"/>
      <c r="U321" s="273"/>
      <c r="V321" s="273"/>
      <c r="W321" s="273"/>
      <c r="X321" s="274"/>
      <c r="Y321" s="273"/>
      <c r="Z321" s="273"/>
      <c r="AA321" s="273"/>
      <c r="AB321" s="273"/>
      <c r="AC321" s="273"/>
      <c r="AD321" s="273"/>
      <c r="AE321" s="273"/>
      <c r="AF321" s="273"/>
      <c r="AG321" s="273"/>
      <c r="AH321" s="273"/>
      <c r="AI321" s="273"/>
    </row>
    <row r="322" spans="1:35" ht="14.25" customHeight="1">
      <c r="A322" s="273"/>
      <c r="B322" s="273"/>
      <c r="C322" s="273"/>
      <c r="D322" s="273"/>
      <c r="E322" s="273"/>
      <c r="F322" s="273"/>
      <c r="G322" s="273"/>
      <c r="H322" s="273"/>
      <c r="I322" s="273"/>
      <c r="J322" s="273"/>
      <c r="K322" s="273"/>
      <c r="L322" s="274"/>
      <c r="M322" s="273"/>
      <c r="N322" s="273"/>
      <c r="O322" s="273"/>
      <c r="P322" s="273"/>
      <c r="Q322" s="273"/>
      <c r="R322" s="273"/>
      <c r="S322" s="273"/>
      <c r="T322" s="273"/>
      <c r="U322" s="273"/>
      <c r="V322" s="273"/>
      <c r="W322" s="273"/>
      <c r="X322" s="274"/>
      <c r="Y322" s="273"/>
      <c r="Z322" s="273"/>
      <c r="AA322" s="273"/>
      <c r="AB322" s="273"/>
      <c r="AC322" s="273"/>
      <c r="AD322" s="273"/>
      <c r="AE322" s="273"/>
      <c r="AF322" s="273"/>
      <c r="AG322" s="273"/>
      <c r="AH322" s="273"/>
      <c r="AI322" s="273"/>
    </row>
    <row r="323" spans="1:35" ht="14.25" customHeight="1">
      <c r="A323" s="273"/>
      <c r="B323" s="273"/>
      <c r="C323" s="273"/>
      <c r="D323" s="273"/>
      <c r="E323" s="273"/>
      <c r="F323" s="273"/>
      <c r="G323" s="273"/>
      <c r="H323" s="273"/>
      <c r="I323" s="273"/>
      <c r="J323" s="273"/>
      <c r="K323" s="273"/>
      <c r="L323" s="274"/>
      <c r="M323" s="273"/>
      <c r="N323" s="273"/>
      <c r="O323" s="273"/>
      <c r="P323" s="273"/>
      <c r="Q323" s="273"/>
      <c r="R323" s="273"/>
      <c r="S323" s="273"/>
      <c r="T323" s="273"/>
      <c r="U323" s="273"/>
      <c r="V323" s="273"/>
      <c r="W323" s="273"/>
      <c r="X323" s="274"/>
      <c r="Y323" s="273"/>
      <c r="Z323" s="273"/>
      <c r="AA323" s="273"/>
      <c r="AB323" s="273"/>
      <c r="AC323" s="273"/>
      <c r="AD323" s="273"/>
      <c r="AE323" s="273"/>
      <c r="AF323" s="273"/>
      <c r="AG323" s="273"/>
      <c r="AH323" s="273"/>
      <c r="AI323" s="273"/>
    </row>
    <row r="324" spans="1:35" ht="14.25" customHeight="1">
      <c r="A324" s="273"/>
      <c r="B324" s="273"/>
      <c r="C324" s="273"/>
      <c r="D324" s="273"/>
      <c r="E324" s="273"/>
      <c r="F324" s="273"/>
      <c r="G324" s="273"/>
      <c r="H324" s="273"/>
      <c r="I324" s="273"/>
      <c r="J324" s="273"/>
      <c r="K324" s="273"/>
      <c r="L324" s="274"/>
      <c r="M324" s="273"/>
      <c r="N324" s="273"/>
      <c r="O324" s="273"/>
      <c r="P324" s="273"/>
      <c r="Q324" s="273"/>
      <c r="R324" s="273"/>
      <c r="S324" s="273"/>
      <c r="T324" s="273"/>
      <c r="U324" s="273"/>
      <c r="V324" s="273"/>
      <c r="W324" s="273"/>
      <c r="X324" s="274"/>
      <c r="Y324" s="273"/>
      <c r="Z324" s="273"/>
      <c r="AA324" s="273"/>
      <c r="AB324" s="273"/>
      <c r="AC324" s="273"/>
      <c r="AD324" s="273"/>
      <c r="AE324" s="273"/>
      <c r="AF324" s="273"/>
      <c r="AG324" s="273"/>
      <c r="AH324" s="273"/>
      <c r="AI324" s="273"/>
    </row>
    <row r="325" spans="1:35" ht="14.25" customHeight="1">
      <c r="A325" s="273"/>
      <c r="B325" s="273"/>
      <c r="C325" s="273"/>
      <c r="D325" s="273"/>
      <c r="E325" s="273"/>
      <c r="F325" s="273"/>
      <c r="G325" s="273"/>
      <c r="H325" s="273"/>
      <c r="I325" s="273"/>
      <c r="J325" s="273"/>
      <c r="K325" s="273"/>
      <c r="L325" s="274"/>
      <c r="M325" s="273"/>
      <c r="N325" s="273"/>
      <c r="O325" s="273"/>
      <c r="P325" s="273"/>
      <c r="Q325" s="273"/>
      <c r="R325" s="273"/>
      <c r="S325" s="273"/>
      <c r="T325" s="273"/>
      <c r="U325" s="273"/>
      <c r="V325" s="273"/>
      <c r="W325" s="273"/>
      <c r="X325" s="274"/>
      <c r="Y325" s="273"/>
      <c r="Z325" s="273"/>
      <c r="AA325" s="273"/>
      <c r="AB325" s="273"/>
      <c r="AC325" s="273"/>
      <c r="AD325" s="273"/>
      <c r="AE325" s="273"/>
      <c r="AF325" s="273"/>
      <c r="AG325" s="273"/>
      <c r="AH325" s="273"/>
      <c r="AI325" s="273"/>
    </row>
    <row r="326" spans="1:35" ht="14.25" customHeight="1">
      <c r="A326" s="273"/>
      <c r="B326" s="273"/>
      <c r="C326" s="273"/>
      <c r="D326" s="273"/>
      <c r="E326" s="273"/>
      <c r="F326" s="273"/>
      <c r="G326" s="273"/>
      <c r="H326" s="273"/>
      <c r="I326" s="273"/>
      <c r="J326" s="273"/>
      <c r="K326" s="273"/>
      <c r="L326" s="274"/>
      <c r="M326" s="273"/>
      <c r="N326" s="273"/>
      <c r="O326" s="273"/>
      <c r="P326" s="273"/>
      <c r="Q326" s="273"/>
      <c r="R326" s="273"/>
      <c r="S326" s="273"/>
      <c r="T326" s="273"/>
      <c r="U326" s="273"/>
      <c r="V326" s="273"/>
      <c r="W326" s="273"/>
      <c r="X326" s="274"/>
      <c r="Y326" s="273"/>
      <c r="Z326" s="273"/>
      <c r="AA326" s="273"/>
      <c r="AB326" s="273"/>
      <c r="AC326" s="273"/>
      <c r="AD326" s="273"/>
      <c r="AE326" s="273"/>
      <c r="AF326" s="273"/>
      <c r="AG326" s="273"/>
      <c r="AH326" s="273"/>
      <c r="AI326" s="273"/>
    </row>
    <row r="327" spans="1:35" ht="14.25" customHeight="1">
      <c r="A327" s="273"/>
      <c r="B327" s="273"/>
      <c r="C327" s="273"/>
      <c r="D327" s="273"/>
      <c r="E327" s="273"/>
      <c r="F327" s="273"/>
      <c r="G327" s="273"/>
      <c r="H327" s="273"/>
      <c r="I327" s="273"/>
      <c r="J327" s="273"/>
      <c r="K327" s="273"/>
      <c r="L327" s="274"/>
      <c r="M327" s="273"/>
      <c r="N327" s="273"/>
      <c r="O327" s="273"/>
      <c r="P327" s="273"/>
      <c r="Q327" s="273"/>
      <c r="R327" s="273"/>
      <c r="S327" s="273"/>
      <c r="T327" s="273"/>
      <c r="U327" s="273"/>
      <c r="V327" s="273"/>
      <c r="W327" s="273"/>
      <c r="X327" s="274"/>
      <c r="Y327" s="273"/>
      <c r="Z327" s="273"/>
      <c r="AA327" s="273"/>
      <c r="AB327" s="273"/>
      <c r="AC327" s="273"/>
      <c r="AD327" s="273"/>
      <c r="AE327" s="273"/>
      <c r="AF327" s="273"/>
      <c r="AG327" s="273"/>
      <c r="AH327" s="273"/>
      <c r="AI327" s="273"/>
    </row>
    <row r="328" spans="1:35" ht="14.25" customHeight="1">
      <c r="A328" s="273"/>
      <c r="B328" s="273"/>
      <c r="C328" s="273"/>
      <c r="D328" s="273"/>
      <c r="E328" s="273"/>
      <c r="F328" s="273"/>
      <c r="G328" s="273"/>
      <c r="H328" s="273"/>
      <c r="I328" s="273"/>
      <c r="J328" s="273"/>
      <c r="K328" s="273"/>
      <c r="L328" s="274"/>
      <c r="M328" s="273"/>
      <c r="N328" s="273"/>
      <c r="O328" s="273"/>
      <c r="P328" s="273"/>
      <c r="Q328" s="273"/>
      <c r="R328" s="273"/>
      <c r="S328" s="273"/>
      <c r="T328" s="273"/>
      <c r="U328" s="273"/>
      <c r="V328" s="273"/>
      <c r="W328" s="273"/>
      <c r="X328" s="274"/>
      <c r="Y328" s="273"/>
      <c r="Z328" s="273"/>
      <c r="AA328" s="273"/>
      <c r="AB328" s="273"/>
      <c r="AC328" s="273"/>
      <c r="AD328" s="273"/>
      <c r="AE328" s="273"/>
      <c r="AF328" s="273"/>
      <c r="AG328" s="273"/>
      <c r="AH328" s="273"/>
      <c r="AI328" s="273"/>
    </row>
    <row r="329" spans="1:35" ht="14.25" customHeight="1">
      <c r="A329" s="273"/>
      <c r="B329" s="273"/>
      <c r="C329" s="273"/>
      <c r="D329" s="273"/>
      <c r="E329" s="273"/>
      <c r="F329" s="273"/>
      <c r="G329" s="273"/>
      <c r="H329" s="273"/>
      <c r="I329" s="273"/>
      <c r="J329" s="273"/>
      <c r="K329" s="273"/>
      <c r="L329" s="274"/>
      <c r="M329" s="273"/>
      <c r="N329" s="273"/>
      <c r="O329" s="273"/>
      <c r="P329" s="273"/>
      <c r="Q329" s="273"/>
      <c r="R329" s="273"/>
      <c r="S329" s="273"/>
      <c r="T329" s="273"/>
      <c r="U329" s="273"/>
      <c r="V329" s="273"/>
      <c r="W329" s="273"/>
      <c r="X329" s="274"/>
      <c r="Y329" s="273"/>
      <c r="Z329" s="273"/>
      <c r="AA329" s="273"/>
      <c r="AB329" s="273"/>
      <c r="AC329" s="273"/>
      <c r="AD329" s="273"/>
      <c r="AE329" s="273"/>
      <c r="AF329" s="273"/>
      <c r="AG329" s="273"/>
      <c r="AH329" s="273"/>
      <c r="AI329" s="273"/>
    </row>
    <row r="330" spans="1:35" ht="14.25" customHeight="1">
      <c r="A330" s="273"/>
      <c r="B330" s="273"/>
      <c r="C330" s="273"/>
      <c r="D330" s="273"/>
      <c r="E330" s="273"/>
      <c r="F330" s="273"/>
      <c r="G330" s="273"/>
      <c r="H330" s="273"/>
      <c r="I330" s="273"/>
      <c r="J330" s="273"/>
      <c r="K330" s="273"/>
      <c r="L330" s="274"/>
      <c r="M330" s="273"/>
      <c r="N330" s="273"/>
      <c r="O330" s="273"/>
      <c r="P330" s="273"/>
      <c r="Q330" s="273"/>
      <c r="R330" s="273"/>
      <c r="S330" s="273"/>
      <c r="T330" s="273"/>
      <c r="U330" s="273"/>
      <c r="V330" s="273"/>
      <c r="W330" s="273"/>
      <c r="X330" s="274"/>
      <c r="Y330" s="273"/>
      <c r="Z330" s="273"/>
      <c r="AA330" s="273"/>
      <c r="AB330" s="273"/>
      <c r="AC330" s="273"/>
      <c r="AD330" s="273"/>
      <c r="AE330" s="273"/>
      <c r="AF330" s="273"/>
      <c r="AG330" s="273"/>
      <c r="AH330" s="273"/>
      <c r="AI330" s="273"/>
    </row>
    <row r="331" spans="1:35" ht="14.25" customHeight="1">
      <c r="A331" s="273"/>
      <c r="B331" s="273"/>
      <c r="C331" s="273"/>
      <c r="D331" s="273"/>
      <c r="E331" s="273"/>
      <c r="F331" s="273"/>
      <c r="G331" s="273"/>
      <c r="H331" s="273"/>
      <c r="I331" s="273"/>
      <c r="J331" s="273"/>
      <c r="K331" s="273"/>
      <c r="L331" s="274"/>
      <c r="M331" s="273"/>
      <c r="N331" s="273"/>
      <c r="O331" s="273"/>
      <c r="P331" s="273"/>
      <c r="Q331" s="273"/>
      <c r="R331" s="273"/>
      <c r="S331" s="273"/>
      <c r="T331" s="273"/>
      <c r="U331" s="273"/>
      <c r="V331" s="273"/>
      <c r="W331" s="273"/>
      <c r="X331" s="274"/>
      <c r="Y331" s="273"/>
      <c r="Z331" s="273"/>
      <c r="AA331" s="273"/>
      <c r="AB331" s="273"/>
      <c r="AC331" s="273"/>
      <c r="AD331" s="273"/>
      <c r="AE331" s="273"/>
      <c r="AF331" s="273"/>
      <c r="AG331" s="273"/>
      <c r="AH331" s="273"/>
      <c r="AI331" s="273"/>
    </row>
    <row r="332" spans="1:35" ht="14.25" customHeight="1">
      <c r="A332" s="273"/>
      <c r="B332" s="273"/>
      <c r="C332" s="273"/>
      <c r="D332" s="273"/>
      <c r="E332" s="273"/>
      <c r="F332" s="273"/>
      <c r="G332" s="273"/>
      <c r="H332" s="273"/>
      <c r="I332" s="273"/>
      <c r="J332" s="273"/>
      <c r="K332" s="273"/>
      <c r="L332" s="274"/>
      <c r="M332" s="273"/>
      <c r="N332" s="273"/>
      <c r="O332" s="273"/>
      <c r="P332" s="273"/>
      <c r="Q332" s="273"/>
      <c r="R332" s="273"/>
      <c r="S332" s="273"/>
      <c r="T332" s="273"/>
      <c r="U332" s="273"/>
      <c r="V332" s="273"/>
      <c r="W332" s="273"/>
      <c r="X332" s="274"/>
      <c r="Y332" s="273"/>
      <c r="Z332" s="273"/>
      <c r="AA332" s="273"/>
      <c r="AB332" s="273"/>
      <c r="AC332" s="273"/>
      <c r="AD332" s="273"/>
      <c r="AE332" s="273"/>
      <c r="AF332" s="273"/>
      <c r="AG332" s="273"/>
      <c r="AH332" s="273"/>
      <c r="AI332" s="273"/>
    </row>
    <row r="333" spans="1:35" ht="14.25" customHeight="1">
      <c r="A333" s="273"/>
      <c r="B333" s="273"/>
      <c r="C333" s="273"/>
      <c r="D333" s="273"/>
      <c r="E333" s="273"/>
      <c r="F333" s="273"/>
      <c r="G333" s="273"/>
      <c r="H333" s="273"/>
      <c r="I333" s="273"/>
      <c r="J333" s="273"/>
      <c r="K333" s="273"/>
      <c r="L333" s="274"/>
      <c r="M333" s="273"/>
      <c r="N333" s="273"/>
      <c r="O333" s="273"/>
      <c r="P333" s="273"/>
      <c r="Q333" s="273"/>
      <c r="R333" s="273"/>
      <c r="S333" s="273"/>
      <c r="T333" s="273"/>
      <c r="U333" s="273"/>
      <c r="V333" s="273"/>
      <c r="W333" s="273"/>
      <c r="X333" s="274"/>
      <c r="Y333" s="273"/>
      <c r="Z333" s="273"/>
      <c r="AA333" s="273"/>
      <c r="AB333" s="273"/>
      <c r="AC333" s="273"/>
      <c r="AD333" s="273"/>
      <c r="AE333" s="273"/>
      <c r="AF333" s="273"/>
      <c r="AG333" s="273"/>
      <c r="AH333" s="273"/>
      <c r="AI333" s="273"/>
    </row>
    <row r="334" spans="1:35" ht="14.25" customHeight="1">
      <c r="A334" s="273"/>
      <c r="B334" s="273"/>
      <c r="C334" s="273"/>
      <c r="D334" s="273"/>
      <c r="E334" s="273"/>
      <c r="F334" s="273"/>
      <c r="G334" s="273"/>
      <c r="H334" s="273"/>
      <c r="I334" s="273"/>
      <c r="J334" s="273"/>
      <c r="K334" s="273"/>
      <c r="L334" s="274"/>
      <c r="M334" s="273"/>
      <c r="N334" s="273"/>
      <c r="O334" s="273"/>
      <c r="P334" s="273"/>
      <c r="Q334" s="273"/>
      <c r="R334" s="273"/>
      <c r="S334" s="273"/>
      <c r="T334" s="273"/>
      <c r="U334" s="273"/>
      <c r="V334" s="273"/>
      <c r="W334" s="273"/>
      <c r="X334" s="274"/>
      <c r="Y334" s="273"/>
      <c r="Z334" s="273"/>
      <c r="AA334" s="273"/>
      <c r="AB334" s="273"/>
      <c r="AC334" s="273"/>
      <c r="AD334" s="273"/>
      <c r="AE334" s="273"/>
      <c r="AF334" s="273"/>
      <c r="AG334" s="273"/>
      <c r="AH334" s="273"/>
      <c r="AI334" s="273"/>
    </row>
    <row r="335" spans="1:35" ht="14.25" customHeight="1">
      <c r="A335" s="273"/>
      <c r="B335" s="273"/>
      <c r="C335" s="273"/>
      <c r="D335" s="273"/>
      <c r="E335" s="273"/>
      <c r="F335" s="273"/>
      <c r="G335" s="273"/>
      <c r="H335" s="273"/>
      <c r="I335" s="273"/>
      <c r="J335" s="273"/>
      <c r="K335" s="273"/>
      <c r="L335" s="274"/>
      <c r="M335" s="273"/>
      <c r="N335" s="273"/>
      <c r="O335" s="273"/>
      <c r="P335" s="273"/>
      <c r="Q335" s="273"/>
      <c r="R335" s="273"/>
      <c r="S335" s="273"/>
      <c r="T335" s="273"/>
      <c r="U335" s="273"/>
      <c r="V335" s="273"/>
      <c r="W335" s="273"/>
      <c r="X335" s="274"/>
      <c r="Y335" s="273"/>
      <c r="Z335" s="273"/>
      <c r="AA335" s="273"/>
      <c r="AB335" s="273"/>
      <c r="AC335" s="273"/>
      <c r="AD335" s="273"/>
      <c r="AE335" s="273"/>
      <c r="AF335" s="273"/>
      <c r="AG335" s="273"/>
      <c r="AH335" s="273"/>
      <c r="AI335" s="273"/>
    </row>
    <row r="336" spans="1:35" ht="14.25" customHeight="1">
      <c r="A336" s="273"/>
      <c r="B336" s="273"/>
      <c r="C336" s="273"/>
      <c r="D336" s="273"/>
      <c r="E336" s="273"/>
      <c r="F336" s="273"/>
      <c r="G336" s="273"/>
      <c r="H336" s="273"/>
      <c r="I336" s="273"/>
      <c r="J336" s="273"/>
      <c r="K336" s="273"/>
      <c r="L336" s="274"/>
      <c r="M336" s="273"/>
      <c r="N336" s="273"/>
      <c r="O336" s="273"/>
      <c r="P336" s="273"/>
      <c r="Q336" s="273"/>
      <c r="R336" s="273"/>
      <c r="S336" s="273"/>
      <c r="T336" s="273"/>
      <c r="U336" s="273"/>
      <c r="V336" s="273"/>
      <c r="W336" s="273"/>
      <c r="X336" s="274"/>
      <c r="Y336" s="273"/>
      <c r="Z336" s="273"/>
      <c r="AA336" s="273"/>
      <c r="AB336" s="273"/>
      <c r="AC336" s="273"/>
      <c r="AD336" s="273"/>
      <c r="AE336" s="273"/>
      <c r="AF336" s="273"/>
      <c r="AG336" s="273"/>
      <c r="AH336" s="273"/>
      <c r="AI336" s="273"/>
    </row>
    <row r="337" spans="1:35" ht="14.25" customHeight="1">
      <c r="A337" s="273"/>
      <c r="B337" s="273"/>
      <c r="C337" s="273"/>
      <c r="D337" s="273"/>
      <c r="E337" s="273"/>
      <c r="F337" s="273"/>
      <c r="G337" s="273"/>
      <c r="H337" s="273"/>
      <c r="I337" s="273"/>
      <c r="J337" s="273"/>
      <c r="K337" s="273"/>
      <c r="L337" s="274"/>
      <c r="M337" s="273"/>
      <c r="N337" s="273"/>
      <c r="O337" s="273"/>
      <c r="P337" s="273"/>
      <c r="Q337" s="273"/>
      <c r="R337" s="273"/>
      <c r="S337" s="273"/>
      <c r="T337" s="273"/>
      <c r="U337" s="273"/>
      <c r="V337" s="273"/>
      <c r="W337" s="273"/>
      <c r="X337" s="274"/>
      <c r="Y337" s="273"/>
      <c r="Z337" s="273"/>
      <c r="AA337" s="273"/>
      <c r="AB337" s="273"/>
      <c r="AC337" s="273"/>
      <c r="AD337" s="273"/>
      <c r="AE337" s="273"/>
      <c r="AF337" s="273"/>
      <c r="AG337" s="273"/>
      <c r="AH337" s="273"/>
      <c r="AI337" s="273"/>
    </row>
    <row r="338" spans="1:35" ht="14.25" customHeight="1">
      <c r="A338" s="273"/>
      <c r="B338" s="273"/>
      <c r="C338" s="273"/>
      <c r="D338" s="273"/>
      <c r="E338" s="273"/>
      <c r="F338" s="273"/>
      <c r="G338" s="273"/>
      <c r="H338" s="273"/>
      <c r="I338" s="273"/>
      <c r="J338" s="273"/>
      <c r="K338" s="273"/>
      <c r="L338" s="274"/>
      <c r="M338" s="273"/>
      <c r="N338" s="273"/>
      <c r="O338" s="273"/>
      <c r="P338" s="273"/>
      <c r="Q338" s="273"/>
      <c r="R338" s="273"/>
      <c r="S338" s="273"/>
      <c r="T338" s="273"/>
      <c r="U338" s="273"/>
      <c r="V338" s="273"/>
      <c r="W338" s="273"/>
      <c r="X338" s="274"/>
      <c r="Y338" s="273"/>
      <c r="Z338" s="273"/>
      <c r="AA338" s="273"/>
      <c r="AB338" s="273"/>
      <c r="AC338" s="273"/>
      <c r="AD338" s="273"/>
      <c r="AE338" s="273"/>
      <c r="AF338" s="273"/>
      <c r="AG338" s="273"/>
      <c r="AH338" s="273"/>
      <c r="AI338" s="273"/>
    </row>
    <row r="339" spans="1:35" ht="14.25" customHeight="1">
      <c r="A339" s="273"/>
      <c r="B339" s="273"/>
      <c r="C339" s="273"/>
      <c r="D339" s="273"/>
      <c r="E339" s="273"/>
      <c r="F339" s="273"/>
      <c r="G339" s="273"/>
      <c r="H339" s="273"/>
      <c r="I339" s="273"/>
      <c r="J339" s="273"/>
      <c r="K339" s="273"/>
      <c r="L339" s="274"/>
      <c r="M339" s="273"/>
      <c r="N339" s="273"/>
      <c r="O339" s="273"/>
      <c r="P339" s="273"/>
      <c r="Q339" s="273"/>
      <c r="R339" s="273"/>
      <c r="S339" s="273"/>
      <c r="T339" s="273"/>
      <c r="U339" s="273"/>
      <c r="V339" s="273"/>
      <c r="W339" s="273"/>
      <c r="X339" s="274"/>
      <c r="Y339" s="273"/>
      <c r="Z339" s="273"/>
      <c r="AA339" s="273"/>
      <c r="AB339" s="273"/>
      <c r="AC339" s="273"/>
      <c r="AD339" s="273"/>
      <c r="AE339" s="273"/>
      <c r="AF339" s="273"/>
      <c r="AG339" s="273"/>
      <c r="AH339" s="273"/>
      <c r="AI339" s="273"/>
    </row>
    <row r="340" spans="1:35" ht="14.25" customHeight="1">
      <c r="A340" s="273"/>
      <c r="B340" s="273"/>
      <c r="C340" s="273"/>
      <c r="D340" s="273"/>
      <c r="E340" s="273"/>
      <c r="F340" s="273"/>
      <c r="G340" s="273"/>
      <c r="H340" s="273"/>
      <c r="I340" s="273"/>
      <c r="J340" s="273"/>
      <c r="K340" s="273"/>
      <c r="L340" s="274"/>
      <c r="M340" s="273"/>
      <c r="N340" s="273"/>
      <c r="O340" s="273"/>
      <c r="P340" s="273"/>
      <c r="Q340" s="273"/>
      <c r="R340" s="273"/>
      <c r="S340" s="273"/>
      <c r="T340" s="273"/>
      <c r="U340" s="273"/>
      <c r="V340" s="273"/>
      <c r="W340" s="273"/>
      <c r="X340" s="274"/>
      <c r="Y340" s="273"/>
      <c r="Z340" s="273"/>
      <c r="AA340" s="273"/>
      <c r="AB340" s="273"/>
      <c r="AC340" s="273"/>
      <c r="AD340" s="273"/>
      <c r="AE340" s="273"/>
      <c r="AF340" s="273"/>
      <c r="AG340" s="273"/>
      <c r="AH340" s="273"/>
      <c r="AI340" s="273"/>
    </row>
    <row r="341" spans="1:35" ht="14.25" customHeight="1">
      <c r="A341" s="273"/>
      <c r="B341" s="273"/>
      <c r="C341" s="273"/>
      <c r="D341" s="273"/>
      <c r="E341" s="273"/>
      <c r="F341" s="273"/>
      <c r="G341" s="273"/>
      <c r="H341" s="273"/>
      <c r="I341" s="273"/>
      <c r="J341" s="273"/>
      <c r="K341" s="273"/>
      <c r="L341" s="274"/>
      <c r="M341" s="273"/>
      <c r="N341" s="273"/>
      <c r="O341" s="273"/>
      <c r="P341" s="273"/>
      <c r="Q341" s="273"/>
      <c r="R341" s="273"/>
      <c r="S341" s="273"/>
      <c r="T341" s="273"/>
      <c r="U341" s="273"/>
      <c r="V341" s="273"/>
      <c r="W341" s="273"/>
      <c r="X341" s="274"/>
      <c r="Y341" s="273"/>
      <c r="Z341" s="273"/>
      <c r="AA341" s="273"/>
      <c r="AB341" s="273"/>
      <c r="AC341" s="273"/>
      <c r="AD341" s="273"/>
      <c r="AE341" s="273"/>
      <c r="AF341" s="273"/>
      <c r="AG341" s="273"/>
      <c r="AH341" s="273"/>
      <c r="AI341" s="273"/>
    </row>
    <row r="342" spans="1:35" ht="14.25" customHeight="1">
      <c r="A342" s="273"/>
      <c r="B342" s="273"/>
      <c r="C342" s="273"/>
      <c r="D342" s="273"/>
      <c r="E342" s="273"/>
      <c r="F342" s="273"/>
      <c r="G342" s="273"/>
      <c r="H342" s="273"/>
      <c r="I342" s="273"/>
      <c r="J342" s="273"/>
      <c r="K342" s="273"/>
      <c r="L342" s="274"/>
      <c r="M342" s="273"/>
      <c r="N342" s="273"/>
      <c r="O342" s="273"/>
      <c r="P342" s="273"/>
      <c r="Q342" s="273"/>
      <c r="R342" s="273"/>
      <c r="S342" s="273"/>
      <c r="T342" s="273"/>
      <c r="U342" s="273"/>
      <c r="V342" s="273"/>
      <c r="W342" s="273"/>
      <c r="X342" s="274"/>
      <c r="Y342" s="273"/>
      <c r="Z342" s="273"/>
      <c r="AA342" s="273"/>
      <c r="AB342" s="273"/>
      <c r="AC342" s="273"/>
      <c r="AD342" s="273"/>
      <c r="AE342" s="273"/>
      <c r="AF342" s="273"/>
      <c r="AG342" s="273"/>
      <c r="AH342" s="273"/>
      <c r="AI342" s="273"/>
    </row>
    <row r="343" spans="1:35" ht="14.25" customHeight="1">
      <c r="A343" s="273"/>
      <c r="B343" s="273"/>
      <c r="C343" s="273"/>
      <c r="D343" s="273"/>
      <c r="E343" s="273"/>
      <c r="F343" s="273"/>
      <c r="G343" s="273"/>
      <c r="H343" s="273"/>
      <c r="I343" s="273"/>
      <c r="J343" s="273"/>
      <c r="K343" s="273"/>
      <c r="L343" s="274"/>
      <c r="M343" s="273"/>
      <c r="N343" s="273"/>
      <c r="O343" s="273"/>
      <c r="P343" s="273"/>
      <c r="Q343" s="273"/>
      <c r="R343" s="273"/>
      <c r="S343" s="273"/>
      <c r="T343" s="273"/>
      <c r="U343" s="273"/>
      <c r="V343" s="273"/>
      <c r="W343" s="273"/>
      <c r="X343" s="274"/>
      <c r="Y343" s="273"/>
      <c r="Z343" s="273"/>
      <c r="AA343" s="273"/>
      <c r="AB343" s="273"/>
      <c r="AC343" s="273"/>
      <c r="AD343" s="273"/>
      <c r="AE343" s="273"/>
      <c r="AF343" s="273"/>
      <c r="AG343" s="273"/>
      <c r="AH343" s="273"/>
      <c r="AI343" s="273"/>
    </row>
    <row r="344" spans="1:35" ht="14.25" customHeight="1">
      <c r="A344" s="273"/>
      <c r="B344" s="273"/>
      <c r="C344" s="273"/>
      <c r="D344" s="273"/>
      <c r="E344" s="273"/>
      <c r="F344" s="273"/>
      <c r="G344" s="273"/>
      <c r="H344" s="273"/>
      <c r="I344" s="273"/>
      <c r="J344" s="273"/>
      <c r="K344" s="273"/>
      <c r="L344" s="274"/>
      <c r="M344" s="273"/>
      <c r="N344" s="273"/>
      <c r="O344" s="273"/>
      <c r="P344" s="273"/>
      <c r="Q344" s="273"/>
      <c r="R344" s="273"/>
      <c r="S344" s="273"/>
      <c r="T344" s="273"/>
      <c r="U344" s="273"/>
      <c r="V344" s="273"/>
      <c r="W344" s="273"/>
      <c r="X344" s="274"/>
      <c r="Y344" s="273"/>
      <c r="Z344" s="273"/>
      <c r="AA344" s="273"/>
      <c r="AB344" s="273"/>
      <c r="AC344" s="273"/>
      <c r="AD344" s="273"/>
      <c r="AE344" s="273"/>
      <c r="AF344" s="273"/>
      <c r="AG344" s="273"/>
      <c r="AH344" s="273"/>
      <c r="AI344" s="273"/>
    </row>
    <row r="345" spans="1:35" ht="14.25" customHeight="1">
      <c r="A345" s="273"/>
      <c r="B345" s="273"/>
      <c r="C345" s="273"/>
      <c r="D345" s="273"/>
      <c r="E345" s="273"/>
      <c r="F345" s="273"/>
      <c r="G345" s="273"/>
      <c r="H345" s="273"/>
      <c r="I345" s="273"/>
      <c r="J345" s="273"/>
      <c r="K345" s="273"/>
      <c r="L345" s="274"/>
      <c r="M345" s="273"/>
      <c r="N345" s="273"/>
      <c r="O345" s="273"/>
      <c r="P345" s="273"/>
      <c r="Q345" s="273"/>
      <c r="R345" s="273"/>
      <c r="S345" s="273"/>
      <c r="T345" s="273"/>
      <c r="U345" s="273"/>
      <c r="V345" s="273"/>
      <c r="W345" s="273"/>
      <c r="X345" s="274"/>
      <c r="Y345" s="273"/>
      <c r="Z345" s="273"/>
      <c r="AA345" s="273"/>
      <c r="AB345" s="273"/>
      <c r="AC345" s="273"/>
      <c r="AD345" s="273"/>
      <c r="AE345" s="273"/>
      <c r="AF345" s="273"/>
      <c r="AG345" s="273"/>
      <c r="AH345" s="273"/>
      <c r="AI345" s="273"/>
    </row>
    <row r="346" spans="1:35" ht="14.25" customHeight="1">
      <c r="A346" s="273"/>
      <c r="B346" s="273"/>
      <c r="C346" s="273"/>
      <c r="D346" s="273"/>
      <c r="E346" s="273"/>
      <c r="F346" s="273"/>
      <c r="G346" s="273"/>
      <c r="H346" s="273"/>
      <c r="I346" s="273"/>
      <c r="J346" s="273"/>
      <c r="K346" s="273"/>
      <c r="L346" s="274"/>
      <c r="M346" s="273"/>
      <c r="N346" s="273"/>
      <c r="O346" s="273"/>
      <c r="P346" s="273"/>
      <c r="Q346" s="273"/>
      <c r="R346" s="273"/>
      <c r="S346" s="273"/>
      <c r="T346" s="273"/>
      <c r="U346" s="273"/>
      <c r="V346" s="273"/>
      <c r="W346" s="273"/>
      <c r="X346" s="274"/>
      <c r="Y346" s="273"/>
      <c r="Z346" s="273"/>
      <c r="AA346" s="273"/>
      <c r="AB346" s="273"/>
      <c r="AC346" s="273"/>
      <c r="AD346" s="273"/>
      <c r="AE346" s="273"/>
      <c r="AF346" s="273"/>
      <c r="AG346" s="273"/>
      <c r="AH346" s="273"/>
      <c r="AI346" s="273"/>
    </row>
    <row r="347" spans="1:35" ht="14.25" customHeight="1">
      <c r="A347" s="273"/>
      <c r="B347" s="273"/>
      <c r="C347" s="273"/>
      <c r="D347" s="273"/>
      <c r="E347" s="273"/>
      <c r="F347" s="273"/>
      <c r="G347" s="273"/>
      <c r="H347" s="273"/>
      <c r="I347" s="273"/>
      <c r="J347" s="273"/>
      <c r="K347" s="273"/>
      <c r="L347" s="274"/>
      <c r="M347" s="273"/>
      <c r="N347" s="273"/>
      <c r="O347" s="273"/>
      <c r="P347" s="273"/>
      <c r="Q347" s="273"/>
      <c r="R347" s="273"/>
      <c r="S347" s="273"/>
      <c r="T347" s="273"/>
      <c r="U347" s="273"/>
      <c r="V347" s="273"/>
      <c r="W347" s="273"/>
      <c r="X347" s="274"/>
      <c r="Y347" s="273"/>
      <c r="Z347" s="273"/>
      <c r="AA347" s="273"/>
      <c r="AB347" s="273"/>
      <c r="AC347" s="273"/>
      <c r="AD347" s="273"/>
      <c r="AE347" s="273"/>
      <c r="AF347" s="273"/>
      <c r="AG347" s="273"/>
      <c r="AH347" s="273"/>
      <c r="AI347" s="273"/>
    </row>
    <row r="348" spans="1:35" ht="14.25" customHeight="1">
      <c r="A348" s="273"/>
      <c r="B348" s="273"/>
      <c r="C348" s="273"/>
      <c r="D348" s="273"/>
      <c r="E348" s="273"/>
      <c r="F348" s="273"/>
      <c r="G348" s="273"/>
      <c r="H348" s="273"/>
      <c r="I348" s="273"/>
      <c r="J348" s="273"/>
      <c r="K348" s="273"/>
      <c r="L348" s="274"/>
      <c r="M348" s="273"/>
      <c r="N348" s="273"/>
      <c r="O348" s="273"/>
      <c r="P348" s="273"/>
      <c r="Q348" s="273"/>
      <c r="R348" s="273"/>
      <c r="S348" s="273"/>
      <c r="T348" s="273"/>
      <c r="U348" s="273"/>
      <c r="V348" s="273"/>
      <c r="W348" s="273"/>
      <c r="X348" s="274"/>
      <c r="Y348" s="273"/>
      <c r="Z348" s="273"/>
      <c r="AA348" s="273"/>
      <c r="AB348" s="273"/>
      <c r="AC348" s="273"/>
      <c r="AD348" s="273"/>
      <c r="AE348" s="273"/>
      <c r="AF348" s="273"/>
      <c r="AG348" s="273"/>
      <c r="AH348" s="273"/>
      <c r="AI348" s="273"/>
    </row>
    <row r="349" spans="1:35" ht="14.25" customHeight="1">
      <c r="A349" s="273"/>
      <c r="B349" s="273"/>
      <c r="C349" s="273"/>
      <c r="D349" s="273"/>
      <c r="E349" s="273"/>
      <c r="F349" s="273"/>
      <c r="G349" s="273"/>
      <c r="H349" s="273"/>
      <c r="I349" s="273"/>
      <c r="J349" s="273"/>
      <c r="K349" s="273"/>
      <c r="L349" s="274"/>
      <c r="M349" s="273"/>
      <c r="N349" s="273"/>
      <c r="O349" s="273"/>
      <c r="P349" s="273"/>
      <c r="Q349" s="273"/>
      <c r="R349" s="273"/>
      <c r="S349" s="273"/>
      <c r="T349" s="273"/>
      <c r="U349" s="273"/>
      <c r="V349" s="273"/>
      <c r="W349" s="273"/>
      <c r="X349" s="274"/>
      <c r="Y349" s="273"/>
      <c r="Z349" s="273"/>
      <c r="AA349" s="273"/>
      <c r="AB349" s="273"/>
      <c r="AC349" s="273"/>
      <c r="AD349" s="273"/>
      <c r="AE349" s="273"/>
      <c r="AF349" s="273"/>
      <c r="AG349" s="273"/>
      <c r="AH349" s="273"/>
      <c r="AI349" s="273"/>
    </row>
    <row r="350" spans="1:35" ht="14.25" customHeight="1">
      <c r="A350" s="273"/>
      <c r="B350" s="273"/>
      <c r="C350" s="273"/>
      <c r="D350" s="273"/>
      <c r="E350" s="273"/>
      <c r="F350" s="273"/>
      <c r="G350" s="273"/>
      <c r="H350" s="273"/>
      <c r="I350" s="273"/>
      <c r="J350" s="273"/>
      <c r="K350" s="273"/>
      <c r="L350" s="274"/>
      <c r="M350" s="273"/>
      <c r="N350" s="273"/>
      <c r="O350" s="273"/>
      <c r="P350" s="273"/>
      <c r="Q350" s="273"/>
      <c r="R350" s="273"/>
      <c r="S350" s="273"/>
      <c r="T350" s="273"/>
      <c r="U350" s="273"/>
      <c r="V350" s="273"/>
      <c r="W350" s="273"/>
      <c r="X350" s="274"/>
      <c r="Y350" s="273"/>
      <c r="Z350" s="273"/>
      <c r="AA350" s="273"/>
      <c r="AB350" s="273"/>
      <c r="AC350" s="273"/>
      <c r="AD350" s="273"/>
      <c r="AE350" s="273"/>
      <c r="AF350" s="273"/>
      <c r="AG350" s="273"/>
      <c r="AH350" s="273"/>
      <c r="AI350" s="273"/>
    </row>
    <row r="351" spans="1:35" ht="14.25" customHeight="1">
      <c r="A351" s="273"/>
      <c r="B351" s="273"/>
      <c r="C351" s="273"/>
      <c r="D351" s="273"/>
      <c r="E351" s="273"/>
      <c r="F351" s="273"/>
      <c r="G351" s="273"/>
      <c r="H351" s="273"/>
      <c r="I351" s="273"/>
      <c r="J351" s="273"/>
      <c r="K351" s="273"/>
      <c r="L351" s="274"/>
      <c r="M351" s="273"/>
      <c r="N351" s="273"/>
      <c r="O351" s="273"/>
      <c r="P351" s="273"/>
      <c r="Q351" s="273"/>
      <c r="R351" s="273"/>
      <c r="S351" s="273"/>
      <c r="T351" s="273"/>
      <c r="U351" s="273"/>
      <c r="V351" s="273"/>
      <c r="W351" s="273"/>
      <c r="X351" s="274"/>
      <c r="Y351" s="273"/>
      <c r="Z351" s="273"/>
      <c r="AA351" s="273"/>
      <c r="AB351" s="273"/>
      <c r="AC351" s="273"/>
      <c r="AD351" s="273"/>
      <c r="AE351" s="273"/>
      <c r="AF351" s="273"/>
      <c r="AG351" s="273"/>
      <c r="AH351" s="273"/>
      <c r="AI351" s="273"/>
    </row>
    <row r="352" spans="1:35" ht="14.25" customHeight="1">
      <c r="A352" s="273"/>
      <c r="B352" s="273"/>
      <c r="C352" s="273"/>
      <c r="D352" s="273"/>
      <c r="E352" s="273"/>
      <c r="F352" s="273"/>
      <c r="G352" s="273"/>
      <c r="H352" s="273"/>
      <c r="I352" s="273"/>
      <c r="J352" s="273"/>
      <c r="K352" s="273"/>
      <c r="L352" s="274"/>
      <c r="M352" s="273"/>
      <c r="N352" s="273"/>
      <c r="O352" s="273"/>
      <c r="P352" s="273"/>
      <c r="Q352" s="273"/>
      <c r="R352" s="273"/>
      <c r="S352" s="273"/>
      <c r="T352" s="273"/>
      <c r="U352" s="273"/>
      <c r="V352" s="273"/>
      <c r="W352" s="273"/>
      <c r="X352" s="274"/>
      <c r="Y352" s="273"/>
      <c r="Z352" s="273"/>
      <c r="AA352" s="273"/>
      <c r="AB352" s="273"/>
      <c r="AC352" s="273"/>
      <c r="AD352" s="273"/>
      <c r="AE352" s="273"/>
      <c r="AF352" s="273"/>
      <c r="AG352" s="273"/>
      <c r="AH352" s="273"/>
      <c r="AI352" s="273"/>
    </row>
    <row r="353" spans="1:35" ht="14.25" customHeight="1">
      <c r="A353" s="273"/>
      <c r="B353" s="273"/>
      <c r="C353" s="273"/>
      <c r="D353" s="273"/>
      <c r="E353" s="273"/>
      <c r="F353" s="273"/>
      <c r="G353" s="273"/>
      <c r="H353" s="273"/>
      <c r="I353" s="273"/>
      <c r="J353" s="273"/>
      <c r="K353" s="273"/>
      <c r="L353" s="274"/>
      <c r="M353" s="273"/>
      <c r="N353" s="273"/>
      <c r="O353" s="273"/>
      <c r="P353" s="273"/>
      <c r="Q353" s="273"/>
      <c r="R353" s="273"/>
      <c r="S353" s="273"/>
      <c r="T353" s="273"/>
      <c r="U353" s="273"/>
      <c r="V353" s="273"/>
      <c r="W353" s="273"/>
      <c r="X353" s="274"/>
      <c r="Y353" s="273"/>
      <c r="Z353" s="273"/>
      <c r="AA353" s="273"/>
      <c r="AB353" s="273"/>
      <c r="AC353" s="273"/>
      <c r="AD353" s="273"/>
      <c r="AE353" s="273"/>
      <c r="AF353" s="273"/>
      <c r="AG353" s="273"/>
      <c r="AH353" s="273"/>
      <c r="AI353" s="273"/>
    </row>
    <row r="354" spans="1:35" ht="14.25" customHeight="1">
      <c r="A354" s="273"/>
      <c r="B354" s="273"/>
      <c r="C354" s="273"/>
      <c r="D354" s="273"/>
      <c r="E354" s="273"/>
      <c r="F354" s="273"/>
      <c r="G354" s="273"/>
      <c r="H354" s="273"/>
      <c r="I354" s="273"/>
      <c r="J354" s="273"/>
      <c r="K354" s="273"/>
      <c r="L354" s="274"/>
      <c r="M354" s="273"/>
      <c r="N354" s="273"/>
      <c r="O354" s="273"/>
      <c r="P354" s="273"/>
      <c r="Q354" s="273"/>
      <c r="R354" s="273"/>
      <c r="S354" s="273"/>
      <c r="T354" s="273"/>
      <c r="U354" s="273"/>
      <c r="V354" s="273"/>
      <c r="W354" s="273"/>
      <c r="X354" s="274"/>
      <c r="Y354" s="273"/>
      <c r="Z354" s="273"/>
      <c r="AA354" s="273"/>
      <c r="AB354" s="273"/>
      <c r="AC354" s="273"/>
      <c r="AD354" s="273"/>
      <c r="AE354" s="273"/>
      <c r="AF354" s="273"/>
      <c r="AG354" s="273"/>
      <c r="AH354" s="273"/>
      <c r="AI354" s="273"/>
    </row>
    <row r="355" spans="1:35" ht="14.25" customHeight="1">
      <c r="A355" s="273"/>
      <c r="B355" s="273"/>
      <c r="C355" s="273"/>
      <c r="D355" s="273"/>
      <c r="E355" s="273"/>
      <c r="F355" s="273"/>
      <c r="G355" s="273"/>
      <c r="H355" s="273"/>
      <c r="I355" s="273"/>
      <c r="J355" s="273"/>
      <c r="K355" s="273"/>
      <c r="L355" s="274"/>
      <c r="M355" s="273"/>
      <c r="N355" s="273"/>
      <c r="O355" s="273"/>
      <c r="P355" s="273"/>
      <c r="Q355" s="273"/>
      <c r="R355" s="273"/>
      <c r="S355" s="273"/>
      <c r="T355" s="273"/>
      <c r="U355" s="273"/>
      <c r="V355" s="273"/>
      <c r="W355" s="273"/>
      <c r="X355" s="274"/>
      <c r="Y355" s="273"/>
      <c r="Z355" s="273"/>
      <c r="AA355" s="273"/>
      <c r="AB355" s="273"/>
      <c r="AC355" s="273"/>
      <c r="AD355" s="273"/>
      <c r="AE355" s="273"/>
      <c r="AF355" s="273"/>
      <c r="AG355" s="273"/>
      <c r="AH355" s="273"/>
      <c r="AI355" s="273"/>
    </row>
    <row r="356" spans="1:35" ht="14.25" customHeight="1">
      <c r="A356" s="273"/>
      <c r="B356" s="273"/>
      <c r="C356" s="273"/>
      <c r="D356" s="273"/>
      <c r="E356" s="273"/>
      <c r="F356" s="273"/>
      <c r="G356" s="273"/>
      <c r="H356" s="273"/>
      <c r="I356" s="273"/>
      <c r="J356" s="273"/>
      <c r="K356" s="273"/>
      <c r="L356" s="274"/>
      <c r="M356" s="273"/>
      <c r="N356" s="273"/>
      <c r="O356" s="273"/>
      <c r="P356" s="273"/>
      <c r="Q356" s="273"/>
      <c r="R356" s="273"/>
      <c r="S356" s="273"/>
      <c r="T356" s="273"/>
      <c r="U356" s="273"/>
      <c r="V356" s="273"/>
      <c r="W356" s="273"/>
      <c r="X356" s="274"/>
      <c r="Y356" s="273"/>
      <c r="Z356" s="273"/>
      <c r="AA356" s="273"/>
      <c r="AB356" s="273"/>
      <c r="AC356" s="273"/>
      <c r="AD356" s="273"/>
      <c r="AE356" s="273"/>
      <c r="AF356" s="273"/>
      <c r="AG356" s="273"/>
      <c r="AH356" s="273"/>
      <c r="AI356" s="273"/>
    </row>
    <row r="357" spans="1:35" ht="14.25" customHeight="1">
      <c r="A357" s="273"/>
      <c r="B357" s="273"/>
      <c r="C357" s="273"/>
      <c r="D357" s="273"/>
      <c r="E357" s="273"/>
      <c r="F357" s="273"/>
      <c r="G357" s="273"/>
      <c r="H357" s="273"/>
      <c r="I357" s="273"/>
      <c r="J357" s="273"/>
      <c r="K357" s="273"/>
      <c r="L357" s="274"/>
      <c r="M357" s="273"/>
      <c r="N357" s="273"/>
      <c r="O357" s="273"/>
      <c r="P357" s="273"/>
      <c r="Q357" s="273"/>
      <c r="R357" s="273"/>
      <c r="S357" s="273"/>
      <c r="T357" s="273"/>
      <c r="U357" s="273"/>
      <c r="V357" s="273"/>
      <c r="W357" s="273"/>
      <c r="X357" s="274"/>
      <c r="Y357" s="273"/>
      <c r="Z357" s="273"/>
      <c r="AA357" s="273"/>
      <c r="AB357" s="273"/>
      <c r="AC357" s="273"/>
      <c r="AD357" s="273"/>
      <c r="AE357" s="273"/>
      <c r="AF357" s="273"/>
      <c r="AG357" s="273"/>
      <c r="AH357" s="273"/>
      <c r="AI357" s="273"/>
    </row>
    <row r="358" spans="1:35" ht="14.25" customHeight="1">
      <c r="A358" s="273"/>
      <c r="B358" s="273"/>
      <c r="C358" s="273"/>
      <c r="D358" s="273"/>
      <c r="E358" s="273"/>
      <c r="F358" s="273"/>
      <c r="G358" s="273"/>
      <c r="H358" s="273"/>
      <c r="I358" s="273"/>
      <c r="J358" s="273"/>
      <c r="K358" s="273"/>
      <c r="L358" s="274"/>
      <c r="M358" s="273"/>
      <c r="N358" s="273"/>
      <c r="O358" s="273"/>
      <c r="P358" s="273"/>
      <c r="Q358" s="273"/>
      <c r="R358" s="273"/>
      <c r="S358" s="273"/>
      <c r="T358" s="273"/>
      <c r="U358" s="273"/>
      <c r="V358" s="273"/>
      <c r="W358" s="273"/>
      <c r="X358" s="274"/>
      <c r="Y358" s="273"/>
      <c r="Z358" s="273"/>
      <c r="AA358" s="273"/>
      <c r="AB358" s="273"/>
      <c r="AC358" s="273"/>
      <c r="AD358" s="273"/>
      <c r="AE358" s="273"/>
      <c r="AF358" s="273"/>
      <c r="AG358" s="273"/>
      <c r="AH358" s="273"/>
      <c r="AI358" s="273"/>
    </row>
    <row r="359" spans="1:35" ht="14.25" customHeight="1">
      <c r="A359" s="273"/>
      <c r="B359" s="273"/>
      <c r="C359" s="273"/>
      <c r="D359" s="273"/>
      <c r="E359" s="273"/>
      <c r="F359" s="273"/>
      <c r="G359" s="273"/>
      <c r="H359" s="273"/>
      <c r="I359" s="273"/>
      <c r="J359" s="273"/>
      <c r="K359" s="273"/>
      <c r="L359" s="274"/>
      <c r="M359" s="273"/>
      <c r="N359" s="273"/>
      <c r="O359" s="273"/>
      <c r="P359" s="273"/>
      <c r="Q359" s="273"/>
      <c r="R359" s="273"/>
      <c r="S359" s="273"/>
      <c r="T359" s="273"/>
      <c r="U359" s="273"/>
      <c r="V359" s="273"/>
      <c r="W359" s="273"/>
      <c r="X359" s="274"/>
      <c r="Y359" s="273"/>
      <c r="Z359" s="273"/>
      <c r="AA359" s="273"/>
      <c r="AB359" s="273"/>
      <c r="AC359" s="273"/>
      <c r="AD359" s="273"/>
      <c r="AE359" s="273"/>
      <c r="AF359" s="273"/>
      <c r="AG359" s="273"/>
      <c r="AH359" s="273"/>
      <c r="AI359" s="273"/>
    </row>
    <row r="360" spans="1:35" ht="14.25" customHeight="1">
      <c r="A360" s="273"/>
      <c r="B360" s="273"/>
      <c r="C360" s="273"/>
      <c r="D360" s="273"/>
      <c r="E360" s="273"/>
      <c r="F360" s="273"/>
      <c r="G360" s="273"/>
      <c r="H360" s="273"/>
      <c r="I360" s="273"/>
      <c r="J360" s="273"/>
      <c r="K360" s="273"/>
      <c r="L360" s="274"/>
      <c r="M360" s="273"/>
      <c r="N360" s="273"/>
      <c r="O360" s="273"/>
      <c r="P360" s="273"/>
      <c r="Q360" s="273"/>
      <c r="R360" s="273"/>
      <c r="S360" s="273"/>
      <c r="T360" s="273"/>
      <c r="U360" s="273"/>
      <c r="V360" s="273"/>
      <c r="W360" s="273"/>
      <c r="X360" s="274"/>
      <c r="Y360" s="273"/>
      <c r="Z360" s="273"/>
      <c r="AA360" s="273"/>
      <c r="AB360" s="273"/>
      <c r="AC360" s="273"/>
      <c r="AD360" s="273"/>
      <c r="AE360" s="273"/>
      <c r="AF360" s="273"/>
      <c r="AG360" s="273"/>
      <c r="AH360" s="273"/>
      <c r="AI360" s="273"/>
    </row>
    <row r="361" spans="1:35" ht="14.25" customHeight="1">
      <c r="A361" s="273"/>
      <c r="B361" s="273"/>
      <c r="C361" s="273"/>
      <c r="D361" s="273"/>
      <c r="E361" s="273"/>
      <c r="F361" s="273"/>
      <c r="G361" s="273"/>
      <c r="H361" s="273"/>
      <c r="I361" s="273"/>
      <c r="J361" s="273"/>
      <c r="K361" s="273"/>
      <c r="L361" s="274"/>
      <c r="M361" s="273"/>
      <c r="N361" s="273"/>
      <c r="O361" s="273"/>
      <c r="P361" s="273"/>
      <c r="Q361" s="273"/>
      <c r="R361" s="273"/>
      <c r="S361" s="273"/>
      <c r="T361" s="273"/>
      <c r="U361" s="273"/>
      <c r="V361" s="273"/>
      <c r="W361" s="273"/>
      <c r="X361" s="274"/>
      <c r="Y361" s="273"/>
      <c r="Z361" s="273"/>
      <c r="AA361" s="273"/>
      <c r="AB361" s="273"/>
      <c r="AC361" s="273"/>
      <c r="AD361" s="273"/>
      <c r="AE361" s="273"/>
      <c r="AF361" s="273"/>
      <c r="AG361" s="273"/>
      <c r="AH361" s="273"/>
      <c r="AI361" s="273"/>
    </row>
    <row r="362" spans="1:35" ht="14.25" customHeight="1">
      <c r="A362" s="273"/>
      <c r="B362" s="273"/>
      <c r="C362" s="273"/>
      <c r="D362" s="273"/>
      <c r="E362" s="273"/>
      <c r="F362" s="273"/>
      <c r="G362" s="273"/>
      <c r="H362" s="273"/>
      <c r="I362" s="273"/>
      <c r="J362" s="273"/>
      <c r="K362" s="273"/>
      <c r="L362" s="274"/>
      <c r="M362" s="273"/>
      <c r="N362" s="273"/>
      <c r="O362" s="273"/>
      <c r="P362" s="273"/>
      <c r="Q362" s="273"/>
      <c r="R362" s="273"/>
      <c r="S362" s="273"/>
      <c r="T362" s="273"/>
      <c r="U362" s="273"/>
      <c r="V362" s="273"/>
      <c r="W362" s="273"/>
      <c r="X362" s="274"/>
      <c r="Y362" s="273"/>
      <c r="Z362" s="273"/>
      <c r="AA362" s="273"/>
      <c r="AB362" s="273"/>
      <c r="AC362" s="273"/>
      <c r="AD362" s="273"/>
      <c r="AE362" s="273"/>
      <c r="AF362" s="273"/>
      <c r="AG362" s="273"/>
      <c r="AH362" s="273"/>
      <c r="AI362" s="273"/>
    </row>
    <row r="363" spans="1:35" ht="14.25" customHeight="1">
      <c r="A363" s="273"/>
      <c r="B363" s="273"/>
      <c r="C363" s="273"/>
      <c r="D363" s="273"/>
      <c r="E363" s="273"/>
      <c r="F363" s="273"/>
      <c r="G363" s="273"/>
      <c r="H363" s="273"/>
      <c r="I363" s="273"/>
      <c r="J363" s="273"/>
      <c r="K363" s="273"/>
      <c r="L363" s="274"/>
      <c r="M363" s="273"/>
      <c r="N363" s="273"/>
      <c r="O363" s="273"/>
      <c r="P363" s="273"/>
      <c r="Q363" s="273"/>
      <c r="R363" s="273"/>
      <c r="S363" s="273"/>
      <c r="T363" s="273"/>
      <c r="U363" s="273"/>
      <c r="V363" s="273"/>
      <c r="W363" s="273"/>
      <c r="X363" s="274"/>
      <c r="Y363" s="273"/>
      <c r="Z363" s="273"/>
      <c r="AA363" s="273"/>
      <c r="AB363" s="273"/>
      <c r="AC363" s="273"/>
      <c r="AD363" s="273"/>
      <c r="AE363" s="273"/>
      <c r="AF363" s="273"/>
      <c r="AG363" s="273"/>
      <c r="AH363" s="273"/>
      <c r="AI363" s="273"/>
    </row>
    <row r="364" spans="1:35" ht="14.25" customHeight="1">
      <c r="A364" s="273"/>
      <c r="B364" s="273"/>
      <c r="C364" s="273"/>
      <c r="D364" s="273"/>
      <c r="E364" s="273"/>
      <c r="F364" s="273"/>
      <c r="G364" s="273"/>
      <c r="H364" s="273"/>
      <c r="I364" s="273"/>
      <c r="J364" s="273"/>
      <c r="K364" s="273"/>
      <c r="L364" s="274"/>
      <c r="M364" s="273"/>
      <c r="N364" s="273"/>
      <c r="O364" s="273"/>
      <c r="P364" s="273"/>
      <c r="Q364" s="273"/>
      <c r="R364" s="273"/>
      <c r="S364" s="273"/>
      <c r="T364" s="273"/>
      <c r="U364" s="273"/>
      <c r="V364" s="273"/>
      <c r="W364" s="273"/>
      <c r="X364" s="274"/>
      <c r="Y364" s="273"/>
      <c r="Z364" s="273"/>
      <c r="AA364" s="273"/>
      <c r="AB364" s="273"/>
      <c r="AC364" s="273"/>
      <c r="AD364" s="273"/>
      <c r="AE364" s="273"/>
      <c r="AF364" s="273"/>
      <c r="AG364" s="273"/>
      <c r="AH364" s="273"/>
      <c r="AI364" s="273"/>
    </row>
    <row r="365" spans="1:35" ht="14.25" customHeight="1">
      <c r="A365" s="273"/>
      <c r="B365" s="273"/>
      <c r="C365" s="273"/>
      <c r="D365" s="273"/>
      <c r="E365" s="273"/>
      <c r="F365" s="273"/>
      <c r="G365" s="273"/>
      <c r="H365" s="273"/>
      <c r="I365" s="273"/>
      <c r="J365" s="273"/>
      <c r="K365" s="273"/>
      <c r="L365" s="274"/>
      <c r="M365" s="273"/>
      <c r="N365" s="273"/>
      <c r="O365" s="273"/>
      <c r="P365" s="273"/>
      <c r="Q365" s="273"/>
      <c r="R365" s="273"/>
      <c r="S365" s="273"/>
      <c r="T365" s="273"/>
      <c r="U365" s="273"/>
      <c r="V365" s="273"/>
      <c r="W365" s="273"/>
      <c r="X365" s="274"/>
      <c r="Y365" s="273"/>
      <c r="Z365" s="273"/>
      <c r="AA365" s="273"/>
      <c r="AB365" s="273"/>
      <c r="AC365" s="273"/>
      <c r="AD365" s="273"/>
      <c r="AE365" s="273"/>
      <c r="AF365" s="273"/>
      <c r="AG365" s="273"/>
      <c r="AH365" s="273"/>
      <c r="AI365" s="273"/>
    </row>
    <row r="366" spans="1:35" ht="14.25" customHeight="1">
      <c r="A366" s="273"/>
      <c r="B366" s="273"/>
      <c r="C366" s="273"/>
      <c r="D366" s="273"/>
      <c r="E366" s="273"/>
      <c r="F366" s="273"/>
      <c r="G366" s="273"/>
      <c r="H366" s="273"/>
      <c r="I366" s="273"/>
      <c r="J366" s="273"/>
      <c r="K366" s="273"/>
      <c r="L366" s="274"/>
      <c r="M366" s="273"/>
      <c r="N366" s="273"/>
      <c r="O366" s="273"/>
      <c r="P366" s="273"/>
      <c r="Q366" s="273"/>
      <c r="R366" s="273"/>
      <c r="S366" s="273"/>
      <c r="T366" s="273"/>
      <c r="U366" s="273"/>
      <c r="V366" s="273"/>
      <c r="W366" s="273"/>
      <c r="X366" s="274"/>
      <c r="Y366" s="273"/>
      <c r="Z366" s="273"/>
      <c r="AA366" s="273"/>
      <c r="AB366" s="273"/>
      <c r="AC366" s="273"/>
      <c r="AD366" s="273"/>
      <c r="AE366" s="273"/>
      <c r="AF366" s="273"/>
      <c r="AG366" s="273"/>
      <c r="AH366" s="273"/>
      <c r="AI366" s="273"/>
    </row>
    <row r="367" spans="1:35" ht="14.25" customHeight="1">
      <c r="A367" s="273"/>
      <c r="B367" s="273"/>
      <c r="C367" s="273"/>
      <c r="D367" s="273"/>
      <c r="E367" s="273"/>
      <c r="F367" s="273"/>
      <c r="G367" s="273"/>
      <c r="H367" s="273"/>
      <c r="I367" s="273"/>
      <c r="J367" s="273"/>
      <c r="K367" s="273"/>
      <c r="L367" s="274"/>
      <c r="M367" s="273"/>
      <c r="N367" s="273"/>
      <c r="O367" s="273"/>
      <c r="P367" s="273"/>
      <c r="Q367" s="273"/>
      <c r="R367" s="273"/>
      <c r="S367" s="273"/>
      <c r="T367" s="273"/>
      <c r="U367" s="273"/>
      <c r="V367" s="273"/>
      <c r="W367" s="273"/>
      <c r="X367" s="274"/>
      <c r="Y367" s="273"/>
      <c r="Z367" s="273"/>
      <c r="AA367" s="273"/>
      <c r="AB367" s="273"/>
      <c r="AC367" s="273"/>
      <c r="AD367" s="273"/>
      <c r="AE367" s="273"/>
      <c r="AF367" s="273"/>
      <c r="AG367" s="273"/>
      <c r="AH367" s="273"/>
      <c r="AI367" s="273"/>
    </row>
    <row r="368" spans="1:35" ht="14.25" customHeight="1">
      <c r="A368" s="273"/>
      <c r="B368" s="273"/>
      <c r="C368" s="273"/>
      <c r="D368" s="273"/>
      <c r="E368" s="273"/>
      <c r="F368" s="273"/>
      <c r="G368" s="273"/>
      <c r="H368" s="273"/>
      <c r="I368" s="273"/>
      <c r="J368" s="273"/>
      <c r="K368" s="273"/>
      <c r="L368" s="274"/>
      <c r="M368" s="273"/>
      <c r="N368" s="273"/>
      <c r="O368" s="273"/>
      <c r="P368" s="273"/>
      <c r="Q368" s="273"/>
      <c r="R368" s="273"/>
      <c r="S368" s="273"/>
      <c r="T368" s="273"/>
      <c r="U368" s="273"/>
      <c r="V368" s="273"/>
      <c r="W368" s="273"/>
      <c r="X368" s="274"/>
      <c r="Y368" s="273"/>
      <c r="Z368" s="273"/>
      <c r="AA368" s="273"/>
      <c r="AB368" s="273"/>
      <c r="AC368" s="273"/>
      <c r="AD368" s="273"/>
      <c r="AE368" s="273"/>
      <c r="AF368" s="273"/>
      <c r="AG368" s="273"/>
      <c r="AH368" s="273"/>
      <c r="AI368" s="273"/>
    </row>
    <row r="369" spans="1:35" ht="14.25" customHeight="1">
      <c r="A369" s="273"/>
      <c r="B369" s="273"/>
      <c r="C369" s="273"/>
      <c r="D369" s="273"/>
      <c r="E369" s="273"/>
      <c r="F369" s="273"/>
      <c r="G369" s="273"/>
      <c r="H369" s="273"/>
      <c r="I369" s="273"/>
      <c r="J369" s="273"/>
      <c r="K369" s="273"/>
      <c r="L369" s="274"/>
      <c r="M369" s="273"/>
      <c r="N369" s="273"/>
      <c r="O369" s="273"/>
      <c r="P369" s="273"/>
      <c r="Q369" s="273"/>
      <c r="R369" s="273"/>
      <c r="S369" s="273"/>
      <c r="T369" s="273"/>
      <c r="U369" s="273"/>
      <c r="V369" s="273"/>
      <c r="W369" s="273"/>
      <c r="X369" s="274"/>
      <c r="Y369" s="273"/>
      <c r="Z369" s="273"/>
      <c r="AA369" s="273"/>
      <c r="AB369" s="273"/>
      <c r="AC369" s="273"/>
      <c r="AD369" s="273"/>
      <c r="AE369" s="273"/>
      <c r="AF369" s="273"/>
      <c r="AG369" s="273"/>
      <c r="AH369" s="273"/>
      <c r="AI369" s="273"/>
    </row>
    <row r="370" spans="1:35" ht="14.25" customHeight="1">
      <c r="A370" s="273"/>
      <c r="B370" s="273"/>
      <c r="C370" s="273"/>
      <c r="D370" s="273"/>
      <c r="E370" s="273"/>
      <c r="F370" s="273"/>
      <c r="G370" s="273"/>
      <c r="H370" s="273"/>
      <c r="I370" s="273"/>
      <c r="J370" s="273"/>
      <c r="K370" s="273"/>
      <c r="L370" s="274"/>
      <c r="M370" s="273"/>
      <c r="N370" s="273"/>
      <c r="O370" s="273"/>
      <c r="P370" s="273"/>
      <c r="Q370" s="273"/>
      <c r="R370" s="273"/>
      <c r="S370" s="273"/>
      <c r="T370" s="273"/>
      <c r="U370" s="273"/>
      <c r="V370" s="273"/>
      <c r="W370" s="273"/>
      <c r="X370" s="274"/>
      <c r="Y370" s="273"/>
      <c r="Z370" s="273"/>
      <c r="AA370" s="273"/>
      <c r="AB370" s="273"/>
      <c r="AC370" s="273"/>
      <c r="AD370" s="273"/>
      <c r="AE370" s="273"/>
      <c r="AF370" s="273"/>
      <c r="AG370" s="273"/>
      <c r="AH370" s="273"/>
      <c r="AI370" s="273"/>
    </row>
    <row r="371" spans="1:35" ht="14.25" customHeight="1">
      <c r="A371" s="273"/>
      <c r="B371" s="273"/>
      <c r="C371" s="273"/>
      <c r="D371" s="273"/>
      <c r="E371" s="273"/>
      <c r="F371" s="273"/>
      <c r="G371" s="273"/>
      <c r="H371" s="273"/>
      <c r="I371" s="273"/>
      <c r="J371" s="273"/>
      <c r="K371" s="273"/>
      <c r="L371" s="274"/>
      <c r="M371" s="273"/>
      <c r="N371" s="273"/>
      <c r="O371" s="273"/>
      <c r="P371" s="273"/>
      <c r="Q371" s="273"/>
      <c r="R371" s="273"/>
      <c r="S371" s="273"/>
      <c r="T371" s="273"/>
      <c r="U371" s="273"/>
      <c r="V371" s="273"/>
      <c r="W371" s="273"/>
      <c r="X371" s="274"/>
      <c r="Y371" s="273"/>
      <c r="Z371" s="273"/>
      <c r="AA371" s="273"/>
      <c r="AB371" s="273"/>
      <c r="AC371" s="273"/>
      <c r="AD371" s="273"/>
      <c r="AE371" s="273"/>
      <c r="AF371" s="273"/>
      <c r="AG371" s="273"/>
      <c r="AH371" s="273"/>
      <c r="AI371" s="273"/>
    </row>
    <row r="372" spans="1:35" ht="14.25" customHeight="1">
      <c r="A372" s="273"/>
      <c r="B372" s="273"/>
      <c r="C372" s="273"/>
      <c r="D372" s="273"/>
      <c r="E372" s="273"/>
      <c r="F372" s="273"/>
      <c r="G372" s="273"/>
      <c r="H372" s="273"/>
      <c r="I372" s="273"/>
      <c r="J372" s="273"/>
      <c r="K372" s="273"/>
      <c r="L372" s="274"/>
      <c r="M372" s="273"/>
      <c r="N372" s="273"/>
      <c r="O372" s="273"/>
      <c r="P372" s="273"/>
      <c r="Q372" s="273"/>
      <c r="R372" s="273"/>
      <c r="S372" s="273"/>
      <c r="T372" s="273"/>
      <c r="U372" s="273"/>
      <c r="V372" s="273"/>
      <c r="W372" s="273"/>
      <c r="X372" s="274"/>
      <c r="Y372" s="273"/>
      <c r="Z372" s="273"/>
      <c r="AA372" s="273"/>
      <c r="AB372" s="273"/>
      <c r="AC372" s="273"/>
      <c r="AD372" s="273"/>
      <c r="AE372" s="273"/>
      <c r="AF372" s="273"/>
      <c r="AG372" s="273"/>
      <c r="AH372" s="273"/>
      <c r="AI372" s="273"/>
    </row>
    <row r="373" spans="1:35" ht="14.25" customHeight="1">
      <c r="A373" s="273"/>
      <c r="B373" s="273"/>
      <c r="C373" s="273"/>
      <c r="D373" s="273"/>
      <c r="E373" s="273"/>
      <c r="F373" s="273"/>
      <c r="G373" s="273"/>
      <c r="H373" s="273"/>
      <c r="I373" s="273"/>
      <c r="J373" s="273"/>
      <c r="K373" s="273"/>
      <c r="L373" s="274"/>
      <c r="M373" s="273"/>
      <c r="N373" s="273"/>
      <c r="O373" s="273"/>
      <c r="P373" s="273"/>
      <c r="Q373" s="273"/>
      <c r="R373" s="273"/>
      <c r="S373" s="273"/>
      <c r="T373" s="273"/>
      <c r="U373" s="273"/>
      <c r="V373" s="273"/>
      <c r="W373" s="273"/>
      <c r="X373" s="274"/>
      <c r="Y373" s="273"/>
      <c r="Z373" s="273"/>
      <c r="AA373" s="273"/>
      <c r="AB373" s="273"/>
      <c r="AC373" s="273"/>
      <c r="AD373" s="273"/>
      <c r="AE373" s="273"/>
      <c r="AF373" s="273"/>
      <c r="AG373" s="273"/>
      <c r="AH373" s="273"/>
      <c r="AI373" s="273"/>
    </row>
    <row r="374" spans="1:35" ht="14.25" customHeight="1">
      <c r="A374" s="273"/>
      <c r="B374" s="273"/>
      <c r="C374" s="273"/>
      <c r="D374" s="273"/>
      <c r="E374" s="273"/>
      <c r="F374" s="273"/>
      <c r="G374" s="273"/>
      <c r="H374" s="273"/>
      <c r="I374" s="273"/>
      <c r="J374" s="273"/>
      <c r="K374" s="273"/>
      <c r="L374" s="274"/>
      <c r="M374" s="273"/>
      <c r="N374" s="273"/>
      <c r="O374" s="273"/>
      <c r="P374" s="273"/>
      <c r="Q374" s="273"/>
      <c r="R374" s="273"/>
      <c r="S374" s="273"/>
      <c r="T374" s="273"/>
      <c r="U374" s="273"/>
      <c r="V374" s="273"/>
      <c r="W374" s="273"/>
      <c r="X374" s="274"/>
      <c r="Y374" s="273"/>
      <c r="Z374" s="273"/>
      <c r="AA374" s="273"/>
      <c r="AB374" s="273"/>
      <c r="AC374" s="273"/>
      <c r="AD374" s="273"/>
      <c r="AE374" s="273"/>
      <c r="AF374" s="273"/>
      <c r="AG374" s="273"/>
      <c r="AH374" s="273"/>
      <c r="AI374" s="273"/>
    </row>
    <row r="375" spans="1:35" ht="14.25" customHeight="1">
      <c r="A375" s="273"/>
      <c r="B375" s="273"/>
      <c r="C375" s="273"/>
      <c r="D375" s="273"/>
      <c r="E375" s="273"/>
      <c r="F375" s="273"/>
      <c r="G375" s="273"/>
      <c r="H375" s="273"/>
      <c r="I375" s="273"/>
      <c r="J375" s="273"/>
      <c r="K375" s="273"/>
      <c r="L375" s="274"/>
      <c r="M375" s="273"/>
      <c r="N375" s="273"/>
      <c r="O375" s="273"/>
      <c r="P375" s="273"/>
      <c r="Q375" s="273"/>
      <c r="R375" s="273"/>
      <c r="S375" s="273"/>
      <c r="T375" s="273"/>
      <c r="U375" s="273"/>
      <c r="V375" s="273"/>
      <c r="W375" s="273"/>
      <c r="X375" s="274"/>
      <c r="Y375" s="273"/>
      <c r="Z375" s="273"/>
      <c r="AA375" s="273"/>
      <c r="AB375" s="273"/>
      <c r="AC375" s="273"/>
      <c r="AD375" s="273"/>
      <c r="AE375" s="273"/>
      <c r="AF375" s="273"/>
      <c r="AG375" s="273"/>
      <c r="AH375" s="273"/>
      <c r="AI375" s="273"/>
    </row>
    <row r="376" spans="1:35" ht="14.25" customHeight="1">
      <c r="A376" s="273"/>
      <c r="B376" s="273"/>
      <c r="C376" s="273"/>
      <c r="D376" s="273"/>
      <c r="E376" s="273"/>
      <c r="F376" s="273"/>
      <c r="G376" s="273"/>
      <c r="H376" s="273"/>
      <c r="I376" s="273"/>
      <c r="J376" s="273"/>
      <c r="K376" s="273"/>
      <c r="L376" s="274"/>
      <c r="M376" s="273"/>
      <c r="N376" s="273"/>
      <c r="O376" s="273"/>
      <c r="P376" s="273"/>
      <c r="Q376" s="273"/>
      <c r="R376" s="273"/>
      <c r="S376" s="273"/>
      <c r="T376" s="273"/>
      <c r="U376" s="273"/>
      <c r="V376" s="273"/>
      <c r="W376" s="273"/>
      <c r="X376" s="274"/>
      <c r="Y376" s="273"/>
      <c r="Z376" s="273"/>
      <c r="AA376" s="273"/>
      <c r="AB376" s="273"/>
      <c r="AC376" s="273"/>
      <c r="AD376" s="273"/>
      <c r="AE376" s="273"/>
      <c r="AF376" s="273"/>
      <c r="AG376" s="273"/>
      <c r="AH376" s="273"/>
      <c r="AI376" s="273"/>
    </row>
    <row r="377" spans="1:35" ht="14.25" customHeight="1">
      <c r="A377" s="273"/>
      <c r="B377" s="273"/>
      <c r="C377" s="273"/>
      <c r="D377" s="273"/>
      <c r="E377" s="273"/>
      <c r="F377" s="273"/>
      <c r="G377" s="273"/>
      <c r="H377" s="273"/>
      <c r="I377" s="273"/>
      <c r="J377" s="273"/>
      <c r="K377" s="273"/>
      <c r="L377" s="274"/>
      <c r="M377" s="273"/>
      <c r="N377" s="273"/>
      <c r="O377" s="273"/>
      <c r="P377" s="273"/>
      <c r="Q377" s="273"/>
      <c r="R377" s="273"/>
      <c r="S377" s="273"/>
      <c r="T377" s="273"/>
      <c r="U377" s="273"/>
      <c r="V377" s="273"/>
      <c r="W377" s="273"/>
      <c r="X377" s="274"/>
      <c r="Y377" s="273"/>
      <c r="Z377" s="273"/>
      <c r="AA377" s="273"/>
      <c r="AB377" s="273"/>
      <c r="AC377" s="273"/>
      <c r="AD377" s="273"/>
      <c r="AE377" s="273"/>
      <c r="AF377" s="273"/>
      <c r="AG377" s="273"/>
      <c r="AH377" s="273"/>
      <c r="AI377" s="273"/>
    </row>
    <row r="378" spans="1:35" ht="14.25" customHeight="1">
      <c r="A378" s="273"/>
      <c r="B378" s="273"/>
      <c r="C378" s="273"/>
      <c r="D378" s="273"/>
      <c r="E378" s="273"/>
      <c r="F378" s="273"/>
      <c r="G378" s="273"/>
      <c r="H378" s="273"/>
      <c r="I378" s="273"/>
      <c r="J378" s="273"/>
      <c r="K378" s="273"/>
      <c r="L378" s="274"/>
      <c r="M378" s="273"/>
      <c r="N378" s="273"/>
      <c r="O378" s="273"/>
      <c r="P378" s="273"/>
      <c r="Q378" s="273"/>
      <c r="R378" s="273"/>
      <c r="S378" s="273"/>
      <c r="T378" s="273"/>
      <c r="U378" s="273"/>
      <c r="V378" s="273"/>
      <c r="W378" s="273"/>
      <c r="X378" s="274"/>
      <c r="Y378" s="273"/>
      <c r="Z378" s="273"/>
      <c r="AA378" s="273"/>
      <c r="AB378" s="273"/>
      <c r="AC378" s="273"/>
      <c r="AD378" s="273"/>
      <c r="AE378" s="273"/>
      <c r="AF378" s="273"/>
      <c r="AG378" s="273"/>
      <c r="AH378" s="273"/>
      <c r="AI378" s="273"/>
    </row>
    <row r="379" spans="1:35" ht="14.25" customHeight="1">
      <c r="A379" s="273"/>
      <c r="B379" s="273"/>
      <c r="C379" s="273"/>
      <c r="D379" s="273"/>
      <c r="E379" s="273"/>
      <c r="F379" s="273"/>
      <c r="G379" s="273"/>
      <c r="H379" s="273"/>
      <c r="I379" s="273"/>
      <c r="J379" s="273"/>
      <c r="K379" s="273"/>
      <c r="L379" s="274"/>
      <c r="M379" s="273"/>
      <c r="N379" s="273"/>
      <c r="O379" s="273"/>
      <c r="P379" s="273"/>
      <c r="Q379" s="273"/>
      <c r="R379" s="273"/>
      <c r="S379" s="273"/>
      <c r="T379" s="273"/>
      <c r="U379" s="273"/>
      <c r="V379" s="273"/>
      <c r="W379" s="273"/>
      <c r="X379" s="274"/>
      <c r="Y379" s="273"/>
      <c r="Z379" s="273"/>
      <c r="AA379" s="273"/>
      <c r="AB379" s="273"/>
      <c r="AC379" s="273"/>
      <c r="AD379" s="273"/>
      <c r="AE379" s="273"/>
      <c r="AF379" s="273"/>
      <c r="AG379" s="273"/>
      <c r="AH379" s="273"/>
      <c r="AI379" s="273"/>
    </row>
    <row r="380" spans="1:35" ht="14.25" customHeight="1">
      <c r="A380" s="273"/>
      <c r="B380" s="273"/>
      <c r="C380" s="273"/>
      <c r="D380" s="273"/>
      <c r="E380" s="273"/>
      <c r="F380" s="273"/>
      <c r="G380" s="273"/>
      <c r="H380" s="273"/>
      <c r="I380" s="273"/>
      <c r="J380" s="273"/>
      <c r="K380" s="273"/>
      <c r="L380" s="274"/>
      <c r="M380" s="273"/>
      <c r="N380" s="273"/>
      <c r="O380" s="273"/>
      <c r="P380" s="273"/>
      <c r="Q380" s="273"/>
      <c r="R380" s="273"/>
      <c r="S380" s="273"/>
      <c r="T380" s="273"/>
      <c r="U380" s="273"/>
      <c r="V380" s="273"/>
      <c r="W380" s="273"/>
      <c r="X380" s="274"/>
      <c r="Y380" s="273"/>
      <c r="Z380" s="273"/>
      <c r="AA380" s="273"/>
      <c r="AB380" s="273"/>
      <c r="AC380" s="273"/>
      <c r="AD380" s="273"/>
      <c r="AE380" s="273"/>
      <c r="AF380" s="273"/>
      <c r="AG380" s="273"/>
      <c r="AH380" s="273"/>
      <c r="AI380" s="273"/>
    </row>
    <row r="381" spans="1:35" ht="14.25" customHeight="1">
      <c r="A381" s="273"/>
      <c r="B381" s="273"/>
      <c r="C381" s="273"/>
      <c r="D381" s="273"/>
      <c r="E381" s="273"/>
      <c r="F381" s="273"/>
      <c r="G381" s="273"/>
      <c r="H381" s="273"/>
      <c r="I381" s="273"/>
      <c r="J381" s="273"/>
      <c r="K381" s="273"/>
      <c r="L381" s="274"/>
      <c r="M381" s="273"/>
      <c r="N381" s="273"/>
      <c r="O381" s="273"/>
      <c r="P381" s="273"/>
      <c r="Q381" s="273"/>
      <c r="R381" s="273"/>
      <c r="S381" s="273"/>
      <c r="T381" s="273"/>
      <c r="U381" s="273"/>
      <c r="V381" s="273"/>
      <c r="W381" s="273"/>
      <c r="X381" s="274"/>
      <c r="Y381" s="273"/>
      <c r="Z381" s="273"/>
      <c r="AA381" s="273"/>
      <c r="AB381" s="273"/>
      <c r="AC381" s="273"/>
      <c r="AD381" s="273"/>
      <c r="AE381" s="273"/>
      <c r="AF381" s="273"/>
      <c r="AG381" s="273"/>
      <c r="AH381" s="273"/>
      <c r="AI381" s="273"/>
    </row>
    <row r="382" spans="1:35" ht="14.25" customHeight="1">
      <c r="A382" s="273"/>
      <c r="B382" s="273"/>
      <c r="C382" s="273"/>
      <c r="D382" s="273"/>
      <c r="E382" s="273"/>
      <c r="F382" s="273"/>
      <c r="G382" s="273"/>
      <c r="H382" s="273"/>
      <c r="I382" s="273"/>
      <c r="J382" s="273"/>
      <c r="K382" s="273"/>
      <c r="L382" s="274"/>
      <c r="M382" s="273"/>
      <c r="N382" s="273"/>
      <c r="O382" s="273"/>
      <c r="P382" s="273"/>
      <c r="Q382" s="273"/>
      <c r="R382" s="273"/>
      <c r="S382" s="273"/>
      <c r="T382" s="273"/>
      <c r="U382" s="273"/>
      <c r="V382" s="273"/>
      <c r="W382" s="273"/>
      <c r="X382" s="274"/>
      <c r="Y382" s="273"/>
      <c r="Z382" s="273"/>
      <c r="AA382" s="273"/>
      <c r="AB382" s="273"/>
      <c r="AC382" s="273"/>
      <c r="AD382" s="273"/>
      <c r="AE382" s="273"/>
      <c r="AF382" s="273"/>
      <c r="AG382" s="273"/>
      <c r="AH382" s="273"/>
      <c r="AI382" s="273"/>
    </row>
    <row r="383" spans="1:35" ht="14.25" customHeight="1">
      <c r="A383" s="273"/>
      <c r="B383" s="273"/>
      <c r="C383" s="273"/>
      <c r="D383" s="273"/>
      <c r="E383" s="273"/>
      <c r="F383" s="273"/>
      <c r="G383" s="273"/>
      <c r="H383" s="273"/>
      <c r="I383" s="273"/>
      <c r="J383" s="273"/>
      <c r="K383" s="273"/>
      <c r="L383" s="274"/>
      <c r="M383" s="273"/>
      <c r="N383" s="273"/>
      <c r="O383" s="273"/>
      <c r="P383" s="273"/>
      <c r="Q383" s="273"/>
      <c r="R383" s="273"/>
      <c r="S383" s="273"/>
      <c r="T383" s="273"/>
      <c r="U383" s="273"/>
      <c r="V383" s="273"/>
      <c r="W383" s="273"/>
      <c r="X383" s="274"/>
      <c r="Y383" s="273"/>
      <c r="Z383" s="273"/>
      <c r="AA383" s="273"/>
      <c r="AB383" s="273"/>
      <c r="AC383" s="273"/>
      <c r="AD383" s="273"/>
      <c r="AE383" s="273"/>
      <c r="AF383" s="273"/>
      <c r="AG383" s="273"/>
      <c r="AH383" s="273"/>
      <c r="AI383" s="273"/>
    </row>
    <row r="384" spans="1:35" ht="14.25" customHeight="1">
      <c r="A384" s="273"/>
      <c r="B384" s="273"/>
      <c r="C384" s="273"/>
      <c r="D384" s="273"/>
      <c r="E384" s="273"/>
      <c r="F384" s="273"/>
      <c r="G384" s="273"/>
      <c r="H384" s="273"/>
      <c r="I384" s="273"/>
      <c r="J384" s="273"/>
      <c r="K384" s="273"/>
      <c r="L384" s="274"/>
      <c r="M384" s="273"/>
      <c r="N384" s="273"/>
      <c r="O384" s="273"/>
      <c r="P384" s="273"/>
      <c r="Q384" s="273"/>
      <c r="R384" s="273"/>
      <c r="S384" s="273"/>
      <c r="T384" s="273"/>
      <c r="U384" s="273"/>
      <c r="V384" s="273"/>
      <c r="W384" s="273"/>
      <c r="X384" s="274"/>
      <c r="Y384" s="273"/>
      <c r="Z384" s="273"/>
      <c r="AA384" s="273"/>
      <c r="AB384" s="273"/>
      <c r="AC384" s="273"/>
      <c r="AD384" s="273"/>
      <c r="AE384" s="273"/>
      <c r="AF384" s="273"/>
      <c r="AG384" s="273"/>
      <c r="AH384" s="273"/>
      <c r="AI384" s="273"/>
    </row>
    <row r="385" spans="1:35" ht="14.25" customHeight="1">
      <c r="A385" s="273"/>
      <c r="B385" s="273"/>
      <c r="C385" s="273"/>
      <c r="D385" s="273"/>
      <c r="E385" s="273"/>
      <c r="F385" s="273"/>
      <c r="G385" s="273"/>
      <c r="H385" s="273"/>
      <c r="I385" s="273"/>
      <c r="J385" s="273"/>
      <c r="K385" s="273"/>
      <c r="L385" s="274"/>
      <c r="M385" s="273"/>
      <c r="N385" s="273"/>
      <c r="O385" s="273"/>
      <c r="P385" s="273"/>
      <c r="Q385" s="273"/>
      <c r="R385" s="273"/>
      <c r="S385" s="273"/>
      <c r="T385" s="273"/>
      <c r="U385" s="273"/>
      <c r="V385" s="273"/>
      <c r="W385" s="273"/>
      <c r="X385" s="274"/>
      <c r="Y385" s="273"/>
      <c r="Z385" s="273"/>
      <c r="AA385" s="273"/>
      <c r="AB385" s="273"/>
      <c r="AC385" s="273"/>
      <c r="AD385" s="273"/>
      <c r="AE385" s="273"/>
      <c r="AF385" s="273"/>
      <c r="AG385" s="273"/>
      <c r="AH385" s="273"/>
      <c r="AI385" s="273"/>
    </row>
    <row r="386" spans="1:35" ht="14.25" customHeight="1">
      <c r="A386" s="273"/>
      <c r="B386" s="273"/>
      <c r="C386" s="273"/>
      <c r="D386" s="273"/>
      <c r="E386" s="273"/>
      <c r="F386" s="273"/>
      <c r="G386" s="273"/>
      <c r="H386" s="273"/>
      <c r="I386" s="273"/>
      <c r="J386" s="273"/>
      <c r="K386" s="273"/>
      <c r="L386" s="274"/>
      <c r="M386" s="273"/>
      <c r="N386" s="273"/>
      <c r="O386" s="273"/>
      <c r="P386" s="273"/>
      <c r="Q386" s="273"/>
      <c r="R386" s="273"/>
      <c r="S386" s="273"/>
      <c r="T386" s="273"/>
      <c r="U386" s="273"/>
      <c r="V386" s="273"/>
      <c r="W386" s="273"/>
      <c r="X386" s="274"/>
      <c r="Y386" s="273"/>
      <c r="Z386" s="273"/>
      <c r="AA386" s="273"/>
      <c r="AB386" s="273"/>
      <c r="AC386" s="273"/>
      <c r="AD386" s="273"/>
      <c r="AE386" s="273"/>
      <c r="AF386" s="273"/>
      <c r="AG386" s="273"/>
      <c r="AH386" s="273"/>
      <c r="AI386" s="273"/>
    </row>
    <row r="387" spans="1:35" ht="14.25" customHeight="1">
      <c r="A387" s="273"/>
      <c r="B387" s="273"/>
      <c r="C387" s="273"/>
      <c r="D387" s="273"/>
      <c r="E387" s="273"/>
      <c r="F387" s="273"/>
      <c r="G387" s="273"/>
      <c r="H387" s="273"/>
      <c r="I387" s="273"/>
      <c r="J387" s="273"/>
      <c r="K387" s="273"/>
      <c r="L387" s="274"/>
      <c r="M387" s="273"/>
      <c r="N387" s="273"/>
      <c r="O387" s="273"/>
      <c r="P387" s="273"/>
      <c r="Q387" s="273"/>
      <c r="R387" s="273"/>
      <c r="S387" s="273"/>
      <c r="T387" s="273"/>
      <c r="U387" s="273"/>
      <c r="V387" s="273"/>
      <c r="W387" s="273"/>
      <c r="X387" s="274"/>
      <c r="Y387" s="273"/>
      <c r="Z387" s="273"/>
      <c r="AA387" s="273"/>
      <c r="AB387" s="273"/>
      <c r="AC387" s="273"/>
      <c r="AD387" s="273"/>
      <c r="AE387" s="273"/>
      <c r="AF387" s="273"/>
      <c r="AG387" s="273"/>
      <c r="AH387" s="273"/>
      <c r="AI387" s="273"/>
    </row>
    <row r="388" spans="1:35" ht="14.25" customHeight="1">
      <c r="A388" s="273"/>
      <c r="B388" s="273"/>
      <c r="C388" s="273"/>
      <c r="D388" s="273"/>
      <c r="E388" s="273"/>
      <c r="F388" s="273"/>
      <c r="G388" s="273"/>
      <c r="H388" s="273"/>
      <c r="I388" s="273"/>
      <c r="J388" s="273"/>
      <c r="K388" s="273"/>
      <c r="L388" s="274"/>
      <c r="M388" s="273"/>
      <c r="N388" s="273"/>
      <c r="O388" s="273"/>
      <c r="P388" s="273"/>
      <c r="Q388" s="273"/>
      <c r="R388" s="273"/>
      <c r="S388" s="273"/>
      <c r="T388" s="273"/>
      <c r="U388" s="273"/>
      <c r="V388" s="273"/>
      <c r="W388" s="273"/>
      <c r="X388" s="274"/>
      <c r="Y388" s="273"/>
      <c r="Z388" s="273"/>
      <c r="AA388" s="273"/>
      <c r="AB388" s="273"/>
      <c r="AC388" s="273"/>
      <c r="AD388" s="273"/>
      <c r="AE388" s="273"/>
      <c r="AF388" s="273"/>
      <c r="AG388" s="273"/>
      <c r="AH388" s="273"/>
      <c r="AI388" s="273"/>
    </row>
    <row r="389" spans="1:35" ht="14.25" customHeight="1">
      <c r="A389" s="273"/>
      <c r="B389" s="273"/>
      <c r="C389" s="273"/>
      <c r="D389" s="273"/>
      <c r="E389" s="273"/>
      <c r="F389" s="273"/>
      <c r="G389" s="273"/>
      <c r="H389" s="273"/>
      <c r="I389" s="273"/>
      <c r="J389" s="273"/>
      <c r="K389" s="273"/>
      <c r="L389" s="274"/>
      <c r="M389" s="273"/>
      <c r="N389" s="273"/>
      <c r="O389" s="273"/>
      <c r="P389" s="273"/>
      <c r="Q389" s="273"/>
      <c r="R389" s="273"/>
      <c r="S389" s="273"/>
      <c r="T389" s="273"/>
      <c r="U389" s="273"/>
      <c r="V389" s="273"/>
      <c r="W389" s="273"/>
      <c r="X389" s="274"/>
      <c r="Y389" s="273"/>
      <c r="Z389" s="273"/>
      <c r="AA389" s="273"/>
      <c r="AB389" s="273"/>
      <c r="AC389" s="273"/>
      <c r="AD389" s="273"/>
      <c r="AE389" s="273"/>
      <c r="AF389" s="273"/>
      <c r="AG389" s="273"/>
      <c r="AH389" s="273"/>
      <c r="AI389" s="273"/>
    </row>
    <row r="390" spans="1:35" ht="14.25" customHeight="1">
      <c r="A390" s="273"/>
      <c r="B390" s="273"/>
      <c r="C390" s="273"/>
      <c r="D390" s="273"/>
      <c r="E390" s="273"/>
      <c r="F390" s="273"/>
      <c r="G390" s="273"/>
      <c r="H390" s="273"/>
      <c r="I390" s="273"/>
      <c r="J390" s="273"/>
      <c r="K390" s="273"/>
      <c r="L390" s="274"/>
      <c r="M390" s="273"/>
      <c r="N390" s="273"/>
      <c r="O390" s="273"/>
      <c r="P390" s="273"/>
      <c r="Q390" s="273"/>
      <c r="R390" s="273"/>
      <c r="S390" s="273"/>
      <c r="T390" s="273"/>
      <c r="U390" s="273"/>
      <c r="V390" s="273"/>
      <c r="W390" s="273"/>
      <c r="X390" s="274"/>
      <c r="Y390" s="273"/>
      <c r="Z390" s="273"/>
      <c r="AA390" s="273"/>
      <c r="AB390" s="273"/>
      <c r="AC390" s="273"/>
      <c r="AD390" s="273"/>
      <c r="AE390" s="273"/>
      <c r="AF390" s="273"/>
      <c r="AG390" s="273"/>
      <c r="AH390" s="273"/>
      <c r="AI390" s="273"/>
    </row>
    <row r="391" spans="1:35" ht="14.25" customHeight="1">
      <c r="A391" s="273"/>
      <c r="B391" s="273"/>
      <c r="C391" s="273"/>
      <c r="D391" s="273"/>
      <c r="E391" s="273"/>
      <c r="F391" s="273"/>
      <c r="G391" s="273"/>
      <c r="H391" s="273"/>
      <c r="I391" s="273"/>
      <c r="J391" s="273"/>
      <c r="K391" s="273"/>
      <c r="L391" s="274"/>
      <c r="M391" s="273"/>
      <c r="N391" s="273"/>
      <c r="O391" s="273"/>
      <c r="P391" s="273"/>
      <c r="Q391" s="273"/>
      <c r="R391" s="273"/>
      <c r="S391" s="273"/>
      <c r="T391" s="273"/>
      <c r="U391" s="273"/>
      <c r="V391" s="273"/>
      <c r="W391" s="273"/>
      <c r="X391" s="274"/>
      <c r="Y391" s="273"/>
      <c r="Z391" s="273"/>
      <c r="AA391" s="273"/>
      <c r="AB391" s="273"/>
      <c r="AC391" s="273"/>
      <c r="AD391" s="273"/>
      <c r="AE391" s="273"/>
      <c r="AF391" s="273"/>
      <c r="AG391" s="273"/>
      <c r="AH391" s="273"/>
      <c r="AI391" s="273"/>
    </row>
    <row r="392" spans="1:35" ht="14.25" customHeight="1">
      <c r="A392" s="273"/>
      <c r="B392" s="273"/>
      <c r="C392" s="273"/>
      <c r="D392" s="273"/>
      <c r="E392" s="273"/>
      <c r="F392" s="273"/>
      <c r="G392" s="273"/>
      <c r="H392" s="273"/>
      <c r="I392" s="273"/>
      <c r="J392" s="273"/>
      <c r="K392" s="273"/>
      <c r="L392" s="274"/>
      <c r="M392" s="273"/>
      <c r="N392" s="273"/>
      <c r="O392" s="273"/>
      <c r="P392" s="273"/>
      <c r="Q392" s="273"/>
      <c r="R392" s="273"/>
      <c r="S392" s="273"/>
      <c r="T392" s="273"/>
      <c r="U392" s="273"/>
      <c r="V392" s="273"/>
      <c r="W392" s="273"/>
      <c r="X392" s="274"/>
      <c r="Y392" s="273"/>
      <c r="Z392" s="273"/>
      <c r="AA392" s="273"/>
      <c r="AB392" s="273"/>
      <c r="AC392" s="273"/>
      <c r="AD392" s="273"/>
      <c r="AE392" s="273"/>
      <c r="AF392" s="273"/>
      <c r="AG392" s="273"/>
      <c r="AH392" s="273"/>
      <c r="AI392" s="273"/>
    </row>
    <row r="393" spans="1:35" ht="14.25" customHeight="1">
      <c r="A393" s="273"/>
      <c r="B393" s="273"/>
      <c r="C393" s="273"/>
      <c r="D393" s="273"/>
      <c r="E393" s="273"/>
      <c r="F393" s="273"/>
      <c r="G393" s="273"/>
      <c r="H393" s="273"/>
      <c r="I393" s="273"/>
      <c r="J393" s="273"/>
      <c r="K393" s="273"/>
      <c r="L393" s="274"/>
      <c r="M393" s="273"/>
      <c r="N393" s="273"/>
      <c r="O393" s="273"/>
      <c r="P393" s="273"/>
      <c r="Q393" s="273"/>
      <c r="R393" s="273"/>
      <c r="S393" s="273"/>
      <c r="T393" s="273"/>
      <c r="U393" s="273"/>
      <c r="V393" s="273"/>
      <c r="W393" s="273"/>
      <c r="X393" s="274"/>
      <c r="Y393" s="273"/>
      <c r="Z393" s="273"/>
      <c r="AA393" s="273"/>
      <c r="AB393" s="273"/>
      <c r="AC393" s="273"/>
      <c r="AD393" s="273"/>
      <c r="AE393" s="273"/>
      <c r="AF393" s="273"/>
      <c r="AG393" s="273"/>
      <c r="AH393" s="273"/>
      <c r="AI393" s="273"/>
    </row>
    <row r="394" spans="1:35" ht="14.25" customHeight="1">
      <c r="A394" s="273"/>
      <c r="B394" s="273"/>
      <c r="C394" s="273"/>
      <c r="D394" s="273"/>
      <c r="E394" s="273"/>
      <c r="F394" s="273"/>
      <c r="G394" s="273"/>
      <c r="H394" s="273"/>
      <c r="I394" s="273"/>
      <c r="J394" s="273"/>
      <c r="K394" s="273"/>
      <c r="L394" s="274"/>
      <c r="M394" s="273"/>
      <c r="N394" s="273"/>
      <c r="O394" s="273"/>
      <c r="P394" s="273"/>
      <c r="Q394" s="273"/>
      <c r="R394" s="273"/>
      <c r="S394" s="273"/>
      <c r="T394" s="273"/>
      <c r="U394" s="273"/>
      <c r="V394" s="273"/>
      <c r="W394" s="273"/>
      <c r="X394" s="274"/>
      <c r="Y394" s="273"/>
      <c r="Z394" s="273"/>
      <c r="AA394" s="273"/>
      <c r="AB394" s="273"/>
      <c r="AC394" s="273"/>
      <c r="AD394" s="273"/>
      <c r="AE394" s="273"/>
      <c r="AF394" s="273"/>
      <c r="AG394" s="273"/>
      <c r="AH394" s="273"/>
      <c r="AI394" s="273"/>
    </row>
    <row r="395" spans="1:35" ht="14.25" customHeight="1">
      <c r="A395" s="273"/>
      <c r="B395" s="273"/>
      <c r="C395" s="273"/>
      <c r="D395" s="273"/>
      <c r="E395" s="273"/>
      <c r="F395" s="273"/>
      <c r="G395" s="273"/>
      <c r="H395" s="273"/>
      <c r="I395" s="273"/>
      <c r="J395" s="273"/>
      <c r="K395" s="273"/>
      <c r="L395" s="274"/>
      <c r="M395" s="273"/>
      <c r="N395" s="273"/>
      <c r="O395" s="273"/>
      <c r="P395" s="273"/>
      <c r="Q395" s="273"/>
      <c r="R395" s="273"/>
      <c r="S395" s="273"/>
      <c r="T395" s="273"/>
      <c r="U395" s="273"/>
      <c r="V395" s="273"/>
      <c r="W395" s="273"/>
      <c r="X395" s="274"/>
      <c r="Y395" s="273"/>
      <c r="Z395" s="273"/>
      <c r="AA395" s="273"/>
      <c r="AB395" s="273"/>
      <c r="AC395" s="273"/>
      <c r="AD395" s="273"/>
      <c r="AE395" s="273"/>
      <c r="AF395" s="273"/>
      <c r="AG395" s="273"/>
      <c r="AH395" s="273"/>
      <c r="AI395" s="273"/>
    </row>
    <row r="396" spans="1:35" ht="14.25" customHeight="1">
      <c r="A396" s="273"/>
      <c r="B396" s="273"/>
      <c r="C396" s="273"/>
      <c r="D396" s="273"/>
      <c r="E396" s="273"/>
      <c r="F396" s="273"/>
      <c r="G396" s="273"/>
      <c r="H396" s="273"/>
      <c r="I396" s="273"/>
      <c r="J396" s="273"/>
      <c r="K396" s="273"/>
      <c r="L396" s="274"/>
      <c r="M396" s="273"/>
      <c r="N396" s="273"/>
      <c r="O396" s="273"/>
      <c r="P396" s="273"/>
      <c r="Q396" s="273"/>
      <c r="R396" s="273"/>
      <c r="S396" s="273"/>
      <c r="T396" s="273"/>
      <c r="U396" s="273"/>
      <c r="V396" s="273"/>
      <c r="W396" s="273"/>
      <c r="X396" s="274"/>
      <c r="Y396" s="273"/>
      <c r="Z396" s="273"/>
      <c r="AA396" s="273"/>
      <c r="AB396" s="273"/>
      <c r="AC396" s="273"/>
      <c r="AD396" s="273"/>
      <c r="AE396" s="273"/>
      <c r="AF396" s="273"/>
      <c r="AG396" s="273"/>
      <c r="AH396" s="273"/>
      <c r="AI396" s="273"/>
    </row>
    <row r="397" spans="1:35" ht="14.25" customHeight="1">
      <c r="A397" s="273"/>
      <c r="B397" s="273"/>
      <c r="C397" s="273"/>
      <c r="D397" s="273"/>
      <c r="E397" s="273"/>
      <c r="F397" s="273"/>
      <c r="G397" s="273"/>
      <c r="H397" s="273"/>
      <c r="I397" s="273"/>
      <c r="J397" s="273"/>
      <c r="K397" s="273"/>
      <c r="L397" s="274"/>
      <c r="M397" s="273"/>
      <c r="N397" s="273"/>
      <c r="O397" s="273"/>
      <c r="P397" s="273"/>
      <c r="Q397" s="273"/>
      <c r="R397" s="273"/>
      <c r="S397" s="273"/>
      <c r="T397" s="273"/>
      <c r="U397" s="273"/>
      <c r="V397" s="273"/>
      <c r="W397" s="273"/>
      <c r="X397" s="274"/>
      <c r="Y397" s="273"/>
      <c r="Z397" s="273"/>
      <c r="AA397" s="273"/>
      <c r="AB397" s="273"/>
      <c r="AC397" s="273"/>
      <c r="AD397" s="273"/>
      <c r="AE397" s="273"/>
      <c r="AF397" s="273"/>
      <c r="AG397" s="273"/>
      <c r="AH397" s="273"/>
      <c r="AI397" s="273"/>
    </row>
    <row r="398" spans="1:35" ht="14.25" customHeight="1">
      <c r="A398" s="273"/>
      <c r="B398" s="273"/>
      <c r="C398" s="273"/>
      <c r="D398" s="273"/>
      <c r="E398" s="273"/>
      <c r="F398" s="273"/>
      <c r="G398" s="273"/>
      <c r="H398" s="273"/>
      <c r="I398" s="273"/>
      <c r="J398" s="273"/>
      <c r="K398" s="273"/>
      <c r="L398" s="274"/>
      <c r="M398" s="273"/>
      <c r="N398" s="273"/>
      <c r="O398" s="273"/>
      <c r="P398" s="273"/>
      <c r="Q398" s="273"/>
      <c r="R398" s="273"/>
      <c r="S398" s="273"/>
      <c r="T398" s="273"/>
      <c r="U398" s="273"/>
      <c r="V398" s="273"/>
      <c r="W398" s="273"/>
      <c r="X398" s="274"/>
      <c r="Y398" s="273"/>
      <c r="Z398" s="273"/>
      <c r="AA398" s="273"/>
      <c r="AB398" s="273"/>
      <c r="AC398" s="273"/>
      <c r="AD398" s="273"/>
      <c r="AE398" s="273"/>
      <c r="AF398" s="273"/>
      <c r="AG398" s="273"/>
      <c r="AH398" s="273"/>
      <c r="AI398" s="273"/>
    </row>
    <row r="399" spans="1:35" ht="14.25" customHeight="1">
      <c r="A399" s="273"/>
      <c r="B399" s="273"/>
      <c r="C399" s="273"/>
      <c r="D399" s="273"/>
      <c r="E399" s="273"/>
      <c r="F399" s="273"/>
      <c r="G399" s="273"/>
      <c r="H399" s="273"/>
      <c r="I399" s="273"/>
      <c r="J399" s="273"/>
      <c r="K399" s="273"/>
      <c r="L399" s="274"/>
      <c r="M399" s="273"/>
      <c r="N399" s="273"/>
      <c r="O399" s="273"/>
      <c r="P399" s="273"/>
      <c r="Q399" s="273"/>
      <c r="R399" s="273"/>
      <c r="S399" s="273"/>
      <c r="T399" s="273"/>
      <c r="U399" s="273"/>
      <c r="V399" s="273"/>
      <c r="W399" s="273"/>
      <c r="X399" s="274"/>
      <c r="Y399" s="273"/>
      <c r="Z399" s="273"/>
      <c r="AA399" s="273"/>
      <c r="AB399" s="273"/>
      <c r="AC399" s="273"/>
      <c r="AD399" s="273"/>
      <c r="AE399" s="273"/>
      <c r="AF399" s="273"/>
      <c r="AG399" s="273"/>
      <c r="AH399" s="273"/>
      <c r="AI399" s="273"/>
    </row>
    <row r="400" spans="1:35" ht="14.25" customHeight="1">
      <c r="A400" s="273"/>
      <c r="B400" s="273"/>
      <c r="C400" s="273"/>
      <c r="D400" s="273"/>
      <c r="E400" s="273"/>
      <c r="F400" s="273"/>
      <c r="G400" s="273"/>
      <c r="H400" s="273"/>
      <c r="I400" s="273"/>
      <c r="J400" s="273"/>
      <c r="K400" s="273"/>
      <c r="L400" s="274"/>
      <c r="M400" s="273"/>
      <c r="N400" s="273"/>
      <c r="O400" s="273"/>
      <c r="P400" s="273"/>
      <c r="Q400" s="273"/>
      <c r="R400" s="273"/>
      <c r="S400" s="273"/>
      <c r="T400" s="273"/>
      <c r="U400" s="273"/>
      <c r="V400" s="273"/>
      <c r="W400" s="273"/>
      <c r="X400" s="274"/>
      <c r="Y400" s="273"/>
      <c r="Z400" s="273"/>
      <c r="AA400" s="273"/>
      <c r="AB400" s="273"/>
      <c r="AC400" s="273"/>
      <c r="AD400" s="273"/>
      <c r="AE400" s="273"/>
      <c r="AF400" s="273"/>
      <c r="AG400" s="273"/>
      <c r="AH400" s="273"/>
      <c r="AI400" s="273"/>
    </row>
    <row r="401" spans="1:35" ht="14.25" customHeight="1">
      <c r="A401" s="273"/>
      <c r="B401" s="273"/>
      <c r="C401" s="273"/>
      <c r="D401" s="273"/>
      <c r="E401" s="273"/>
      <c r="F401" s="273"/>
      <c r="G401" s="273"/>
      <c r="H401" s="273"/>
      <c r="I401" s="273"/>
      <c r="J401" s="273"/>
      <c r="K401" s="273"/>
      <c r="L401" s="274"/>
      <c r="M401" s="273"/>
      <c r="N401" s="273"/>
      <c r="O401" s="273"/>
      <c r="P401" s="273"/>
      <c r="Q401" s="273"/>
      <c r="R401" s="273"/>
      <c r="S401" s="273"/>
      <c r="T401" s="273"/>
      <c r="U401" s="273"/>
      <c r="V401" s="273"/>
      <c r="W401" s="273"/>
      <c r="X401" s="274"/>
      <c r="Y401" s="273"/>
      <c r="Z401" s="273"/>
      <c r="AA401" s="273"/>
      <c r="AB401" s="273"/>
      <c r="AC401" s="273"/>
      <c r="AD401" s="273"/>
      <c r="AE401" s="273"/>
      <c r="AF401" s="273"/>
      <c r="AG401" s="273"/>
      <c r="AH401" s="273"/>
      <c r="AI401" s="273"/>
    </row>
    <row r="402" spans="1:35" ht="14.25" customHeight="1">
      <c r="A402" s="273"/>
      <c r="B402" s="273"/>
      <c r="C402" s="273"/>
      <c r="D402" s="273"/>
      <c r="E402" s="273"/>
      <c r="F402" s="273"/>
      <c r="G402" s="273"/>
      <c r="H402" s="273"/>
      <c r="I402" s="273"/>
      <c r="J402" s="273"/>
      <c r="K402" s="273"/>
      <c r="L402" s="274"/>
      <c r="M402" s="273"/>
      <c r="N402" s="273"/>
      <c r="O402" s="273"/>
      <c r="P402" s="273"/>
      <c r="Q402" s="273"/>
      <c r="R402" s="273"/>
      <c r="S402" s="273"/>
      <c r="T402" s="273"/>
      <c r="U402" s="273"/>
      <c r="V402" s="273"/>
      <c r="W402" s="273"/>
      <c r="X402" s="274"/>
      <c r="Y402" s="273"/>
      <c r="Z402" s="273"/>
      <c r="AA402" s="273"/>
      <c r="AB402" s="273"/>
      <c r="AC402" s="273"/>
      <c r="AD402" s="273"/>
      <c r="AE402" s="273"/>
      <c r="AF402" s="273"/>
      <c r="AG402" s="273"/>
      <c r="AH402" s="273"/>
      <c r="AI402" s="273"/>
    </row>
    <row r="403" spans="1:35" ht="14.25" customHeight="1">
      <c r="A403" s="273"/>
      <c r="B403" s="273"/>
      <c r="C403" s="273"/>
      <c r="D403" s="273"/>
      <c r="E403" s="273"/>
      <c r="F403" s="273"/>
      <c r="G403" s="273"/>
      <c r="H403" s="273"/>
      <c r="I403" s="273"/>
      <c r="J403" s="273"/>
      <c r="K403" s="273"/>
      <c r="L403" s="274"/>
      <c r="M403" s="273"/>
      <c r="N403" s="273"/>
      <c r="O403" s="273"/>
      <c r="P403" s="273"/>
      <c r="Q403" s="273"/>
      <c r="R403" s="273"/>
      <c r="S403" s="273"/>
      <c r="T403" s="273"/>
      <c r="U403" s="273"/>
      <c r="V403" s="273"/>
      <c r="W403" s="273"/>
      <c r="X403" s="274"/>
      <c r="Y403" s="273"/>
      <c r="Z403" s="273"/>
      <c r="AA403" s="273"/>
      <c r="AB403" s="273"/>
      <c r="AC403" s="273"/>
      <c r="AD403" s="273"/>
      <c r="AE403" s="273"/>
      <c r="AF403" s="273"/>
      <c r="AG403" s="273"/>
      <c r="AH403" s="273"/>
      <c r="AI403" s="273"/>
    </row>
    <row r="404" spans="1:35" ht="14.25" customHeight="1">
      <c r="A404" s="273"/>
      <c r="B404" s="273"/>
      <c r="C404" s="273"/>
      <c r="D404" s="273"/>
      <c r="E404" s="273"/>
      <c r="F404" s="273"/>
      <c r="G404" s="273"/>
      <c r="H404" s="273"/>
      <c r="I404" s="273"/>
      <c r="J404" s="273"/>
      <c r="K404" s="273"/>
      <c r="L404" s="274"/>
      <c r="M404" s="273"/>
      <c r="N404" s="273"/>
      <c r="O404" s="273"/>
      <c r="P404" s="273"/>
      <c r="Q404" s="273"/>
      <c r="R404" s="273"/>
      <c r="S404" s="273"/>
      <c r="T404" s="273"/>
      <c r="U404" s="273"/>
      <c r="V404" s="273"/>
      <c r="W404" s="273"/>
      <c r="X404" s="274"/>
      <c r="Y404" s="273"/>
      <c r="Z404" s="273"/>
      <c r="AA404" s="273"/>
      <c r="AB404" s="273"/>
      <c r="AC404" s="273"/>
      <c r="AD404" s="273"/>
      <c r="AE404" s="273"/>
      <c r="AF404" s="273"/>
      <c r="AG404" s="273"/>
      <c r="AH404" s="273"/>
      <c r="AI404" s="273"/>
    </row>
    <row r="405" spans="1:35" ht="14.25" customHeight="1">
      <c r="A405" s="273"/>
      <c r="B405" s="273"/>
      <c r="C405" s="273"/>
      <c r="D405" s="273"/>
      <c r="E405" s="273"/>
      <c r="F405" s="273"/>
      <c r="G405" s="273"/>
      <c r="H405" s="273"/>
      <c r="I405" s="273"/>
      <c r="J405" s="273"/>
      <c r="K405" s="273"/>
      <c r="L405" s="274"/>
      <c r="M405" s="273"/>
      <c r="N405" s="273"/>
      <c r="O405" s="273"/>
      <c r="P405" s="273"/>
      <c r="Q405" s="273"/>
      <c r="R405" s="273"/>
      <c r="S405" s="273"/>
      <c r="T405" s="273"/>
      <c r="U405" s="273"/>
      <c r="V405" s="273"/>
      <c r="W405" s="273"/>
      <c r="X405" s="274"/>
      <c r="Y405" s="273"/>
      <c r="Z405" s="273"/>
      <c r="AA405" s="273"/>
      <c r="AB405" s="273"/>
      <c r="AC405" s="273"/>
      <c r="AD405" s="273"/>
      <c r="AE405" s="273"/>
      <c r="AF405" s="273"/>
      <c r="AG405" s="273"/>
      <c r="AH405" s="273"/>
      <c r="AI405" s="273"/>
    </row>
    <row r="406" spans="1:35" ht="14.25" customHeight="1">
      <c r="A406" s="273"/>
      <c r="B406" s="273"/>
      <c r="C406" s="273"/>
      <c r="D406" s="273"/>
      <c r="E406" s="273"/>
      <c r="F406" s="273"/>
      <c r="G406" s="273"/>
      <c r="H406" s="273"/>
      <c r="I406" s="273"/>
      <c r="J406" s="273"/>
      <c r="K406" s="273"/>
      <c r="L406" s="274"/>
      <c r="M406" s="273"/>
      <c r="N406" s="273"/>
      <c r="O406" s="273"/>
      <c r="P406" s="273"/>
      <c r="Q406" s="273"/>
      <c r="R406" s="273"/>
      <c r="S406" s="273"/>
      <c r="T406" s="273"/>
      <c r="U406" s="273"/>
      <c r="V406" s="273"/>
      <c r="W406" s="273"/>
      <c r="X406" s="274"/>
      <c r="Y406" s="273"/>
      <c r="Z406" s="273"/>
      <c r="AA406" s="273"/>
      <c r="AB406" s="273"/>
      <c r="AC406" s="273"/>
      <c r="AD406" s="273"/>
      <c r="AE406" s="273"/>
      <c r="AF406" s="273"/>
      <c r="AG406" s="273"/>
      <c r="AH406" s="273"/>
      <c r="AI406" s="273"/>
    </row>
    <row r="407" spans="1:35" ht="14.25" customHeight="1">
      <c r="A407" s="273"/>
      <c r="B407" s="273"/>
      <c r="C407" s="273"/>
      <c r="D407" s="273"/>
      <c r="E407" s="273"/>
      <c r="F407" s="273"/>
      <c r="G407" s="273"/>
      <c r="H407" s="273"/>
      <c r="I407" s="273"/>
      <c r="J407" s="273"/>
      <c r="K407" s="273"/>
      <c r="L407" s="274"/>
      <c r="M407" s="273"/>
      <c r="N407" s="273"/>
      <c r="O407" s="273"/>
      <c r="P407" s="273"/>
      <c r="Q407" s="273"/>
      <c r="R407" s="273"/>
      <c r="S407" s="273"/>
      <c r="T407" s="273"/>
      <c r="U407" s="273"/>
      <c r="V407" s="273"/>
      <c r="W407" s="273"/>
      <c r="X407" s="274"/>
      <c r="Y407" s="273"/>
      <c r="Z407" s="273"/>
      <c r="AA407" s="273"/>
      <c r="AB407" s="273"/>
      <c r="AC407" s="273"/>
      <c r="AD407" s="273"/>
      <c r="AE407" s="273"/>
      <c r="AF407" s="273"/>
      <c r="AG407" s="273"/>
      <c r="AH407" s="273"/>
      <c r="AI407" s="273"/>
    </row>
    <row r="408" spans="1:35" ht="14.25" customHeight="1">
      <c r="A408" s="273"/>
      <c r="B408" s="273"/>
      <c r="C408" s="273"/>
      <c r="D408" s="273"/>
      <c r="E408" s="273"/>
      <c r="F408" s="273"/>
      <c r="G408" s="273"/>
      <c r="H408" s="273"/>
      <c r="I408" s="273"/>
      <c r="J408" s="273"/>
      <c r="K408" s="273"/>
      <c r="L408" s="274"/>
      <c r="M408" s="273"/>
      <c r="N408" s="273"/>
      <c r="O408" s="273"/>
      <c r="P408" s="273"/>
      <c r="Q408" s="273"/>
      <c r="R408" s="273"/>
      <c r="S408" s="273"/>
      <c r="T408" s="273"/>
      <c r="U408" s="273"/>
      <c r="V408" s="273"/>
      <c r="W408" s="273"/>
      <c r="X408" s="274"/>
      <c r="Y408" s="273"/>
      <c r="Z408" s="273"/>
      <c r="AA408" s="273"/>
      <c r="AB408" s="273"/>
      <c r="AC408" s="273"/>
      <c r="AD408" s="273"/>
      <c r="AE408" s="273"/>
      <c r="AF408" s="273"/>
      <c r="AG408" s="273"/>
      <c r="AH408" s="273"/>
      <c r="AI408" s="273"/>
    </row>
    <row r="409" spans="1:35" ht="14.25" customHeight="1">
      <c r="A409" s="273"/>
      <c r="B409" s="273"/>
      <c r="C409" s="273"/>
      <c r="D409" s="273"/>
      <c r="E409" s="273"/>
      <c r="F409" s="273"/>
      <c r="G409" s="273"/>
      <c r="H409" s="273"/>
      <c r="I409" s="273"/>
      <c r="J409" s="273"/>
      <c r="K409" s="273"/>
      <c r="L409" s="274"/>
      <c r="M409" s="273"/>
      <c r="N409" s="273"/>
      <c r="O409" s="273"/>
      <c r="P409" s="273"/>
      <c r="Q409" s="273"/>
      <c r="R409" s="273"/>
      <c r="S409" s="273"/>
      <c r="T409" s="273"/>
      <c r="U409" s="273"/>
      <c r="V409" s="273"/>
      <c r="W409" s="273"/>
      <c r="X409" s="274"/>
      <c r="Y409" s="273"/>
      <c r="Z409" s="273"/>
      <c r="AA409" s="273"/>
      <c r="AB409" s="273"/>
      <c r="AC409" s="273"/>
      <c r="AD409" s="273"/>
      <c r="AE409" s="273"/>
      <c r="AF409" s="273"/>
      <c r="AG409" s="273"/>
      <c r="AH409" s="273"/>
      <c r="AI409" s="273"/>
    </row>
    <row r="410" spans="1:35" ht="14.25" customHeight="1">
      <c r="A410" s="273"/>
      <c r="B410" s="273"/>
      <c r="C410" s="273"/>
      <c r="D410" s="273"/>
      <c r="E410" s="273"/>
      <c r="F410" s="273"/>
      <c r="G410" s="273"/>
      <c r="H410" s="273"/>
      <c r="I410" s="273"/>
      <c r="J410" s="273"/>
      <c r="K410" s="273"/>
      <c r="L410" s="274"/>
      <c r="M410" s="273"/>
      <c r="N410" s="273"/>
      <c r="O410" s="273"/>
      <c r="P410" s="273"/>
      <c r="Q410" s="273"/>
      <c r="R410" s="273"/>
      <c r="S410" s="273"/>
      <c r="T410" s="273"/>
      <c r="U410" s="273"/>
      <c r="V410" s="273"/>
      <c r="W410" s="273"/>
      <c r="X410" s="274"/>
      <c r="Y410" s="273"/>
      <c r="Z410" s="273"/>
      <c r="AA410" s="273"/>
      <c r="AB410" s="273"/>
      <c r="AC410" s="273"/>
      <c r="AD410" s="273"/>
      <c r="AE410" s="273"/>
      <c r="AF410" s="273"/>
      <c r="AG410" s="273"/>
      <c r="AH410" s="273"/>
      <c r="AI410" s="273"/>
    </row>
    <row r="411" spans="1:35" ht="14.25" customHeight="1">
      <c r="A411" s="273"/>
      <c r="B411" s="273"/>
      <c r="C411" s="273"/>
      <c r="D411" s="273"/>
      <c r="E411" s="273"/>
      <c r="F411" s="273"/>
      <c r="G411" s="273"/>
      <c r="H411" s="273"/>
      <c r="I411" s="273"/>
      <c r="J411" s="273"/>
      <c r="K411" s="273"/>
      <c r="L411" s="274"/>
      <c r="M411" s="273"/>
      <c r="N411" s="273"/>
      <c r="O411" s="273"/>
      <c r="P411" s="273"/>
      <c r="Q411" s="273"/>
      <c r="R411" s="273"/>
      <c r="S411" s="273"/>
      <c r="T411" s="273"/>
      <c r="U411" s="273"/>
      <c r="V411" s="273"/>
      <c r="W411" s="273"/>
      <c r="X411" s="274"/>
      <c r="Y411" s="273"/>
      <c r="Z411" s="273"/>
      <c r="AA411" s="273"/>
      <c r="AB411" s="273"/>
      <c r="AC411" s="273"/>
      <c r="AD411" s="273"/>
      <c r="AE411" s="273"/>
      <c r="AF411" s="273"/>
      <c r="AG411" s="273"/>
      <c r="AH411" s="273"/>
      <c r="AI411" s="273"/>
    </row>
    <row r="412" spans="1:35" ht="14.25" customHeight="1">
      <c r="A412" s="273"/>
      <c r="B412" s="273"/>
      <c r="C412" s="273"/>
      <c r="D412" s="273"/>
      <c r="E412" s="273"/>
      <c r="F412" s="273"/>
      <c r="G412" s="273"/>
      <c r="H412" s="273"/>
      <c r="I412" s="273"/>
      <c r="J412" s="273"/>
      <c r="K412" s="273"/>
      <c r="L412" s="274"/>
      <c r="M412" s="273"/>
      <c r="N412" s="273"/>
      <c r="O412" s="273"/>
      <c r="P412" s="273"/>
      <c r="Q412" s="273"/>
      <c r="R412" s="273"/>
      <c r="S412" s="273"/>
      <c r="T412" s="273"/>
      <c r="U412" s="273"/>
      <c r="V412" s="273"/>
      <c r="W412" s="273"/>
      <c r="X412" s="274"/>
      <c r="Y412" s="273"/>
      <c r="Z412" s="273"/>
      <c r="AA412" s="273"/>
      <c r="AB412" s="273"/>
      <c r="AC412" s="273"/>
      <c r="AD412" s="273"/>
      <c r="AE412" s="273"/>
      <c r="AF412" s="273"/>
      <c r="AG412" s="273"/>
      <c r="AH412" s="273"/>
      <c r="AI412" s="273"/>
    </row>
    <row r="413" spans="1:35" ht="14.25" customHeight="1">
      <c r="A413" s="273"/>
      <c r="B413" s="273"/>
      <c r="C413" s="273"/>
      <c r="D413" s="273"/>
      <c r="E413" s="273"/>
      <c r="F413" s="273"/>
      <c r="G413" s="273"/>
      <c r="H413" s="273"/>
      <c r="I413" s="273"/>
      <c r="J413" s="273"/>
      <c r="K413" s="273"/>
      <c r="L413" s="274"/>
      <c r="M413" s="273"/>
      <c r="N413" s="273"/>
      <c r="O413" s="273"/>
      <c r="P413" s="273"/>
      <c r="Q413" s="273"/>
      <c r="R413" s="273"/>
      <c r="S413" s="273"/>
      <c r="T413" s="273"/>
      <c r="U413" s="273"/>
      <c r="V413" s="273"/>
      <c r="W413" s="273"/>
      <c r="X413" s="274"/>
      <c r="Y413" s="273"/>
      <c r="Z413" s="273"/>
      <c r="AA413" s="273"/>
      <c r="AB413" s="273"/>
      <c r="AC413" s="273"/>
      <c r="AD413" s="273"/>
      <c r="AE413" s="273"/>
      <c r="AF413" s="273"/>
      <c r="AG413" s="273"/>
      <c r="AH413" s="273"/>
      <c r="AI413" s="273"/>
    </row>
    <row r="414" spans="1:35" ht="14.25" customHeight="1">
      <c r="A414" s="273"/>
      <c r="B414" s="273"/>
      <c r="C414" s="273"/>
      <c r="D414" s="273"/>
      <c r="E414" s="273"/>
      <c r="F414" s="273"/>
      <c r="G414" s="273"/>
      <c r="H414" s="273"/>
      <c r="I414" s="273"/>
      <c r="J414" s="273"/>
      <c r="K414" s="273"/>
      <c r="L414" s="274"/>
      <c r="M414" s="273"/>
      <c r="N414" s="273"/>
      <c r="O414" s="273"/>
      <c r="P414" s="273"/>
      <c r="Q414" s="273"/>
      <c r="R414" s="273"/>
      <c r="S414" s="273"/>
      <c r="T414" s="273"/>
      <c r="U414" s="273"/>
      <c r="V414" s="273"/>
      <c r="W414" s="273"/>
      <c r="X414" s="274"/>
      <c r="Y414" s="273"/>
      <c r="Z414" s="273"/>
      <c r="AA414" s="273"/>
      <c r="AB414" s="273"/>
      <c r="AC414" s="273"/>
      <c r="AD414" s="273"/>
      <c r="AE414" s="273"/>
      <c r="AF414" s="273"/>
      <c r="AG414" s="273"/>
      <c r="AH414" s="273"/>
      <c r="AI414" s="273"/>
    </row>
    <row r="415" spans="1:35" ht="14.25" customHeight="1">
      <c r="A415" s="273"/>
      <c r="B415" s="273"/>
      <c r="C415" s="273"/>
      <c r="D415" s="273"/>
      <c r="E415" s="273"/>
      <c r="F415" s="273"/>
      <c r="G415" s="273"/>
      <c r="H415" s="273"/>
      <c r="I415" s="273"/>
      <c r="J415" s="273"/>
      <c r="K415" s="273"/>
      <c r="L415" s="274"/>
      <c r="M415" s="273"/>
      <c r="N415" s="273"/>
      <c r="O415" s="273"/>
      <c r="P415" s="273"/>
      <c r="Q415" s="273"/>
      <c r="R415" s="273"/>
      <c r="S415" s="273"/>
      <c r="T415" s="273"/>
      <c r="U415" s="273"/>
      <c r="V415" s="273"/>
      <c r="W415" s="273"/>
      <c r="X415" s="274"/>
      <c r="Y415" s="273"/>
      <c r="Z415" s="273"/>
      <c r="AA415" s="273"/>
      <c r="AB415" s="273"/>
      <c r="AC415" s="273"/>
      <c r="AD415" s="273"/>
      <c r="AE415" s="273"/>
      <c r="AF415" s="273"/>
      <c r="AG415" s="273"/>
      <c r="AH415" s="273"/>
      <c r="AI415" s="273"/>
    </row>
    <row r="416" spans="1:35" ht="14.25" customHeight="1">
      <c r="A416" s="273"/>
      <c r="B416" s="273"/>
      <c r="C416" s="273"/>
      <c r="D416" s="273"/>
      <c r="E416" s="273"/>
      <c r="F416" s="273"/>
      <c r="G416" s="273"/>
      <c r="H416" s="273"/>
      <c r="I416" s="273"/>
      <c r="J416" s="273"/>
      <c r="K416" s="273"/>
      <c r="L416" s="274"/>
      <c r="M416" s="273"/>
      <c r="N416" s="273"/>
      <c r="O416" s="273"/>
      <c r="P416" s="273"/>
      <c r="Q416" s="273"/>
      <c r="R416" s="273"/>
      <c r="S416" s="273"/>
      <c r="T416" s="273"/>
      <c r="U416" s="273"/>
      <c r="V416" s="273"/>
      <c r="W416" s="273"/>
      <c r="X416" s="274"/>
      <c r="Y416" s="273"/>
      <c r="Z416" s="273"/>
      <c r="AA416" s="273"/>
      <c r="AB416" s="273"/>
      <c r="AC416" s="273"/>
      <c r="AD416" s="273"/>
      <c r="AE416" s="273"/>
      <c r="AF416" s="273"/>
      <c r="AG416" s="273"/>
      <c r="AH416" s="273"/>
      <c r="AI416" s="273"/>
    </row>
    <row r="417" spans="1:35" ht="14.25" customHeight="1">
      <c r="A417" s="273"/>
      <c r="B417" s="273"/>
      <c r="C417" s="273"/>
      <c r="D417" s="273"/>
      <c r="E417" s="273"/>
      <c r="F417" s="273"/>
      <c r="G417" s="273"/>
      <c r="H417" s="273"/>
      <c r="I417" s="273"/>
      <c r="J417" s="273"/>
      <c r="K417" s="273"/>
      <c r="L417" s="274"/>
      <c r="M417" s="273"/>
      <c r="N417" s="273"/>
      <c r="O417" s="273"/>
      <c r="P417" s="273"/>
      <c r="Q417" s="273"/>
      <c r="R417" s="273"/>
      <c r="S417" s="273"/>
      <c r="T417" s="273"/>
      <c r="U417" s="273"/>
      <c r="V417" s="273"/>
      <c r="W417" s="273"/>
      <c r="X417" s="274"/>
      <c r="Y417" s="273"/>
      <c r="Z417" s="273"/>
      <c r="AA417" s="273"/>
      <c r="AB417" s="273"/>
      <c r="AC417" s="273"/>
      <c r="AD417" s="273"/>
      <c r="AE417" s="273"/>
      <c r="AF417" s="273"/>
      <c r="AG417" s="273"/>
      <c r="AH417" s="273"/>
      <c r="AI417" s="273"/>
    </row>
    <row r="418" spans="1:35" ht="14.25" customHeight="1">
      <c r="A418" s="273"/>
      <c r="B418" s="273"/>
      <c r="C418" s="273"/>
      <c r="D418" s="273"/>
      <c r="E418" s="273"/>
      <c r="F418" s="273"/>
      <c r="G418" s="273"/>
      <c r="H418" s="273"/>
      <c r="I418" s="273"/>
      <c r="J418" s="273"/>
      <c r="K418" s="273"/>
      <c r="L418" s="274"/>
      <c r="M418" s="273"/>
      <c r="N418" s="273"/>
      <c r="O418" s="273"/>
      <c r="P418" s="273"/>
      <c r="Q418" s="273"/>
      <c r="R418" s="273"/>
      <c r="S418" s="273"/>
      <c r="T418" s="273"/>
      <c r="U418" s="273"/>
      <c r="V418" s="273"/>
      <c r="W418" s="273"/>
      <c r="X418" s="274"/>
      <c r="Y418" s="273"/>
      <c r="Z418" s="273"/>
      <c r="AA418" s="273"/>
      <c r="AB418" s="273"/>
      <c r="AC418" s="273"/>
      <c r="AD418" s="273"/>
      <c r="AE418" s="273"/>
      <c r="AF418" s="273"/>
      <c r="AG418" s="273"/>
      <c r="AH418" s="273"/>
      <c r="AI418" s="273"/>
    </row>
    <row r="419" spans="1:35" ht="14.25" customHeight="1">
      <c r="A419" s="273"/>
      <c r="B419" s="273"/>
      <c r="C419" s="273"/>
      <c r="D419" s="273"/>
      <c r="E419" s="273"/>
      <c r="F419" s="273"/>
      <c r="G419" s="273"/>
      <c r="H419" s="273"/>
      <c r="I419" s="273"/>
      <c r="J419" s="273"/>
      <c r="K419" s="273"/>
      <c r="L419" s="274"/>
      <c r="M419" s="273"/>
      <c r="N419" s="273"/>
      <c r="O419" s="273"/>
      <c r="P419" s="273"/>
      <c r="Q419" s="273"/>
      <c r="R419" s="273"/>
      <c r="S419" s="273"/>
      <c r="T419" s="273"/>
      <c r="U419" s="273"/>
      <c r="V419" s="273"/>
      <c r="W419" s="273"/>
      <c r="X419" s="274"/>
      <c r="Y419" s="273"/>
      <c r="Z419" s="273"/>
      <c r="AA419" s="273"/>
      <c r="AB419" s="273"/>
      <c r="AC419" s="273"/>
      <c r="AD419" s="273"/>
      <c r="AE419" s="273"/>
      <c r="AF419" s="273"/>
      <c r="AG419" s="273"/>
      <c r="AH419" s="273"/>
      <c r="AI419" s="273"/>
    </row>
    <row r="420" spans="1:35" ht="14.25" customHeight="1">
      <c r="A420" s="273"/>
      <c r="B420" s="273"/>
      <c r="C420" s="273"/>
      <c r="D420" s="273"/>
      <c r="E420" s="273"/>
      <c r="F420" s="273"/>
      <c r="G420" s="273"/>
      <c r="H420" s="273"/>
      <c r="I420" s="273"/>
      <c r="J420" s="273"/>
      <c r="K420" s="273"/>
      <c r="L420" s="274"/>
      <c r="M420" s="273"/>
      <c r="N420" s="273"/>
      <c r="O420" s="273"/>
      <c r="P420" s="273"/>
      <c r="Q420" s="273"/>
      <c r="R420" s="273"/>
      <c r="S420" s="273"/>
      <c r="T420" s="273"/>
      <c r="U420" s="273"/>
      <c r="V420" s="273"/>
      <c r="W420" s="273"/>
      <c r="X420" s="274"/>
      <c r="Y420" s="273"/>
      <c r="Z420" s="273"/>
      <c r="AA420" s="273"/>
      <c r="AB420" s="273"/>
      <c r="AC420" s="273"/>
      <c r="AD420" s="273"/>
      <c r="AE420" s="273"/>
      <c r="AF420" s="273"/>
      <c r="AG420" s="273"/>
      <c r="AH420" s="273"/>
      <c r="AI420" s="273"/>
    </row>
    <row r="421" spans="1:35" ht="14.25" customHeight="1">
      <c r="A421" s="273"/>
      <c r="B421" s="273"/>
      <c r="C421" s="273"/>
      <c r="D421" s="273"/>
      <c r="E421" s="273"/>
      <c r="F421" s="273"/>
      <c r="G421" s="273"/>
      <c r="H421" s="273"/>
      <c r="I421" s="273"/>
      <c r="J421" s="273"/>
      <c r="K421" s="273"/>
      <c r="L421" s="274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4"/>
      <c r="Y421" s="273"/>
      <c r="Z421" s="273"/>
      <c r="AA421" s="273"/>
      <c r="AB421" s="273"/>
      <c r="AC421" s="273"/>
      <c r="AD421" s="273"/>
      <c r="AE421" s="273"/>
      <c r="AF421" s="273"/>
      <c r="AG421" s="273"/>
      <c r="AH421" s="273"/>
      <c r="AI421" s="273"/>
    </row>
    <row r="422" spans="1:35" ht="14.25" customHeight="1">
      <c r="A422" s="273"/>
      <c r="B422" s="273"/>
      <c r="C422" s="273"/>
      <c r="D422" s="273"/>
      <c r="E422" s="273"/>
      <c r="F422" s="273"/>
      <c r="G422" s="273"/>
      <c r="H422" s="273"/>
      <c r="I422" s="273"/>
      <c r="J422" s="273"/>
      <c r="K422" s="273"/>
      <c r="L422" s="274"/>
      <c r="M422" s="273"/>
      <c r="N422" s="273"/>
      <c r="O422" s="273"/>
      <c r="P422" s="273"/>
      <c r="Q422" s="273"/>
      <c r="R422" s="273"/>
      <c r="S422" s="273"/>
      <c r="T422" s="273"/>
      <c r="U422" s="273"/>
      <c r="V422" s="273"/>
      <c r="W422" s="273"/>
      <c r="X422" s="274"/>
      <c r="Y422" s="273"/>
      <c r="Z422" s="273"/>
      <c r="AA422" s="273"/>
      <c r="AB422" s="273"/>
      <c r="AC422" s="273"/>
      <c r="AD422" s="273"/>
      <c r="AE422" s="273"/>
      <c r="AF422" s="273"/>
      <c r="AG422" s="273"/>
      <c r="AH422" s="273"/>
      <c r="AI422" s="273"/>
    </row>
    <row r="423" spans="1:35" ht="14.25" customHeight="1">
      <c r="A423" s="273"/>
      <c r="B423" s="273"/>
      <c r="C423" s="273"/>
      <c r="D423" s="273"/>
      <c r="E423" s="273"/>
      <c r="F423" s="273"/>
      <c r="G423" s="273"/>
      <c r="H423" s="273"/>
      <c r="I423" s="273"/>
      <c r="J423" s="273"/>
      <c r="K423" s="273"/>
      <c r="L423" s="274"/>
      <c r="M423" s="273"/>
      <c r="N423" s="273"/>
      <c r="O423" s="273"/>
      <c r="P423" s="273"/>
      <c r="Q423" s="273"/>
      <c r="R423" s="273"/>
      <c r="S423" s="273"/>
      <c r="T423" s="273"/>
      <c r="U423" s="273"/>
      <c r="V423" s="273"/>
      <c r="W423" s="273"/>
      <c r="X423" s="274"/>
      <c r="Y423" s="273"/>
      <c r="Z423" s="273"/>
      <c r="AA423" s="273"/>
      <c r="AB423" s="273"/>
      <c r="AC423" s="273"/>
      <c r="AD423" s="273"/>
      <c r="AE423" s="273"/>
      <c r="AF423" s="273"/>
      <c r="AG423" s="273"/>
      <c r="AH423" s="273"/>
      <c r="AI423" s="273"/>
    </row>
    <row r="424" spans="1:35" ht="14.25" customHeight="1">
      <c r="A424" s="273"/>
      <c r="B424" s="273"/>
      <c r="C424" s="273"/>
      <c r="D424" s="273"/>
      <c r="E424" s="273"/>
      <c r="F424" s="273"/>
      <c r="G424" s="273"/>
      <c r="H424" s="273"/>
      <c r="I424" s="273"/>
      <c r="J424" s="273"/>
      <c r="K424" s="273"/>
      <c r="L424" s="274"/>
      <c r="M424" s="273"/>
      <c r="N424" s="273"/>
      <c r="O424" s="273"/>
      <c r="P424" s="273"/>
      <c r="Q424" s="273"/>
      <c r="R424" s="273"/>
      <c r="S424" s="273"/>
      <c r="T424" s="273"/>
      <c r="U424" s="273"/>
      <c r="V424" s="273"/>
      <c r="W424" s="273"/>
      <c r="X424" s="274"/>
      <c r="Y424" s="273"/>
      <c r="Z424" s="273"/>
      <c r="AA424" s="273"/>
      <c r="AB424" s="273"/>
      <c r="AC424" s="273"/>
      <c r="AD424" s="273"/>
      <c r="AE424" s="273"/>
      <c r="AF424" s="273"/>
      <c r="AG424" s="273"/>
      <c r="AH424" s="273"/>
      <c r="AI424" s="273"/>
    </row>
    <row r="425" spans="1:35" ht="14.25" customHeight="1">
      <c r="A425" s="273"/>
      <c r="B425" s="273"/>
      <c r="C425" s="273"/>
      <c r="D425" s="273"/>
      <c r="E425" s="273"/>
      <c r="F425" s="273"/>
      <c r="G425" s="273"/>
      <c r="H425" s="273"/>
      <c r="I425" s="273"/>
      <c r="J425" s="273"/>
      <c r="K425" s="273"/>
      <c r="L425" s="274"/>
      <c r="M425" s="273"/>
      <c r="N425" s="273"/>
      <c r="O425" s="273"/>
      <c r="P425" s="273"/>
      <c r="Q425" s="273"/>
      <c r="R425" s="273"/>
      <c r="S425" s="273"/>
      <c r="T425" s="273"/>
      <c r="U425" s="273"/>
      <c r="V425" s="273"/>
      <c r="W425" s="273"/>
      <c r="X425" s="274"/>
      <c r="Y425" s="273"/>
      <c r="Z425" s="273"/>
      <c r="AA425" s="273"/>
      <c r="AB425" s="273"/>
      <c r="AC425" s="273"/>
      <c r="AD425" s="273"/>
      <c r="AE425" s="273"/>
      <c r="AF425" s="273"/>
      <c r="AG425" s="273"/>
      <c r="AH425" s="273"/>
      <c r="AI425" s="273"/>
    </row>
    <row r="426" spans="1:35" ht="14.25" customHeight="1">
      <c r="A426" s="273"/>
      <c r="B426" s="273"/>
      <c r="C426" s="273"/>
      <c r="D426" s="273"/>
      <c r="E426" s="273"/>
      <c r="F426" s="273"/>
      <c r="G426" s="273"/>
      <c r="H426" s="273"/>
      <c r="I426" s="273"/>
      <c r="J426" s="273"/>
      <c r="K426" s="273"/>
      <c r="L426" s="274"/>
      <c r="M426" s="273"/>
      <c r="N426" s="273"/>
      <c r="O426" s="273"/>
      <c r="P426" s="273"/>
      <c r="Q426" s="273"/>
      <c r="R426" s="273"/>
      <c r="S426" s="273"/>
      <c r="T426" s="273"/>
      <c r="U426" s="273"/>
      <c r="V426" s="273"/>
      <c r="W426" s="273"/>
      <c r="X426" s="274"/>
      <c r="Y426" s="273"/>
      <c r="Z426" s="273"/>
      <c r="AA426" s="273"/>
      <c r="AB426" s="273"/>
      <c r="AC426" s="273"/>
      <c r="AD426" s="273"/>
      <c r="AE426" s="273"/>
      <c r="AF426" s="273"/>
      <c r="AG426" s="273"/>
      <c r="AH426" s="273"/>
      <c r="AI426" s="273"/>
    </row>
    <row r="427" spans="1:35" ht="14.25" customHeight="1">
      <c r="A427" s="273"/>
      <c r="B427" s="273"/>
      <c r="C427" s="273"/>
      <c r="D427" s="273"/>
      <c r="E427" s="273"/>
      <c r="F427" s="273"/>
      <c r="G427" s="273"/>
      <c r="H427" s="273"/>
      <c r="I427" s="273"/>
      <c r="J427" s="273"/>
      <c r="K427" s="273"/>
      <c r="L427" s="274"/>
      <c r="M427" s="273"/>
      <c r="N427" s="273"/>
      <c r="O427" s="273"/>
      <c r="P427" s="273"/>
      <c r="Q427" s="273"/>
      <c r="R427" s="273"/>
      <c r="S427" s="273"/>
      <c r="T427" s="273"/>
      <c r="U427" s="273"/>
      <c r="V427" s="273"/>
      <c r="W427" s="273"/>
      <c r="X427" s="274"/>
      <c r="Y427" s="273"/>
      <c r="Z427" s="273"/>
      <c r="AA427" s="273"/>
      <c r="AB427" s="273"/>
      <c r="AC427" s="273"/>
      <c r="AD427" s="273"/>
      <c r="AE427" s="273"/>
      <c r="AF427" s="273"/>
      <c r="AG427" s="273"/>
      <c r="AH427" s="273"/>
      <c r="AI427" s="273"/>
    </row>
    <row r="428" spans="1:35" ht="14.25" customHeight="1">
      <c r="A428" s="273"/>
      <c r="B428" s="273"/>
      <c r="C428" s="273"/>
      <c r="D428" s="273"/>
      <c r="E428" s="273"/>
      <c r="F428" s="273"/>
      <c r="G428" s="273"/>
      <c r="H428" s="273"/>
      <c r="I428" s="273"/>
      <c r="J428" s="273"/>
      <c r="K428" s="273"/>
      <c r="L428" s="274"/>
      <c r="M428" s="273"/>
      <c r="N428" s="273"/>
      <c r="O428" s="273"/>
      <c r="P428" s="273"/>
      <c r="Q428" s="273"/>
      <c r="R428" s="273"/>
      <c r="S428" s="273"/>
      <c r="T428" s="273"/>
      <c r="U428" s="273"/>
      <c r="V428" s="273"/>
      <c r="W428" s="273"/>
      <c r="X428" s="274"/>
      <c r="Y428" s="273"/>
      <c r="Z428" s="273"/>
      <c r="AA428" s="273"/>
      <c r="AB428" s="273"/>
      <c r="AC428" s="273"/>
      <c r="AD428" s="273"/>
      <c r="AE428" s="273"/>
      <c r="AF428" s="273"/>
      <c r="AG428" s="273"/>
      <c r="AH428" s="273"/>
      <c r="AI428" s="273"/>
    </row>
    <row r="429" spans="1:35" ht="14.25" customHeight="1">
      <c r="A429" s="273"/>
      <c r="B429" s="273"/>
      <c r="C429" s="273"/>
      <c r="D429" s="273"/>
      <c r="E429" s="273"/>
      <c r="F429" s="273"/>
      <c r="G429" s="273"/>
      <c r="H429" s="273"/>
      <c r="I429" s="273"/>
      <c r="J429" s="273"/>
      <c r="K429" s="273"/>
      <c r="L429" s="274"/>
      <c r="M429" s="273"/>
      <c r="N429" s="273"/>
      <c r="O429" s="273"/>
      <c r="P429" s="273"/>
      <c r="Q429" s="273"/>
      <c r="R429" s="273"/>
      <c r="S429" s="273"/>
      <c r="T429" s="273"/>
      <c r="U429" s="273"/>
      <c r="V429" s="273"/>
      <c r="W429" s="273"/>
      <c r="X429" s="274"/>
      <c r="Y429" s="273"/>
      <c r="Z429" s="273"/>
      <c r="AA429" s="273"/>
      <c r="AB429" s="273"/>
      <c r="AC429" s="273"/>
      <c r="AD429" s="273"/>
      <c r="AE429" s="273"/>
      <c r="AF429" s="273"/>
      <c r="AG429" s="273"/>
      <c r="AH429" s="273"/>
      <c r="AI429" s="273"/>
    </row>
    <row r="430" spans="1:35" ht="14.25" customHeight="1">
      <c r="A430" s="273"/>
      <c r="B430" s="273"/>
      <c r="C430" s="273"/>
      <c r="D430" s="273"/>
      <c r="E430" s="273"/>
      <c r="F430" s="273"/>
      <c r="G430" s="273"/>
      <c r="H430" s="273"/>
      <c r="I430" s="273"/>
      <c r="J430" s="273"/>
      <c r="K430" s="273"/>
      <c r="L430" s="274"/>
      <c r="M430" s="273"/>
      <c r="N430" s="273"/>
      <c r="O430" s="273"/>
      <c r="P430" s="273"/>
      <c r="Q430" s="273"/>
      <c r="R430" s="273"/>
      <c r="S430" s="273"/>
      <c r="T430" s="273"/>
      <c r="U430" s="273"/>
      <c r="V430" s="273"/>
      <c r="W430" s="273"/>
      <c r="X430" s="274"/>
      <c r="Y430" s="273"/>
      <c r="Z430" s="273"/>
      <c r="AA430" s="273"/>
      <c r="AB430" s="273"/>
      <c r="AC430" s="273"/>
      <c r="AD430" s="273"/>
      <c r="AE430" s="273"/>
      <c r="AF430" s="273"/>
      <c r="AG430" s="273"/>
      <c r="AH430" s="273"/>
      <c r="AI430" s="273"/>
    </row>
    <row r="431" spans="1:35" ht="14.25" customHeight="1">
      <c r="A431" s="273"/>
      <c r="B431" s="273"/>
      <c r="C431" s="273"/>
      <c r="D431" s="273"/>
      <c r="E431" s="273"/>
      <c r="F431" s="273"/>
      <c r="G431" s="273"/>
      <c r="H431" s="273"/>
      <c r="I431" s="273"/>
      <c r="J431" s="273"/>
      <c r="K431" s="273"/>
      <c r="L431" s="274"/>
      <c r="M431" s="273"/>
      <c r="N431" s="273"/>
      <c r="O431" s="273"/>
      <c r="P431" s="273"/>
      <c r="Q431" s="273"/>
      <c r="R431" s="273"/>
      <c r="S431" s="273"/>
      <c r="T431" s="273"/>
      <c r="U431" s="273"/>
      <c r="V431" s="273"/>
      <c r="W431" s="273"/>
      <c r="X431" s="274"/>
      <c r="Y431" s="273"/>
      <c r="Z431" s="273"/>
      <c r="AA431" s="273"/>
      <c r="AB431" s="273"/>
      <c r="AC431" s="273"/>
      <c r="AD431" s="273"/>
      <c r="AE431" s="273"/>
      <c r="AF431" s="273"/>
      <c r="AG431" s="273"/>
      <c r="AH431" s="273"/>
      <c r="AI431" s="273"/>
    </row>
    <row r="432" spans="1:35" ht="14.25" customHeight="1">
      <c r="A432" s="273"/>
      <c r="B432" s="273"/>
      <c r="C432" s="273"/>
      <c r="D432" s="273"/>
      <c r="E432" s="273"/>
      <c r="F432" s="273"/>
      <c r="G432" s="273"/>
      <c r="H432" s="273"/>
      <c r="I432" s="273"/>
      <c r="J432" s="273"/>
      <c r="K432" s="273"/>
      <c r="L432" s="274"/>
      <c r="M432" s="273"/>
      <c r="N432" s="273"/>
      <c r="O432" s="273"/>
      <c r="P432" s="273"/>
      <c r="Q432" s="273"/>
      <c r="R432" s="273"/>
      <c r="S432" s="273"/>
      <c r="T432" s="273"/>
      <c r="U432" s="273"/>
      <c r="V432" s="273"/>
      <c r="W432" s="273"/>
      <c r="X432" s="274"/>
      <c r="Y432" s="273"/>
      <c r="Z432" s="273"/>
      <c r="AA432" s="273"/>
      <c r="AB432" s="273"/>
      <c r="AC432" s="273"/>
      <c r="AD432" s="273"/>
      <c r="AE432" s="273"/>
      <c r="AF432" s="273"/>
      <c r="AG432" s="273"/>
      <c r="AH432" s="273"/>
      <c r="AI432" s="273"/>
    </row>
    <row r="433" spans="1:35" ht="14.25" customHeight="1">
      <c r="A433" s="273"/>
      <c r="B433" s="273"/>
      <c r="C433" s="273"/>
      <c r="D433" s="273"/>
      <c r="E433" s="273"/>
      <c r="F433" s="273"/>
      <c r="G433" s="273"/>
      <c r="H433" s="273"/>
      <c r="I433" s="273"/>
      <c r="J433" s="273"/>
      <c r="K433" s="273"/>
      <c r="L433" s="274"/>
      <c r="M433" s="273"/>
      <c r="N433" s="273"/>
      <c r="O433" s="273"/>
      <c r="P433" s="273"/>
      <c r="Q433" s="273"/>
      <c r="R433" s="273"/>
      <c r="S433" s="273"/>
      <c r="T433" s="273"/>
      <c r="U433" s="273"/>
      <c r="V433" s="273"/>
      <c r="W433" s="273"/>
      <c r="X433" s="274"/>
      <c r="Y433" s="273"/>
      <c r="Z433" s="273"/>
      <c r="AA433" s="273"/>
      <c r="AB433" s="273"/>
      <c r="AC433" s="273"/>
      <c r="AD433" s="273"/>
      <c r="AE433" s="273"/>
      <c r="AF433" s="273"/>
      <c r="AG433" s="273"/>
      <c r="AH433" s="273"/>
      <c r="AI433" s="273"/>
    </row>
    <row r="434" spans="1:35" ht="14.25" customHeight="1">
      <c r="A434" s="273"/>
      <c r="B434" s="273"/>
      <c r="C434" s="273"/>
      <c r="D434" s="273"/>
      <c r="E434" s="273"/>
      <c r="F434" s="273"/>
      <c r="G434" s="273"/>
      <c r="H434" s="273"/>
      <c r="I434" s="273"/>
      <c r="J434" s="273"/>
      <c r="K434" s="273"/>
      <c r="L434" s="274"/>
      <c r="M434" s="273"/>
      <c r="N434" s="273"/>
      <c r="O434" s="273"/>
      <c r="P434" s="273"/>
      <c r="Q434" s="273"/>
      <c r="R434" s="273"/>
      <c r="S434" s="273"/>
      <c r="T434" s="273"/>
      <c r="U434" s="273"/>
      <c r="V434" s="273"/>
      <c r="W434" s="273"/>
      <c r="X434" s="274"/>
      <c r="Y434" s="273"/>
      <c r="Z434" s="273"/>
      <c r="AA434" s="273"/>
      <c r="AB434" s="273"/>
      <c r="AC434" s="273"/>
      <c r="AD434" s="273"/>
      <c r="AE434" s="273"/>
      <c r="AF434" s="273"/>
      <c r="AG434" s="273"/>
      <c r="AH434" s="273"/>
      <c r="AI434" s="273"/>
    </row>
    <row r="435" spans="1:35" ht="14.25" customHeight="1">
      <c r="A435" s="273"/>
      <c r="B435" s="273"/>
      <c r="C435" s="273"/>
      <c r="D435" s="273"/>
      <c r="E435" s="273"/>
      <c r="F435" s="273"/>
      <c r="G435" s="273"/>
      <c r="H435" s="273"/>
      <c r="I435" s="273"/>
      <c r="J435" s="273"/>
      <c r="K435" s="273"/>
      <c r="L435" s="274"/>
      <c r="M435" s="273"/>
      <c r="N435" s="273"/>
      <c r="O435" s="273"/>
      <c r="P435" s="273"/>
      <c r="Q435" s="273"/>
      <c r="R435" s="273"/>
      <c r="S435" s="273"/>
      <c r="T435" s="273"/>
      <c r="U435" s="273"/>
      <c r="V435" s="273"/>
      <c r="W435" s="273"/>
      <c r="X435" s="274"/>
      <c r="Y435" s="273"/>
      <c r="Z435" s="273"/>
      <c r="AA435" s="273"/>
      <c r="AB435" s="273"/>
      <c r="AC435" s="273"/>
      <c r="AD435" s="273"/>
      <c r="AE435" s="273"/>
      <c r="AF435" s="273"/>
      <c r="AG435" s="273"/>
      <c r="AH435" s="273"/>
      <c r="AI435" s="273"/>
    </row>
    <row r="436" spans="1:35" ht="14.25" customHeight="1">
      <c r="A436" s="273"/>
      <c r="B436" s="273"/>
      <c r="C436" s="273"/>
      <c r="D436" s="273"/>
      <c r="E436" s="273"/>
      <c r="F436" s="273"/>
      <c r="G436" s="273"/>
      <c r="H436" s="273"/>
      <c r="I436" s="273"/>
      <c r="J436" s="273"/>
      <c r="K436" s="273"/>
      <c r="L436" s="274"/>
      <c r="M436" s="273"/>
      <c r="N436" s="273"/>
      <c r="O436" s="273"/>
      <c r="P436" s="273"/>
      <c r="Q436" s="273"/>
      <c r="R436" s="273"/>
      <c r="S436" s="273"/>
      <c r="T436" s="273"/>
      <c r="U436" s="273"/>
      <c r="V436" s="273"/>
      <c r="W436" s="273"/>
      <c r="X436" s="274"/>
      <c r="Y436" s="273"/>
      <c r="Z436" s="273"/>
      <c r="AA436" s="273"/>
      <c r="AB436" s="273"/>
      <c r="AC436" s="273"/>
      <c r="AD436" s="273"/>
      <c r="AE436" s="273"/>
      <c r="AF436" s="273"/>
      <c r="AG436" s="273"/>
      <c r="AH436" s="273"/>
      <c r="AI436" s="273"/>
    </row>
    <row r="437" spans="1:35" ht="14.25" customHeight="1">
      <c r="A437" s="273"/>
      <c r="B437" s="273"/>
      <c r="C437" s="273"/>
      <c r="D437" s="273"/>
      <c r="E437" s="273"/>
      <c r="F437" s="273"/>
      <c r="G437" s="273"/>
      <c r="H437" s="273"/>
      <c r="I437" s="273"/>
      <c r="J437" s="273"/>
      <c r="K437" s="273"/>
      <c r="L437" s="274"/>
      <c r="M437" s="273"/>
      <c r="N437" s="273"/>
      <c r="O437" s="273"/>
      <c r="P437" s="273"/>
      <c r="Q437" s="273"/>
      <c r="R437" s="273"/>
      <c r="S437" s="273"/>
      <c r="T437" s="273"/>
      <c r="U437" s="273"/>
      <c r="V437" s="273"/>
      <c r="W437" s="273"/>
      <c r="X437" s="274"/>
      <c r="Y437" s="273"/>
      <c r="Z437" s="273"/>
      <c r="AA437" s="273"/>
      <c r="AB437" s="273"/>
      <c r="AC437" s="273"/>
      <c r="AD437" s="273"/>
      <c r="AE437" s="273"/>
      <c r="AF437" s="273"/>
      <c r="AG437" s="273"/>
      <c r="AH437" s="273"/>
      <c r="AI437" s="273"/>
    </row>
    <row r="438" spans="1:35" ht="14.25" customHeight="1">
      <c r="A438" s="273"/>
      <c r="B438" s="273"/>
      <c r="C438" s="273"/>
      <c r="D438" s="273"/>
      <c r="E438" s="273"/>
      <c r="F438" s="273"/>
      <c r="G438" s="273"/>
      <c r="H438" s="273"/>
      <c r="I438" s="273"/>
      <c r="J438" s="273"/>
      <c r="K438" s="273"/>
      <c r="L438" s="274"/>
      <c r="M438" s="273"/>
      <c r="N438" s="273"/>
      <c r="O438" s="273"/>
      <c r="P438" s="273"/>
      <c r="Q438" s="273"/>
      <c r="R438" s="273"/>
      <c r="S438" s="273"/>
      <c r="T438" s="273"/>
      <c r="U438" s="273"/>
      <c r="V438" s="273"/>
      <c r="W438" s="273"/>
      <c r="X438" s="274"/>
      <c r="Y438" s="273"/>
      <c r="Z438" s="273"/>
      <c r="AA438" s="273"/>
      <c r="AB438" s="273"/>
      <c r="AC438" s="273"/>
      <c r="AD438" s="273"/>
      <c r="AE438" s="273"/>
      <c r="AF438" s="273"/>
      <c r="AG438" s="273"/>
      <c r="AH438" s="273"/>
      <c r="AI438" s="273"/>
    </row>
    <row r="439" spans="1:35" ht="14.25" customHeight="1">
      <c r="A439" s="273"/>
      <c r="B439" s="273"/>
      <c r="C439" s="273"/>
      <c r="D439" s="273"/>
      <c r="E439" s="273"/>
      <c r="F439" s="273"/>
      <c r="G439" s="273"/>
      <c r="H439" s="273"/>
      <c r="I439" s="273"/>
      <c r="J439" s="273"/>
      <c r="K439" s="273"/>
      <c r="L439" s="274"/>
      <c r="M439" s="273"/>
      <c r="N439" s="273"/>
      <c r="O439" s="273"/>
      <c r="P439" s="273"/>
      <c r="Q439" s="273"/>
      <c r="R439" s="273"/>
      <c r="S439" s="273"/>
      <c r="T439" s="273"/>
      <c r="U439" s="273"/>
      <c r="V439" s="273"/>
      <c r="W439" s="273"/>
      <c r="X439" s="274"/>
      <c r="Y439" s="273"/>
      <c r="Z439" s="273"/>
      <c r="AA439" s="273"/>
      <c r="AB439" s="273"/>
      <c r="AC439" s="273"/>
      <c r="AD439" s="273"/>
      <c r="AE439" s="273"/>
      <c r="AF439" s="273"/>
      <c r="AG439" s="273"/>
      <c r="AH439" s="273"/>
      <c r="AI439" s="273"/>
    </row>
    <row r="440" spans="1:35" ht="14.25" customHeight="1">
      <c r="A440" s="273"/>
      <c r="B440" s="273"/>
      <c r="C440" s="273"/>
      <c r="D440" s="273"/>
      <c r="E440" s="273"/>
      <c r="F440" s="273"/>
      <c r="G440" s="273"/>
      <c r="H440" s="273"/>
      <c r="I440" s="273"/>
      <c r="J440" s="273"/>
      <c r="K440" s="273"/>
      <c r="L440" s="274"/>
      <c r="M440" s="273"/>
      <c r="N440" s="273"/>
      <c r="O440" s="273"/>
      <c r="P440" s="273"/>
      <c r="Q440" s="273"/>
      <c r="R440" s="273"/>
      <c r="S440" s="273"/>
      <c r="T440" s="273"/>
      <c r="U440" s="273"/>
      <c r="V440" s="273"/>
      <c r="W440" s="273"/>
      <c r="X440" s="274"/>
      <c r="Y440" s="273"/>
      <c r="Z440" s="273"/>
      <c r="AA440" s="273"/>
      <c r="AB440" s="273"/>
      <c r="AC440" s="273"/>
      <c r="AD440" s="273"/>
      <c r="AE440" s="273"/>
      <c r="AF440" s="273"/>
      <c r="AG440" s="273"/>
      <c r="AH440" s="273"/>
      <c r="AI440" s="273"/>
    </row>
    <row r="441" spans="1:35" ht="14.25" customHeight="1">
      <c r="A441" s="273"/>
      <c r="B441" s="273"/>
      <c r="C441" s="273"/>
      <c r="D441" s="273"/>
      <c r="E441" s="273"/>
      <c r="F441" s="273"/>
      <c r="G441" s="273"/>
      <c r="H441" s="273"/>
      <c r="I441" s="273"/>
      <c r="J441" s="273"/>
      <c r="K441" s="273"/>
      <c r="L441" s="274"/>
      <c r="M441" s="273"/>
      <c r="N441" s="273"/>
      <c r="O441" s="273"/>
      <c r="P441" s="273"/>
      <c r="Q441" s="273"/>
      <c r="R441" s="273"/>
      <c r="S441" s="273"/>
      <c r="T441" s="273"/>
      <c r="U441" s="273"/>
      <c r="V441" s="273"/>
      <c r="W441" s="273"/>
      <c r="X441" s="274"/>
      <c r="Y441" s="273"/>
      <c r="Z441" s="273"/>
      <c r="AA441" s="273"/>
      <c r="AB441" s="273"/>
      <c r="AC441" s="273"/>
      <c r="AD441" s="273"/>
      <c r="AE441" s="273"/>
      <c r="AF441" s="273"/>
      <c r="AG441" s="273"/>
      <c r="AH441" s="273"/>
      <c r="AI441" s="273"/>
    </row>
    <row r="442" spans="1:35" ht="14.25" customHeight="1">
      <c r="A442" s="273"/>
      <c r="B442" s="273"/>
      <c r="C442" s="273"/>
      <c r="D442" s="273"/>
      <c r="E442" s="273"/>
      <c r="F442" s="273"/>
      <c r="G442" s="273"/>
      <c r="H442" s="273"/>
      <c r="I442" s="273"/>
      <c r="J442" s="273"/>
      <c r="K442" s="273"/>
      <c r="L442" s="274"/>
      <c r="M442" s="273"/>
      <c r="N442" s="273"/>
      <c r="O442" s="273"/>
      <c r="P442" s="273"/>
      <c r="Q442" s="273"/>
      <c r="R442" s="273"/>
      <c r="S442" s="273"/>
      <c r="T442" s="273"/>
      <c r="U442" s="273"/>
      <c r="V442" s="273"/>
      <c r="W442" s="273"/>
      <c r="X442" s="274"/>
      <c r="Y442" s="273"/>
      <c r="Z442" s="273"/>
      <c r="AA442" s="273"/>
      <c r="AB442" s="273"/>
      <c r="AC442" s="273"/>
      <c r="AD442" s="273"/>
      <c r="AE442" s="273"/>
      <c r="AF442" s="273"/>
      <c r="AG442" s="273"/>
      <c r="AH442" s="273"/>
      <c r="AI442" s="273"/>
    </row>
    <row r="443" spans="1:35" ht="14.25" customHeight="1">
      <c r="A443" s="273"/>
      <c r="B443" s="273"/>
      <c r="C443" s="273"/>
      <c r="D443" s="273"/>
      <c r="E443" s="273"/>
      <c r="F443" s="273"/>
      <c r="G443" s="273"/>
      <c r="H443" s="273"/>
      <c r="I443" s="273"/>
      <c r="J443" s="273"/>
      <c r="K443" s="273"/>
      <c r="L443" s="274"/>
      <c r="M443" s="273"/>
      <c r="N443" s="273"/>
      <c r="O443" s="273"/>
      <c r="P443" s="273"/>
      <c r="Q443" s="273"/>
      <c r="R443" s="273"/>
      <c r="S443" s="273"/>
      <c r="T443" s="273"/>
      <c r="U443" s="273"/>
      <c r="V443" s="273"/>
      <c r="W443" s="273"/>
      <c r="X443" s="274"/>
      <c r="Y443" s="273"/>
      <c r="Z443" s="273"/>
      <c r="AA443" s="273"/>
      <c r="AB443" s="273"/>
      <c r="AC443" s="273"/>
      <c r="AD443" s="273"/>
      <c r="AE443" s="273"/>
      <c r="AF443" s="273"/>
      <c r="AG443" s="273"/>
      <c r="AH443" s="273"/>
      <c r="AI443" s="273"/>
    </row>
    <row r="444" spans="1:35" ht="14.25" customHeight="1">
      <c r="A444" s="273"/>
      <c r="B444" s="273"/>
      <c r="C444" s="273"/>
      <c r="D444" s="273"/>
      <c r="E444" s="273"/>
      <c r="F444" s="273"/>
      <c r="G444" s="273"/>
      <c r="H444" s="273"/>
      <c r="I444" s="273"/>
      <c r="J444" s="273"/>
      <c r="K444" s="273"/>
      <c r="L444" s="274"/>
      <c r="M444" s="273"/>
      <c r="N444" s="273"/>
      <c r="O444" s="273"/>
      <c r="P444" s="273"/>
      <c r="Q444" s="273"/>
      <c r="R444" s="273"/>
      <c r="S444" s="273"/>
      <c r="T444" s="273"/>
      <c r="U444" s="273"/>
      <c r="V444" s="273"/>
      <c r="W444" s="273"/>
      <c r="X444" s="274"/>
      <c r="Y444" s="273"/>
      <c r="Z444" s="273"/>
      <c r="AA444" s="273"/>
      <c r="AB444" s="273"/>
      <c r="AC444" s="273"/>
      <c r="AD444" s="273"/>
      <c r="AE444" s="273"/>
      <c r="AF444" s="273"/>
      <c r="AG444" s="273"/>
      <c r="AH444" s="273"/>
      <c r="AI444" s="273"/>
    </row>
    <row r="445" spans="1:35" ht="14.25" customHeight="1">
      <c r="A445" s="273"/>
      <c r="B445" s="273"/>
      <c r="C445" s="273"/>
      <c r="D445" s="273"/>
      <c r="E445" s="273"/>
      <c r="F445" s="273"/>
      <c r="G445" s="273"/>
      <c r="H445" s="273"/>
      <c r="I445" s="273"/>
      <c r="J445" s="273"/>
      <c r="K445" s="273"/>
      <c r="L445" s="274"/>
      <c r="M445" s="273"/>
      <c r="N445" s="273"/>
      <c r="O445" s="273"/>
      <c r="P445" s="273"/>
      <c r="Q445" s="273"/>
      <c r="R445" s="273"/>
      <c r="S445" s="273"/>
      <c r="T445" s="273"/>
      <c r="U445" s="273"/>
      <c r="V445" s="273"/>
      <c r="W445" s="273"/>
      <c r="X445" s="274"/>
      <c r="Y445" s="273"/>
      <c r="Z445" s="273"/>
      <c r="AA445" s="273"/>
      <c r="AB445" s="273"/>
      <c r="AC445" s="273"/>
      <c r="AD445" s="273"/>
      <c r="AE445" s="273"/>
      <c r="AF445" s="273"/>
      <c r="AG445" s="273"/>
      <c r="AH445" s="273"/>
      <c r="AI445" s="273"/>
    </row>
    <row r="446" spans="1:35" ht="14.25" customHeight="1">
      <c r="A446" s="273"/>
      <c r="B446" s="273"/>
      <c r="C446" s="273"/>
      <c r="D446" s="273"/>
      <c r="E446" s="273"/>
      <c r="F446" s="273"/>
      <c r="G446" s="273"/>
      <c r="H446" s="273"/>
      <c r="I446" s="273"/>
      <c r="J446" s="273"/>
      <c r="K446" s="273"/>
      <c r="L446" s="274"/>
      <c r="M446" s="273"/>
      <c r="N446" s="273"/>
      <c r="O446" s="273"/>
      <c r="P446" s="273"/>
      <c r="Q446" s="273"/>
      <c r="R446" s="273"/>
      <c r="S446" s="273"/>
      <c r="T446" s="273"/>
      <c r="U446" s="273"/>
      <c r="V446" s="273"/>
      <c r="W446" s="273"/>
      <c r="X446" s="274"/>
      <c r="Y446" s="273"/>
      <c r="Z446" s="273"/>
      <c r="AA446" s="273"/>
      <c r="AB446" s="273"/>
      <c r="AC446" s="273"/>
      <c r="AD446" s="273"/>
      <c r="AE446" s="273"/>
      <c r="AF446" s="273"/>
      <c r="AG446" s="273"/>
      <c r="AH446" s="273"/>
      <c r="AI446" s="273"/>
    </row>
    <row r="447" spans="1:35" ht="14.25" customHeight="1">
      <c r="A447" s="273"/>
      <c r="B447" s="273"/>
      <c r="C447" s="273"/>
      <c r="D447" s="273"/>
      <c r="E447" s="273"/>
      <c r="F447" s="273"/>
      <c r="G447" s="273"/>
      <c r="H447" s="273"/>
      <c r="I447" s="273"/>
      <c r="J447" s="273"/>
      <c r="K447" s="273"/>
      <c r="L447" s="274"/>
      <c r="M447" s="273"/>
      <c r="N447" s="273"/>
      <c r="O447" s="273"/>
      <c r="P447" s="273"/>
      <c r="Q447" s="273"/>
      <c r="R447" s="273"/>
      <c r="S447" s="273"/>
      <c r="T447" s="273"/>
      <c r="U447" s="273"/>
      <c r="V447" s="273"/>
      <c r="W447" s="273"/>
      <c r="X447" s="274"/>
      <c r="Y447" s="273"/>
      <c r="Z447" s="273"/>
      <c r="AA447" s="273"/>
      <c r="AB447" s="273"/>
      <c r="AC447" s="273"/>
      <c r="AD447" s="273"/>
      <c r="AE447" s="273"/>
      <c r="AF447" s="273"/>
      <c r="AG447" s="273"/>
      <c r="AH447" s="273"/>
      <c r="AI447" s="273"/>
    </row>
    <row r="448" spans="1:35" ht="14.25" customHeight="1">
      <c r="A448" s="273"/>
      <c r="B448" s="273"/>
      <c r="C448" s="273"/>
      <c r="D448" s="273"/>
      <c r="E448" s="273"/>
      <c r="F448" s="273"/>
      <c r="G448" s="273"/>
      <c r="H448" s="273"/>
      <c r="I448" s="273"/>
      <c r="J448" s="273"/>
      <c r="K448" s="273"/>
      <c r="L448" s="274"/>
      <c r="M448" s="273"/>
      <c r="N448" s="273"/>
      <c r="O448" s="273"/>
      <c r="P448" s="273"/>
      <c r="Q448" s="273"/>
      <c r="R448" s="273"/>
      <c r="S448" s="273"/>
      <c r="T448" s="273"/>
      <c r="U448" s="273"/>
      <c r="V448" s="273"/>
      <c r="W448" s="273"/>
      <c r="X448" s="274"/>
      <c r="Y448" s="273"/>
      <c r="Z448" s="273"/>
      <c r="AA448" s="273"/>
      <c r="AB448" s="273"/>
      <c r="AC448" s="273"/>
      <c r="AD448" s="273"/>
      <c r="AE448" s="273"/>
      <c r="AF448" s="273"/>
      <c r="AG448" s="273"/>
      <c r="AH448" s="273"/>
      <c r="AI448" s="273"/>
    </row>
    <row r="449" spans="1:35" ht="14.25" customHeight="1">
      <c r="A449" s="273"/>
      <c r="B449" s="273"/>
      <c r="C449" s="273"/>
      <c r="D449" s="273"/>
      <c r="E449" s="273"/>
      <c r="F449" s="273"/>
      <c r="G449" s="273"/>
      <c r="H449" s="273"/>
      <c r="I449" s="273"/>
      <c r="J449" s="273"/>
      <c r="K449" s="273"/>
      <c r="L449" s="274"/>
      <c r="M449" s="273"/>
      <c r="N449" s="273"/>
      <c r="O449" s="273"/>
      <c r="P449" s="273"/>
      <c r="Q449" s="273"/>
      <c r="R449" s="273"/>
      <c r="S449" s="273"/>
      <c r="T449" s="273"/>
      <c r="U449" s="273"/>
      <c r="V449" s="273"/>
      <c r="W449" s="273"/>
      <c r="X449" s="274"/>
      <c r="Y449" s="273"/>
      <c r="Z449" s="273"/>
      <c r="AA449" s="273"/>
      <c r="AB449" s="273"/>
      <c r="AC449" s="273"/>
      <c r="AD449" s="273"/>
      <c r="AE449" s="273"/>
      <c r="AF449" s="273"/>
      <c r="AG449" s="273"/>
      <c r="AH449" s="273"/>
      <c r="AI449" s="273"/>
    </row>
    <row r="450" spans="1:35" ht="14.25" customHeight="1">
      <c r="A450" s="273"/>
      <c r="B450" s="273"/>
      <c r="C450" s="273"/>
      <c r="D450" s="273"/>
      <c r="E450" s="273"/>
      <c r="F450" s="273"/>
      <c r="G450" s="273"/>
      <c r="H450" s="273"/>
      <c r="I450" s="273"/>
      <c r="J450" s="273"/>
      <c r="K450" s="273"/>
      <c r="L450" s="274"/>
      <c r="M450" s="273"/>
      <c r="N450" s="273"/>
      <c r="O450" s="273"/>
      <c r="P450" s="273"/>
      <c r="Q450" s="273"/>
      <c r="R450" s="273"/>
      <c r="S450" s="273"/>
      <c r="T450" s="273"/>
      <c r="U450" s="273"/>
      <c r="V450" s="273"/>
      <c r="W450" s="273"/>
      <c r="X450" s="274"/>
      <c r="Y450" s="273"/>
      <c r="Z450" s="273"/>
      <c r="AA450" s="273"/>
      <c r="AB450" s="273"/>
      <c r="AC450" s="273"/>
      <c r="AD450" s="273"/>
      <c r="AE450" s="273"/>
      <c r="AF450" s="273"/>
      <c r="AG450" s="273"/>
      <c r="AH450" s="273"/>
      <c r="AI450" s="273"/>
    </row>
    <row r="451" spans="1:35" ht="14.25" customHeight="1">
      <c r="A451" s="273"/>
      <c r="B451" s="273"/>
      <c r="C451" s="273"/>
      <c r="D451" s="273"/>
      <c r="E451" s="273"/>
      <c r="F451" s="273"/>
      <c r="G451" s="273"/>
      <c r="H451" s="273"/>
      <c r="I451" s="273"/>
      <c r="J451" s="273"/>
      <c r="K451" s="273"/>
      <c r="L451" s="274"/>
      <c r="M451" s="273"/>
      <c r="N451" s="273"/>
      <c r="O451" s="273"/>
      <c r="P451" s="273"/>
      <c r="Q451" s="273"/>
      <c r="R451" s="273"/>
      <c r="S451" s="273"/>
      <c r="T451" s="273"/>
      <c r="U451" s="273"/>
      <c r="V451" s="273"/>
      <c r="W451" s="273"/>
      <c r="X451" s="274"/>
      <c r="Y451" s="273"/>
      <c r="Z451" s="273"/>
      <c r="AA451" s="273"/>
      <c r="AB451" s="273"/>
      <c r="AC451" s="273"/>
      <c r="AD451" s="273"/>
      <c r="AE451" s="273"/>
      <c r="AF451" s="273"/>
      <c r="AG451" s="273"/>
      <c r="AH451" s="273"/>
      <c r="AI451" s="273"/>
    </row>
    <row r="452" spans="1:35" ht="14.25" customHeight="1">
      <c r="A452" s="273"/>
      <c r="B452" s="273"/>
      <c r="C452" s="273"/>
      <c r="D452" s="273"/>
      <c r="E452" s="273"/>
      <c r="F452" s="273"/>
      <c r="G452" s="273"/>
      <c r="H452" s="273"/>
      <c r="I452" s="273"/>
      <c r="J452" s="273"/>
      <c r="K452" s="273"/>
      <c r="L452" s="274"/>
      <c r="M452" s="273"/>
      <c r="N452" s="273"/>
      <c r="O452" s="273"/>
      <c r="P452" s="273"/>
      <c r="Q452" s="273"/>
      <c r="R452" s="273"/>
      <c r="S452" s="273"/>
      <c r="T452" s="273"/>
      <c r="U452" s="273"/>
      <c r="V452" s="273"/>
      <c r="W452" s="273"/>
      <c r="X452" s="274"/>
      <c r="Y452" s="273"/>
      <c r="Z452" s="273"/>
      <c r="AA452" s="273"/>
      <c r="AB452" s="273"/>
      <c r="AC452" s="273"/>
      <c r="AD452" s="273"/>
      <c r="AE452" s="273"/>
      <c r="AF452" s="273"/>
      <c r="AG452" s="273"/>
      <c r="AH452" s="273"/>
      <c r="AI452" s="273"/>
    </row>
    <row r="453" spans="1:35" ht="14.25" customHeight="1">
      <c r="A453" s="273"/>
      <c r="B453" s="273"/>
      <c r="C453" s="273"/>
      <c r="D453" s="273"/>
      <c r="E453" s="273"/>
      <c r="F453" s="273"/>
      <c r="G453" s="273"/>
      <c r="H453" s="273"/>
      <c r="I453" s="273"/>
      <c r="J453" s="273"/>
      <c r="K453" s="273"/>
      <c r="L453" s="274"/>
      <c r="M453" s="273"/>
      <c r="N453" s="273"/>
      <c r="O453" s="273"/>
      <c r="P453" s="273"/>
      <c r="Q453" s="273"/>
      <c r="R453" s="273"/>
      <c r="S453" s="273"/>
      <c r="T453" s="273"/>
      <c r="U453" s="273"/>
      <c r="V453" s="273"/>
      <c r="W453" s="273"/>
      <c r="X453" s="274"/>
      <c r="Y453" s="273"/>
      <c r="Z453" s="273"/>
      <c r="AA453" s="273"/>
      <c r="AB453" s="273"/>
      <c r="AC453" s="273"/>
      <c r="AD453" s="273"/>
      <c r="AE453" s="273"/>
      <c r="AF453" s="273"/>
      <c r="AG453" s="273"/>
      <c r="AH453" s="273"/>
      <c r="AI453" s="273"/>
    </row>
    <row r="454" spans="1:35" ht="14.25" customHeight="1">
      <c r="A454" s="273"/>
      <c r="B454" s="273"/>
      <c r="C454" s="273"/>
      <c r="D454" s="273"/>
      <c r="E454" s="273"/>
      <c r="F454" s="273"/>
      <c r="G454" s="273"/>
      <c r="H454" s="273"/>
      <c r="I454" s="273"/>
      <c r="J454" s="273"/>
      <c r="K454" s="273"/>
      <c r="L454" s="274"/>
      <c r="M454" s="273"/>
      <c r="N454" s="273"/>
      <c r="O454" s="273"/>
      <c r="P454" s="273"/>
      <c r="Q454" s="273"/>
      <c r="R454" s="273"/>
      <c r="S454" s="273"/>
      <c r="T454" s="273"/>
      <c r="U454" s="273"/>
      <c r="V454" s="273"/>
      <c r="W454" s="273"/>
      <c r="X454" s="274"/>
      <c r="Y454" s="273"/>
      <c r="Z454" s="273"/>
      <c r="AA454" s="273"/>
      <c r="AB454" s="273"/>
      <c r="AC454" s="273"/>
      <c r="AD454" s="273"/>
      <c r="AE454" s="273"/>
      <c r="AF454" s="273"/>
      <c r="AG454" s="273"/>
      <c r="AH454" s="273"/>
      <c r="AI454" s="273"/>
    </row>
    <row r="455" spans="1:35" ht="14.25" customHeight="1">
      <c r="A455" s="273"/>
      <c r="B455" s="273"/>
      <c r="C455" s="273"/>
      <c r="D455" s="273"/>
      <c r="E455" s="273"/>
      <c r="F455" s="273"/>
      <c r="G455" s="273"/>
      <c r="H455" s="273"/>
      <c r="I455" s="273"/>
      <c r="J455" s="273"/>
      <c r="K455" s="273"/>
      <c r="L455" s="274"/>
      <c r="M455" s="273"/>
      <c r="N455" s="273"/>
      <c r="O455" s="273"/>
      <c r="P455" s="273"/>
      <c r="Q455" s="273"/>
      <c r="R455" s="273"/>
      <c r="S455" s="273"/>
      <c r="T455" s="273"/>
      <c r="U455" s="273"/>
      <c r="V455" s="273"/>
      <c r="W455" s="273"/>
      <c r="X455" s="274"/>
      <c r="Y455" s="273"/>
      <c r="Z455" s="273"/>
      <c r="AA455" s="273"/>
      <c r="AB455" s="273"/>
      <c r="AC455" s="273"/>
      <c r="AD455" s="273"/>
      <c r="AE455" s="273"/>
      <c r="AF455" s="273"/>
      <c r="AG455" s="273"/>
      <c r="AH455" s="273"/>
      <c r="AI455" s="273"/>
    </row>
    <row r="456" spans="1:35" ht="14.25" customHeight="1">
      <c r="A456" s="273"/>
      <c r="B456" s="273"/>
      <c r="C456" s="273"/>
      <c r="D456" s="273"/>
      <c r="E456" s="273"/>
      <c r="F456" s="273"/>
      <c r="G456" s="273"/>
      <c r="H456" s="273"/>
      <c r="I456" s="273"/>
      <c r="J456" s="273"/>
      <c r="K456" s="273"/>
      <c r="L456" s="274"/>
      <c r="M456" s="273"/>
      <c r="N456" s="273"/>
      <c r="O456" s="273"/>
      <c r="P456" s="273"/>
      <c r="Q456" s="273"/>
      <c r="R456" s="273"/>
      <c r="S456" s="273"/>
      <c r="T456" s="273"/>
      <c r="U456" s="273"/>
      <c r="V456" s="273"/>
      <c r="W456" s="273"/>
      <c r="X456" s="274"/>
      <c r="Y456" s="273"/>
      <c r="Z456" s="273"/>
      <c r="AA456" s="273"/>
      <c r="AB456" s="273"/>
      <c r="AC456" s="273"/>
      <c r="AD456" s="273"/>
      <c r="AE456" s="273"/>
      <c r="AF456" s="273"/>
      <c r="AG456" s="273"/>
      <c r="AH456" s="273"/>
      <c r="AI456" s="273"/>
    </row>
    <row r="457" spans="1:35" ht="14.25" customHeight="1">
      <c r="A457" s="273"/>
      <c r="B457" s="273"/>
      <c r="C457" s="273"/>
      <c r="D457" s="273"/>
      <c r="E457" s="273"/>
      <c r="F457" s="273"/>
      <c r="G457" s="273"/>
      <c r="H457" s="273"/>
      <c r="I457" s="273"/>
      <c r="J457" s="273"/>
      <c r="K457" s="273"/>
      <c r="L457" s="274"/>
      <c r="M457" s="273"/>
      <c r="N457" s="273"/>
      <c r="O457" s="273"/>
      <c r="P457" s="273"/>
      <c r="Q457" s="273"/>
      <c r="R457" s="273"/>
      <c r="S457" s="273"/>
      <c r="T457" s="273"/>
      <c r="U457" s="273"/>
      <c r="V457" s="273"/>
      <c r="W457" s="273"/>
      <c r="X457" s="274"/>
      <c r="Y457" s="273"/>
      <c r="Z457" s="273"/>
      <c r="AA457" s="273"/>
      <c r="AB457" s="273"/>
      <c r="AC457" s="273"/>
      <c r="AD457" s="273"/>
      <c r="AE457" s="273"/>
      <c r="AF457" s="273"/>
      <c r="AG457" s="273"/>
      <c r="AH457" s="273"/>
      <c r="AI457" s="273"/>
    </row>
    <row r="458" spans="1:35" ht="14.25" customHeight="1">
      <c r="A458" s="273"/>
      <c r="B458" s="273"/>
      <c r="C458" s="273"/>
      <c r="D458" s="273"/>
      <c r="E458" s="273"/>
      <c r="F458" s="273"/>
      <c r="G458" s="273"/>
      <c r="H458" s="273"/>
      <c r="I458" s="273"/>
      <c r="J458" s="273"/>
      <c r="K458" s="273"/>
      <c r="L458" s="274"/>
      <c r="M458" s="273"/>
      <c r="N458" s="273"/>
      <c r="O458" s="273"/>
      <c r="P458" s="273"/>
      <c r="Q458" s="273"/>
      <c r="R458" s="273"/>
      <c r="S458" s="273"/>
      <c r="T458" s="273"/>
      <c r="U458" s="273"/>
      <c r="V458" s="273"/>
      <c r="W458" s="273"/>
      <c r="X458" s="274"/>
      <c r="Y458" s="273"/>
      <c r="Z458" s="273"/>
      <c r="AA458" s="273"/>
      <c r="AB458" s="273"/>
      <c r="AC458" s="273"/>
      <c r="AD458" s="273"/>
      <c r="AE458" s="273"/>
      <c r="AF458" s="273"/>
      <c r="AG458" s="273"/>
      <c r="AH458" s="273"/>
      <c r="AI458" s="273"/>
    </row>
    <row r="459" spans="1:35" ht="14.25" customHeight="1">
      <c r="A459" s="273"/>
      <c r="B459" s="273"/>
      <c r="C459" s="273"/>
      <c r="D459" s="273"/>
      <c r="E459" s="273"/>
      <c r="F459" s="273"/>
      <c r="G459" s="273"/>
      <c r="H459" s="273"/>
      <c r="I459" s="273"/>
      <c r="J459" s="273"/>
      <c r="K459" s="273"/>
      <c r="L459" s="274"/>
      <c r="M459" s="273"/>
      <c r="N459" s="273"/>
      <c r="O459" s="273"/>
      <c r="P459" s="273"/>
      <c r="Q459" s="273"/>
      <c r="R459" s="273"/>
      <c r="S459" s="273"/>
      <c r="T459" s="273"/>
      <c r="U459" s="273"/>
      <c r="V459" s="273"/>
      <c r="W459" s="273"/>
      <c r="X459" s="274"/>
      <c r="Y459" s="273"/>
      <c r="Z459" s="273"/>
      <c r="AA459" s="273"/>
      <c r="AB459" s="273"/>
      <c r="AC459" s="273"/>
      <c r="AD459" s="273"/>
      <c r="AE459" s="273"/>
      <c r="AF459" s="273"/>
      <c r="AG459" s="273"/>
      <c r="AH459" s="273"/>
      <c r="AI459" s="273"/>
    </row>
    <row r="460" spans="1:35" ht="14.25" customHeight="1">
      <c r="A460" s="273"/>
      <c r="B460" s="273"/>
      <c r="C460" s="273"/>
      <c r="D460" s="273"/>
      <c r="E460" s="273"/>
      <c r="F460" s="273"/>
      <c r="G460" s="273"/>
      <c r="H460" s="273"/>
      <c r="I460" s="273"/>
      <c r="J460" s="273"/>
      <c r="K460" s="273"/>
      <c r="L460" s="274"/>
      <c r="M460" s="273"/>
      <c r="N460" s="273"/>
      <c r="O460" s="273"/>
      <c r="P460" s="273"/>
      <c r="Q460" s="273"/>
      <c r="R460" s="273"/>
      <c r="S460" s="273"/>
      <c r="T460" s="273"/>
      <c r="U460" s="273"/>
      <c r="V460" s="273"/>
      <c r="W460" s="273"/>
      <c r="X460" s="274"/>
      <c r="Y460" s="273"/>
      <c r="Z460" s="273"/>
      <c r="AA460" s="273"/>
      <c r="AB460" s="273"/>
      <c r="AC460" s="273"/>
      <c r="AD460" s="273"/>
      <c r="AE460" s="273"/>
      <c r="AF460" s="273"/>
      <c r="AG460" s="273"/>
      <c r="AH460" s="273"/>
      <c r="AI460" s="273"/>
    </row>
    <row r="461" spans="1:35" ht="14.25" customHeight="1">
      <c r="A461" s="273"/>
      <c r="B461" s="273"/>
      <c r="C461" s="273"/>
      <c r="D461" s="273"/>
      <c r="E461" s="273"/>
      <c r="F461" s="273"/>
      <c r="G461" s="273"/>
      <c r="H461" s="273"/>
      <c r="I461" s="273"/>
      <c r="J461" s="273"/>
      <c r="K461" s="273"/>
      <c r="L461" s="274"/>
      <c r="M461" s="273"/>
      <c r="N461" s="273"/>
      <c r="O461" s="273"/>
      <c r="P461" s="273"/>
      <c r="Q461" s="273"/>
      <c r="R461" s="273"/>
      <c r="S461" s="273"/>
      <c r="T461" s="273"/>
      <c r="U461" s="273"/>
      <c r="V461" s="273"/>
      <c r="W461" s="273"/>
      <c r="X461" s="274"/>
      <c r="Y461" s="273"/>
      <c r="Z461" s="273"/>
      <c r="AA461" s="273"/>
      <c r="AB461" s="273"/>
      <c r="AC461" s="273"/>
      <c r="AD461" s="273"/>
      <c r="AE461" s="273"/>
      <c r="AF461" s="273"/>
      <c r="AG461" s="273"/>
      <c r="AH461" s="273"/>
      <c r="AI461" s="273"/>
    </row>
    <row r="462" spans="1:35" ht="14.25" customHeight="1">
      <c r="A462" s="273"/>
      <c r="B462" s="273"/>
      <c r="C462" s="273"/>
      <c r="D462" s="273"/>
      <c r="E462" s="273"/>
      <c r="F462" s="273"/>
      <c r="G462" s="273"/>
      <c r="H462" s="273"/>
      <c r="I462" s="273"/>
      <c r="J462" s="273"/>
      <c r="K462" s="273"/>
      <c r="L462" s="274"/>
      <c r="M462" s="273"/>
      <c r="N462" s="273"/>
      <c r="O462" s="273"/>
      <c r="P462" s="273"/>
      <c r="Q462" s="273"/>
      <c r="R462" s="273"/>
      <c r="S462" s="273"/>
      <c r="T462" s="273"/>
      <c r="U462" s="273"/>
      <c r="V462" s="273"/>
      <c r="W462" s="273"/>
      <c r="X462" s="274"/>
      <c r="Y462" s="273"/>
      <c r="Z462" s="273"/>
      <c r="AA462" s="273"/>
      <c r="AB462" s="273"/>
      <c r="AC462" s="273"/>
      <c r="AD462" s="273"/>
      <c r="AE462" s="273"/>
      <c r="AF462" s="273"/>
      <c r="AG462" s="273"/>
      <c r="AH462" s="273"/>
      <c r="AI462" s="273"/>
    </row>
    <row r="463" spans="1:35" ht="14.25" customHeight="1">
      <c r="A463" s="273"/>
      <c r="B463" s="273"/>
      <c r="C463" s="273"/>
      <c r="D463" s="273"/>
      <c r="E463" s="273"/>
      <c r="F463" s="273"/>
      <c r="G463" s="273"/>
      <c r="H463" s="273"/>
      <c r="I463" s="273"/>
      <c r="J463" s="273"/>
      <c r="K463" s="273"/>
      <c r="L463" s="274"/>
      <c r="M463" s="273"/>
      <c r="N463" s="273"/>
      <c r="O463" s="273"/>
      <c r="P463" s="273"/>
      <c r="Q463" s="273"/>
      <c r="R463" s="273"/>
      <c r="S463" s="273"/>
      <c r="T463" s="273"/>
      <c r="U463" s="273"/>
      <c r="V463" s="273"/>
      <c r="W463" s="273"/>
      <c r="X463" s="274"/>
      <c r="Y463" s="273"/>
      <c r="Z463" s="273"/>
      <c r="AA463" s="273"/>
      <c r="AB463" s="273"/>
      <c r="AC463" s="273"/>
      <c r="AD463" s="273"/>
      <c r="AE463" s="273"/>
      <c r="AF463" s="273"/>
      <c r="AG463" s="273"/>
      <c r="AH463" s="273"/>
      <c r="AI463" s="273"/>
    </row>
    <row r="464" spans="1:35" ht="14.25" customHeight="1">
      <c r="A464" s="273"/>
      <c r="B464" s="273"/>
      <c r="C464" s="273"/>
      <c r="D464" s="273"/>
      <c r="E464" s="273"/>
      <c r="F464" s="273"/>
      <c r="G464" s="273"/>
      <c r="H464" s="273"/>
      <c r="I464" s="273"/>
      <c r="J464" s="273"/>
      <c r="K464" s="273"/>
      <c r="L464" s="274"/>
      <c r="M464" s="273"/>
      <c r="N464" s="273"/>
      <c r="O464" s="273"/>
      <c r="P464" s="273"/>
      <c r="Q464" s="273"/>
      <c r="R464" s="273"/>
      <c r="S464" s="273"/>
      <c r="T464" s="273"/>
      <c r="U464" s="273"/>
      <c r="V464" s="273"/>
      <c r="W464" s="273"/>
      <c r="X464" s="274"/>
      <c r="Y464" s="273"/>
      <c r="Z464" s="273"/>
      <c r="AA464" s="273"/>
      <c r="AB464" s="273"/>
      <c r="AC464" s="273"/>
      <c r="AD464" s="273"/>
      <c r="AE464" s="273"/>
      <c r="AF464" s="273"/>
      <c r="AG464" s="273"/>
      <c r="AH464" s="273"/>
      <c r="AI464" s="273"/>
    </row>
    <row r="465" spans="1:35" ht="14.25" customHeight="1">
      <c r="A465" s="273"/>
      <c r="B465" s="273"/>
      <c r="C465" s="273"/>
      <c r="D465" s="273"/>
      <c r="E465" s="273"/>
      <c r="F465" s="273"/>
      <c r="G465" s="273"/>
      <c r="H465" s="273"/>
      <c r="I465" s="273"/>
      <c r="J465" s="273"/>
      <c r="K465" s="273"/>
      <c r="L465" s="274"/>
      <c r="M465" s="273"/>
      <c r="N465" s="273"/>
      <c r="O465" s="273"/>
      <c r="P465" s="273"/>
      <c r="Q465" s="273"/>
      <c r="R465" s="273"/>
      <c r="S465" s="273"/>
      <c r="T465" s="273"/>
      <c r="U465" s="273"/>
      <c r="V465" s="273"/>
      <c r="W465" s="273"/>
      <c r="X465" s="274"/>
      <c r="Y465" s="273"/>
      <c r="Z465" s="273"/>
      <c r="AA465" s="273"/>
      <c r="AB465" s="273"/>
      <c r="AC465" s="273"/>
      <c r="AD465" s="273"/>
      <c r="AE465" s="273"/>
      <c r="AF465" s="273"/>
      <c r="AG465" s="273"/>
      <c r="AH465" s="273"/>
      <c r="AI465" s="273"/>
    </row>
    <row r="466" spans="1:35" ht="14.25" customHeight="1">
      <c r="A466" s="273"/>
      <c r="B466" s="273"/>
      <c r="C466" s="273"/>
      <c r="D466" s="273"/>
      <c r="E466" s="273"/>
      <c r="F466" s="273"/>
      <c r="G466" s="273"/>
      <c r="H466" s="273"/>
      <c r="I466" s="273"/>
      <c r="J466" s="273"/>
      <c r="K466" s="273"/>
      <c r="L466" s="274"/>
      <c r="M466" s="273"/>
      <c r="N466" s="273"/>
      <c r="O466" s="273"/>
      <c r="P466" s="273"/>
      <c r="Q466" s="273"/>
      <c r="R466" s="273"/>
      <c r="S466" s="273"/>
      <c r="T466" s="273"/>
      <c r="U466" s="273"/>
      <c r="V466" s="273"/>
      <c r="W466" s="273"/>
      <c r="X466" s="274"/>
      <c r="Y466" s="273"/>
      <c r="Z466" s="273"/>
      <c r="AA466" s="273"/>
      <c r="AB466" s="273"/>
      <c r="AC466" s="273"/>
      <c r="AD466" s="273"/>
      <c r="AE466" s="273"/>
      <c r="AF466" s="273"/>
      <c r="AG466" s="273"/>
      <c r="AH466" s="273"/>
      <c r="AI466" s="273"/>
    </row>
    <row r="467" spans="1:35" ht="14.25" customHeight="1">
      <c r="A467" s="273"/>
      <c r="B467" s="273"/>
      <c r="C467" s="273"/>
      <c r="D467" s="273"/>
      <c r="E467" s="273"/>
      <c r="F467" s="273"/>
      <c r="G467" s="273"/>
      <c r="H467" s="273"/>
      <c r="I467" s="273"/>
      <c r="J467" s="273"/>
      <c r="K467" s="273"/>
      <c r="L467" s="274"/>
      <c r="M467" s="273"/>
      <c r="N467" s="273"/>
      <c r="O467" s="273"/>
      <c r="P467" s="273"/>
      <c r="Q467" s="273"/>
      <c r="R467" s="273"/>
      <c r="S467" s="273"/>
      <c r="T467" s="273"/>
      <c r="U467" s="273"/>
      <c r="V467" s="273"/>
      <c r="W467" s="273"/>
      <c r="X467" s="274"/>
      <c r="Y467" s="273"/>
      <c r="Z467" s="273"/>
      <c r="AA467" s="273"/>
      <c r="AB467" s="273"/>
      <c r="AC467" s="273"/>
      <c r="AD467" s="273"/>
      <c r="AE467" s="273"/>
      <c r="AF467" s="273"/>
      <c r="AG467" s="273"/>
      <c r="AH467" s="273"/>
      <c r="AI467" s="273"/>
    </row>
    <row r="468" spans="1:35" ht="14.25" customHeight="1">
      <c r="A468" s="273"/>
      <c r="B468" s="273"/>
      <c r="C468" s="273"/>
      <c r="D468" s="273"/>
      <c r="E468" s="273"/>
      <c r="F468" s="273"/>
      <c r="G468" s="273"/>
      <c r="H468" s="273"/>
      <c r="I468" s="273"/>
      <c r="J468" s="273"/>
      <c r="K468" s="273"/>
      <c r="L468" s="274"/>
      <c r="M468" s="273"/>
      <c r="N468" s="273"/>
      <c r="O468" s="273"/>
      <c r="P468" s="273"/>
      <c r="Q468" s="273"/>
      <c r="R468" s="273"/>
      <c r="S468" s="273"/>
      <c r="T468" s="273"/>
      <c r="U468" s="273"/>
      <c r="V468" s="273"/>
      <c r="W468" s="273"/>
      <c r="X468" s="274"/>
      <c r="Y468" s="273"/>
      <c r="Z468" s="273"/>
      <c r="AA468" s="273"/>
      <c r="AB468" s="273"/>
      <c r="AC468" s="273"/>
      <c r="AD468" s="273"/>
      <c r="AE468" s="273"/>
      <c r="AF468" s="273"/>
      <c r="AG468" s="273"/>
      <c r="AH468" s="273"/>
      <c r="AI468" s="273"/>
    </row>
    <row r="469" spans="1:35" ht="14.25" customHeight="1">
      <c r="A469" s="273"/>
      <c r="B469" s="273"/>
      <c r="C469" s="273"/>
      <c r="D469" s="273"/>
      <c r="E469" s="273"/>
      <c r="F469" s="273"/>
      <c r="G469" s="273"/>
      <c r="H469" s="273"/>
      <c r="I469" s="273"/>
      <c r="J469" s="273"/>
      <c r="K469" s="273"/>
      <c r="L469" s="274"/>
      <c r="M469" s="273"/>
      <c r="N469" s="273"/>
      <c r="O469" s="273"/>
      <c r="P469" s="273"/>
      <c r="Q469" s="273"/>
      <c r="R469" s="273"/>
      <c r="S469" s="273"/>
      <c r="T469" s="273"/>
      <c r="U469" s="273"/>
      <c r="V469" s="273"/>
      <c r="W469" s="273"/>
      <c r="X469" s="274"/>
      <c r="Y469" s="273"/>
      <c r="Z469" s="273"/>
      <c r="AA469" s="273"/>
      <c r="AB469" s="273"/>
      <c r="AC469" s="273"/>
      <c r="AD469" s="273"/>
      <c r="AE469" s="273"/>
      <c r="AF469" s="273"/>
      <c r="AG469" s="273"/>
      <c r="AH469" s="273"/>
      <c r="AI469" s="273"/>
    </row>
    <row r="470" spans="1:35" ht="14.25" customHeight="1">
      <c r="A470" s="273"/>
      <c r="B470" s="273"/>
      <c r="C470" s="273"/>
      <c r="D470" s="273"/>
      <c r="E470" s="273"/>
      <c r="F470" s="273"/>
      <c r="G470" s="273"/>
      <c r="H470" s="273"/>
      <c r="I470" s="273"/>
      <c r="J470" s="273"/>
      <c r="K470" s="273"/>
      <c r="L470" s="274"/>
      <c r="M470" s="273"/>
      <c r="N470" s="273"/>
      <c r="O470" s="273"/>
      <c r="P470" s="273"/>
      <c r="Q470" s="273"/>
      <c r="R470" s="273"/>
      <c r="S470" s="273"/>
      <c r="T470" s="273"/>
      <c r="U470" s="273"/>
      <c r="V470" s="273"/>
      <c r="W470" s="273"/>
      <c r="X470" s="274"/>
      <c r="Y470" s="273"/>
      <c r="Z470" s="273"/>
      <c r="AA470" s="273"/>
      <c r="AB470" s="273"/>
      <c r="AC470" s="273"/>
      <c r="AD470" s="273"/>
      <c r="AE470" s="273"/>
      <c r="AF470" s="273"/>
      <c r="AG470" s="273"/>
      <c r="AH470" s="273"/>
      <c r="AI470" s="273"/>
    </row>
    <row r="471" spans="1:35" ht="14.25" customHeight="1">
      <c r="A471" s="273"/>
      <c r="B471" s="273"/>
      <c r="C471" s="273"/>
      <c r="D471" s="273"/>
      <c r="E471" s="273"/>
      <c r="F471" s="273"/>
      <c r="G471" s="273"/>
      <c r="H471" s="273"/>
      <c r="I471" s="273"/>
      <c r="J471" s="273"/>
      <c r="K471" s="273"/>
      <c r="L471" s="274"/>
      <c r="M471" s="273"/>
      <c r="N471" s="273"/>
      <c r="O471" s="273"/>
      <c r="P471" s="273"/>
      <c r="Q471" s="273"/>
      <c r="R471" s="273"/>
      <c r="S471" s="273"/>
      <c r="T471" s="273"/>
      <c r="U471" s="273"/>
      <c r="V471" s="273"/>
      <c r="W471" s="273"/>
      <c r="X471" s="274"/>
      <c r="Y471" s="273"/>
      <c r="Z471" s="273"/>
      <c r="AA471" s="273"/>
      <c r="AB471" s="273"/>
      <c r="AC471" s="273"/>
      <c r="AD471" s="273"/>
      <c r="AE471" s="273"/>
      <c r="AF471" s="273"/>
      <c r="AG471" s="273"/>
      <c r="AH471" s="273"/>
      <c r="AI471" s="273"/>
    </row>
    <row r="472" spans="1:35" ht="14.25" customHeight="1">
      <c r="A472" s="273"/>
      <c r="B472" s="273"/>
      <c r="C472" s="273"/>
      <c r="D472" s="273"/>
      <c r="E472" s="273"/>
      <c r="F472" s="273"/>
      <c r="G472" s="273"/>
      <c r="H472" s="273"/>
      <c r="I472" s="273"/>
      <c r="J472" s="273"/>
      <c r="K472" s="273"/>
      <c r="L472" s="274"/>
      <c r="M472" s="273"/>
      <c r="N472" s="273"/>
      <c r="O472" s="273"/>
      <c r="P472" s="273"/>
      <c r="Q472" s="273"/>
      <c r="R472" s="273"/>
      <c r="S472" s="273"/>
      <c r="T472" s="273"/>
      <c r="U472" s="273"/>
      <c r="V472" s="273"/>
      <c r="W472" s="273"/>
      <c r="X472" s="274"/>
      <c r="Y472" s="273"/>
      <c r="Z472" s="273"/>
      <c r="AA472" s="273"/>
      <c r="AB472" s="273"/>
      <c r="AC472" s="273"/>
      <c r="AD472" s="273"/>
      <c r="AE472" s="273"/>
      <c r="AF472" s="273"/>
      <c r="AG472" s="273"/>
      <c r="AH472" s="273"/>
      <c r="AI472" s="273"/>
    </row>
    <row r="473" spans="1:35" ht="14.25" customHeight="1">
      <c r="A473" s="273"/>
      <c r="B473" s="273"/>
      <c r="C473" s="273"/>
      <c r="D473" s="273"/>
      <c r="E473" s="273"/>
      <c r="F473" s="273"/>
      <c r="G473" s="273"/>
      <c r="H473" s="273"/>
      <c r="I473" s="273"/>
      <c r="J473" s="273"/>
      <c r="K473" s="273"/>
      <c r="L473" s="274"/>
      <c r="M473" s="273"/>
      <c r="N473" s="273"/>
      <c r="O473" s="273"/>
      <c r="P473" s="273"/>
      <c r="Q473" s="273"/>
      <c r="R473" s="273"/>
      <c r="S473" s="273"/>
      <c r="T473" s="273"/>
      <c r="U473" s="273"/>
      <c r="V473" s="273"/>
      <c r="W473" s="273"/>
      <c r="X473" s="274"/>
      <c r="Y473" s="273"/>
      <c r="Z473" s="273"/>
      <c r="AA473" s="273"/>
      <c r="AB473" s="273"/>
      <c r="AC473" s="273"/>
      <c r="AD473" s="273"/>
      <c r="AE473" s="273"/>
      <c r="AF473" s="273"/>
      <c r="AG473" s="273"/>
      <c r="AH473" s="273"/>
      <c r="AI473" s="273"/>
    </row>
    <row r="474" spans="1:35" ht="14.25" customHeight="1">
      <c r="A474" s="273"/>
      <c r="B474" s="273"/>
      <c r="C474" s="273"/>
      <c r="D474" s="273"/>
      <c r="E474" s="273"/>
      <c r="F474" s="273"/>
      <c r="G474" s="273"/>
      <c r="H474" s="273"/>
      <c r="I474" s="273"/>
      <c r="J474" s="273"/>
      <c r="K474" s="273"/>
      <c r="L474" s="274"/>
      <c r="M474" s="273"/>
      <c r="N474" s="273"/>
      <c r="O474" s="273"/>
      <c r="P474" s="273"/>
      <c r="Q474" s="273"/>
      <c r="R474" s="273"/>
      <c r="S474" s="273"/>
      <c r="T474" s="273"/>
      <c r="U474" s="273"/>
      <c r="V474" s="273"/>
      <c r="W474" s="273"/>
      <c r="X474" s="274"/>
      <c r="Y474" s="273"/>
      <c r="Z474" s="273"/>
      <c r="AA474" s="273"/>
      <c r="AB474" s="273"/>
      <c r="AC474" s="273"/>
      <c r="AD474" s="273"/>
      <c r="AE474" s="273"/>
      <c r="AF474" s="273"/>
      <c r="AG474" s="273"/>
      <c r="AH474" s="273"/>
      <c r="AI474" s="273"/>
    </row>
    <row r="475" spans="1:35" ht="14.25" customHeight="1">
      <c r="A475" s="273"/>
      <c r="B475" s="273"/>
      <c r="C475" s="273"/>
      <c r="D475" s="273"/>
      <c r="E475" s="273"/>
      <c r="F475" s="273"/>
      <c r="G475" s="273"/>
      <c r="H475" s="273"/>
      <c r="I475" s="273"/>
      <c r="J475" s="273"/>
      <c r="K475" s="273"/>
      <c r="L475" s="274"/>
      <c r="M475" s="273"/>
      <c r="N475" s="273"/>
      <c r="O475" s="273"/>
      <c r="P475" s="273"/>
      <c r="Q475" s="273"/>
      <c r="R475" s="273"/>
      <c r="S475" s="273"/>
      <c r="T475" s="273"/>
      <c r="U475" s="273"/>
      <c r="V475" s="273"/>
      <c r="W475" s="273"/>
      <c r="X475" s="274"/>
      <c r="Y475" s="273"/>
      <c r="Z475" s="273"/>
      <c r="AA475" s="273"/>
      <c r="AB475" s="273"/>
      <c r="AC475" s="273"/>
      <c r="AD475" s="273"/>
      <c r="AE475" s="273"/>
      <c r="AF475" s="273"/>
      <c r="AG475" s="273"/>
      <c r="AH475" s="273"/>
      <c r="AI475" s="273"/>
    </row>
    <row r="476" spans="1:35" ht="14.25" customHeight="1">
      <c r="A476" s="273"/>
      <c r="B476" s="273"/>
      <c r="C476" s="273"/>
      <c r="D476" s="273"/>
      <c r="E476" s="273"/>
      <c r="F476" s="273"/>
      <c r="G476" s="273"/>
      <c r="H476" s="273"/>
      <c r="I476" s="273"/>
      <c r="J476" s="273"/>
      <c r="K476" s="273"/>
      <c r="L476" s="274"/>
      <c r="M476" s="273"/>
      <c r="N476" s="273"/>
      <c r="O476" s="273"/>
      <c r="P476" s="273"/>
      <c r="Q476" s="273"/>
      <c r="R476" s="273"/>
      <c r="S476" s="273"/>
      <c r="T476" s="273"/>
      <c r="U476" s="273"/>
      <c r="V476" s="273"/>
      <c r="W476" s="273"/>
      <c r="X476" s="274"/>
      <c r="Y476" s="273"/>
      <c r="Z476" s="273"/>
      <c r="AA476" s="273"/>
      <c r="AB476" s="273"/>
      <c r="AC476" s="273"/>
      <c r="AD476" s="273"/>
      <c r="AE476" s="273"/>
      <c r="AF476" s="273"/>
      <c r="AG476" s="273"/>
      <c r="AH476" s="273"/>
      <c r="AI476" s="273"/>
    </row>
    <row r="477" spans="1:35" ht="14.25" customHeight="1">
      <c r="A477" s="273"/>
      <c r="B477" s="273"/>
      <c r="C477" s="273"/>
      <c r="D477" s="273"/>
      <c r="E477" s="273"/>
      <c r="F477" s="273"/>
      <c r="G477" s="273"/>
      <c r="H477" s="273"/>
      <c r="I477" s="273"/>
      <c r="J477" s="273"/>
      <c r="K477" s="273"/>
      <c r="L477" s="274"/>
      <c r="M477" s="273"/>
      <c r="N477" s="273"/>
      <c r="O477" s="273"/>
      <c r="P477" s="273"/>
      <c r="Q477" s="273"/>
      <c r="R477" s="273"/>
      <c r="S477" s="273"/>
      <c r="T477" s="273"/>
      <c r="U477" s="273"/>
      <c r="V477" s="273"/>
      <c r="W477" s="273"/>
      <c r="X477" s="274"/>
      <c r="Y477" s="273"/>
      <c r="Z477" s="273"/>
      <c r="AA477" s="273"/>
      <c r="AB477" s="273"/>
      <c r="AC477" s="273"/>
      <c r="AD477" s="273"/>
      <c r="AE477" s="273"/>
      <c r="AF477" s="273"/>
      <c r="AG477" s="273"/>
      <c r="AH477" s="273"/>
      <c r="AI477" s="273"/>
    </row>
    <row r="478" spans="1:35" ht="14.25" customHeight="1">
      <c r="A478" s="273"/>
      <c r="B478" s="273"/>
      <c r="C478" s="273"/>
      <c r="D478" s="273"/>
      <c r="E478" s="273"/>
      <c r="F478" s="273"/>
      <c r="G478" s="273"/>
      <c r="H478" s="273"/>
      <c r="I478" s="273"/>
      <c r="J478" s="273"/>
      <c r="K478" s="273"/>
      <c r="L478" s="274"/>
      <c r="M478" s="273"/>
      <c r="N478" s="273"/>
      <c r="O478" s="273"/>
      <c r="P478" s="273"/>
      <c r="Q478" s="273"/>
      <c r="R478" s="273"/>
      <c r="S478" s="273"/>
      <c r="T478" s="273"/>
      <c r="U478" s="273"/>
      <c r="V478" s="273"/>
      <c r="W478" s="273"/>
      <c r="X478" s="274"/>
      <c r="Y478" s="273"/>
      <c r="Z478" s="273"/>
      <c r="AA478" s="273"/>
      <c r="AB478" s="273"/>
      <c r="AC478" s="273"/>
      <c r="AD478" s="273"/>
      <c r="AE478" s="273"/>
      <c r="AF478" s="273"/>
      <c r="AG478" s="273"/>
      <c r="AH478" s="273"/>
      <c r="AI478" s="273"/>
    </row>
    <row r="479" spans="1:35" ht="14.25" customHeight="1">
      <c r="A479" s="273"/>
      <c r="B479" s="273"/>
      <c r="C479" s="273"/>
      <c r="D479" s="273"/>
      <c r="E479" s="273"/>
      <c r="F479" s="273"/>
      <c r="G479" s="273"/>
      <c r="H479" s="273"/>
      <c r="I479" s="273"/>
      <c r="J479" s="273"/>
      <c r="K479" s="273"/>
      <c r="L479" s="274"/>
      <c r="M479" s="273"/>
      <c r="N479" s="273"/>
      <c r="O479" s="273"/>
      <c r="P479" s="273"/>
      <c r="Q479" s="273"/>
      <c r="R479" s="273"/>
      <c r="S479" s="273"/>
      <c r="T479" s="273"/>
      <c r="U479" s="273"/>
      <c r="V479" s="273"/>
      <c r="W479" s="273"/>
      <c r="X479" s="274"/>
      <c r="Y479" s="273"/>
      <c r="Z479" s="273"/>
      <c r="AA479" s="273"/>
      <c r="AB479" s="273"/>
      <c r="AC479" s="273"/>
      <c r="AD479" s="273"/>
      <c r="AE479" s="273"/>
      <c r="AF479" s="273"/>
      <c r="AG479" s="273"/>
      <c r="AH479" s="273"/>
      <c r="AI479" s="273"/>
    </row>
    <row r="480" spans="1:35" ht="14.25" customHeight="1">
      <c r="A480" s="273"/>
      <c r="B480" s="273"/>
      <c r="C480" s="273"/>
      <c r="D480" s="273"/>
      <c r="E480" s="273"/>
      <c r="F480" s="273"/>
      <c r="G480" s="273"/>
      <c r="H480" s="273"/>
      <c r="I480" s="273"/>
      <c r="J480" s="273"/>
      <c r="K480" s="273"/>
      <c r="L480" s="274"/>
      <c r="M480" s="273"/>
      <c r="N480" s="273"/>
      <c r="O480" s="273"/>
      <c r="P480" s="273"/>
      <c r="Q480" s="273"/>
      <c r="R480" s="273"/>
      <c r="S480" s="273"/>
      <c r="T480" s="273"/>
      <c r="U480" s="273"/>
      <c r="V480" s="273"/>
      <c r="W480" s="273"/>
      <c r="X480" s="274"/>
      <c r="Y480" s="273"/>
      <c r="Z480" s="273"/>
      <c r="AA480" s="273"/>
      <c r="AB480" s="273"/>
      <c r="AC480" s="273"/>
      <c r="AD480" s="273"/>
      <c r="AE480" s="273"/>
      <c r="AF480" s="273"/>
      <c r="AG480" s="273"/>
      <c r="AH480" s="273"/>
      <c r="AI480" s="273"/>
    </row>
    <row r="481" spans="1:35" ht="14.25" customHeight="1">
      <c r="A481" s="273"/>
      <c r="B481" s="273"/>
      <c r="C481" s="273"/>
      <c r="D481" s="273"/>
      <c r="E481" s="273"/>
      <c r="F481" s="273"/>
      <c r="G481" s="273"/>
      <c r="H481" s="273"/>
      <c r="I481" s="273"/>
      <c r="J481" s="273"/>
      <c r="K481" s="273"/>
      <c r="L481" s="274"/>
      <c r="M481" s="273"/>
      <c r="N481" s="273"/>
      <c r="O481" s="273"/>
      <c r="P481" s="273"/>
      <c r="Q481" s="273"/>
      <c r="R481" s="273"/>
      <c r="S481" s="273"/>
      <c r="T481" s="273"/>
      <c r="U481" s="273"/>
      <c r="V481" s="273"/>
      <c r="W481" s="273"/>
      <c r="X481" s="274"/>
      <c r="Y481" s="273"/>
      <c r="Z481" s="273"/>
      <c r="AA481" s="273"/>
      <c r="AB481" s="273"/>
      <c r="AC481" s="273"/>
      <c r="AD481" s="273"/>
      <c r="AE481" s="273"/>
      <c r="AF481" s="273"/>
      <c r="AG481" s="273"/>
      <c r="AH481" s="273"/>
      <c r="AI481" s="273"/>
    </row>
    <row r="482" spans="1:35" ht="14.25" customHeight="1">
      <c r="A482" s="273"/>
      <c r="B482" s="273"/>
      <c r="C482" s="273"/>
      <c r="D482" s="273"/>
      <c r="E482" s="273"/>
      <c r="F482" s="273"/>
      <c r="G482" s="273"/>
      <c r="H482" s="273"/>
      <c r="I482" s="273"/>
      <c r="J482" s="273"/>
      <c r="K482" s="273"/>
      <c r="L482" s="274"/>
      <c r="M482" s="273"/>
      <c r="N482" s="273"/>
      <c r="O482" s="273"/>
      <c r="P482" s="273"/>
      <c r="Q482" s="273"/>
      <c r="R482" s="273"/>
      <c r="S482" s="273"/>
      <c r="T482" s="273"/>
      <c r="U482" s="273"/>
      <c r="V482" s="273"/>
      <c r="W482" s="273"/>
      <c r="X482" s="274"/>
      <c r="Y482" s="273"/>
      <c r="Z482" s="273"/>
      <c r="AA482" s="273"/>
      <c r="AB482" s="273"/>
      <c r="AC482" s="273"/>
      <c r="AD482" s="273"/>
      <c r="AE482" s="273"/>
      <c r="AF482" s="273"/>
      <c r="AG482" s="273"/>
      <c r="AH482" s="273"/>
      <c r="AI482" s="273"/>
    </row>
    <row r="483" spans="1:35" ht="14.25" customHeight="1">
      <c r="A483" s="273"/>
      <c r="B483" s="273"/>
      <c r="C483" s="273"/>
      <c r="D483" s="273"/>
      <c r="E483" s="273"/>
      <c r="F483" s="273"/>
      <c r="G483" s="273"/>
      <c r="H483" s="273"/>
      <c r="I483" s="273"/>
      <c r="J483" s="273"/>
      <c r="K483" s="273"/>
      <c r="L483" s="274"/>
      <c r="M483" s="273"/>
      <c r="N483" s="273"/>
      <c r="O483" s="273"/>
      <c r="P483" s="273"/>
      <c r="Q483" s="273"/>
      <c r="R483" s="273"/>
      <c r="S483" s="273"/>
      <c r="T483" s="273"/>
      <c r="U483" s="273"/>
      <c r="V483" s="273"/>
      <c r="W483" s="273"/>
      <c r="X483" s="274"/>
      <c r="Y483" s="273"/>
      <c r="Z483" s="273"/>
      <c r="AA483" s="273"/>
      <c r="AB483" s="273"/>
      <c r="AC483" s="273"/>
      <c r="AD483" s="273"/>
      <c r="AE483" s="273"/>
      <c r="AF483" s="273"/>
      <c r="AG483" s="273"/>
      <c r="AH483" s="273"/>
      <c r="AI483" s="273"/>
    </row>
    <row r="484" spans="1:35" ht="14.25" customHeight="1">
      <c r="A484" s="273"/>
      <c r="B484" s="273"/>
      <c r="C484" s="273"/>
      <c r="D484" s="273"/>
      <c r="E484" s="273"/>
      <c r="F484" s="273"/>
      <c r="G484" s="273"/>
      <c r="H484" s="273"/>
      <c r="I484" s="273"/>
      <c r="J484" s="273"/>
      <c r="K484" s="273"/>
      <c r="L484" s="274"/>
      <c r="M484" s="273"/>
      <c r="N484" s="273"/>
      <c r="O484" s="273"/>
      <c r="P484" s="273"/>
      <c r="Q484" s="273"/>
      <c r="R484" s="273"/>
      <c r="S484" s="273"/>
      <c r="T484" s="273"/>
      <c r="U484" s="273"/>
      <c r="V484" s="273"/>
      <c r="W484" s="273"/>
      <c r="X484" s="274"/>
      <c r="Y484" s="273"/>
      <c r="Z484" s="273"/>
      <c r="AA484" s="273"/>
      <c r="AB484" s="273"/>
      <c r="AC484" s="273"/>
      <c r="AD484" s="273"/>
      <c r="AE484" s="273"/>
      <c r="AF484" s="273"/>
      <c r="AG484" s="273"/>
      <c r="AH484" s="273"/>
      <c r="AI484" s="273"/>
    </row>
    <row r="485" spans="1:35" ht="14.25" customHeight="1">
      <c r="A485" s="273"/>
      <c r="B485" s="273"/>
      <c r="C485" s="273"/>
      <c r="D485" s="273"/>
      <c r="E485" s="273"/>
      <c r="F485" s="273"/>
      <c r="G485" s="273"/>
      <c r="H485" s="273"/>
      <c r="I485" s="273"/>
      <c r="J485" s="273"/>
      <c r="K485" s="273"/>
      <c r="L485" s="274"/>
      <c r="M485" s="273"/>
      <c r="N485" s="273"/>
      <c r="O485" s="273"/>
      <c r="P485" s="273"/>
      <c r="Q485" s="273"/>
      <c r="R485" s="273"/>
      <c r="S485" s="273"/>
      <c r="T485" s="273"/>
      <c r="U485" s="273"/>
      <c r="V485" s="273"/>
      <c r="W485" s="273"/>
      <c r="X485" s="274"/>
      <c r="Y485" s="273"/>
      <c r="Z485" s="273"/>
      <c r="AA485" s="273"/>
      <c r="AB485" s="273"/>
      <c r="AC485" s="273"/>
      <c r="AD485" s="273"/>
      <c r="AE485" s="273"/>
      <c r="AF485" s="273"/>
      <c r="AG485" s="273"/>
      <c r="AH485" s="273"/>
      <c r="AI485" s="273"/>
    </row>
    <row r="486" spans="1:35" ht="14.25" customHeight="1">
      <c r="A486" s="273"/>
      <c r="B486" s="273"/>
      <c r="C486" s="273"/>
      <c r="D486" s="273"/>
      <c r="E486" s="273"/>
      <c r="F486" s="273"/>
      <c r="G486" s="273"/>
      <c r="H486" s="273"/>
      <c r="I486" s="273"/>
      <c r="J486" s="273"/>
      <c r="K486" s="273"/>
      <c r="L486" s="274"/>
      <c r="M486" s="273"/>
      <c r="N486" s="273"/>
      <c r="O486" s="273"/>
      <c r="P486" s="273"/>
      <c r="Q486" s="273"/>
      <c r="R486" s="273"/>
      <c r="S486" s="273"/>
      <c r="T486" s="273"/>
      <c r="U486" s="273"/>
      <c r="V486" s="273"/>
      <c r="W486" s="273"/>
      <c r="X486" s="274"/>
      <c r="Y486" s="273"/>
      <c r="Z486" s="273"/>
      <c r="AA486" s="273"/>
      <c r="AB486" s="273"/>
      <c r="AC486" s="273"/>
      <c r="AD486" s="273"/>
      <c r="AE486" s="273"/>
      <c r="AF486" s="273"/>
      <c r="AG486" s="273"/>
      <c r="AH486" s="273"/>
      <c r="AI486" s="273"/>
    </row>
    <row r="487" spans="1:35" ht="14.25" customHeight="1">
      <c r="A487" s="273"/>
      <c r="B487" s="273"/>
      <c r="C487" s="273"/>
      <c r="D487" s="273"/>
      <c r="E487" s="273"/>
      <c r="F487" s="273"/>
      <c r="G487" s="273"/>
      <c r="H487" s="273"/>
      <c r="I487" s="273"/>
      <c r="J487" s="273"/>
      <c r="K487" s="273"/>
      <c r="L487" s="274"/>
      <c r="M487" s="273"/>
      <c r="N487" s="273"/>
      <c r="O487" s="273"/>
      <c r="P487" s="273"/>
      <c r="Q487" s="273"/>
      <c r="R487" s="273"/>
      <c r="S487" s="273"/>
      <c r="T487" s="273"/>
      <c r="U487" s="273"/>
      <c r="V487" s="273"/>
      <c r="W487" s="273"/>
      <c r="X487" s="274"/>
      <c r="Y487" s="273"/>
      <c r="Z487" s="273"/>
      <c r="AA487" s="273"/>
      <c r="AB487" s="273"/>
      <c r="AC487" s="273"/>
      <c r="AD487" s="273"/>
      <c r="AE487" s="273"/>
      <c r="AF487" s="273"/>
      <c r="AG487" s="273"/>
      <c r="AH487" s="273"/>
      <c r="AI487" s="273"/>
    </row>
    <row r="488" spans="1:35" ht="14.25" customHeight="1">
      <c r="A488" s="273"/>
      <c r="B488" s="273"/>
      <c r="C488" s="273"/>
      <c r="D488" s="273"/>
      <c r="E488" s="273"/>
      <c r="F488" s="273"/>
      <c r="G488" s="273"/>
      <c r="H488" s="273"/>
      <c r="I488" s="273"/>
      <c r="J488" s="273"/>
      <c r="K488" s="273"/>
      <c r="L488" s="274"/>
      <c r="M488" s="273"/>
      <c r="N488" s="273"/>
      <c r="O488" s="273"/>
      <c r="P488" s="273"/>
      <c r="Q488" s="273"/>
      <c r="R488" s="273"/>
      <c r="S488" s="273"/>
      <c r="T488" s="273"/>
      <c r="U488" s="273"/>
      <c r="V488" s="273"/>
      <c r="W488" s="273"/>
      <c r="X488" s="274"/>
      <c r="Y488" s="273"/>
      <c r="Z488" s="273"/>
      <c r="AA488" s="273"/>
      <c r="AB488" s="273"/>
      <c r="AC488" s="273"/>
      <c r="AD488" s="273"/>
      <c r="AE488" s="273"/>
      <c r="AF488" s="273"/>
      <c r="AG488" s="273"/>
      <c r="AH488" s="273"/>
      <c r="AI488" s="273"/>
    </row>
    <row r="489" spans="1:35" ht="14.25" customHeight="1">
      <c r="A489" s="273"/>
      <c r="B489" s="273"/>
      <c r="C489" s="273"/>
      <c r="D489" s="273"/>
      <c r="E489" s="273"/>
      <c r="F489" s="273"/>
      <c r="G489" s="273"/>
      <c r="H489" s="273"/>
      <c r="I489" s="273"/>
      <c r="J489" s="273"/>
      <c r="K489" s="273"/>
      <c r="L489" s="274"/>
      <c r="M489" s="273"/>
      <c r="N489" s="273"/>
      <c r="O489" s="273"/>
      <c r="P489" s="273"/>
      <c r="Q489" s="273"/>
      <c r="R489" s="273"/>
      <c r="S489" s="273"/>
      <c r="T489" s="273"/>
      <c r="U489" s="273"/>
      <c r="V489" s="273"/>
      <c r="W489" s="273"/>
      <c r="X489" s="274"/>
      <c r="Y489" s="273"/>
      <c r="Z489" s="273"/>
      <c r="AA489" s="273"/>
      <c r="AB489" s="273"/>
      <c r="AC489" s="273"/>
      <c r="AD489" s="273"/>
      <c r="AE489" s="273"/>
      <c r="AF489" s="273"/>
      <c r="AG489" s="273"/>
      <c r="AH489" s="273"/>
      <c r="AI489" s="273"/>
    </row>
    <row r="490" spans="1:35" ht="14.25" customHeight="1">
      <c r="A490" s="273"/>
      <c r="B490" s="273"/>
      <c r="C490" s="273"/>
      <c r="D490" s="273"/>
      <c r="E490" s="273"/>
      <c r="F490" s="273"/>
      <c r="G490" s="273"/>
      <c r="H490" s="273"/>
      <c r="I490" s="273"/>
      <c r="J490" s="273"/>
      <c r="K490" s="273"/>
      <c r="L490" s="274"/>
      <c r="M490" s="273"/>
      <c r="N490" s="273"/>
      <c r="O490" s="273"/>
      <c r="P490" s="273"/>
      <c r="Q490" s="273"/>
      <c r="R490" s="273"/>
      <c r="S490" s="273"/>
      <c r="T490" s="273"/>
      <c r="U490" s="273"/>
      <c r="V490" s="273"/>
      <c r="W490" s="273"/>
      <c r="X490" s="274"/>
      <c r="Y490" s="273"/>
      <c r="Z490" s="273"/>
      <c r="AA490" s="273"/>
      <c r="AB490" s="273"/>
      <c r="AC490" s="273"/>
      <c r="AD490" s="273"/>
      <c r="AE490" s="273"/>
      <c r="AF490" s="273"/>
      <c r="AG490" s="273"/>
      <c r="AH490" s="273"/>
      <c r="AI490" s="273"/>
    </row>
    <row r="491" spans="1:35" ht="14.25" customHeight="1">
      <c r="A491" s="273"/>
      <c r="B491" s="273"/>
      <c r="C491" s="273"/>
      <c r="D491" s="273"/>
      <c r="E491" s="273"/>
      <c r="F491" s="273"/>
      <c r="G491" s="273"/>
      <c r="H491" s="273"/>
      <c r="I491" s="273"/>
      <c r="J491" s="273"/>
      <c r="K491" s="273"/>
      <c r="L491" s="274"/>
      <c r="M491" s="273"/>
      <c r="N491" s="273"/>
      <c r="O491" s="273"/>
      <c r="P491" s="273"/>
      <c r="Q491" s="273"/>
      <c r="R491" s="273"/>
      <c r="S491" s="273"/>
      <c r="T491" s="273"/>
      <c r="U491" s="273"/>
      <c r="V491" s="273"/>
      <c r="W491" s="273"/>
      <c r="X491" s="274"/>
      <c r="Y491" s="273"/>
      <c r="Z491" s="273"/>
      <c r="AA491" s="273"/>
      <c r="AB491" s="273"/>
      <c r="AC491" s="273"/>
      <c r="AD491" s="273"/>
      <c r="AE491" s="273"/>
      <c r="AF491" s="273"/>
      <c r="AG491" s="273"/>
      <c r="AH491" s="273"/>
      <c r="AI491" s="273"/>
    </row>
    <row r="492" spans="1:35" ht="14.25" customHeight="1">
      <c r="A492" s="273"/>
      <c r="B492" s="273"/>
      <c r="C492" s="273"/>
      <c r="D492" s="273"/>
      <c r="E492" s="273"/>
      <c r="F492" s="273"/>
      <c r="G492" s="273"/>
      <c r="H492" s="273"/>
      <c r="I492" s="273"/>
      <c r="J492" s="273"/>
      <c r="K492" s="273"/>
      <c r="L492" s="274"/>
      <c r="M492" s="273"/>
      <c r="N492" s="273"/>
      <c r="O492" s="273"/>
      <c r="P492" s="273"/>
      <c r="Q492" s="273"/>
      <c r="R492" s="273"/>
      <c r="S492" s="273"/>
      <c r="T492" s="273"/>
      <c r="U492" s="273"/>
      <c r="V492" s="273"/>
      <c r="W492" s="273"/>
      <c r="X492" s="274"/>
      <c r="Y492" s="273"/>
      <c r="Z492" s="273"/>
      <c r="AA492" s="273"/>
      <c r="AB492" s="273"/>
      <c r="AC492" s="273"/>
      <c r="AD492" s="273"/>
      <c r="AE492" s="273"/>
      <c r="AF492" s="273"/>
      <c r="AG492" s="273"/>
      <c r="AH492" s="273"/>
      <c r="AI492" s="273"/>
    </row>
    <row r="493" spans="1:35" ht="14.25" customHeight="1">
      <c r="A493" s="273"/>
      <c r="B493" s="273"/>
      <c r="C493" s="273"/>
      <c r="D493" s="273"/>
      <c r="E493" s="273"/>
      <c r="F493" s="273"/>
      <c r="G493" s="273"/>
      <c r="H493" s="273"/>
      <c r="I493" s="273"/>
      <c r="J493" s="273"/>
      <c r="K493" s="273"/>
      <c r="L493" s="274"/>
      <c r="M493" s="273"/>
      <c r="N493" s="273"/>
      <c r="O493" s="273"/>
      <c r="P493" s="273"/>
      <c r="Q493" s="273"/>
      <c r="R493" s="273"/>
      <c r="S493" s="273"/>
      <c r="T493" s="273"/>
      <c r="U493" s="273"/>
      <c r="V493" s="273"/>
      <c r="W493" s="273"/>
      <c r="X493" s="274"/>
      <c r="Y493" s="273"/>
      <c r="Z493" s="273"/>
      <c r="AA493" s="273"/>
      <c r="AB493" s="273"/>
      <c r="AC493" s="273"/>
      <c r="AD493" s="273"/>
      <c r="AE493" s="273"/>
      <c r="AF493" s="273"/>
      <c r="AG493" s="273"/>
      <c r="AH493" s="273"/>
      <c r="AI493" s="273"/>
    </row>
    <row r="494" spans="1:35" ht="14.25" customHeight="1">
      <c r="A494" s="273"/>
      <c r="B494" s="273"/>
      <c r="C494" s="273"/>
      <c r="D494" s="273"/>
      <c r="E494" s="273"/>
      <c r="F494" s="273"/>
      <c r="G494" s="273"/>
      <c r="H494" s="273"/>
      <c r="I494" s="273"/>
      <c r="J494" s="273"/>
      <c r="K494" s="273"/>
      <c r="L494" s="274"/>
      <c r="M494" s="273"/>
      <c r="N494" s="273"/>
      <c r="O494" s="273"/>
      <c r="P494" s="273"/>
      <c r="Q494" s="273"/>
      <c r="R494" s="273"/>
      <c r="S494" s="273"/>
      <c r="T494" s="273"/>
      <c r="U494" s="273"/>
      <c r="V494" s="273"/>
      <c r="W494" s="273"/>
      <c r="X494" s="274"/>
      <c r="Y494" s="273"/>
      <c r="Z494" s="273"/>
      <c r="AA494" s="273"/>
      <c r="AB494" s="273"/>
      <c r="AC494" s="273"/>
      <c r="AD494" s="273"/>
      <c r="AE494" s="273"/>
      <c r="AF494" s="273"/>
      <c r="AG494" s="273"/>
      <c r="AH494" s="273"/>
      <c r="AI494" s="273"/>
    </row>
    <row r="495" spans="1:35" ht="14.25" customHeight="1">
      <c r="A495" s="273"/>
      <c r="B495" s="273"/>
      <c r="C495" s="273"/>
      <c r="D495" s="273"/>
      <c r="E495" s="273"/>
      <c r="F495" s="273"/>
      <c r="G495" s="273"/>
      <c r="H495" s="273"/>
      <c r="I495" s="273"/>
      <c r="J495" s="273"/>
      <c r="K495" s="273"/>
      <c r="L495" s="274"/>
      <c r="M495" s="273"/>
      <c r="N495" s="273"/>
      <c r="O495" s="273"/>
      <c r="P495" s="273"/>
      <c r="Q495" s="273"/>
      <c r="R495" s="273"/>
      <c r="S495" s="273"/>
      <c r="T495" s="273"/>
      <c r="U495" s="273"/>
      <c r="V495" s="273"/>
      <c r="W495" s="273"/>
      <c r="X495" s="274"/>
      <c r="Y495" s="273"/>
      <c r="Z495" s="273"/>
      <c r="AA495" s="273"/>
      <c r="AB495" s="273"/>
      <c r="AC495" s="273"/>
      <c r="AD495" s="273"/>
      <c r="AE495" s="273"/>
      <c r="AF495" s="273"/>
      <c r="AG495" s="273"/>
      <c r="AH495" s="273"/>
      <c r="AI495" s="273"/>
    </row>
    <row r="496" spans="1:35" ht="14.25" customHeight="1">
      <c r="A496" s="273"/>
      <c r="B496" s="273"/>
      <c r="C496" s="273"/>
      <c r="D496" s="273"/>
      <c r="E496" s="273"/>
      <c r="F496" s="273"/>
      <c r="G496" s="273"/>
      <c r="H496" s="273"/>
      <c r="I496" s="273"/>
      <c r="J496" s="273"/>
      <c r="K496" s="273"/>
      <c r="L496" s="274"/>
      <c r="M496" s="273"/>
      <c r="N496" s="273"/>
      <c r="O496" s="273"/>
      <c r="P496" s="273"/>
      <c r="Q496" s="273"/>
      <c r="R496" s="273"/>
      <c r="S496" s="273"/>
      <c r="T496" s="273"/>
      <c r="U496" s="273"/>
      <c r="V496" s="273"/>
      <c r="W496" s="273"/>
      <c r="X496" s="274"/>
      <c r="Y496" s="273"/>
      <c r="Z496" s="273"/>
      <c r="AA496" s="273"/>
      <c r="AB496" s="273"/>
      <c r="AC496" s="273"/>
      <c r="AD496" s="273"/>
      <c r="AE496" s="273"/>
      <c r="AF496" s="273"/>
      <c r="AG496" s="273"/>
      <c r="AH496" s="273"/>
      <c r="AI496" s="273"/>
    </row>
    <row r="497" spans="1:35" ht="14.25" customHeight="1">
      <c r="A497" s="273"/>
      <c r="B497" s="273"/>
      <c r="C497" s="273"/>
      <c r="D497" s="273"/>
      <c r="E497" s="273"/>
      <c r="F497" s="273"/>
      <c r="G497" s="273"/>
      <c r="H497" s="273"/>
      <c r="I497" s="273"/>
      <c r="J497" s="273"/>
      <c r="K497" s="273"/>
      <c r="L497" s="274"/>
      <c r="M497" s="273"/>
      <c r="N497" s="273"/>
      <c r="O497" s="273"/>
      <c r="P497" s="273"/>
      <c r="Q497" s="273"/>
      <c r="R497" s="273"/>
      <c r="S497" s="273"/>
      <c r="T497" s="273"/>
      <c r="U497" s="273"/>
      <c r="V497" s="273"/>
      <c r="W497" s="273"/>
      <c r="X497" s="274"/>
      <c r="Y497" s="273"/>
      <c r="Z497" s="273"/>
      <c r="AA497" s="273"/>
      <c r="AB497" s="273"/>
      <c r="AC497" s="273"/>
      <c r="AD497" s="273"/>
      <c r="AE497" s="273"/>
      <c r="AF497" s="273"/>
      <c r="AG497" s="273"/>
      <c r="AH497" s="273"/>
      <c r="AI497" s="273"/>
    </row>
    <row r="498" spans="1:35" ht="14.25" customHeight="1">
      <c r="A498" s="273"/>
      <c r="B498" s="273"/>
      <c r="C498" s="273"/>
      <c r="D498" s="273"/>
      <c r="E498" s="273"/>
      <c r="F498" s="273"/>
      <c r="G498" s="273"/>
      <c r="H498" s="273"/>
      <c r="I498" s="273"/>
      <c r="J498" s="273"/>
      <c r="K498" s="273"/>
      <c r="L498" s="274"/>
      <c r="M498" s="273"/>
      <c r="N498" s="273"/>
      <c r="O498" s="273"/>
      <c r="P498" s="273"/>
      <c r="Q498" s="273"/>
      <c r="R498" s="273"/>
      <c r="S498" s="273"/>
      <c r="T498" s="273"/>
      <c r="U498" s="273"/>
      <c r="V498" s="273"/>
      <c r="W498" s="273"/>
      <c r="X498" s="274"/>
      <c r="Y498" s="273"/>
      <c r="Z498" s="273"/>
      <c r="AA498" s="273"/>
      <c r="AB498" s="273"/>
      <c r="AC498" s="273"/>
      <c r="AD498" s="273"/>
      <c r="AE498" s="273"/>
      <c r="AF498" s="273"/>
      <c r="AG498" s="273"/>
      <c r="AH498" s="273"/>
      <c r="AI498" s="273"/>
    </row>
    <row r="499" spans="1:35" ht="14.25" customHeight="1">
      <c r="A499" s="273"/>
      <c r="B499" s="273"/>
      <c r="C499" s="273"/>
      <c r="D499" s="273"/>
      <c r="E499" s="273"/>
      <c r="F499" s="273"/>
      <c r="G499" s="273"/>
      <c r="H499" s="273"/>
      <c r="I499" s="273"/>
      <c r="J499" s="273"/>
      <c r="K499" s="273"/>
      <c r="L499" s="274"/>
      <c r="M499" s="273"/>
      <c r="N499" s="273"/>
      <c r="O499" s="273"/>
      <c r="P499" s="273"/>
      <c r="Q499" s="273"/>
      <c r="R499" s="273"/>
      <c r="S499" s="273"/>
      <c r="T499" s="273"/>
      <c r="U499" s="273"/>
      <c r="V499" s="273"/>
      <c r="W499" s="273"/>
      <c r="X499" s="274"/>
      <c r="Y499" s="273"/>
      <c r="Z499" s="273"/>
      <c r="AA499" s="273"/>
      <c r="AB499" s="273"/>
      <c r="AC499" s="273"/>
      <c r="AD499" s="273"/>
      <c r="AE499" s="273"/>
      <c r="AF499" s="273"/>
      <c r="AG499" s="273"/>
      <c r="AH499" s="273"/>
      <c r="AI499" s="273"/>
    </row>
    <row r="500" spans="1:35" ht="14.25" customHeight="1">
      <c r="A500" s="273"/>
      <c r="B500" s="273"/>
      <c r="C500" s="273"/>
      <c r="D500" s="273"/>
      <c r="E500" s="273"/>
      <c r="F500" s="273"/>
      <c r="G500" s="273"/>
      <c r="H500" s="273"/>
      <c r="I500" s="273"/>
      <c r="J500" s="273"/>
      <c r="K500" s="273"/>
      <c r="L500" s="274"/>
      <c r="M500" s="273"/>
      <c r="N500" s="273"/>
      <c r="O500" s="273"/>
      <c r="P500" s="273"/>
      <c r="Q500" s="273"/>
      <c r="R500" s="273"/>
      <c r="S500" s="273"/>
      <c r="T500" s="273"/>
      <c r="U500" s="273"/>
      <c r="V500" s="273"/>
      <c r="W500" s="273"/>
      <c r="X500" s="274"/>
      <c r="Y500" s="273"/>
      <c r="Z500" s="273"/>
      <c r="AA500" s="273"/>
      <c r="AB500" s="273"/>
      <c r="AC500" s="273"/>
      <c r="AD500" s="273"/>
      <c r="AE500" s="273"/>
      <c r="AF500" s="273"/>
      <c r="AG500" s="273"/>
      <c r="AH500" s="273"/>
      <c r="AI500" s="273"/>
    </row>
    <row r="501" spans="1:35" ht="14.25" customHeight="1">
      <c r="A501" s="273"/>
      <c r="B501" s="273"/>
      <c r="C501" s="273"/>
      <c r="D501" s="273"/>
      <c r="E501" s="273"/>
      <c r="F501" s="273"/>
      <c r="G501" s="273"/>
      <c r="H501" s="273"/>
      <c r="I501" s="273"/>
      <c r="J501" s="273"/>
      <c r="K501" s="273"/>
      <c r="L501" s="274"/>
      <c r="M501" s="273"/>
      <c r="N501" s="273"/>
      <c r="O501" s="273"/>
      <c r="P501" s="273"/>
      <c r="Q501" s="273"/>
      <c r="R501" s="273"/>
      <c r="S501" s="273"/>
      <c r="T501" s="273"/>
      <c r="U501" s="273"/>
      <c r="V501" s="273"/>
      <c r="W501" s="273"/>
      <c r="X501" s="274"/>
      <c r="Y501" s="273"/>
      <c r="Z501" s="273"/>
      <c r="AA501" s="273"/>
      <c r="AB501" s="273"/>
      <c r="AC501" s="273"/>
      <c r="AD501" s="273"/>
      <c r="AE501" s="273"/>
      <c r="AF501" s="273"/>
      <c r="AG501" s="273"/>
      <c r="AH501" s="273"/>
      <c r="AI501" s="273"/>
    </row>
    <row r="502" spans="1:35" ht="14.25" customHeight="1">
      <c r="A502" s="273"/>
      <c r="B502" s="273"/>
      <c r="C502" s="273"/>
      <c r="D502" s="273"/>
      <c r="E502" s="273"/>
      <c r="F502" s="273"/>
      <c r="G502" s="273"/>
      <c r="H502" s="273"/>
      <c r="I502" s="273"/>
      <c r="J502" s="273"/>
      <c r="K502" s="273"/>
      <c r="L502" s="274"/>
      <c r="M502" s="273"/>
      <c r="N502" s="273"/>
      <c r="O502" s="273"/>
      <c r="P502" s="273"/>
      <c r="Q502" s="273"/>
      <c r="R502" s="273"/>
      <c r="S502" s="273"/>
      <c r="T502" s="273"/>
      <c r="U502" s="273"/>
      <c r="V502" s="273"/>
      <c r="W502" s="273"/>
      <c r="X502" s="274"/>
      <c r="Y502" s="273"/>
      <c r="Z502" s="273"/>
      <c r="AA502" s="273"/>
      <c r="AB502" s="273"/>
      <c r="AC502" s="273"/>
      <c r="AD502" s="273"/>
      <c r="AE502" s="273"/>
      <c r="AF502" s="273"/>
      <c r="AG502" s="273"/>
      <c r="AH502" s="273"/>
      <c r="AI502" s="273"/>
    </row>
    <row r="503" spans="1:35" ht="14.25" customHeight="1">
      <c r="A503" s="273"/>
      <c r="B503" s="273"/>
      <c r="C503" s="273"/>
      <c r="D503" s="273"/>
      <c r="E503" s="273"/>
      <c r="F503" s="273"/>
      <c r="G503" s="273"/>
      <c r="H503" s="273"/>
      <c r="I503" s="273"/>
      <c r="J503" s="273"/>
      <c r="K503" s="273"/>
      <c r="L503" s="274"/>
      <c r="M503" s="273"/>
      <c r="N503" s="273"/>
      <c r="O503" s="273"/>
      <c r="P503" s="273"/>
      <c r="Q503" s="273"/>
      <c r="R503" s="273"/>
      <c r="S503" s="273"/>
      <c r="T503" s="273"/>
      <c r="U503" s="273"/>
      <c r="V503" s="273"/>
      <c r="W503" s="273"/>
      <c r="X503" s="274"/>
      <c r="Y503" s="273"/>
      <c r="Z503" s="273"/>
      <c r="AA503" s="273"/>
      <c r="AB503" s="273"/>
      <c r="AC503" s="273"/>
      <c r="AD503" s="273"/>
      <c r="AE503" s="273"/>
      <c r="AF503" s="273"/>
      <c r="AG503" s="273"/>
      <c r="AH503" s="273"/>
      <c r="AI503" s="273"/>
    </row>
    <row r="504" spans="1:35" ht="14.25" customHeight="1">
      <c r="A504" s="273"/>
      <c r="B504" s="273"/>
      <c r="C504" s="273"/>
      <c r="D504" s="273"/>
      <c r="E504" s="273"/>
      <c r="F504" s="273"/>
      <c r="G504" s="273"/>
      <c r="H504" s="273"/>
      <c r="I504" s="273"/>
      <c r="J504" s="273"/>
      <c r="K504" s="273"/>
      <c r="L504" s="274"/>
      <c r="M504" s="273"/>
      <c r="N504" s="273"/>
      <c r="O504" s="273"/>
      <c r="P504" s="273"/>
      <c r="Q504" s="273"/>
      <c r="R504" s="273"/>
      <c r="S504" s="273"/>
      <c r="T504" s="273"/>
      <c r="U504" s="273"/>
      <c r="V504" s="273"/>
      <c r="W504" s="273"/>
      <c r="X504" s="274"/>
      <c r="Y504" s="273"/>
      <c r="Z504" s="273"/>
      <c r="AA504" s="273"/>
      <c r="AB504" s="273"/>
      <c r="AC504" s="273"/>
      <c r="AD504" s="273"/>
      <c r="AE504" s="273"/>
      <c r="AF504" s="273"/>
      <c r="AG504" s="273"/>
      <c r="AH504" s="273"/>
      <c r="AI504" s="273"/>
    </row>
    <row r="505" spans="1:35" ht="14.25" customHeight="1">
      <c r="A505" s="273"/>
      <c r="B505" s="273"/>
      <c r="C505" s="273"/>
      <c r="D505" s="273"/>
      <c r="E505" s="273"/>
      <c r="F505" s="273"/>
      <c r="G505" s="273"/>
      <c r="H505" s="273"/>
      <c r="I505" s="273"/>
      <c r="J505" s="273"/>
      <c r="K505" s="273"/>
      <c r="L505" s="274"/>
      <c r="M505" s="273"/>
      <c r="N505" s="273"/>
      <c r="O505" s="273"/>
      <c r="P505" s="273"/>
      <c r="Q505" s="273"/>
      <c r="R505" s="273"/>
      <c r="S505" s="273"/>
      <c r="T505" s="273"/>
      <c r="U505" s="273"/>
      <c r="V505" s="273"/>
      <c r="W505" s="273"/>
      <c r="X505" s="274"/>
      <c r="Y505" s="273"/>
      <c r="Z505" s="273"/>
      <c r="AA505" s="273"/>
      <c r="AB505" s="273"/>
      <c r="AC505" s="273"/>
      <c r="AD505" s="273"/>
      <c r="AE505" s="273"/>
      <c r="AF505" s="273"/>
      <c r="AG505" s="273"/>
      <c r="AH505" s="273"/>
      <c r="AI505" s="273"/>
    </row>
    <row r="506" spans="1:35" ht="14.25" customHeight="1">
      <c r="A506" s="273"/>
      <c r="B506" s="273"/>
      <c r="C506" s="273"/>
      <c r="D506" s="273"/>
      <c r="E506" s="273"/>
      <c r="F506" s="273"/>
      <c r="G506" s="273"/>
      <c r="H506" s="273"/>
      <c r="I506" s="273"/>
      <c r="J506" s="273"/>
      <c r="K506" s="273"/>
      <c r="L506" s="274"/>
      <c r="M506" s="273"/>
      <c r="N506" s="273"/>
      <c r="O506" s="273"/>
      <c r="P506" s="273"/>
      <c r="Q506" s="273"/>
      <c r="R506" s="273"/>
      <c r="S506" s="273"/>
      <c r="T506" s="273"/>
      <c r="U506" s="273"/>
      <c r="V506" s="273"/>
      <c r="W506" s="273"/>
      <c r="X506" s="274"/>
      <c r="Y506" s="273"/>
      <c r="Z506" s="273"/>
      <c r="AA506" s="273"/>
      <c r="AB506" s="273"/>
      <c r="AC506" s="273"/>
      <c r="AD506" s="273"/>
      <c r="AE506" s="273"/>
      <c r="AF506" s="273"/>
      <c r="AG506" s="273"/>
      <c r="AH506" s="273"/>
      <c r="AI506" s="273"/>
    </row>
    <row r="507" spans="1:35" ht="14.25" customHeight="1">
      <c r="A507" s="273"/>
      <c r="B507" s="273"/>
      <c r="C507" s="273"/>
      <c r="D507" s="273"/>
      <c r="E507" s="273"/>
      <c r="F507" s="273"/>
      <c r="G507" s="273"/>
      <c r="H507" s="273"/>
      <c r="I507" s="273"/>
      <c r="J507" s="273"/>
      <c r="K507" s="273"/>
      <c r="L507" s="274"/>
      <c r="M507" s="273"/>
      <c r="N507" s="273"/>
      <c r="O507" s="273"/>
      <c r="P507" s="273"/>
      <c r="Q507" s="273"/>
      <c r="R507" s="273"/>
      <c r="S507" s="273"/>
      <c r="T507" s="273"/>
      <c r="U507" s="273"/>
      <c r="V507" s="273"/>
      <c r="W507" s="273"/>
      <c r="X507" s="274"/>
      <c r="Y507" s="273"/>
      <c r="Z507" s="273"/>
      <c r="AA507" s="273"/>
      <c r="AB507" s="273"/>
      <c r="AC507" s="273"/>
      <c r="AD507" s="273"/>
      <c r="AE507" s="273"/>
      <c r="AF507" s="273"/>
      <c r="AG507" s="273"/>
      <c r="AH507" s="273"/>
      <c r="AI507" s="273"/>
    </row>
    <row r="508" spans="1:35" ht="14.25" customHeight="1">
      <c r="A508" s="273"/>
      <c r="B508" s="273"/>
      <c r="C508" s="273"/>
      <c r="D508" s="273"/>
      <c r="E508" s="273"/>
      <c r="F508" s="273"/>
      <c r="G508" s="273"/>
      <c r="H508" s="273"/>
      <c r="I508" s="273"/>
      <c r="J508" s="273"/>
      <c r="K508" s="273"/>
      <c r="L508" s="274"/>
      <c r="M508" s="273"/>
      <c r="N508" s="273"/>
      <c r="O508" s="273"/>
      <c r="P508" s="273"/>
      <c r="Q508" s="273"/>
      <c r="R508" s="273"/>
      <c r="S508" s="273"/>
      <c r="T508" s="273"/>
      <c r="U508" s="273"/>
      <c r="V508" s="273"/>
      <c r="W508" s="273"/>
      <c r="X508" s="274"/>
      <c r="Y508" s="273"/>
      <c r="Z508" s="273"/>
      <c r="AA508" s="273"/>
      <c r="AB508" s="273"/>
      <c r="AC508" s="273"/>
      <c r="AD508" s="273"/>
      <c r="AE508" s="273"/>
      <c r="AF508" s="273"/>
      <c r="AG508" s="273"/>
      <c r="AH508" s="273"/>
      <c r="AI508" s="273"/>
    </row>
    <row r="509" spans="1:35" ht="14.25" customHeight="1">
      <c r="A509" s="273"/>
      <c r="B509" s="273"/>
      <c r="C509" s="273"/>
      <c r="D509" s="273"/>
      <c r="E509" s="273"/>
      <c r="F509" s="273"/>
      <c r="G509" s="273"/>
      <c r="H509" s="273"/>
      <c r="I509" s="273"/>
      <c r="J509" s="273"/>
      <c r="K509" s="273"/>
      <c r="L509" s="274"/>
      <c r="M509" s="273"/>
      <c r="N509" s="273"/>
      <c r="O509" s="273"/>
      <c r="P509" s="273"/>
      <c r="Q509" s="273"/>
      <c r="R509" s="273"/>
      <c r="S509" s="273"/>
      <c r="T509" s="273"/>
      <c r="U509" s="273"/>
      <c r="V509" s="273"/>
      <c r="W509" s="273"/>
      <c r="X509" s="274"/>
      <c r="Y509" s="273"/>
      <c r="Z509" s="273"/>
      <c r="AA509" s="273"/>
      <c r="AB509" s="273"/>
      <c r="AC509" s="273"/>
      <c r="AD509" s="273"/>
      <c r="AE509" s="273"/>
      <c r="AF509" s="273"/>
      <c r="AG509" s="273"/>
      <c r="AH509" s="273"/>
      <c r="AI509" s="273"/>
    </row>
    <row r="510" spans="1:35" ht="14.25" customHeight="1">
      <c r="A510" s="273"/>
      <c r="B510" s="273"/>
      <c r="C510" s="273"/>
      <c r="D510" s="273"/>
      <c r="E510" s="273"/>
      <c r="F510" s="273"/>
      <c r="G510" s="273"/>
      <c r="H510" s="273"/>
      <c r="I510" s="273"/>
      <c r="J510" s="273"/>
      <c r="K510" s="273"/>
      <c r="L510" s="274"/>
      <c r="M510" s="273"/>
      <c r="N510" s="273"/>
      <c r="O510" s="273"/>
      <c r="P510" s="273"/>
      <c r="Q510" s="273"/>
      <c r="R510" s="273"/>
      <c r="S510" s="273"/>
      <c r="T510" s="273"/>
      <c r="U510" s="273"/>
      <c r="V510" s="273"/>
      <c r="W510" s="273"/>
      <c r="X510" s="274"/>
      <c r="Y510" s="273"/>
      <c r="Z510" s="273"/>
      <c r="AA510" s="273"/>
      <c r="AB510" s="273"/>
      <c r="AC510" s="273"/>
      <c r="AD510" s="273"/>
      <c r="AE510" s="273"/>
      <c r="AF510" s="273"/>
      <c r="AG510" s="273"/>
      <c r="AH510" s="273"/>
      <c r="AI510" s="273"/>
    </row>
    <row r="511" spans="1:35" ht="14.25" customHeight="1">
      <c r="A511" s="273"/>
      <c r="B511" s="273"/>
      <c r="C511" s="273"/>
      <c r="D511" s="273"/>
      <c r="E511" s="273"/>
      <c r="F511" s="273"/>
      <c r="G511" s="273"/>
      <c r="H511" s="273"/>
      <c r="I511" s="273"/>
      <c r="J511" s="273"/>
      <c r="K511" s="273"/>
      <c r="L511" s="274"/>
      <c r="M511" s="273"/>
      <c r="N511" s="273"/>
      <c r="O511" s="273"/>
      <c r="P511" s="273"/>
      <c r="Q511" s="273"/>
      <c r="R511" s="273"/>
      <c r="S511" s="273"/>
      <c r="T511" s="273"/>
      <c r="U511" s="273"/>
      <c r="V511" s="273"/>
      <c r="W511" s="273"/>
      <c r="X511" s="274"/>
      <c r="Y511" s="273"/>
      <c r="Z511" s="273"/>
      <c r="AA511" s="273"/>
      <c r="AB511" s="273"/>
      <c r="AC511" s="273"/>
      <c r="AD511" s="273"/>
      <c r="AE511" s="273"/>
      <c r="AF511" s="273"/>
      <c r="AG511" s="273"/>
      <c r="AH511" s="273"/>
      <c r="AI511" s="273"/>
    </row>
    <row r="512" spans="1:35" ht="14.25" customHeight="1">
      <c r="A512" s="273"/>
      <c r="B512" s="273"/>
      <c r="C512" s="273"/>
      <c r="D512" s="273"/>
      <c r="E512" s="273"/>
      <c r="F512" s="273"/>
      <c r="G512" s="273"/>
      <c r="H512" s="273"/>
      <c r="I512" s="273"/>
      <c r="J512" s="273"/>
      <c r="K512" s="273"/>
      <c r="L512" s="274"/>
      <c r="M512" s="273"/>
      <c r="N512" s="273"/>
      <c r="O512" s="273"/>
      <c r="P512" s="273"/>
      <c r="Q512" s="273"/>
      <c r="R512" s="273"/>
      <c r="S512" s="273"/>
      <c r="T512" s="273"/>
      <c r="U512" s="273"/>
      <c r="V512" s="273"/>
      <c r="W512" s="273"/>
      <c r="X512" s="274"/>
      <c r="Y512" s="273"/>
      <c r="Z512" s="273"/>
      <c r="AA512" s="273"/>
      <c r="AB512" s="273"/>
      <c r="AC512" s="273"/>
      <c r="AD512" s="273"/>
      <c r="AE512" s="273"/>
      <c r="AF512" s="273"/>
      <c r="AG512" s="273"/>
      <c r="AH512" s="273"/>
      <c r="AI512" s="273"/>
    </row>
    <row r="513" spans="1:35" ht="14.25" customHeight="1">
      <c r="A513" s="273"/>
      <c r="B513" s="273"/>
      <c r="C513" s="273"/>
      <c r="D513" s="273"/>
      <c r="E513" s="273"/>
      <c r="F513" s="273"/>
      <c r="G513" s="273"/>
      <c r="H513" s="273"/>
      <c r="I513" s="273"/>
      <c r="J513" s="273"/>
      <c r="K513" s="273"/>
      <c r="L513" s="274"/>
      <c r="M513" s="273"/>
      <c r="N513" s="273"/>
      <c r="O513" s="273"/>
      <c r="P513" s="273"/>
      <c r="Q513" s="273"/>
      <c r="R513" s="273"/>
      <c r="S513" s="273"/>
      <c r="T513" s="273"/>
      <c r="U513" s="273"/>
      <c r="V513" s="273"/>
      <c r="W513" s="273"/>
      <c r="X513" s="274"/>
      <c r="Y513" s="273"/>
      <c r="Z513" s="273"/>
      <c r="AA513" s="273"/>
      <c r="AB513" s="273"/>
      <c r="AC513" s="273"/>
      <c r="AD513" s="273"/>
      <c r="AE513" s="273"/>
      <c r="AF513" s="273"/>
      <c r="AG513" s="273"/>
      <c r="AH513" s="273"/>
      <c r="AI513" s="273"/>
    </row>
    <row r="514" spans="1:35" ht="14.25" customHeight="1">
      <c r="A514" s="273"/>
      <c r="B514" s="273"/>
      <c r="C514" s="273"/>
      <c r="D514" s="273"/>
      <c r="E514" s="273"/>
      <c r="F514" s="273"/>
      <c r="G514" s="273"/>
      <c r="H514" s="273"/>
      <c r="I514" s="273"/>
      <c r="J514" s="273"/>
      <c r="K514" s="273"/>
      <c r="L514" s="274"/>
      <c r="M514" s="273"/>
      <c r="N514" s="273"/>
      <c r="O514" s="273"/>
      <c r="P514" s="273"/>
      <c r="Q514" s="273"/>
      <c r="R514" s="273"/>
      <c r="S514" s="273"/>
      <c r="T514" s="273"/>
      <c r="U514" s="273"/>
      <c r="V514" s="273"/>
      <c r="W514" s="273"/>
      <c r="X514" s="274"/>
      <c r="Y514" s="273"/>
      <c r="Z514" s="273"/>
      <c r="AA514" s="273"/>
      <c r="AB514" s="273"/>
      <c r="AC514" s="273"/>
      <c r="AD514" s="273"/>
      <c r="AE514" s="273"/>
      <c r="AF514" s="273"/>
      <c r="AG514" s="273"/>
      <c r="AH514" s="273"/>
      <c r="AI514" s="273"/>
    </row>
    <row r="515" spans="1:35" ht="14.25" customHeight="1">
      <c r="A515" s="273"/>
      <c r="B515" s="273"/>
      <c r="C515" s="273"/>
      <c r="D515" s="273"/>
      <c r="E515" s="273"/>
      <c r="F515" s="273"/>
      <c r="G515" s="273"/>
      <c r="H515" s="273"/>
      <c r="I515" s="273"/>
      <c r="J515" s="273"/>
      <c r="K515" s="273"/>
      <c r="L515" s="274"/>
      <c r="M515" s="273"/>
      <c r="N515" s="273"/>
      <c r="O515" s="273"/>
      <c r="P515" s="273"/>
      <c r="Q515" s="273"/>
      <c r="R515" s="273"/>
      <c r="S515" s="273"/>
      <c r="T515" s="273"/>
      <c r="U515" s="273"/>
      <c r="V515" s="273"/>
      <c r="W515" s="273"/>
      <c r="X515" s="274"/>
      <c r="Y515" s="273"/>
      <c r="Z515" s="273"/>
      <c r="AA515" s="273"/>
      <c r="AB515" s="273"/>
      <c r="AC515" s="273"/>
      <c r="AD515" s="273"/>
      <c r="AE515" s="273"/>
      <c r="AF515" s="273"/>
      <c r="AG515" s="273"/>
      <c r="AH515" s="273"/>
      <c r="AI515" s="273"/>
    </row>
    <row r="516" spans="1:35" ht="14.25" customHeight="1">
      <c r="A516" s="273"/>
      <c r="B516" s="273"/>
      <c r="C516" s="273"/>
      <c r="D516" s="273"/>
      <c r="E516" s="273"/>
      <c r="F516" s="273"/>
      <c r="G516" s="273"/>
      <c r="H516" s="273"/>
      <c r="I516" s="273"/>
      <c r="J516" s="273"/>
      <c r="K516" s="273"/>
      <c r="L516" s="274"/>
      <c r="M516" s="273"/>
      <c r="N516" s="273"/>
      <c r="O516" s="273"/>
      <c r="P516" s="273"/>
      <c r="Q516" s="273"/>
      <c r="R516" s="273"/>
      <c r="S516" s="273"/>
      <c r="T516" s="273"/>
      <c r="U516" s="273"/>
      <c r="V516" s="273"/>
      <c r="W516" s="273"/>
      <c r="X516" s="274"/>
      <c r="Y516" s="273"/>
      <c r="Z516" s="273"/>
      <c r="AA516" s="273"/>
      <c r="AB516" s="273"/>
      <c r="AC516" s="273"/>
      <c r="AD516" s="273"/>
      <c r="AE516" s="273"/>
      <c r="AF516" s="273"/>
      <c r="AG516" s="273"/>
      <c r="AH516" s="273"/>
      <c r="AI516" s="273"/>
    </row>
    <row r="517" spans="1:35" ht="14.25" customHeight="1">
      <c r="A517" s="273"/>
      <c r="B517" s="273"/>
      <c r="C517" s="273"/>
      <c r="D517" s="273"/>
      <c r="E517" s="273"/>
      <c r="F517" s="273"/>
      <c r="G517" s="273"/>
      <c r="H517" s="273"/>
      <c r="I517" s="273"/>
      <c r="J517" s="273"/>
      <c r="K517" s="273"/>
      <c r="L517" s="274"/>
      <c r="M517" s="273"/>
      <c r="N517" s="273"/>
      <c r="O517" s="273"/>
      <c r="P517" s="273"/>
      <c r="Q517" s="273"/>
      <c r="R517" s="273"/>
      <c r="S517" s="273"/>
      <c r="T517" s="273"/>
      <c r="U517" s="273"/>
      <c r="V517" s="273"/>
      <c r="W517" s="273"/>
      <c r="X517" s="274"/>
      <c r="Y517" s="273"/>
      <c r="Z517" s="273"/>
      <c r="AA517" s="273"/>
      <c r="AB517" s="273"/>
      <c r="AC517" s="273"/>
      <c r="AD517" s="273"/>
      <c r="AE517" s="273"/>
      <c r="AF517" s="273"/>
      <c r="AG517" s="273"/>
      <c r="AH517" s="273"/>
      <c r="AI517" s="273"/>
    </row>
    <row r="518" spans="1:35" ht="14.25" customHeight="1">
      <c r="A518" s="273"/>
      <c r="B518" s="273"/>
      <c r="C518" s="273"/>
      <c r="D518" s="273"/>
      <c r="E518" s="273"/>
      <c r="F518" s="273"/>
      <c r="G518" s="273"/>
      <c r="H518" s="273"/>
      <c r="I518" s="273"/>
      <c r="J518" s="273"/>
      <c r="K518" s="273"/>
      <c r="L518" s="274"/>
      <c r="M518" s="273"/>
      <c r="N518" s="273"/>
      <c r="O518" s="273"/>
      <c r="P518" s="273"/>
      <c r="Q518" s="273"/>
      <c r="R518" s="273"/>
      <c r="S518" s="273"/>
      <c r="T518" s="273"/>
      <c r="U518" s="273"/>
      <c r="V518" s="273"/>
      <c r="W518" s="273"/>
      <c r="X518" s="274"/>
      <c r="Y518" s="273"/>
      <c r="Z518" s="273"/>
      <c r="AA518" s="273"/>
      <c r="AB518" s="273"/>
      <c r="AC518" s="273"/>
      <c r="AD518" s="273"/>
      <c r="AE518" s="273"/>
      <c r="AF518" s="273"/>
      <c r="AG518" s="273"/>
      <c r="AH518" s="273"/>
      <c r="AI518" s="273"/>
    </row>
    <row r="519" spans="1:35" ht="14.25" customHeight="1">
      <c r="A519" s="273"/>
      <c r="B519" s="273"/>
      <c r="C519" s="273"/>
      <c r="D519" s="273"/>
      <c r="E519" s="273"/>
      <c r="F519" s="273"/>
      <c r="G519" s="273"/>
      <c r="H519" s="273"/>
      <c r="I519" s="273"/>
      <c r="J519" s="273"/>
      <c r="K519" s="273"/>
      <c r="L519" s="274"/>
      <c r="M519" s="273"/>
      <c r="N519" s="273"/>
      <c r="O519" s="273"/>
      <c r="P519" s="273"/>
      <c r="Q519" s="273"/>
      <c r="R519" s="273"/>
      <c r="S519" s="273"/>
      <c r="T519" s="273"/>
      <c r="U519" s="273"/>
      <c r="V519" s="273"/>
      <c r="W519" s="273"/>
      <c r="X519" s="274"/>
      <c r="Y519" s="273"/>
      <c r="Z519" s="273"/>
      <c r="AA519" s="273"/>
      <c r="AB519" s="273"/>
      <c r="AC519" s="273"/>
      <c r="AD519" s="273"/>
      <c r="AE519" s="273"/>
      <c r="AF519" s="273"/>
      <c r="AG519" s="273"/>
      <c r="AH519" s="273"/>
      <c r="AI519" s="273"/>
    </row>
    <row r="520" spans="1:35" ht="14.25" customHeight="1">
      <c r="A520" s="273"/>
      <c r="B520" s="273"/>
      <c r="C520" s="273"/>
      <c r="D520" s="273"/>
      <c r="E520" s="273"/>
      <c r="F520" s="273"/>
      <c r="G520" s="273"/>
      <c r="H520" s="273"/>
      <c r="I520" s="273"/>
      <c r="J520" s="273"/>
      <c r="K520" s="273"/>
      <c r="L520" s="274"/>
      <c r="M520" s="273"/>
      <c r="N520" s="273"/>
      <c r="O520" s="273"/>
      <c r="P520" s="273"/>
      <c r="Q520" s="273"/>
      <c r="R520" s="273"/>
      <c r="S520" s="273"/>
      <c r="T520" s="273"/>
      <c r="U520" s="273"/>
      <c r="V520" s="273"/>
      <c r="W520" s="273"/>
      <c r="X520" s="274"/>
      <c r="Y520" s="273"/>
      <c r="Z520" s="273"/>
      <c r="AA520" s="273"/>
      <c r="AB520" s="273"/>
      <c r="AC520" s="273"/>
      <c r="AD520" s="273"/>
      <c r="AE520" s="273"/>
      <c r="AF520" s="273"/>
      <c r="AG520" s="273"/>
      <c r="AH520" s="273"/>
      <c r="AI520" s="273"/>
    </row>
    <row r="521" spans="1:35" ht="14.25" customHeight="1">
      <c r="A521" s="273"/>
      <c r="B521" s="273"/>
      <c r="C521" s="273"/>
      <c r="D521" s="273"/>
      <c r="E521" s="273"/>
      <c r="F521" s="273"/>
      <c r="G521" s="273"/>
      <c r="H521" s="273"/>
      <c r="I521" s="273"/>
      <c r="J521" s="273"/>
      <c r="K521" s="273"/>
      <c r="L521" s="274"/>
      <c r="M521" s="273"/>
      <c r="N521" s="273"/>
      <c r="O521" s="273"/>
      <c r="P521" s="273"/>
      <c r="Q521" s="273"/>
      <c r="R521" s="273"/>
      <c r="S521" s="273"/>
      <c r="T521" s="273"/>
      <c r="U521" s="273"/>
      <c r="V521" s="273"/>
      <c r="W521" s="273"/>
      <c r="X521" s="274"/>
      <c r="Y521" s="273"/>
      <c r="Z521" s="273"/>
      <c r="AA521" s="273"/>
      <c r="AB521" s="273"/>
      <c r="AC521" s="273"/>
      <c r="AD521" s="273"/>
      <c r="AE521" s="273"/>
      <c r="AF521" s="273"/>
      <c r="AG521" s="273"/>
      <c r="AH521" s="273"/>
      <c r="AI521" s="273"/>
    </row>
    <row r="522" spans="1:35" ht="14.25" customHeight="1">
      <c r="A522" s="273"/>
      <c r="B522" s="273"/>
      <c r="C522" s="273"/>
      <c r="D522" s="273"/>
      <c r="E522" s="273"/>
      <c r="F522" s="273"/>
      <c r="G522" s="273"/>
      <c r="H522" s="273"/>
      <c r="I522" s="273"/>
      <c r="J522" s="273"/>
      <c r="K522" s="273"/>
      <c r="L522" s="274"/>
      <c r="M522" s="273"/>
      <c r="N522" s="273"/>
      <c r="O522" s="273"/>
      <c r="P522" s="273"/>
      <c r="Q522" s="273"/>
      <c r="R522" s="273"/>
      <c r="S522" s="273"/>
      <c r="T522" s="273"/>
      <c r="U522" s="273"/>
      <c r="V522" s="273"/>
      <c r="W522" s="273"/>
      <c r="X522" s="274"/>
      <c r="Y522" s="273"/>
      <c r="Z522" s="273"/>
      <c r="AA522" s="273"/>
      <c r="AB522" s="273"/>
      <c r="AC522" s="273"/>
      <c r="AD522" s="273"/>
      <c r="AE522" s="273"/>
      <c r="AF522" s="273"/>
      <c r="AG522" s="273"/>
      <c r="AH522" s="273"/>
      <c r="AI522" s="273"/>
    </row>
    <row r="523" spans="1:35" ht="14.25" customHeight="1">
      <c r="A523" s="273"/>
      <c r="B523" s="273"/>
      <c r="C523" s="273"/>
      <c r="D523" s="273"/>
      <c r="E523" s="273"/>
      <c r="F523" s="273"/>
      <c r="G523" s="273"/>
      <c r="H523" s="273"/>
      <c r="I523" s="273"/>
      <c r="J523" s="273"/>
      <c r="K523" s="273"/>
      <c r="L523" s="274"/>
      <c r="M523" s="273"/>
      <c r="N523" s="273"/>
      <c r="O523" s="273"/>
      <c r="P523" s="273"/>
      <c r="Q523" s="273"/>
      <c r="R523" s="273"/>
      <c r="S523" s="273"/>
      <c r="T523" s="273"/>
      <c r="U523" s="273"/>
      <c r="V523" s="273"/>
      <c r="W523" s="273"/>
      <c r="X523" s="274"/>
      <c r="Y523" s="273"/>
      <c r="Z523" s="273"/>
      <c r="AA523" s="273"/>
      <c r="AB523" s="273"/>
      <c r="AC523" s="273"/>
      <c r="AD523" s="273"/>
      <c r="AE523" s="273"/>
      <c r="AF523" s="273"/>
      <c r="AG523" s="273"/>
      <c r="AH523" s="273"/>
      <c r="AI523" s="273"/>
    </row>
    <row r="524" spans="1:35" ht="14.25" customHeight="1">
      <c r="A524" s="273"/>
      <c r="B524" s="273"/>
      <c r="C524" s="273"/>
      <c r="D524" s="273"/>
      <c r="E524" s="273"/>
      <c r="F524" s="273"/>
      <c r="G524" s="273"/>
      <c r="H524" s="273"/>
      <c r="I524" s="273"/>
      <c r="J524" s="273"/>
      <c r="K524" s="273"/>
      <c r="L524" s="274"/>
      <c r="M524" s="273"/>
      <c r="N524" s="273"/>
      <c r="O524" s="273"/>
      <c r="P524" s="273"/>
      <c r="Q524" s="273"/>
      <c r="R524" s="273"/>
      <c r="S524" s="273"/>
      <c r="T524" s="273"/>
      <c r="U524" s="273"/>
      <c r="V524" s="273"/>
      <c r="W524" s="273"/>
      <c r="X524" s="274"/>
      <c r="Y524" s="273"/>
      <c r="Z524" s="273"/>
      <c r="AA524" s="273"/>
      <c r="AB524" s="273"/>
      <c r="AC524" s="273"/>
      <c r="AD524" s="273"/>
      <c r="AE524" s="273"/>
      <c r="AF524" s="273"/>
      <c r="AG524" s="273"/>
      <c r="AH524" s="273"/>
      <c r="AI524" s="273"/>
    </row>
    <row r="525" spans="1:35" ht="14.25" customHeight="1">
      <c r="A525" s="273"/>
      <c r="B525" s="273"/>
      <c r="C525" s="273"/>
      <c r="D525" s="273"/>
      <c r="E525" s="273"/>
      <c r="F525" s="273"/>
      <c r="G525" s="273"/>
      <c r="H525" s="273"/>
      <c r="I525" s="273"/>
      <c r="J525" s="273"/>
      <c r="K525" s="273"/>
      <c r="L525" s="274"/>
      <c r="M525" s="273"/>
      <c r="N525" s="273"/>
      <c r="O525" s="273"/>
      <c r="P525" s="273"/>
      <c r="Q525" s="273"/>
      <c r="R525" s="273"/>
      <c r="S525" s="273"/>
      <c r="T525" s="273"/>
      <c r="U525" s="273"/>
      <c r="V525" s="273"/>
      <c r="W525" s="273"/>
      <c r="X525" s="274"/>
      <c r="Y525" s="273"/>
      <c r="Z525" s="273"/>
      <c r="AA525" s="273"/>
      <c r="AB525" s="273"/>
      <c r="AC525" s="273"/>
      <c r="AD525" s="273"/>
      <c r="AE525" s="273"/>
      <c r="AF525" s="273"/>
      <c r="AG525" s="273"/>
      <c r="AH525" s="273"/>
      <c r="AI525" s="273"/>
    </row>
    <row r="526" spans="1:35" ht="14.25" customHeight="1">
      <c r="A526" s="273"/>
      <c r="B526" s="273"/>
      <c r="C526" s="273"/>
      <c r="D526" s="273"/>
      <c r="E526" s="273"/>
      <c r="F526" s="273"/>
      <c r="G526" s="273"/>
      <c r="H526" s="273"/>
      <c r="I526" s="273"/>
      <c r="J526" s="273"/>
      <c r="K526" s="273"/>
      <c r="L526" s="274"/>
      <c r="M526" s="273"/>
      <c r="N526" s="273"/>
      <c r="O526" s="273"/>
      <c r="P526" s="273"/>
      <c r="Q526" s="273"/>
      <c r="R526" s="273"/>
      <c r="S526" s="273"/>
      <c r="T526" s="273"/>
      <c r="U526" s="273"/>
      <c r="V526" s="273"/>
      <c r="W526" s="273"/>
      <c r="X526" s="274"/>
      <c r="Y526" s="273"/>
      <c r="Z526" s="273"/>
      <c r="AA526" s="273"/>
      <c r="AB526" s="273"/>
      <c r="AC526" s="273"/>
      <c r="AD526" s="273"/>
      <c r="AE526" s="273"/>
      <c r="AF526" s="273"/>
      <c r="AG526" s="273"/>
      <c r="AH526" s="273"/>
      <c r="AI526" s="273"/>
    </row>
    <row r="527" spans="1:35" ht="14.25" customHeight="1">
      <c r="A527" s="273"/>
      <c r="B527" s="273"/>
      <c r="C527" s="273"/>
      <c r="D527" s="273"/>
      <c r="E527" s="273"/>
      <c r="F527" s="273"/>
      <c r="G527" s="273"/>
      <c r="H527" s="273"/>
      <c r="I527" s="273"/>
      <c r="J527" s="273"/>
      <c r="K527" s="273"/>
      <c r="L527" s="274"/>
      <c r="M527" s="273"/>
      <c r="N527" s="273"/>
      <c r="O527" s="273"/>
      <c r="P527" s="273"/>
      <c r="Q527" s="273"/>
      <c r="R527" s="273"/>
      <c r="S527" s="273"/>
      <c r="T527" s="273"/>
      <c r="U527" s="273"/>
      <c r="V527" s="273"/>
      <c r="W527" s="273"/>
      <c r="X527" s="274"/>
      <c r="Y527" s="273"/>
      <c r="Z527" s="273"/>
      <c r="AA527" s="273"/>
      <c r="AB527" s="273"/>
      <c r="AC527" s="273"/>
      <c r="AD527" s="273"/>
      <c r="AE527" s="273"/>
      <c r="AF527" s="273"/>
      <c r="AG527" s="273"/>
      <c r="AH527" s="273"/>
      <c r="AI527" s="273"/>
    </row>
    <row r="528" spans="1:35" ht="14.25" customHeight="1">
      <c r="A528" s="273"/>
      <c r="B528" s="273"/>
      <c r="C528" s="273"/>
      <c r="D528" s="273"/>
      <c r="E528" s="273"/>
      <c r="F528" s="273"/>
      <c r="G528" s="273"/>
      <c r="H528" s="273"/>
      <c r="I528" s="273"/>
      <c r="J528" s="273"/>
      <c r="K528" s="273"/>
      <c r="L528" s="274"/>
      <c r="M528" s="273"/>
      <c r="N528" s="273"/>
      <c r="O528" s="273"/>
      <c r="P528" s="273"/>
      <c r="Q528" s="273"/>
      <c r="R528" s="273"/>
      <c r="S528" s="273"/>
      <c r="T528" s="273"/>
      <c r="U528" s="273"/>
      <c r="V528" s="273"/>
      <c r="W528" s="273"/>
      <c r="X528" s="274"/>
      <c r="Y528" s="273"/>
      <c r="Z528" s="273"/>
      <c r="AA528" s="273"/>
      <c r="AB528" s="273"/>
      <c r="AC528" s="273"/>
      <c r="AD528" s="273"/>
      <c r="AE528" s="273"/>
      <c r="AF528" s="273"/>
      <c r="AG528" s="273"/>
      <c r="AH528" s="273"/>
      <c r="AI528" s="273"/>
    </row>
    <row r="529" spans="1:35" ht="14.25" customHeight="1">
      <c r="A529" s="273"/>
      <c r="B529" s="273"/>
      <c r="C529" s="273"/>
      <c r="D529" s="273"/>
      <c r="E529" s="273"/>
      <c r="F529" s="273"/>
      <c r="G529" s="273"/>
      <c r="H529" s="273"/>
      <c r="I529" s="273"/>
      <c r="J529" s="273"/>
      <c r="K529" s="273"/>
      <c r="L529" s="274"/>
      <c r="M529" s="273"/>
      <c r="N529" s="273"/>
      <c r="O529" s="273"/>
      <c r="P529" s="273"/>
      <c r="Q529" s="273"/>
      <c r="R529" s="273"/>
      <c r="S529" s="273"/>
      <c r="T529" s="273"/>
      <c r="U529" s="273"/>
      <c r="V529" s="273"/>
      <c r="W529" s="273"/>
      <c r="X529" s="274"/>
      <c r="Y529" s="273"/>
      <c r="Z529" s="273"/>
      <c r="AA529" s="273"/>
      <c r="AB529" s="273"/>
      <c r="AC529" s="273"/>
      <c r="AD529" s="273"/>
      <c r="AE529" s="273"/>
      <c r="AF529" s="273"/>
      <c r="AG529" s="273"/>
      <c r="AH529" s="273"/>
      <c r="AI529" s="273"/>
    </row>
    <row r="530" spans="1:35" ht="14.25" customHeight="1">
      <c r="A530" s="273"/>
      <c r="B530" s="273"/>
      <c r="C530" s="273"/>
      <c r="D530" s="273"/>
      <c r="E530" s="273"/>
      <c r="F530" s="273"/>
      <c r="G530" s="273"/>
      <c r="H530" s="273"/>
      <c r="I530" s="273"/>
      <c r="J530" s="273"/>
      <c r="K530" s="273"/>
      <c r="L530" s="274"/>
      <c r="M530" s="273"/>
      <c r="N530" s="273"/>
      <c r="O530" s="273"/>
      <c r="P530" s="273"/>
      <c r="Q530" s="273"/>
      <c r="R530" s="273"/>
      <c r="S530" s="273"/>
      <c r="T530" s="273"/>
      <c r="U530" s="273"/>
      <c r="V530" s="273"/>
      <c r="W530" s="273"/>
      <c r="X530" s="274"/>
      <c r="Y530" s="273"/>
      <c r="Z530" s="273"/>
      <c r="AA530" s="273"/>
      <c r="AB530" s="273"/>
      <c r="AC530" s="273"/>
      <c r="AD530" s="273"/>
      <c r="AE530" s="273"/>
      <c r="AF530" s="273"/>
      <c r="AG530" s="273"/>
      <c r="AH530" s="273"/>
      <c r="AI530" s="273"/>
    </row>
    <row r="531" spans="1:35" ht="14.25" customHeight="1">
      <c r="A531" s="273"/>
      <c r="B531" s="273"/>
      <c r="C531" s="273"/>
      <c r="D531" s="273"/>
      <c r="E531" s="273"/>
      <c r="F531" s="273"/>
      <c r="G531" s="273"/>
      <c r="H531" s="273"/>
      <c r="I531" s="273"/>
      <c r="J531" s="273"/>
      <c r="K531" s="273"/>
      <c r="L531" s="274"/>
      <c r="M531" s="273"/>
      <c r="N531" s="273"/>
      <c r="O531" s="273"/>
      <c r="P531" s="273"/>
      <c r="Q531" s="273"/>
      <c r="R531" s="273"/>
      <c r="S531" s="273"/>
      <c r="T531" s="273"/>
      <c r="U531" s="273"/>
      <c r="V531" s="273"/>
      <c r="W531" s="273"/>
      <c r="X531" s="274"/>
      <c r="Y531" s="273"/>
      <c r="Z531" s="273"/>
      <c r="AA531" s="273"/>
      <c r="AB531" s="273"/>
      <c r="AC531" s="273"/>
      <c r="AD531" s="273"/>
      <c r="AE531" s="273"/>
      <c r="AF531" s="273"/>
      <c r="AG531" s="273"/>
      <c r="AH531" s="273"/>
      <c r="AI531" s="273"/>
    </row>
    <row r="532" spans="1:35" ht="14.25" customHeight="1">
      <c r="A532" s="273"/>
      <c r="B532" s="273"/>
      <c r="C532" s="273"/>
      <c r="D532" s="273"/>
      <c r="E532" s="273"/>
      <c r="F532" s="273"/>
      <c r="G532" s="273"/>
      <c r="H532" s="273"/>
      <c r="I532" s="273"/>
      <c r="J532" s="273"/>
      <c r="K532" s="273"/>
      <c r="L532" s="274"/>
      <c r="M532" s="273"/>
      <c r="N532" s="273"/>
      <c r="O532" s="273"/>
      <c r="P532" s="273"/>
      <c r="Q532" s="273"/>
      <c r="R532" s="273"/>
      <c r="S532" s="273"/>
      <c r="T532" s="273"/>
      <c r="U532" s="273"/>
      <c r="V532" s="273"/>
      <c r="W532" s="273"/>
      <c r="X532" s="274"/>
      <c r="Y532" s="273"/>
      <c r="Z532" s="273"/>
      <c r="AA532" s="273"/>
      <c r="AB532" s="273"/>
      <c r="AC532" s="273"/>
      <c r="AD532" s="273"/>
      <c r="AE532" s="273"/>
      <c r="AF532" s="273"/>
      <c r="AG532" s="273"/>
      <c r="AH532" s="273"/>
      <c r="AI532" s="273"/>
    </row>
    <row r="533" spans="1:35" ht="14.25" customHeight="1">
      <c r="A533" s="273"/>
      <c r="B533" s="273"/>
      <c r="C533" s="273"/>
      <c r="D533" s="273"/>
      <c r="E533" s="273"/>
      <c r="F533" s="273"/>
      <c r="G533" s="273"/>
      <c r="H533" s="273"/>
      <c r="I533" s="273"/>
      <c r="J533" s="273"/>
      <c r="K533" s="273"/>
      <c r="L533" s="274"/>
      <c r="M533" s="273"/>
      <c r="N533" s="273"/>
      <c r="O533" s="273"/>
      <c r="P533" s="273"/>
      <c r="Q533" s="273"/>
      <c r="R533" s="273"/>
      <c r="S533" s="273"/>
      <c r="T533" s="273"/>
      <c r="U533" s="273"/>
      <c r="V533" s="273"/>
      <c r="W533" s="273"/>
      <c r="X533" s="274"/>
      <c r="Y533" s="273"/>
      <c r="Z533" s="273"/>
      <c r="AA533" s="273"/>
      <c r="AB533" s="273"/>
      <c r="AC533" s="273"/>
      <c r="AD533" s="273"/>
      <c r="AE533" s="273"/>
      <c r="AF533" s="273"/>
      <c r="AG533" s="273"/>
      <c r="AH533" s="273"/>
      <c r="AI533" s="273"/>
    </row>
    <row r="534" spans="1:35" ht="14.25" customHeight="1">
      <c r="A534" s="273"/>
      <c r="B534" s="273"/>
      <c r="C534" s="273"/>
      <c r="D534" s="273"/>
      <c r="E534" s="273"/>
      <c r="F534" s="273"/>
      <c r="G534" s="273"/>
      <c r="H534" s="273"/>
      <c r="I534" s="273"/>
      <c r="J534" s="273"/>
      <c r="K534" s="273"/>
      <c r="L534" s="274"/>
      <c r="M534" s="273"/>
      <c r="N534" s="273"/>
      <c r="O534" s="273"/>
      <c r="P534" s="273"/>
      <c r="Q534" s="273"/>
      <c r="R534" s="273"/>
      <c r="S534" s="273"/>
      <c r="T534" s="273"/>
      <c r="U534" s="273"/>
      <c r="V534" s="273"/>
      <c r="W534" s="273"/>
      <c r="X534" s="274"/>
      <c r="Y534" s="273"/>
      <c r="Z534" s="273"/>
      <c r="AA534" s="273"/>
      <c r="AB534" s="273"/>
      <c r="AC534" s="273"/>
      <c r="AD534" s="273"/>
      <c r="AE534" s="273"/>
      <c r="AF534" s="273"/>
      <c r="AG534" s="273"/>
      <c r="AH534" s="273"/>
      <c r="AI534" s="273"/>
    </row>
    <row r="535" spans="1:35" ht="14.25" customHeight="1">
      <c r="A535" s="273"/>
      <c r="B535" s="273"/>
      <c r="C535" s="273"/>
      <c r="D535" s="273"/>
      <c r="E535" s="273"/>
      <c r="F535" s="273"/>
      <c r="G535" s="273"/>
      <c r="H535" s="273"/>
      <c r="I535" s="273"/>
      <c r="J535" s="273"/>
      <c r="K535" s="273"/>
      <c r="L535" s="274"/>
      <c r="M535" s="273"/>
      <c r="N535" s="273"/>
      <c r="O535" s="273"/>
      <c r="P535" s="273"/>
      <c r="Q535" s="273"/>
      <c r="R535" s="273"/>
      <c r="S535" s="273"/>
      <c r="T535" s="273"/>
      <c r="U535" s="273"/>
      <c r="V535" s="273"/>
      <c r="W535" s="273"/>
      <c r="X535" s="274"/>
      <c r="Y535" s="273"/>
      <c r="Z535" s="273"/>
      <c r="AA535" s="273"/>
      <c r="AB535" s="273"/>
      <c r="AC535" s="273"/>
      <c r="AD535" s="273"/>
      <c r="AE535" s="273"/>
      <c r="AF535" s="273"/>
      <c r="AG535" s="273"/>
      <c r="AH535" s="273"/>
      <c r="AI535" s="273"/>
    </row>
    <row r="536" spans="1:35" ht="14.25" customHeight="1">
      <c r="A536" s="273"/>
      <c r="B536" s="273"/>
      <c r="C536" s="273"/>
      <c r="D536" s="273"/>
      <c r="E536" s="273"/>
      <c r="F536" s="273"/>
      <c r="G536" s="273"/>
      <c r="H536" s="273"/>
      <c r="I536" s="273"/>
      <c r="J536" s="273"/>
      <c r="K536" s="273"/>
      <c r="L536" s="274"/>
      <c r="M536" s="273"/>
      <c r="N536" s="273"/>
      <c r="O536" s="273"/>
      <c r="P536" s="273"/>
      <c r="Q536" s="273"/>
      <c r="R536" s="273"/>
      <c r="S536" s="273"/>
      <c r="T536" s="273"/>
      <c r="U536" s="273"/>
      <c r="V536" s="273"/>
      <c r="W536" s="273"/>
      <c r="X536" s="274"/>
      <c r="Y536" s="273"/>
      <c r="Z536" s="273"/>
      <c r="AA536" s="273"/>
      <c r="AB536" s="273"/>
      <c r="AC536" s="273"/>
      <c r="AD536" s="273"/>
      <c r="AE536" s="273"/>
      <c r="AF536" s="273"/>
      <c r="AG536" s="273"/>
      <c r="AH536" s="273"/>
      <c r="AI536" s="273"/>
    </row>
    <row r="537" spans="1:35" ht="14.25" customHeight="1">
      <c r="A537" s="273"/>
      <c r="B537" s="273"/>
      <c r="C537" s="273"/>
      <c r="D537" s="273"/>
      <c r="E537" s="273"/>
      <c r="F537" s="273"/>
      <c r="G537" s="273"/>
      <c r="H537" s="273"/>
      <c r="I537" s="273"/>
      <c r="J537" s="273"/>
      <c r="K537" s="273"/>
      <c r="L537" s="274"/>
      <c r="M537" s="273"/>
      <c r="N537" s="273"/>
      <c r="O537" s="273"/>
      <c r="P537" s="273"/>
      <c r="Q537" s="273"/>
      <c r="R537" s="273"/>
      <c r="S537" s="273"/>
      <c r="T537" s="273"/>
      <c r="U537" s="273"/>
      <c r="V537" s="273"/>
      <c r="W537" s="273"/>
      <c r="X537" s="274"/>
      <c r="Y537" s="273"/>
      <c r="Z537" s="273"/>
      <c r="AA537" s="273"/>
      <c r="AB537" s="273"/>
      <c r="AC537" s="273"/>
      <c r="AD537" s="273"/>
      <c r="AE537" s="273"/>
      <c r="AF537" s="273"/>
      <c r="AG537" s="273"/>
      <c r="AH537" s="273"/>
      <c r="AI537" s="273"/>
    </row>
    <row r="538" spans="1:35" ht="14.25" customHeight="1">
      <c r="A538" s="273"/>
      <c r="B538" s="273"/>
      <c r="C538" s="273"/>
      <c r="D538" s="273"/>
      <c r="E538" s="273"/>
      <c r="F538" s="273"/>
      <c r="G538" s="273"/>
      <c r="H538" s="273"/>
      <c r="I538" s="273"/>
      <c r="J538" s="273"/>
      <c r="K538" s="273"/>
      <c r="L538" s="274"/>
      <c r="M538" s="273"/>
      <c r="N538" s="273"/>
      <c r="O538" s="273"/>
      <c r="P538" s="273"/>
      <c r="Q538" s="273"/>
      <c r="R538" s="273"/>
      <c r="S538" s="273"/>
      <c r="T538" s="273"/>
      <c r="U538" s="273"/>
      <c r="V538" s="273"/>
      <c r="W538" s="273"/>
      <c r="X538" s="274"/>
      <c r="Y538" s="273"/>
      <c r="Z538" s="273"/>
      <c r="AA538" s="273"/>
      <c r="AB538" s="273"/>
      <c r="AC538" s="273"/>
      <c r="AD538" s="273"/>
      <c r="AE538" s="273"/>
      <c r="AF538" s="273"/>
      <c r="AG538" s="273"/>
      <c r="AH538" s="273"/>
      <c r="AI538" s="273"/>
    </row>
    <row r="539" spans="1:35" ht="14.25" customHeight="1">
      <c r="A539" s="273"/>
      <c r="B539" s="273"/>
      <c r="C539" s="273"/>
      <c r="D539" s="273"/>
      <c r="E539" s="273"/>
      <c r="F539" s="273"/>
      <c r="G539" s="273"/>
      <c r="H539" s="273"/>
      <c r="I539" s="273"/>
      <c r="J539" s="273"/>
      <c r="K539" s="273"/>
      <c r="L539" s="274"/>
      <c r="M539" s="273"/>
      <c r="N539" s="273"/>
      <c r="O539" s="273"/>
      <c r="P539" s="273"/>
      <c r="Q539" s="273"/>
      <c r="R539" s="273"/>
      <c r="S539" s="273"/>
      <c r="T539" s="273"/>
      <c r="U539" s="273"/>
      <c r="V539" s="273"/>
      <c r="W539" s="273"/>
      <c r="X539" s="274"/>
      <c r="Y539" s="273"/>
      <c r="Z539" s="273"/>
      <c r="AA539" s="273"/>
      <c r="AB539" s="273"/>
      <c r="AC539" s="273"/>
      <c r="AD539" s="273"/>
      <c r="AE539" s="273"/>
      <c r="AF539" s="273"/>
      <c r="AG539" s="273"/>
      <c r="AH539" s="273"/>
      <c r="AI539" s="273"/>
    </row>
    <row r="540" spans="1:35" ht="14.25" customHeight="1">
      <c r="A540" s="273"/>
      <c r="B540" s="273"/>
      <c r="C540" s="273"/>
      <c r="D540" s="273"/>
      <c r="E540" s="273"/>
      <c r="F540" s="273"/>
      <c r="G540" s="273"/>
      <c r="H540" s="273"/>
      <c r="I540" s="273"/>
      <c r="J540" s="273"/>
      <c r="K540" s="273"/>
      <c r="L540" s="274"/>
      <c r="M540" s="273"/>
      <c r="N540" s="273"/>
      <c r="O540" s="273"/>
      <c r="P540" s="273"/>
      <c r="Q540" s="273"/>
      <c r="R540" s="273"/>
      <c r="S540" s="273"/>
      <c r="T540" s="273"/>
      <c r="U540" s="273"/>
      <c r="V540" s="273"/>
      <c r="W540" s="273"/>
      <c r="X540" s="274"/>
      <c r="Y540" s="273"/>
      <c r="Z540" s="273"/>
      <c r="AA540" s="273"/>
      <c r="AB540" s="273"/>
      <c r="AC540" s="273"/>
      <c r="AD540" s="273"/>
      <c r="AE540" s="273"/>
      <c r="AF540" s="273"/>
      <c r="AG540" s="273"/>
      <c r="AH540" s="273"/>
      <c r="AI540" s="273"/>
    </row>
    <row r="541" spans="1:35" ht="14.25" customHeight="1">
      <c r="A541" s="273"/>
      <c r="B541" s="273"/>
      <c r="C541" s="273"/>
      <c r="D541" s="273"/>
      <c r="E541" s="273"/>
      <c r="F541" s="273"/>
      <c r="G541" s="273"/>
      <c r="H541" s="273"/>
      <c r="I541" s="273"/>
      <c r="J541" s="273"/>
      <c r="K541" s="273"/>
      <c r="L541" s="274"/>
      <c r="M541" s="273"/>
      <c r="N541" s="273"/>
      <c r="O541" s="273"/>
      <c r="P541" s="273"/>
      <c r="Q541" s="273"/>
      <c r="R541" s="273"/>
      <c r="S541" s="273"/>
      <c r="T541" s="273"/>
      <c r="U541" s="273"/>
      <c r="V541" s="273"/>
      <c r="W541" s="273"/>
      <c r="X541" s="274"/>
      <c r="Y541" s="273"/>
      <c r="Z541" s="273"/>
      <c r="AA541" s="273"/>
      <c r="AB541" s="273"/>
      <c r="AC541" s="273"/>
      <c r="AD541" s="273"/>
      <c r="AE541" s="273"/>
      <c r="AF541" s="273"/>
      <c r="AG541" s="273"/>
      <c r="AH541" s="273"/>
      <c r="AI541" s="273"/>
    </row>
    <row r="542" spans="1:35" ht="14.25" customHeight="1">
      <c r="A542" s="273"/>
      <c r="B542" s="273"/>
      <c r="C542" s="273"/>
      <c r="D542" s="273"/>
      <c r="E542" s="273"/>
      <c r="F542" s="273"/>
      <c r="G542" s="273"/>
      <c r="H542" s="273"/>
      <c r="I542" s="273"/>
      <c r="J542" s="273"/>
      <c r="K542" s="273"/>
      <c r="L542" s="274"/>
      <c r="M542" s="273"/>
      <c r="N542" s="273"/>
      <c r="O542" s="273"/>
      <c r="P542" s="273"/>
      <c r="Q542" s="273"/>
      <c r="R542" s="273"/>
      <c r="S542" s="273"/>
      <c r="T542" s="273"/>
      <c r="U542" s="273"/>
      <c r="V542" s="273"/>
      <c r="W542" s="273"/>
      <c r="X542" s="274"/>
      <c r="Y542" s="273"/>
      <c r="Z542" s="273"/>
      <c r="AA542" s="273"/>
      <c r="AB542" s="273"/>
      <c r="AC542" s="273"/>
      <c r="AD542" s="273"/>
      <c r="AE542" s="273"/>
      <c r="AF542" s="273"/>
      <c r="AG542" s="273"/>
      <c r="AH542" s="273"/>
      <c r="AI542" s="273"/>
    </row>
    <row r="543" spans="1:35" ht="14.25" customHeight="1">
      <c r="A543" s="273"/>
      <c r="B543" s="273"/>
      <c r="C543" s="273"/>
      <c r="D543" s="273"/>
      <c r="E543" s="273"/>
      <c r="F543" s="273"/>
      <c r="G543" s="273"/>
      <c r="H543" s="273"/>
      <c r="I543" s="273"/>
      <c r="J543" s="273"/>
      <c r="K543" s="273"/>
      <c r="L543" s="274"/>
      <c r="M543" s="273"/>
      <c r="N543" s="273"/>
      <c r="O543" s="273"/>
      <c r="P543" s="273"/>
      <c r="Q543" s="273"/>
      <c r="R543" s="273"/>
      <c r="S543" s="273"/>
      <c r="T543" s="273"/>
      <c r="U543" s="273"/>
      <c r="V543" s="273"/>
      <c r="W543" s="273"/>
      <c r="X543" s="274"/>
      <c r="Y543" s="273"/>
      <c r="Z543" s="273"/>
      <c r="AA543" s="273"/>
      <c r="AB543" s="273"/>
      <c r="AC543" s="273"/>
      <c r="AD543" s="273"/>
      <c r="AE543" s="273"/>
      <c r="AF543" s="273"/>
      <c r="AG543" s="273"/>
      <c r="AH543" s="273"/>
      <c r="AI543" s="273"/>
    </row>
    <row r="544" spans="1:35" ht="14.25" customHeight="1">
      <c r="A544" s="273"/>
      <c r="B544" s="273"/>
      <c r="C544" s="273"/>
      <c r="D544" s="273"/>
      <c r="E544" s="273"/>
      <c r="F544" s="273"/>
      <c r="G544" s="273"/>
      <c r="H544" s="273"/>
      <c r="I544" s="273"/>
      <c r="J544" s="273"/>
      <c r="K544" s="273"/>
      <c r="L544" s="274"/>
      <c r="M544" s="273"/>
      <c r="N544" s="273"/>
      <c r="O544" s="273"/>
      <c r="P544" s="273"/>
      <c r="Q544" s="273"/>
      <c r="R544" s="273"/>
      <c r="S544" s="273"/>
      <c r="T544" s="273"/>
      <c r="U544" s="273"/>
      <c r="V544" s="273"/>
      <c r="W544" s="273"/>
      <c r="X544" s="274"/>
      <c r="Y544" s="273"/>
      <c r="Z544" s="273"/>
      <c r="AA544" s="273"/>
      <c r="AB544" s="273"/>
      <c r="AC544" s="273"/>
      <c r="AD544" s="273"/>
      <c r="AE544" s="273"/>
      <c r="AF544" s="273"/>
      <c r="AG544" s="273"/>
      <c r="AH544" s="273"/>
      <c r="AI544" s="273"/>
    </row>
    <row r="545" spans="1:35" ht="14.25" customHeight="1">
      <c r="A545" s="273"/>
      <c r="B545" s="273"/>
      <c r="C545" s="273"/>
      <c r="D545" s="273"/>
      <c r="E545" s="273"/>
      <c r="F545" s="273"/>
      <c r="G545" s="273"/>
      <c r="H545" s="273"/>
      <c r="I545" s="273"/>
      <c r="J545" s="273"/>
      <c r="K545" s="273"/>
      <c r="L545" s="274"/>
      <c r="M545" s="273"/>
      <c r="N545" s="273"/>
      <c r="O545" s="273"/>
      <c r="P545" s="273"/>
      <c r="Q545" s="273"/>
      <c r="R545" s="273"/>
      <c r="S545" s="273"/>
      <c r="T545" s="273"/>
      <c r="U545" s="273"/>
      <c r="V545" s="273"/>
      <c r="W545" s="273"/>
      <c r="X545" s="274"/>
      <c r="Y545" s="273"/>
      <c r="Z545" s="273"/>
      <c r="AA545" s="273"/>
      <c r="AB545" s="273"/>
      <c r="AC545" s="273"/>
      <c r="AD545" s="273"/>
      <c r="AE545" s="273"/>
      <c r="AF545" s="273"/>
      <c r="AG545" s="273"/>
      <c r="AH545" s="273"/>
      <c r="AI545" s="273"/>
    </row>
    <row r="546" spans="1:35" ht="14.25" customHeight="1">
      <c r="A546" s="273"/>
      <c r="B546" s="273"/>
      <c r="C546" s="273"/>
      <c r="D546" s="273"/>
      <c r="E546" s="273"/>
      <c r="F546" s="273"/>
      <c r="G546" s="273"/>
      <c r="H546" s="273"/>
      <c r="I546" s="273"/>
      <c r="J546" s="273"/>
      <c r="K546" s="273"/>
      <c r="L546" s="274"/>
      <c r="M546" s="273"/>
      <c r="N546" s="273"/>
      <c r="O546" s="273"/>
      <c r="P546" s="273"/>
      <c r="Q546" s="273"/>
      <c r="R546" s="273"/>
      <c r="S546" s="273"/>
      <c r="T546" s="273"/>
      <c r="U546" s="273"/>
      <c r="V546" s="273"/>
      <c r="W546" s="273"/>
      <c r="X546" s="274"/>
      <c r="Y546" s="273"/>
      <c r="Z546" s="273"/>
      <c r="AA546" s="273"/>
      <c r="AB546" s="273"/>
      <c r="AC546" s="273"/>
      <c r="AD546" s="273"/>
      <c r="AE546" s="273"/>
      <c r="AF546" s="273"/>
      <c r="AG546" s="273"/>
      <c r="AH546" s="273"/>
      <c r="AI546" s="273"/>
    </row>
    <row r="547" spans="1:35" ht="14.25" customHeight="1">
      <c r="A547" s="273"/>
      <c r="B547" s="273"/>
      <c r="C547" s="273"/>
      <c r="D547" s="273"/>
      <c r="E547" s="273"/>
      <c r="F547" s="273"/>
      <c r="G547" s="273"/>
      <c r="H547" s="273"/>
      <c r="I547" s="273"/>
      <c r="J547" s="273"/>
      <c r="K547" s="273"/>
      <c r="L547" s="274"/>
      <c r="M547" s="273"/>
      <c r="N547" s="273"/>
      <c r="O547" s="273"/>
      <c r="P547" s="273"/>
      <c r="Q547" s="273"/>
      <c r="R547" s="273"/>
      <c r="S547" s="273"/>
      <c r="T547" s="273"/>
      <c r="U547" s="273"/>
      <c r="V547" s="273"/>
      <c r="W547" s="273"/>
      <c r="X547" s="274"/>
      <c r="Y547" s="273"/>
      <c r="Z547" s="273"/>
      <c r="AA547" s="273"/>
      <c r="AB547" s="273"/>
      <c r="AC547" s="273"/>
      <c r="AD547" s="273"/>
      <c r="AE547" s="273"/>
      <c r="AF547" s="273"/>
      <c r="AG547" s="273"/>
      <c r="AH547" s="273"/>
      <c r="AI547" s="273"/>
    </row>
    <row r="548" spans="1:35" ht="14.25" customHeight="1">
      <c r="A548" s="273"/>
      <c r="B548" s="273"/>
      <c r="C548" s="273"/>
      <c r="D548" s="273"/>
      <c r="E548" s="273"/>
      <c r="F548" s="273"/>
      <c r="G548" s="273"/>
      <c r="H548" s="273"/>
      <c r="I548" s="273"/>
      <c r="J548" s="273"/>
      <c r="K548" s="273"/>
      <c r="L548" s="274"/>
      <c r="M548" s="273"/>
      <c r="N548" s="273"/>
      <c r="O548" s="273"/>
      <c r="P548" s="273"/>
      <c r="Q548" s="273"/>
      <c r="R548" s="273"/>
      <c r="S548" s="273"/>
      <c r="T548" s="273"/>
      <c r="U548" s="273"/>
      <c r="V548" s="273"/>
      <c r="W548" s="273"/>
      <c r="X548" s="274"/>
      <c r="Y548" s="273"/>
      <c r="Z548" s="273"/>
      <c r="AA548" s="273"/>
      <c r="AB548" s="273"/>
      <c r="AC548" s="273"/>
      <c r="AD548" s="273"/>
      <c r="AE548" s="273"/>
      <c r="AF548" s="273"/>
      <c r="AG548" s="273"/>
      <c r="AH548" s="273"/>
      <c r="AI548" s="273"/>
    </row>
    <row r="549" spans="1:35" ht="14.25" customHeight="1">
      <c r="A549" s="273"/>
      <c r="B549" s="273"/>
      <c r="C549" s="273"/>
      <c r="D549" s="273"/>
      <c r="E549" s="273"/>
      <c r="F549" s="273"/>
      <c r="G549" s="273"/>
      <c r="H549" s="273"/>
      <c r="I549" s="273"/>
      <c r="J549" s="273"/>
      <c r="K549" s="273"/>
      <c r="L549" s="274"/>
      <c r="M549" s="273"/>
      <c r="N549" s="273"/>
      <c r="O549" s="273"/>
      <c r="P549" s="273"/>
      <c r="Q549" s="273"/>
      <c r="R549" s="273"/>
      <c r="S549" s="273"/>
      <c r="T549" s="273"/>
      <c r="U549" s="273"/>
      <c r="V549" s="273"/>
      <c r="W549" s="273"/>
      <c r="X549" s="274"/>
      <c r="Y549" s="273"/>
      <c r="Z549" s="273"/>
      <c r="AA549" s="273"/>
      <c r="AB549" s="273"/>
      <c r="AC549" s="273"/>
      <c r="AD549" s="273"/>
      <c r="AE549" s="273"/>
      <c r="AF549" s="273"/>
      <c r="AG549" s="273"/>
      <c r="AH549" s="273"/>
      <c r="AI549" s="273"/>
    </row>
    <row r="550" spans="1:35" ht="14.25" customHeight="1">
      <c r="A550" s="273"/>
      <c r="B550" s="273"/>
      <c r="C550" s="273"/>
      <c r="D550" s="273"/>
      <c r="E550" s="273"/>
      <c r="F550" s="273"/>
      <c r="G550" s="273"/>
      <c r="H550" s="273"/>
      <c r="I550" s="273"/>
      <c r="J550" s="273"/>
      <c r="K550" s="273"/>
      <c r="L550" s="274"/>
      <c r="M550" s="273"/>
      <c r="N550" s="273"/>
      <c r="O550" s="273"/>
      <c r="P550" s="273"/>
      <c r="Q550" s="273"/>
      <c r="R550" s="273"/>
      <c r="S550" s="273"/>
      <c r="T550" s="273"/>
      <c r="U550" s="273"/>
      <c r="V550" s="273"/>
      <c r="W550" s="273"/>
      <c r="X550" s="274"/>
      <c r="Y550" s="273"/>
      <c r="Z550" s="273"/>
      <c r="AA550" s="273"/>
      <c r="AB550" s="273"/>
      <c r="AC550" s="273"/>
      <c r="AD550" s="273"/>
      <c r="AE550" s="273"/>
      <c r="AF550" s="273"/>
      <c r="AG550" s="273"/>
      <c r="AH550" s="273"/>
      <c r="AI550" s="273"/>
    </row>
    <row r="551" spans="1:35" ht="14.25" customHeight="1">
      <c r="A551" s="273"/>
      <c r="B551" s="273"/>
      <c r="C551" s="273"/>
      <c r="D551" s="273"/>
      <c r="E551" s="273"/>
      <c r="F551" s="273"/>
      <c r="G551" s="273"/>
      <c r="H551" s="273"/>
      <c r="I551" s="273"/>
      <c r="J551" s="273"/>
      <c r="K551" s="273"/>
      <c r="L551" s="274"/>
      <c r="M551" s="273"/>
      <c r="N551" s="273"/>
      <c r="O551" s="273"/>
      <c r="P551" s="273"/>
      <c r="Q551" s="273"/>
      <c r="R551" s="273"/>
      <c r="S551" s="273"/>
      <c r="T551" s="273"/>
      <c r="U551" s="273"/>
      <c r="V551" s="273"/>
      <c r="W551" s="273"/>
      <c r="X551" s="274"/>
      <c r="Y551" s="273"/>
      <c r="Z551" s="273"/>
      <c r="AA551" s="273"/>
      <c r="AB551" s="273"/>
      <c r="AC551" s="273"/>
      <c r="AD551" s="273"/>
      <c r="AE551" s="273"/>
      <c r="AF551" s="273"/>
      <c r="AG551" s="273"/>
      <c r="AH551" s="273"/>
      <c r="AI551" s="273"/>
    </row>
    <row r="552" spans="1:35" ht="14.25" customHeight="1">
      <c r="A552" s="273"/>
      <c r="B552" s="273"/>
      <c r="C552" s="273"/>
      <c r="D552" s="273"/>
      <c r="E552" s="273"/>
      <c r="F552" s="273"/>
      <c r="G552" s="273"/>
      <c r="H552" s="273"/>
      <c r="I552" s="273"/>
      <c r="J552" s="273"/>
      <c r="K552" s="273"/>
      <c r="L552" s="274"/>
      <c r="M552" s="273"/>
      <c r="N552" s="273"/>
      <c r="O552" s="273"/>
      <c r="P552" s="273"/>
      <c r="Q552" s="273"/>
      <c r="R552" s="273"/>
      <c r="S552" s="273"/>
      <c r="T552" s="273"/>
      <c r="U552" s="273"/>
      <c r="V552" s="273"/>
      <c r="W552" s="273"/>
      <c r="X552" s="274"/>
      <c r="Y552" s="273"/>
      <c r="Z552" s="273"/>
      <c r="AA552" s="273"/>
      <c r="AB552" s="273"/>
      <c r="AC552" s="273"/>
      <c r="AD552" s="273"/>
      <c r="AE552" s="273"/>
      <c r="AF552" s="273"/>
      <c r="AG552" s="273"/>
      <c r="AH552" s="273"/>
      <c r="AI552" s="273"/>
    </row>
    <row r="553" spans="1:35" ht="14.25" customHeight="1">
      <c r="A553" s="273"/>
      <c r="B553" s="273"/>
      <c r="C553" s="273"/>
      <c r="D553" s="273"/>
      <c r="E553" s="273"/>
      <c r="F553" s="273"/>
      <c r="G553" s="273"/>
      <c r="H553" s="273"/>
      <c r="I553" s="273"/>
      <c r="J553" s="273"/>
      <c r="K553" s="273"/>
      <c r="L553" s="274"/>
      <c r="M553" s="273"/>
      <c r="N553" s="273"/>
      <c r="O553" s="273"/>
      <c r="P553" s="273"/>
      <c r="Q553" s="273"/>
      <c r="R553" s="273"/>
      <c r="S553" s="273"/>
      <c r="T553" s="273"/>
      <c r="U553" s="273"/>
      <c r="V553" s="273"/>
      <c r="W553" s="273"/>
      <c r="X553" s="274"/>
      <c r="Y553" s="273"/>
      <c r="Z553" s="273"/>
      <c r="AA553" s="273"/>
      <c r="AB553" s="273"/>
      <c r="AC553" s="273"/>
      <c r="AD553" s="273"/>
      <c r="AE553" s="273"/>
      <c r="AF553" s="273"/>
      <c r="AG553" s="273"/>
      <c r="AH553" s="273"/>
      <c r="AI553" s="273"/>
    </row>
    <row r="554" spans="1:35" ht="14.25" customHeight="1">
      <c r="A554" s="273"/>
      <c r="B554" s="273"/>
      <c r="C554" s="273"/>
      <c r="D554" s="273"/>
      <c r="E554" s="273"/>
      <c r="F554" s="273"/>
      <c r="G554" s="273"/>
      <c r="H554" s="273"/>
      <c r="I554" s="273"/>
      <c r="J554" s="273"/>
      <c r="K554" s="273"/>
      <c r="L554" s="274"/>
      <c r="M554" s="273"/>
      <c r="N554" s="273"/>
      <c r="O554" s="273"/>
      <c r="P554" s="273"/>
      <c r="Q554" s="273"/>
      <c r="R554" s="273"/>
      <c r="S554" s="273"/>
      <c r="T554" s="273"/>
      <c r="U554" s="273"/>
      <c r="V554" s="273"/>
      <c r="W554" s="273"/>
      <c r="X554" s="274"/>
      <c r="Y554" s="273"/>
      <c r="Z554" s="273"/>
      <c r="AA554" s="273"/>
      <c r="AB554" s="273"/>
      <c r="AC554" s="273"/>
      <c r="AD554" s="273"/>
      <c r="AE554" s="273"/>
      <c r="AF554" s="273"/>
      <c r="AG554" s="273"/>
      <c r="AH554" s="273"/>
      <c r="AI554" s="273"/>
    </row>
    <row r="555" spans="1:35" ht="14.25" customHeight="1">
      <c r="A555" s="273"/>
      <c r="B555" s="273"/>
      <c r="C555" s="273"/>
      <c r="D555" s="273"/>
      <c r="E555" s="273"/>
      <c r="F555" s="273"/>
      <c r="G555" s="273"/>
      <c r="H555" s="273"/>
      <c r="I555" s="273"/>
      <c r="J555" s="273"/>
      <c r="K555" s="273"/>
      <c r="L555" s="274"/>
      <c r="M555" s="273"/>
      <c r="N555" s="273"/>
      <c r="O555" s="273"/>
      <c r="P555" s="273"/>
      <c r="Q555" s="273"/>
      <c r="R555" s="273"/>
      <c r="S555" s="273"/>
      <c r="T555" s="273"/>
      <c r="U555" s="273"/>
      <c r="V555" s="273"/>
      <c r="W555" s="273"/>
      <c r="X555" s="274"/>
      <c r="Y555" s="273"/>
      <c r="Z555" s="273"/>
      <c r="AA555" s="273"/>
      <c r="AB555" s="273"/>
      <c r="AC555" s="273"/>
      <c r="AD555" s="273"/>
      <c r="AE555" s="273"/>
      <c r="AF555" s="273"/>
      <c r="AG555" s="273"/>
      <c r="AH555" s="273"/>
      <c r="AI555" s="273"/>
    </row>
    <row r="556" spans="1:35" ht="14.25" customHeight="1">
      <c r="A556" s="273"/>
      <c r="B556" s="273"/>
      <c r="C556" s="273"/>
      <c r="D556" s="273"/>
      <c r="E556" s="273"/>
      <c r="F556" s="273"/>
      <c r="G556" s="273"/>
      <c r="H556" s="273"/>
      <c r="I556" s="273"/>
      <c r="J556" s="273"/>
      <c r="K556" s="273"/>
      <c r="L556" s="274"/>
      <c r="M556" s="273"/>
      <c r="N556" s="273"/>
      <c r="O556" s="273"/>
      <c r="P556" s="273"/>
      <c r="Q556" s="273"/>
      <c r="R556" s="273"/>
      <c r="S556" s="273"/>
      <c r="T556" s="273"/>
      <c r="U556" s="273"/>
      <c r="V556" s="273"/>
      <c r="W556" s="273"/>
      <c r="X556" s="274"/>
      <c r="Y556" s="273"/>
      <c r="Z556" s="273"/>
      <c r="AA556" s="273"/>
      <c r="AB556" s="273"/>
      <c r="AC556" s="273"/>
      <c r="AD556" s="273"/>
      <c r="AE556" s="273"/>
      <c r="AF556" s="273"/>
      <c r="AG556" s="273"/>
      <c r="AH556" s="273"/>
      <c r="AI556" s="273"/>
    </row>
    <row r="557" spans="1:35" ht="14.25" customHeight="1">
      <c r="A557" s="273"/>
      <c r="B557" s="273"/>
      <c r="C557" s="273"/>
      <c r="D557" s="273"/>
      <c r="E557" s="273"/>
      <c r="F557" s="273"/>
      <c r="G557" s="273"/>
      <c r="H557" s="273"/>
      <c r="I557" s="273"/>
      <c r="J557" s="273"/>
      <c r="K557" s="273"/>
      <c r="L557" s="274"/>
      <c r="M557" s="273"/>
      <c r="N557" s="273"/>
      <c r="O557" s="273"/>
      <c r="P557" s="273"/>
      <c r="Q557" s="273"/>
      <c r="R557" s="273"/>
      <c r="S557" s="273"/>
      <c r="T557" s="273"/>
      <c r="U557" s="273"/>
      <c r="V557" s="273"/>
      <c r="W557" s="273"/>
      <c r="X557" s="274"/>
      <c r="Y557" s="273"/>
      <c r="Z557" s="273"/>
      <c r="AA557" s="273"/>
      <c r="AB557" s="273"/>
      <c r="AC557" s="273"/>
      <c r="AD557" s="273"/>
      <c r="AE557" s="273"/>
      <c r="AF557" s="273"/>
      <c r="AG557" s="273"/>
      <c r="AH557" s="273"/>
      <c r="AI557" s="273"/>
    </row>
    <row r="558" spans="1:35" ht="14.25" customHeight="1">
      <c r="A558" s="273"/>
      <c r="B558" s="273"/>
      <c r="C558" s="273"/>
      <c r="D558" s="273"/>
      <c r="E558" s="273"/>
      <c r="F558" s="273"/>
      <c r="G558" s="273"/>
      <c r="H558" s="273"/>
      <c r="I558" s="273"/>
      <c r="J558" s="273"/>
      <c r="K558" s="273"/>
      <c r="L558" s="274"/>
      <c r="M558" s="273"/>
      <c r="N558" s="273"/>
      <c r="O558" s="273"/>
      <c r="P558" s="273"/>
      <c r="Q558" s="273"/>
      <c r="R558" s="273"/>
      <c r="S558" s="273"/>
      <c r="T558" s="273"/>
      <c r="U558" s="273"/>
      <c r="V558" s="273"/>
      <c r="W558" s="273"/>
      <c r="X558" s="274"/>
      <c r="Y558" s="273"/>
      <c r="Z558" s="273"/>
      <c r="AA558" s="273"/>
      <c r="AB558" s="273"/>
      <c r="AC558" s="273"/>
      <c r="AD558" s="273"/>
      <c r="AE558" s="273"/>
      <c r="AF558" s="273"/>
      <c r="AG558" s="273"/>
      <c r="AH558" s="273"/>
      <c r="AI558" s="273"/>
    </row>
    <row r="559" spans="1:35" ht="14.25" customHeight="1">
      <c r="A559" s="273"/>
      <c r="B559" s="273"/>
      <c r="C559" s="273"/>
      <c r="D559" s="273"/>
      <c r="E559" s="273"/>
      <c r="F559" s="273"/>
      <c r="G559" s="273"/>
      <c r="H559" s="273"/>
      <c r="I559" s="273"/>
      <c r="J559" s="273"/>
      <c r="K559" s="273"/>
      <c r="L559" s="274"/>
      <c r="M559" s="273"/>
      <c r="N559" s="273"/>
      <c r="O559" s="273"/>
      <c r="P559" s="273"/>
      <c r="Q559" s="273"/>
      <c r="R559" s="273"/>
      <c r="S559" s="273"/>
      <c r="T559" s="273"/>
      <c r="U559" s="273"/>
      <c r="V559" s="273"/>
      <c r="W559" s="273"/>
      <c r="X559" s="274"/>
      <c r="Y559" s="273"/>
      <c r="Z559" s="273"/>
      <c r="AA559" s="273"/>
      <c r="AB559" s="273"/>
      <c r="AC559" s="273"/>
      <c r="AD559" s="273"/>
      <c r="AE559" s="273"/>
      <c r="AF559" s="273"/>
      <c r="AG559" s="273"/>
      <c r="AH559" s="273"/>
      <c r="AI559" s="273"/>
    </row>
    <row r="560" spans="1:35" ht="14.25" customHeight="1">
      <c r="A560" s="273"/>
      <c r="B560" s="273"/>
      <c r="C560" s="273"/>
      <c r="D560" s="273"/>
      <c r="E560" s="273"/>
      <c r="F560" s="273"/>
      <c r="G560" s="273"/>
      <c r="H560" s="273"/>
      <c r="I560" s="273"/>
      <c r="J560" s="273"/>
      <c r="K560" s="273"/>
      <c r="L560" s="274"/>
      <c r="M560" s="273"/>
      <c r="N560" s="273"/>
      <c r="O560" s="273"/>
      <c r="P560" s="273"/>
      <c r="Q560" s="273"/>
      <c r="R560" s="273"/>
      <c r="S560" s="273"/>
      <c r="T560" s="273"/>
      <c r="U560" s="273"/>
      <c r="V560" s="273"/>
      <c r="W560" s="273"/>
      <c r="X560" s="274"/>
      <c r="Y560" s="273"/>
      <c r="Z560" s="273"/>
      <c r="AA560" s="273"/>
      <c r="AB560" s="273"/>
      <c r="AC560" s="273"/>
      <c r="AD560" s="273"/>
      <c r="AE560" s="273"/>
      <c r="AF560" s="273"/>
      <c r="AG560" s="273"/>
      <c r="AH560" s="273"/>
      <c r="AI560" s="273"/>
    </row>
    <row r="561" spans="1:35" ht="14.25" customHeight="1">
      <c r="A561" s="273"/>
      <c r="B561" s="273"/>
      <c r="C561" s="273"/>
      <c r="D561" s="273"/>
      <c r="E561" s="273"/>
      <c r="F561" s="273"/>
      <c r="G561" s="273"/>
      <c r="H561" s="273"/>
      <c r="I561" s="273"/>
      <c r="J561" s="273"/>
      <c r="K561" s="273"/>
      <c r="L561" s="274"/>
      <c r="M561" s="273"/>
      <c r="N561" s="273"/>
      <c r="O561" s="273"/>
      <c r="P561" s="273"/>
      <c r="Q561" s="273"/>
      <c r="R561" s="273"/>
      <c r="S561" s="273"/>
      <c r="T561" s="273"/>
      <c r="U561" s="273"/>
      <c r="V561" s="273"/>
      <c r="W561" s="273"/>
      <c r="X561" s="274"/>
      <c r="Y561" s="273"/>
      <c r="Z561" s="273"/>
      <c r="AA561" s="273"/>
      <c r="AB561" s="273"/>
      <c r="AC561" s="273"/>
      <c r="AD561" s="273"/>
      <c r="AE561" s="273"/>
      <c r="AF561" s="273"/>
      <c r="AG561" s="273"/>
      <c r="AH561" s="273"/>
      <c r="AI561" s="273"/>
    </row>
    <row r="562" spans="1:35" ht="14.25" customHeight="1">
      <c r="A562" s="273"/>
      <c r="B562" s="273"/>
      <c r="C562" s="273"/>
      <c r="D562" s="273"/>
      <c r="E562" s="273"/>
      <c r="F562" s="273"/>
      <c r="G562" s="273"/>
      <c r="H562" s="273"/>
      <c r="I562" s="273"/>
      <c r="J562" s="273"/>
      <c r="K562" s="273"/>
      <c r="L562" s="274"/>
      <c r="M562" s="273"/>
      <c r="N562" s="273"/>
      <c r="O562" s="273"/>
      <c r="P562" s="273"/>
      <c r="Q562" s="273"/>
      <c r="R562" s="273"/>
      <c r="S562" s="273"/>
      <c r="T562" s="273"/>
      <c r="U562" s="273"/>
      <c r="V562" s="273"/>
      <c r="W562" s="273"/>
      <c r="X562" s="274"/>
      <c r="Y562" s="273"/>
      <c r="Z562" s="273"/>
      <c r="AA562" s="273"/>
      <c r="AB562" s="273"/>
      <c r="AC562" s="273"/>
      <c r="AD562" s="273"/>
      <c r="AE562" s="273"/>
      <c r="AF562" s="273"/>
      <c r="AG562" s="273"/>
      <c r="AH562" s="273"/>
      <c r="AI562" s="273"/>
    </row>
    <row r="563" spans="1:35" ht="14.25" customHeight="1">
      <c r="A563" s="273"/>
      <c r="B563" s="273"/>
      <c r="C563" s="273"/>
      <c r="D563" s="273"/>
      <c r="E563" s="273"/>
      <c r="F563" s="273"/>
      <c r="G563" s="273"/>
      <c r="H563" s="273"/>
      <c r="I563" s="273"/>
      <c r="J563" s="273"/>
      <c r="K563" s="273"/>
      <c r="L563" s="274"/>
      <c r="M563" s="273"/>
      <c r="N563" s="273"/>
      <c r="O563" s="273"/>
      <c r="P563" s="273"/>
      <c r="Q563" s="273"/>
      <c r="R563" s="273"/>
      <c r="S563" s="273"/>
      <c r="T563" s="273"/>
      <c r="U563" s="273"/>
      <c r="V563" s="273"/>
      <c r="W563" s="273"/>
      <c r="X563" s="274"/>
      <c r="Y563" s="273"/>
      <c r="Z563" s="273"/>
      <c r="AA563" s="273"/>
      <c r="AB563" s="273"/>
      <c r="AC563" s="273"/>
      <c r="AD563" s="273"/>
      <c r="AE563" s="273"/>
      <c r="AF563" s="273"/>
      <c r="AG563" s="273"/>
      <c r="AH563" s="273"/>
      <c r="AI563" s="273"/>
    </row>
    <row r="564" spans="1:35" ht="14.25" customHeight="1">
      <c r="A564" s="273"/>
      <c r="B564" s="273"/>
      <c r="C564" s="273"/>
      <c r="D564" s="273"/>
      <c r="E564" s="273"/>
      <c r="F564" s="273"/>
      <c r="G564" s="273"/>
      <c r="H564" s="273"/>
      <c r="I564" s="273"/>
      <c r="J564" s="273"/>
      <c r="K564" s="273"/>
      <c r="L564" s="274"/>
      <c r="M564" s="273"/>
      <c r="N564" s="273"/>
      <c r="O564" s="273"/>
      <c r="P564" s="273"/>
      <c r="Q564" s="273"/>
      <c r="R564" s="273"/>
      <c r="S564" s="273"/>
      <c r="T564" s="273"/>
      <c r="U564" s="273"/>
      <c r="V564" s="273"/>
      <c r="W564" s="273"/>
      <c r="X564" s="274"/>
      <c r="Y564" s="273"/>
      <c r="Z564" s="273"/>
      <c r="AA564" s="273"/>
      <c r="AB564" s="273"/>
      <c r="AC564" s="273"/>
      <c r="AD564" s="273"/>
      <c r="AE564" s="273"/>
      <c r="AF564" s="273"/>
      <c r="AG564" s="273"/>
      <c r="AH564" s="273"/>
      <c r="AI564" s="273"/>
    </row>
    <row r="565" spans="1:35" ht="14.25" customHeight="1">
      <c r="A565" s="273"/>
      <c r="B565" s="273"/>
      <c r="C565" s="273"/>
      <c r="D565" s="273"/>
      <c r="E565" s="273"/>
      <c r="F565" s="273"/>
      <c r="G565" s="273"/>
      <c r="H565" s="273"/>
      <c r="I565" s="273"/>
      <c r="J565" s="273"/>
      <c r="K565" s="273"/>
      <c r="L565" s="274"/>
      <c r="M565" s="273"/>
      <c r="N565" s="273"/>
      <c r="O565" s="273"/>
      <c r="P565" s="273"/>
      <c r="Q565" s="273"/>
      <c r="R565" s="273"/>
      <c r="S565" s="273"/>
      <c r="T565" s="273"/>
      <c r="U565" s="273"/>
      <c r="V565" s="273"/>
      <c r="W565" s="273"/>
      <c r="X565" s="274"/>
      <c r="Y565" s="273"/>
      <c r="Z565" s="273"/>
      <c r="AA565" s="273"/>
      <c r="AB565" s="273"/>
      <c r="AC565" s="273"/>
      <c r="AD565" s="273"/>
      <c r="AE565" s="273"/>
      <c r="AF565" s="273"/>
      <c r="AG565" s="273"/>
      <c r="AH565" s="273"/>
      <c r="AI565" s="273"/>
    </row>
    <row r="566" spans="1:35" ht="14.25" customHeight="1">
      <c r="A566" s="273"/>
      <c r="B566" s="273"/>
      <c r="C566" s="273"/>
      <c r="D566" s="273"/>
      <c r="E566" s="273"/>
      <c r="F566" s="273"/>
      <c r="G566" s="273"/>
      <c r="H566" s="273"/>
      <c r="I566" s="273"/>
      <c r="J566" s="273"/>
      <c r="K566" s="273"/>
      <c r="L566" s="274"/>
      <c r="M566" s="273"/>
      <c r="N566" s="273"/>
      <c r="O566" s="273"/>
      <c r="P566" s="273"/>
      <c r="Q566" s="273"/>
      <c r="R566" s="273"/>
      <c r="S566" s="273"/>
      <c r="T566" s="273"/>
      <c r="U566" s="273"/>
      <c r="V566" s="273"/>
      <c r="W566" s="273"/>
      <c r="X566" s="274"/>
      <c r="Y566" s="273"/>
      <c r="Z566" s="273"/>
      <c r="AA566" s="273"/>
      <c r="AB566" s="273"/>
      <c r="AC566" s="273"/>
      <c r="AD566" s="273"/>
      <c r="AE566" s="273"/>
      <c r="AF566" s="273"/>
      <c r="AG566" s="273"/>
      <c r="AH566" s="273"/>
      <c r="AI566" s="273"/>
    </row>
    <row r="567" spans="1:35" ht="14.25" customHeight="1">
      <c r="A567" s="273"/>
      <c r="B567" s="273"/>
      <c r="C567" s="273"/>
      <c r="D567" s="273"/>
      <c r="E567" s="273"/>
      <c r="F567" s="273"/>
      <c r="G567" s="273"/>
      <c r="H567" s="273"/>
      <c r="I567" s="273"/>
      <c r="J567" s="273"/>
      <c r="K567" s="273"/>
      <c r="L567" s="274"/>
      <c r="M567" s="273"/>
      <c r="N567" s="273"/>
      <c r="O567" s="273"/>
      <c r="P567" s="273"/>
      <c r="Q567" s="273"/>
      <c r="R567" s="273"/>
      <c r="S567" s="273"/>
      <c r="T567" s="273"/>
      <c r="U567" s="273"/>
      <c r="V567" s="273"/>
      <c r="W567" s="273"/>
      <c r="X567" s="274"/>
      <c r="Y567" s="273"/>
      <c r="Z567" s="273"/>
      <c r="AA567" s="273"/>
      <c r="AB567" s="273"/>
      <c r="AC567" s="273"/>
      <c r="AD567" s="273"/>
      <c r="AE567" s="273"/>
      <c r="AF567" s="273"/>
      <c r="AG567" s="273"/>
      <c r="AH567" s="273"/>
      <c r="AI567" s="273"/>
    </row>
    <row r="568" spans="1:35" ht="14.25" customHeight="1">
      <c r="A568" s="273"/>
      <c r="B568" s="273"/>
      <c r="C568" s="273"/>
      <c r="D568" s="273"/>
      <c r="E568" s="273"/>
      <c r="F568" s="273"/>
      <c r="G568" s="273"/>
      <c r="H568" s="273"/>
      <c r="I568" s="273"/>
      <c r="J568" s="273"/>
      <c r="K568" s="273"/>
      <c r="L568" s="274"/>
      <c r="M568" s="273"/>
      <c r="N568" s="273"/>
      <c r="O568" s="273"/>
      <c r="P568" s="273"/>
      <c r="Q568" s="273"/>
      <c r="R568" s="273"/>
      <c r="S568" s="273"/>
      <c r="T568" s="273"/>
      <c r="U568" s="273"/>
      <c r="V568" s="273"/>
      <c r="W568" s="273"/>
      <c r="X568" s="274"/>
      <c r="Y568" s="273"/>
      <c r="Z568" s="273"/>
      <c r="AA568" s="273"/>
      <c r="AB568" s="273"/>
      <c r="AC568" s="273"/>
      <c r="AD568" s="273"/>
      <c r="AE568" s="273"/>
      <c r="AF568" s="273"/>
      <c r="AG568" s="273"/>
      <c r="AH568" s="273"/>
      <c r="AI568" s="273"/>
    </row>
    <row r="569" spans="1:35" ht="14.25" customHeight="1">
      <c r="A569" s="273"/>
      <c r="B569" s="273"/>
      <c r="C569" s="273"/>
      <c r="D569" s="273"/>
      <c r="E569" s="273"/>
      <c r="F569" s="273"/>
      <c r="G569" s="273"/>
      <c r="H569" s="273"/>
      <c r="I569" s="273"/>
      <c r="J569" s="273"/>
      <c r="K569" s="273"/>
      <c r="L569" s="274"/>
      <c r="M569" s="273"/>
      <c r="N569" s="273"/>
      <c r="O569" s="273"/>
      <c r="P569" s="273"/>
      <c r="Q569" s="273"/>
      <c r="R569" s="273"/>
      <c r="S569" s="273"/>
      <c r="T569" s="273"/>
      <c r="U569" s="273"/>
      <c r="V569" s="273"/>
      <c r="W569" s="273"/>
      <c r="X569" s="274"/>
      <c r="Y569" s="273"/>
      <c r="Z569" s="273"/>
      <c r="AA569" s="273"/>
      <c r="AB569" s="273"/>
      <c r="AC569" s="273"/>
      <c r="AD569" s="273"/>
      <c r="AE569" s="273"/>
      <c r="AF569" s="273"/>
      <c r="AG569" s="273"/>
      <c r="AH569" s="273"/>
      <c r="AI569" s="273"/>
    </row>
    <row r="570" spans="1:35" ht="14.25" customHeight="1">
      <c r="A570" s="273"/>
      <c r="B570" s="273"/>
      <c r="C570" s="273"/>
      <c r="D570" s="273"/>
      <c r="E570" s="273"/>
      <c r="F570" s="273"/>
      <c r="G570" s="273"/>
      <c r="H570" s="273"/>
      <c r="I570" s="273"/>
      <c r="J570" s="273"/>
      <c r="K570" s="273"/>
      <c r="L570" s="274"/>
      <c r="M570" s="273"/>
      <c r="N570" s="273"/>
      <c r="O570" s="273"/>
      <c r="P570" s="273"/>
      <c r="Q570" s="273"/>
      <c r="R570" s="273"/>
      <c r="S570" s="273"/>
      <c r="T570" s="273"/>
      <c r="U570" s="273"/>
      <c r="V570" s="273"/>
      <c r="W570" s="273"/>
      <c r="X570" s="274"/>
      <c r="Y570" s="273"/>
      <c r="Z570" s="273"/>
      <c r="AA570" s="273"/>
      <c r="AB570" s="273"/>
      <c r="AC570" s="273"/>
      <c r="AD570" s="273"/>
      <c r="AE570" s="273"/>
      <c r="AF570" s="273"/>
      <c r="AG570" s="273"/>
      <c r="AH570" s="273"/>
      <c r="AI570" s="273"/>
    </row>
    <row r="571" spans="1:35" ht="14.25" customHeight="1">
      <c r="A571" s="273"/>
      <c r="B571" s="273"/>
      <c r="C571" s="273"/>
      <c r="D571" s="273"/>
      <c r="E571" s="273"/>
      <c r="F571" s="273"/>
      <c r="G571" s="273"/>
      <c r="H571" s="273"/>
      <c r="I571" s="273"/>
      <c r="J571" s="273"/>
      <c r="K571" s="273"/>
      <c r="L571" s="274"/>
      <c r="M571" s="273"/>
      <c r="N571" s="273"/>
      <c r="O571" s="273"/>
      <c r="P571" s="273"/>
      <c r="Q571" s="273"/>
      <c r="R571" s="273"/>
      <c r="S571" s="273"/>
      <c r="T571" s="273"/>
      <c r="U571" s="273"/>
      <c r="V571" s="273"/>
      <c r="W571" s="273"/>
      <c r="X571" s="274"/>
      <c r="Y571" s="273"/>
      <c r="Z571" s="273"/>
      <c r="AA571" s="273"/>
      <c r="AB571" s="273"/>
      <c r="AC571" s="273"/>
      <c r="AD571" s="273"/>
      <c r="AE571" s="273"/>
      <c r="AF571" s="273"/>
      <c r="AG571" s="273"/>
      <c r="AH571" s="273"/>
      <c r="AI571" s="273"/>
    </row>
    <row r="572" spans="1:35" ht="14.25" customHeight="1">
      <c r="A572" s="273"/>
      <c r="B572" s="273"/>
      <c r="C572" s="273"/>
      <c r="D572" s="273"/>
      <c r="E572" s="273"/>
      <c r="F572" s="273"/>
      <c r="G572" s="273"/>
      <c r="H572" s="273"/>
      <c r="I572" s="273"/>
      <c r="J572" s="273"/>
      <c r="K572" s="273"/>
      <c r="L572" s="274"/>
      <c r="M572" s="273"/>
      <c r="N572" s="273"/>
      <c r="O572" s="273"/>
      <c r="P572" s="273"/>
      <c r="Q572" s="273"/>
      <c r="R572" s="273"/>
      <c r="S572" s="273"/>
      <c r="T572" s="273"/>
      <c r="U572" s="273"/>
      <c r="V572" s="273"/>
      <c r="W572" s="273"/>
      <c r="X572" s="274"/>
      <c r="Y572" s="273"/>
      <c r="Z572" s="273"/>
      <c r="AA572" s="273"/>
      <c r="AB572" s="273"/>
      <c r="AC572" s="273"/>
      <c r="AD572" s="273"/>
      <c r="AE572" s="273"/>
      <c r="AF572" s="273"/>
      <c r="AG572" s="273"/>
      <c r="AH572" s="273"/>
      <c r="AI572" s="273"/>
    </row>
    <row r="573" spans="1:35" ht="14.25" customHeight="1">
      <c r="A573" s="273"/>
      <c r="B573" s="273"/>
      <c r="C573" s="273"/>
      <c r="D573" s="273"/>
      <c r="E573" s="273"/>
      <c r="F573" s="273"/>
      <c r="G573" s="273"/>
      <c r="H573" s="273"/>
      <c r="I573" s="273"/>
      <c r="J573" s="273"/>
      <c r="K573" s="273"/>
      <c r="L573" s="274"/>
      <c r="M573" s="273"/>
      <c r="N573" s="273"/>
      <c r="O573" s="273"/>
      <c r="P573" s="273"/>
      <c r="Q573" s="273"/>
      <c r="R573" s="273"/>
      <c r="S573" s="273"/>
      <c r="T573" s="273"/>
      <c r="U573" s="273"/>
      <c r="V573" s="273"/>
      <c r="W573" s="273"/>
      <c r="X573" s="274"/>
      <c r="Y573" s="273"/>
      <c r="Z573" s="273"/>
      <c r="AA573" s="273"/>
      <c r="AB573" s="273"/>
      <c r="AC573" s="273"/>
      <c r="AD573" s="273"/>
      <c r="AE573" s="273"/>
      <c r="AF573" s="273"/>
      <c r="AG573" s="273"/>
      <c r="AH573" s="273"/>
      <c r="AI573" s="273"/>
    </row>
    <row r="574" spans="1:35" ht="14.25" customHeight="1">
      <c r="A574" s="273"/>
      <c r="B574" s="273"/>
      <c r="C574" s="273"/>
      <c r="D574" s="273"/>
      <c r="E574" s="273"/>
      <c r="F574" s="273"/>
      <c r="G574" s="273"/>
      <c r="H574" s="273"/>
      <c r="I574" s="273"/>
      <c r="J574" s="273"/>
      <c r="K574" s="273"/>
      <c r="L574" s="274"/>
      <c r="M574" s="273"/>
      <c r="N574" s="273"/>
      <c r="O574" s="273"/>
      <c r="P574" s="273"/>
      <c r="Q574" s="273"/>
      <c r="R574" s="273"/>
      <c r="S574" s="273"/>
      <c r="T574" s="273"/>
      <c r="U574" s="273"/>
      <c r="V574" s="273"/>
      <c r="W574" s="273"/>
      <c r="X574" s="274"/>
      <c r="Y574" s="273"/>
      <c r="Z574" s="273"/>
      <c r="AA574" s="273"/>
      <c r="AB574" s="273"/>
      <c r="AC574" s="273"/>
      <c r="AD574" s="273"/>
      <c r="AE574" s="273"/>
      <c r="AF574" s="273"/>
      <c r="AG574" s="273"/>
      <c r="AH574" s="273"/>
      <c r="AI574" s="273"/>
    </row>
    <row r="575" spans="1:35" ht="14.25" customHeight="1">
      <c r="A575" s="273"/>
      <c r="B575" s="273"/>
      <c r="C575" s="273"/>
      <c r="D575" s="273"/>
      <c r="E575" s="273"/>
      <c r="F575" s="273"/>
      <c r="G575" s="273"/>
      <c r="H575" s="273"/>
      <c r="I575" s="273"/>
      <c r="J575" s="273"/>
      <c r="K575" s="273"/>
      <c r="L575" s="274"/>
      <c r="M575" s="273"/>
      <c r="N575" s="273"/>
      <c r="O575" s="273"/>
      <c r="P575" s="273"/>
      <c r="Q575" s="273"/>
      <c r="R575" s="273"/>
      <c r="S575" s="273"/>
      <c r="T575" s="273"/>
      <c r="U575" s="273"/>
      <c r="V575" s="273"/>
      <c r="W575" s="273"/>
      <c r="X575" s="274"/>
      <c r="Y575" s="273"/>
      <c r="Z575" s="273"/>
      <c r="AA575" s="273"/>
      <c r="AB575" s="273"/>
      <c r="AC575" s="273"/>
      <c r="AD575" s="273"/>
      <c r="AE575" s="273"/>
      <c r="AF575" s="273"/>
      <c r="AG575" s="273"/>
      <c r="AH575" s="273"/>
      <c r="AI575" s="273"/>
    </row>
    <row r="576" spans="1:35" ht="14.25" customHeight="1">
      <c r="A576" s="273"/>
      <c r="B576" s="273"/>
      <c r="C576" s="273"/>
      <c r="D576" s="273"/>
      <c r="E576" s="273"/>
      <c r="F576" s="273"/>
      <c r="G576" s="273"/>
      <c r="H576" s="273"/>
      <c r="I576" s="273"/>
      <c r="J576" s="273"/>
      <c r="K576" s="273"/>
      <c r="L576" s="274"/>
      <c r="M576" s="273"/>
      <c r="N576" s="273"/>
      <c r="O576" s="273"/>
      <c r="P576" s="273"/>
      <c r="Q576" s="273"/>
      <c r="R576" s="273"/>
      <c r="S576" s="273"/>
      <c r="T576" s="273"/>
      <c r="U576" s="273"/>
      <c r="V576" s="273"/>
      <c r="W576" s="273"/>
      <c r="X576" s="274"/>
      <c r="Y576" s="273"/>
      <c r="Z576" s="273"/>
      <c r="AA576" s="273"/>
      <c r="AB576" s="273"/>
      <c r="AC576" s="273"/>
      <c r="AD576" s="273"/>
      <c r="AE576" s="273"/>
      <c r="AF576" s="273"/>
      <c r="AG576" s="273"/>
      <c r="AH576" s="273"/>
      <c r="AI576" s="273"/>
    </row>
    <row r="577" spans="1:35" ht="14.25" customHeight="1">
      <c r="A577" s="273"/>
      <c r="B577" s="273"/>
      <c r="C577" s="273"/>
      <c r="D577" s="273"/>
      <c r="E577" s="273"/>
      <c r="F577" s="273"/>
      <c r="G577" s="273"/>
      <c r="H577" s="273"/>
      <c r="I577" s="273"/>
      <c r="J577" s="273"/>
      <c r="K577" s="273"/>
      <c r="L577" s="274"/>
      <c r="M577" s="273"/>
      <c r="N577" s="273"/>
      <c r="O577" s="273"/>
      <c r="P577" s="273"/>
      <c r="Q577" s="273"/>
      <c r="R577" s="273"/>
      <c r="S577" s="273"/>
      <c r="T577" s="273"/>
      <c r="U577" s="273"/>
      <c r="V577" s="273"/>
      <c r="W577" s="273"/>
      <c r="X577" s="274"/>
      <c r="Y577" s="273"/>
      <c r="Z577" s="273"/>
      <c r="AA577" s="273"/>
      <c r="AB577" s="273"/>
      <c r="AC577" s="273"/>
      <c r="AD577" s="273"/>
      <c r="AE577" s="273"/>
      <c r="AF577" s="273"/>
      <c r="AG577" s="273"/>
      <c r="AH577" s="273"/>
      <c r="AI577" s="273"/>
    </row>
    <row r="578" spans="1:35" ht="14.25" customHeight="1">
      <c r="A578" s="273"/>
      <c r="B578" s="273"/>
      <c r="C578" s="273"/>
      <c r="D578" s="273"/>
      <c r="E578" s="273"/>
      <c r="F578" s="273"/>
      <c r="G578" s="273"/>
      <c r="H578" s="273"/>
      <c r="I578" s="273"/>
      <c r="J578" s="273"/>
      <c r="K578" s="273"/>
      <c r="L578" s="274"/>
      <c r="M578" s="273"/>
      <c r="N578" s="273"/>
      <c r="O578" s="273"/>
      <c r="P578" s="273"/>
      <c r="Q578" s="273"/>
      <c r="R578" s="273"/>
      <c r="S578" s="273"/>
      <c r="T578" s="273"/>
      <c r="U578" s="273"/>
      <c r="V578" s="273"/>
      <c r="W578" s="273"/>
      <c r="X578" s="274"/>
      <c r="Y578" s="273"/>
      <c r="Z578" s="273"/>
      <c r="AA578" s="273"/>
      <c r="AB578" s="273"/>
      <c r="AC578" s="273"/>
      <c r="AD578" s="273"/>
      <c r="AE578" s="273"/>
      <c r="AF578" s="273"/>
      <c r="AG578" s="273"/>
      <c r="AH578" s="273"/>
      <c r="AI578" s="273"/>
    </row>
    <row r="579" spans="1:35" ht="14.25" customHeight="1">
      <c r="A579" s="273"/>
      <c r="B579" s="273"/>
      <c r="C579" s="273"/>
      <c r="D579" s="273"/>
      <c r="E579" s="273"/>
      <c r="F579" s="273"/>
      <c r="G579" s="273"/>
      <c r="H579" s="273"/>
      <c r="I579" s="273"/>
      <c r="J579" s="273"/>
      <c r="K579" s="273"/>
      <c r="L579" s="274"/>
      <c r="M579" s="273"/>
      <c r="N579" s="273"/>
      <c r="O579" s="273"/>
      <c r="P579" s="273"/>
      <c r="Q579" s="273"/>
      <c r="R579" s="273"/>
      <c r="S579" s="273"/>
      <c r="T579" s="273"/>
      <c r="U579" s="273"/>
      <c r="V579" s="273"/>
      <c r="W579" s="273"/>
      <c r="X579" s="274"/>
      <c r="Y579" s="273"/>
      <c r="Z579" s="273"/>
      <c r="AA579" s="273"/>
      <c r="AB579" s="273"/>
      <c r="AC579" s="273"/>
      <c r="AD579" s="273"/>
      <c r="AE579" s="273"/>
      <c r="AF579" s="273"/>
      <c r="AG579" s="273"/>
      <c r="AH579" s="273"/>
      <c r="AI579" s="273"/>
    </row>
    <row r="580" spans="1:35" ht="14.25" customHeight="1">
      <c r="A580" s="273"/>
      <c r="B580" s="273"/>
      <c r="C580" s="273"/>
      <c r="D580" s="273"/>
      <c r="E580" s="273"/>
      <c r="F580" s="273"/>
      <c r="G580" s="273"/>
      <c r="H580" s="273"/>
      <c r="I580" s="273"/>
      <c r="J580" s="273"/>
      <c r="K580" s="273"/>
      <c r="L580" s="274"/>
      <c r="M580" s="273"/>
      <c r="N580" s="273"/>
      <c r="O580" s="273"/>
      <c r="P580" s="273"/>
      <c r="Q580" s="273"/>
      <c r="R580" s="273"/>
      <c r="S580" s="273"/>
      <c r="T580" s="273"/>
      <c r="U580" s="273"/>
      <c r="V580" s="273"/>
      <c r="W580" s="273"/>
      <c r="X580" s="274"/>
      <c r="Y580" s="273"/>
      <c r="Z580" s="273"/>
      <c r="AA580" s="273"/>
      <c r="AB580" s="273"/>
      <c r="AC580" s="273"/>
      <c r="AD580" s="273"/>
      <c r="AE580" s="273"/>
      <c r="AF580" s="273"/>
      <c r="AG580" s="273"/>
      <c r="AH580" s="273"/>
      <c r="AI580" s="273"/>
    </row>
    <row r="581" spans="1:35" ht="14.25" customHeight="1">
      <c r="A581" s="273"/>
      <c r="B581" s="273"/>
      <c r="C581" s="273"/>
      <c r="D581" s="273"/>
      <c r="E581" s="273"/>
      <c r="F581" s="273"/>
      <c r="G581" s="273"/>
      <c r="H581" s="273"/>
      <c r="I581" s="273"/>
      <c r="J581" s="273"/>
      <c r="K581" s="273"/>
      <c r="L581" s="274"/>
      <c r="M581" s="273"/>
      <c r="N581" s="273"/>
      <c r="O581" s="273"/>
      <c r="P581" s="273"/>
      <c r="Q581" s="273"/>
      <c r="R581" s="273"/>
      <c r="S581" s="273"/>
      <c r="T581" s="273"/>
      <c r="U581" s="273"/>
      <c r="V581" s="273"/>
      <c r="W581" s="273"/>
      <c r="X581" s="274"/>
      <c r="Y581" s="273"/>
      <c r="Z581" s="273"/>
      <c r="AA581" s="273"/>
      <c r="AB581" s="273"/>
      <c r="AC581" s="273"/>
      <c r="AD581" s="273"/>
      <c r="AE581" s="273"/>
      <c r="AF581" s="273"/>
      <c r="AG581" s="273"/>
      <c r="AH581" s="273"/>
      <c r="AI581" s="273"/>
    </row>
    <row r="582" spans="1:35" ht="14.25" customHeight="1">
      <c r="A582" s="273"/>
      <c r="B582" s="273"/>
      <c r="C582" s="273"/>
      <c r="D582" s="273"/>
      <c r="E582" s="273"/>
      <c r="F582" s="273"/>
      <c r="G582" s="273"/>
      <c r="H582" s="273"/>
      <c r="I582" s="273"/>
      <c r="J582" s="273"/>
      <c r="K582" s="273"/>
      <c r="L582" s="274"/>
      <c r="M582" s="273"/>
      <c r="N582" s="273"/>
      <c r="O582" s="273"/>
      <c r="P582" s="273"/>
      <c r="Q582" s="273"/>
      <c r="R582" s="273"/>
      <c r="S582" s="273"/>
      <c r="T582" s="273"/>
      <c r="U582" s="273"/>
      <c r="V582" s="273"/>
      <c r="W582" s="273"/>
      <c r="X582" s="274"/>
      <c r="Y582" s="273"/>
      <c r="Z582" s="273"/>
      <c r="AA582" s="273"/>
      <c r="AB582" s="273"/>
      <c r="AC582" s="273"/>
      <c r="AD582" s="273"/>
      <c r="AE582" s="273"/>
      <c r="AF582" s="273"/>
      <c r="AG582" s="273"/>
      <c r="AH582" s="273"/>
      <c r="AI582" s="273"/>
    </row>
    <row r="583" spans="1:35" ht="14.25" customHeight="1">
      <c r="A583" s="273"/>
      <c r="B583" s="273"/>
      <c r="C583" s="273"/>
      <c r="D583" s="273"/>
      <c r="E583" s="273"/>
      <c r="F583" s="273"/>
      <c r="G583" s="273"/>
      <c r="H583" s="273"/>
      <c r="I583" s="273"/>
      <c r="J583" s="273"/>
      <c r="K583" s="273"/>
      <c r="L583" s="274"/>
      <c r="M583" s="273"/>
      <c r="N583" s="273"/>
      <c r="O583" s="273"/>
      <c r="P583" s="273"/>
      <c r="Q583" s="273"/>
      <c r="R583" s="273"/>
      <c r="S583" s="273"/>
      <c r="T583" s="273"/>
      <c r="U583" s="273"/>
      <c r="V583" s="273"/>
      <c r="W583" s="273"/>
      <c r="X583" s="274"/>
      <c r="Y583" s="273"/>
      <c r="Z583" s="273"/>
      <c r="AA583" s="273"/>
      <c r="AB583" s="273"/>
      <c r="AC583" s="273"/>
      <c r="AD583" s="273"/>
      <c r="AE583" s="273"/>
      <c r="AF583" s="273"/>
      <c r="AG583" s="273"/>
      <c r="AH583" s="273"/>
      <c r="AI583" s="273"/>
    </row>
    <row r="584" spans="1:35" ht="14.25" customHeight="1">
      <c r="A584" s="273"/>
      <c r="B584" s="273"/>
      <c r="C584" s="273"/>
      <c r="D584" s="273"/>
      <c r="E584" s="273"/>
      <c r="F584" s="273"/>
      <c r="G584" s="273"/>
      <c r="H584" s="273"/>
      <c r="I584" s="273"/>
      <c r="J584" s="273"/>
      <c r="K584" s="273"/>
      <c r="L584" s="274"/>
      <c r="M584" s="273"/>
      <c r="N584" s="273"/>
      <c r="O584" s="273"/>
      <c r="P584" s="273"/>
      <c r="Q584" s="273"/>
      <c r="R584" s="273"/>
      <c r="S584" s="273"/>
      <c r="T584" s="273"/>
      <c r="U584" s="273"/>
      <c r="V584" s="273"/>
      <c r="W584" s="273"/>
      <c r="X584" s="274"/>
      <c r="Y584" s="273"/>
      <c r="Z584" s="273"/>
      <c r="AA584" s="273"/>
      <c r="AB584" s="273"/>
      <c r="AC584" s="273"/>
      <c r="AD584" s="273"/>
      <c r="AE584" s="273"/>
      <c r="AF584" s="273"/>
      <c r="AG584" s="273"/>
      <c r="AH584" s="273"/>
      <c r="AI584" s="273"/>
    </row>
    <row r="585" spans="1:35" ht="14.25" customHeight="1">
      <c r="A585" s="273"/>
      <c r="B585" s="273"/>
      <c r="C585" s="273"/>
      <c r="D585" s="273"/>
      <c r="E585" s="273"/>
      <c r="F585" s="273"/>
      <c r="G585" s="273"/>
      <c r="H585" s="273"/>
      <c r="I585" s="273"/>
      <c r="J585" s="273"/>
      <c r="K585" s="273"/>
      <c r="L585" s="274"/>
      <c r="M585" s="273"/>
      <c r="N585" s="273"/>
      <c r="O585" s="273"/>
      <c r="P585" s="273"/>
      <c r="Q585" s="273"/>
      <c r="R585" s="273"/>
      <c r="S585" s="273"/>
      <c r="T585" s="273"/>
      <c r="U585" s="273"/>
      <c r="V585" s="273"/>
      <c r="W585" s="273"/>
      <c r="X585" s="274"/>
      <c r="Y585" s="273"/>
      <c r="Z585" s="273"/>
      <c r="AA585" s="273"/>
      <c r="AB585" s="273"/>
      <c r="AC585" s="273"/>
      <c r="AD585" s="273"/>
      <c r="AE585" s="273"/>
      <c r="AF585" s="273"/>
      <c r="AG585" s="273"/>
      <c r="AH585" s="273"/>
      <c r="AI585" s="273"/>
    </row>
    <row r="586" spans="1:35" ht="14.25" customHeight="1">
      <c r="A586" s="273"/>
      <c r="B586" s="273"/>
      <c r="C586" s="273"/>
      <c r="D586" s="273"/>
      <c r="E586" s="273"/>
      <c r="F586" s="273"/>
      <c r="G586" s="273"/>
      <c r="H586" s="273"/>
      <c r="I586" s="273"/>
      <c r="J586" s="273"/>
      <c r="K586" s="273"/>
      <c r="L586" s="274"/>
      <c r="M586" s="273"/>
      <c r="N586" s="273"/>
      <c r="O586" s="273"/>
      <c r="P586" s="273"/>
      <c r="Q586" s="273"/>
      <c r="R586" s="273"/>
      <c r="S586" s="273"/>
      <c r="T586" s="273"/>
      <c r="U586" s="273"/>
      <c r="V586" s="273"/>
      <c r="W586" s="273"/>
      <c r="X586" s="274"/>
      <c r="Y586" s="273"/>
      <c r="Z586" s="273"/>
      <c r="AA586" s="273"/>
      <c r="AB586" s="273"/>
      <c r="AC586" s="273"/>
      <c r="AD586" s="273"/>
      <c r="AE586" s="273"/>
      <c r="AF586" s="273"/>
      <c r="AG586" s="273"/>
      <c r="AH586" s="273"/>
      <c r="AI586" s="273"/>
    </row>
    <row r="587" spans="1:35" ht="14.25" customHeight="1">
      <c r="A587" s="273"/>
      <c r="B587" s="273"/>
      <c r="C587" s="273"/>
      <c r="D587" s="273"/>
      <c r="E587" s="273"/>
      <c r="F587" s="273"/>
      <c r="G587" s="273"/>
      <c r="H587" s="273"/>
      <c r="I587" s="273"/>
      <c r="J587" s="273"/>
      <c r="K587" s="273"/>
      <c r="L587" s="274"/>
      <c r="M587" s="273"/>
      <c r="N587" s="273"/>
      <c r="O587" s="273"/>
      <c r="P587" s="273"/>
      <c r="Q587" s="273"/>
      <c r="R587" s="273"/>
      <c r="S587" s="273"/>
      <c r="T587" s="273"/>
      <c r="U587" s="273"/>
      <c r="V587" s="273"/>
      <c r="W587" s="273"/>
      <c r="X587" s="274"/>
      <c r="Y587" s="273"/>
      <c r="Z587" s="273"/>
      <c r="AA587" s="273"/>
      <c r="AB587" s="273"/>
      <c r="AC587" s="273"/>
      <c r="AD587" s="273"/>
      <c r="AE587" s="273"/>
      <c r="AF587" s="273"/>
      <c r="AG587" s="273"/>
      <c r="AH587" s="273"/>
      <c r="AI587" s="273"/>
    </row>
    <row r="588" spans="1:35" ht="14.25" customHeight="1">
      <c r="A588" s="273"/>
      <c r="B588" s="273"/>
      <c r="C588" s="273"/>
      <c r="D588" s="273"/>
      <c r="E588" s="273"/>
      <c r="F588" s="273"/>
      <c r="G588" s="273"/>
      <c r="H588" s="273"/>
      <c r="I588" s="273"/>
      <c r="J588" s="273"/>
      <c r="K588" s="273"/>
      <c r="L588" s="274"/>
      <c r="M588" s="273"/>
      <c r="N588" s="273"/>
      <c r="O588" s="273"/>
      <c r="P588" s="273"/>
      <c r="Q588" s="273"/>
      <c r="R588" s="273"/>
      <c r="S588" s="273"/>
      <c r="T588" s="273"/>
      <c r="U588" s="273"/>
      <c r="V588" s="273"/>
      <c r="W588" s="273"/>
      <c r="X588" s="274"/>
      <c r="Y588" s="273"/>
      <c r="Z588" s="273"/>
      <c r="AA588" s="273"/>
      <c r="AB588" s="273"/>
      <c r="AC588" s="273"/>
      <c r="AD588" s="273"/>
      <c r="AE588" s="273"/>
      <c r="AF588" s="273"/>
      <c r="AG588" s="273"/>
      <c r="AH588" s="273"/>
      <c r="AI588" s="273"/>
    </row>
    <row r="589" spans="1:35" ht="14.25" customHeight="1">
      <c r="A589" s="273"/>
      <c r="B589" s="273"/>
      <c r="C589" s="273"/>
      <c r="D589" s="273"/>
      <c r="E589" s="273"/>
      <c r="F589" s="273"/>
      <c r="G589" s="273"/>
      <c r="H589" s="273"/>
      <c r="I589" s="273"/>
      <c r="J589" s="273"/>
      <c r="K589" s="273"/>
      <c r="L589" s="274"/>
      <c r="M589" s="273"/>
      <c r="N589" s="273"/>
      <c r="O589" s="273"/>
      <c r="P589" s="273"/>
      <c r="Q589" s="273"/>
      <c r="R589" s="273"/>
      <c r="S589" s="273"/>
      <c r="T589" s="273"/>
      <c r="U589" s="273"/>
      <c r="V589" s="273"/>
      <c r="W589" s="273"/>
      <c r="X589" s="274"/>
      <c r="Y589" s="273"/>
      <c r="Z589" s="273"/>
      <c r="AA589" s="273"/>
      <c r="AB589" s="273"/>
      <c r="AC589" s="273"/>
      <c r="AD589" s="273"/>
      <c r="AE589" s="273"/>
      <c r="AF589" s="273"/>
      <c r="AG589" s="273"/>
      <c r="AH589" s="273"/>
      <c r="AI589" s="273"/>
    </row>
    <row r="590" spans="1:35" ht="14.25" customHeight="1">
      <c r="A590" s="273"/>
      <c r="B590" s="273"/>
      <c r="C590" s="273"/>
      <c r="D590" s="273"/>
      <c r="E590" s="273"/>
      <c r="F590" s="273"/>
      <c r="G590" s="273"/>
      <c r="H590" s="273"/>
      <c r="I590" s="273"/>
      <c r="J590" s="273"/>
      <c r="K590" s="273"/>
      <c r="L590" s="274"/>
      <c r="M590" s="273"/>
      <c r="N590" s="273"/>
      <c r="O590" s="273"/>
      <c r="P590" s="273"/>
      <c r="Q590" s="273"/>
      <c r="R590" s="273"/>
      <c r="S590" s="273"/>
      <c r="T590" s="273"/>
      <c r="U590" s="273"/>
      <c r="V590" s="273"/>
      <c r="W590" s="273"/>
      <c r="X590" s="274"/>
      <c r="Y590" s="273"/>
      <c r="Z590" s="273"/>
      <c r="AA590" s="273"/>
      <c r="AB590" s="273"/>
      <c r="AC590" s="273"/>
      <c r="AD590" s="273"/>
      <c r="AE590" s="273"/>
      <c r="AF590" s="273"/>
      <c r="AG590" s="273"/>
      <c r="AH590" s="273"/>
      <c r="AI590" s="273"/>
    </row>
    <row r="591" spans="1:35" ht="14.25" customHeight="1">
      <c r="A591" s="273"/>
      <c r="B591" s="273"/>
      <c r="C591" s="273"/>
      <c r="D591" s="273"/>
      <c r="E591" s="273"/>
      <c r="F591" s="273"/>
      <c r="G591" s="273"/>
      <c r="H591" s="273"/>
      <c r="I591" s="273"/>
      <c r="J591" s="273"/>
      <c r="K591" s="273"/>
      <c r="L591" s="274"/>
      <c r="M591" s="273"/>
      <c r="N591" s="273"/>
      <c r="O591" s="273"/>
      <c r="P591" s="273"/>
      <c r="Q591" s="273"/>
      <c r="R591" s="273"/>
      <c r="S591" s="273"/>
      <c r="T591" s="273"/>
      <c r="U591" s="273"/>
      <c r="V591" s="273"/>
      <c r="W591" s="273"/>
      <c r="X591" s="274"/>
      <c r="Y591" s="273"/>
      <c r="Z591" s="273"/>
      <c r="AA591" s="273"/>
      <c r="AB591" s="273"/>
      <c r="AC591" s="273"/>
      <c r="AD591" s="273"/>
      <c r="AE591" s="273"/>
      <c r="AF591" s="273"/>
      <c r="AG591" s="273"/>
      <c r="AH591" s="273"/>
      <c r="AI591" s="273"/>
    </row>
    <row r="592" spans="1:35" ht="14.25" customHeight="1">
      <c r="A592" s="273"/>
      <c r="B592" s="273"/>
      <c r="C592" s="273"/>
      <c r="D592" s="273"/>
      <c r="E592" s="273"/>
      <c r="F592" s="273"/>
      <c r="G592" s="273"/>
      <c r="H592" s="273"/>
      <c r="I592" s="273"/>
      <c r="J592" s="273"/>
      <c r="K592" s="273"/>
      <c r="L592" s="274"/>
      <c r="M592" s="273"/>
      <c r="N592" s="273"/>
      <c r="O592" s="273"/>
      <c r="P592" s="273"/>
      <c r="Q592" s="273"/>
      <c r="R592" s="273"/>
      <c r="S592" s="273"/>
      <c r="T592" s="273"/>
      <c r="U592" s="273"/>
      <c r="V592" s="273"/>
      <c r="W592" s="273"/>
      <c r="X592" s="274"/>
      <c r="Y592" s="273"/>
      <c r="Z592" s="273"/>
      <c r="AA592" s="273"/>
      <c r="AB592" s="273"/>
      <c r="AC592" s="273"/>
      <c r="AD592" s="273"/>
      <c r="AE592" s="273"/>
      <c r="AF592" s="273"/>
      <c r="AG592" s="273"/>
      <c r="AH592" s="273"/>
      <c r="AI592" s="273"/>
    </row>
    <row r="593" spans="1:35" ht="14.25" customHeight="1">
      <c r="A593" s="273"/>
      <c r="B593" s="273"/>
      <c r="C593" s="273"/>
      <c r="D593" s="273"/>
      <c r="E593" s="273"/>
      <c r="F593" s="273"/>
      <c r="G593" s="273"/>
      <c r="H593" s="273"/>
      <c r="I593" s="273"/>
      <c r="J593" s="273"/>
      <c r="K593" s="273"/>
      <c r="L593" s="274"/>
      <c r="M593" s="273"/>
      <c r="N593" s="273"/>
      <c r="O593" s="273"/>
      <c r="P593" s="273"/>
      <c r="Q593" s="273"/>
      <c r="R593" s="273"/>
      <c r="S593" s="273"/>
      <c r="T593" s="273"/>
      <c r="U593" s="273"/>
      <c r="V593" s="273"/>
      <c r="W593" s="273"/>
      <c r="X593" s="274"/>
      <c r="Y593" s="273"/>
      <c r="Z593" s="273"/>
      <c r="AA593" s="273"/>
      <c r="AB593" s="273"/>
      <c r="AC593" s="273"/>
      <c r="AD593" s="273"/>
      <c r="AE593" s="273"/>
      <c r="AF593" s="273"/>
      <c r="AG593" s="273"/>
      <c r="AH593" s="273"/>
      <c r="AI593" s="273"/>
    </row>
    <row r="594" spans="1:35" ht="14.25" customHeight="1">
      <c r="A594" s="273"/>
      <c r="B594" s="273"/>
      <c r="C594" s="273"/>
      <c r="D594" s="273"/>
      <c r="E594" s="273"/>
      <c r="F594" s="273"/>
      <c r="G594" s="273"/>
      <c r="H594" s="273"/>
      <c r="I594" s="273"/>
      <c r="J594" s="273"/>
      <c r="K594" s="273"/>
      <c r="L594" s="274"/>
      <c r="M594" s="273"/>
      <c r="N594" s="273"/>
      <c r="O594" s="273"/>
      <c r="P594" s="273"/>
      <c r="Q594" s="273"/>
      <c r="R594" s="273"/>
      <c r="S594" s="273"/>
      <c r="T594" s="273"/>
      <c r="U594" s="273"/>
      <c r="V594" s="273"/>
      <c r="W594" s="273"/>
      <c r="X594" s="274"/>
      <c r="Y594" s="273"/>
      <c r="Z594" s="273"/>
      <c r="AA594" s="273"/>
      <c r="AB594" s="273"/>
      <c r="AC594" s="273"/>
      <c r="AD594" s="273"/>
      <c r="AE594" s="273"/>
      <c r="AF594" s="273"/>
      <c r="AG594" s="273"/>
      <c r="AH594" s="273"/>
      <c r="AI594" s="273"/>
    </row>
    <row r="595" spans="1:35" ht="14.25" customHeight="1">
      <c r="A595" s="273"/>
      <c r="B595" s="273"/>
      <c r="C595" s="273"/>
      <c r="D595" s="273"/>
      <c r="E595" s="273"/>
      <c r="F595" s="273"/>
      <c r="G595" s="273"/>
      <c r="H595" s="273"/>
      <c r="I595" s="273"/>
      <c r="J595" s="273"/>
      <c r="K595" s="273"/>
      <c r="L595" s="274"/>
      <c r="M595" s="273"/>
      <c r="N595" s="273"/>
      <c r="O595" s="273"/>
      <c r="P595" s="273"/>
      <c r="Q595" s="273"/>
      <c r="R595" s="273"/>
      <c r="S595" s="273"/>
      <c r="T595" s="273"/>
      <c r="U595" s="273"/>
      <c r="V595" s="273"/>
      <c r="W595" s="273"/>
      <c r="X595" s="274"/>
      <c r="Y595" s="273"/>
      <c r="Z595" s="273"/>
      <c r="AA595" s="273"/>
      <c r="AB595" s="273"/>
      <c r="AC595" s="273"/>
      <c r="AD595" s="273"/>
      <c r="AE595" s="273"/>
      <c r="AF595" s="273"/>
      <c r="AG595" s="273"/>
      <c r="AH595" s="273"/>
      <c r="AI595" s="273"/>
    </row>
    <row r="596" spans="1:35" ht="14.25" customHeight="1">
      <c r="A596" s="273"/>
      <c r="B596" s="273"/>
      <c r="C596" s="273"/>
      <c r="D596" s="273"/>
      <c r="E596" s="273"/>
      <c r="F596" s="273"/>
      <c r="G596" s="273"/>
      <c r="H596" s="273"/>
      <c r="I596" s="273"/>
      <c r="J596" s="273"/>
      <c r="K596" s="273"/>
      <c r="L596" s="274"/>
      <c r="M596" s="273"/>
      <c r="N596" s="273"/>
      <c r="O596" s="273"/>
      <c r="P596" s="273"/>
      <c r="Q596" s="273"/>
      <c r="R596" s="273"/>
      <c r="S596" s="273"/>
      <c r="T596" s="273"/>
      <c r="U596" s="273"/>
      <c r="V596" s="273"/>
      <c r="W596" s="273"/>
      <c r="X596" s="274"/>
      <c r="Y596" s="273"/>
      <c r="Z596" s="273"/>
      <c r="AA596" s="273"/>
      <c r="AB596" s="273"/>
      <c r="AC596" s="273"/>
      <c r="AD596" s="273"/>
      <c r="AE596" s="273"/>
      <c r="AF596" s="273"/>
      <c r="AG596" s="273"/>
      <c r="AH596" s="273"/>
      <c r="AI596" s="273"/>
    </row>
    <row r="597" spans="1:35" ht="14.25" customHeight="1">
      <c r="A597" s="273"/>
      <c r="B597" s="273"/>
      <c r="C597" s="273"/>
      <c r="D597" s="273"/>
      <c r="E597" s="273"/>
      <c r="F597" s="273"/>
      <c r="G597" s="273"/>
      <c r="H597" s="273"/>
      <c r="I597" s="273"/>
      <c r="J597" s="273"/>
      <c r="K597" s="273"/>
      <c r="L597" s="274"/>
      <c r="M597" s="273"/>
      <c r="N597" s="273"/>
      <c r="O597" s="273"/>
      <c r="P597" s="273"/>
      <c r="Q597" s="273"/>
      <c r="R597" s="273"/>
      <c r="S597" s="273"/>
      <c r="T597" s="273"/>
      <c r="U597" s="273"/>
      <c r="V597" s="273"/>
      <c r="W597" s="273"/>
      <c r="X597" s="274"/>
      <c r="Y597" s="273"/>
      <c r="Z597" s="273"/>
      <c r="AA597" s="273"/>
      <c r="AB597" s="273"/>
      <c r="AC597" s="273"/>
      <c r="AD597" s="273"/>
      <c r="AE597" s="273"/>
      <c r="AF597" s="273"/>
      <c r="AG597" s="273"/>
      <c r="AH597" s="273"/>
      <c r="AI597" s="273"/>
    </row>
    <row r="598" spans="1:35" ht="14.25" customHeight="1">
      <c r="A598" s="273"/>
      <c r="B598" s="273"/>
      <c r="C598" s="273"/>
      <c r="D598" s="273"/>
      <c r="E598" s="273"/>
      <c r="F598" s="273"/>
      <c r="G598" s="273"/>
      <c r="H598" s="273"/>
      <c r="I598" s="273"/>
      <c r="J598" s="273"/>
      <c r="K598" s="273"/>
      <c r="L598" s="274"/>
      <c r="M598" s="273"/>
      <c r="N598" s="273"/>
      <c r="O598" s="273"/>
      <c r="P598" s="273"/>
      <c r="Q598" s="273"/>
      <c r="R598" s="273"/>
      <c r="S598" s="273"/>
      <c r="T598" s="273"/>
      <c r="U598" s="273"/>
      <c r="V598" s="273"/>
      <c r="W598" s="273"/>
      <c r="X598" s="274"/>
      <c r="Y598" s="273"/>
      <c r="Z598" s="273"/>
      <c r="AA598" s="273"/>
      <c r="AB598" s="273"/>
      <c r="AC598" s="273"/>
      <c r="AD598" s="273"/>
      <c r="AE598" s="273"/>
      <c r="AF598" s="273"/>
      <c r="AG598" s="273"/>
      <c r="AH598" s="273"/>
      <c r="AI598" s="273"/>
    </row>
    <row r="599" spans="1:35" ht="14.25" customHeight="1">
      <c r="A599" s="273"/>
      <c r="B599" s="273"/>
      <c r="C599" s="273"/>
      <c r="D599" s="273"/>
      <c r="E599" s="273"/>
      <c r="F599" s="273"/>
      <c r="G599" s="273"/>
      <c r="H599" s="273"/>
      <c r="I599" s="273"/>
      <c r="J599" s="273"/>
      <c r="K599" s="273"/>
      <c r="L599" s="274"/>
      <c r="M599" s="273"/>
      <c r="N599" s="273"/>
      <c r="O599" s="273"/>
      <c r="P599" s="273"/>
      <c r="Q599" s="273"/>
      <c r="R599" s="273"/>
      <c r="S599" s="273"/>
      <c r="T599" s="273"/>
      <c r="U599" s="273"/>
      <c r="V599" s="273"/>
      <c r="W599" s="273"/>
      <c r="X599" s="274"/>
      <c r="Y599" s="273"/>
      <c r="Z599" s="273"/>
      <c r="AA599" s="273"/>
      <c r="AB599" s="273"/>
      <c r="AC599" s="273"/>
      <c r="AD599" s="273"/>
      <c r="AE599" s="273"/>
      <c r="AF599" s="273"/>
      <c r="AG599" s="273"/>
      <c r="AH599" s="273"/>
      <c r="AI599" s="273"/>
    </row>
    <row r="600" spans="1:35" ht="14.25" customHeight="1">
      <c r="A600" s="273"/>
      <c r="B600" s="273"/>
      <c r="C600" s="273"/>
      <c r="D600" s="273"/>
      <c r="E600" s="273"/>
      <c r="F600" s="273"/>
      <c r="G600" s="273"/>
      <c r="H600" s="273"/>
      <c r="I600" s="273"/>
      <c r="J600" s="273"/>
      <c r="K600" s="273"/>
      <c r="L600" s="274"/>
      <c r="M600" s="273"/>
      <c r="N600" s="273"/>
      <c r="O600" s="273"/>
      <c r="P600" s="273"/>
      <c r="Q600" s="273"/>
      <c r="R600" s="273"/>
      <c r="S600" s="273"/>
      <c r="T600" s="273"/>
      <c r="U600" s="273"/>
      <c r="V600" s="273"/>
      <c r="W600" s="273"/>
      <c r="X600" s="274"/>
      <c r="Y600" s="273"/>
      <c r="Z600" s="273"/>
      <c r="AA600" s="273"/>
      <c r="AB600" s="273"/>
      <c r="AC600" s="273"/>
      <c r="AD600" s="273"/>
      <c r="AE600" s="273"/>
      <c r="AF600" s="273"/>
      <c r="AG600" s="273"/>
      <c r="AH600" s="273"/>
      <c r="AI600" s="273"/>
    </row>
    <row r="601" spans="1:35" ht="14.25" customHeight="1">
      <c r="A601" s="273"/>
      <c r="B601" s="273"/>
      <c r="C601" s="273"/>
      <c r="D601" s="273"/>
      <c r="E601" s="273"/>
      <c r="F601" s="273"/>
      <c r="G601" s="273"/>
      <c r="H601" s="273"/>
      <c r="I601" s="273"/>
      <c r="J601" s="273"/>
      <c r="K601" s="273"/>
      <c r="L601" s="274"/>
      <c r="M601" s="273"/>
      <c r="N601" s="273"/>
      <c r="O601" s="273"/>
      <c r="P601" s="273"/>
      <c r="Q601" s="273"/>
      <c r="R601" s="273"/>
      <c r="S601" s="273"/>
      <c r="T601" s="273"/>
      <c r="U601" s="273"/>
      <c r="V601" s="273"/>
      <c r="W601" s="273"/>
      <c r="X601" s="274"/>
      <c r="Y601" s="273"/>
      <c r="Z601" s="273"/>
      <c r="AA601" s="273"/>
      <c r="AB601" s="273"/>
      <c r="AC601" s="273"/>
      <c r="AD601" s="273"/>
      <c r="AE601" s="273"/>
      <c r="AF601" s="273"/>
      <c r="AG601" s="273"/>
      <c r="AH601" s="273"/>
      <c r="AI601" s="273"/>
    </row>
    <row r="602" spans="1:35" ht="14.25" customHeight="1">
      <c r="A602" s="273"/>
      <c r="B602" s="273"/>
      <c r="C602" s="273"/>
      <c r="D602" s="273"/>
      <c r="E602" s="273"/>
      <c r="F602" s="273"/>
      <c r="G602" s="273"/>
      <c r="H602" s="273"/>
      <c r="I602" s="273"/>
      <c r="J602" s="273"/>
      <c r="K602" s="273"/>
      <c r="L602" s="274"/>
      <c r="M602" s="273"/>
      <c r="N602" s="273"/>
      <c r="O602" s="273"/>
      <c r="P602" s="273"/>
      <c r="Q602" s="273"/>
      <c r="R602" s="273"/>
      <c r="S602" s="273"/>
      <c r="T602" s="273"/>
      <c r="U602" s="273"/>
      <c r="V602" s="273"/>
      <c r="W602" s="273"/>
      <c r="X602" s="274"/>
      <c r="Y602" s="273"/>
      <c r="Z602" s="273"/>
      <c r="AA602" s="273"/>
      <c r="AB602" s="273"/>
      <c r="AC602" s="273"/>
      <c r="AD602" s="273"/>
      <c r="AE602" s="273"/>
      <c r="AF602" s="273"/>
      <c r="AG602" s="273"/>
      <c r="AH602" s="273"/>
      <c r="AI602" s="273"/>
    </row>
    <row r="603" spans="1:35" ht="14.25" customHeight="1">
      <c r="A603" s="273"/>
      <c r="B603" s="273"/>
      <c r="C603" s="273"/>
      <c r="D603" s="273"/>
      <c r="E603" s="273"/>
      <c r="F603" s="273"/>
      <c r="G603" s="273"/>
      <c r="H603" s="273"/>
      <c r="I603" s="273"/>
      <c r="J603" s="273"/>
      <c r="K603" s="273"/>
      <c r="L603" s="274"/>
      <c r="M603" s="273"/>
      <c r="N603" s="273"/>
      <c r="O603" s="273"/>
      <c r="P603" s="273"/>
      <c r="Q603" s="273"/>
      <c r="R603" s="273"/>
      <c r="S603" s="273"/>
      <c r="T603" s="273"/>
      <c r="U603" s="273"/>
      <c r="V603" s="273"/>
      <c r="W603" s="273"/>
      <c r="X603" s="274"/>
      <c r="Y603" s="273"/>
      <c r="Z603" s="273"/>
      <c r="AA603" s="273"/>
      <c r="AB603" s="273"/>
      <c r="AC603" s="273"/>
      <c r="AD603" s="273"/>
      <c r="AE603" s="273"/>
      <c r="AF603" s="273"/>
      <c r="AG603" s="273"/>
      <c r="AH603" s="273"/>
      <c r="AI603" s="273"/>
    </row>
    <row r="604" spans="1:35" ht="14.25" customHeight="1">
      <c r="A604" s="273"/>
      <c r="B604" s="273"/>
      <c r="C604" s="273"/>
      <c r="D604" s="273"/>
      <c r="E604" s="273"/>
      <c r="F604" s="273"/>
      <c r="G604" s="273"/>
      <c r="H604" s="273"/>
      <c r="I604" s="273"/>
      <c r="J604" s="273"/>
      <c r="K604" s="273"/>
      <c r="L604" s="274"/>
      <c r="M604" s="273"/>
      <c r="N604" s="273"/>
      <c r="O604" s="273"/>
      <c r="P604" s="273"/>
      <c r="Q604" s="273"/>
      <c r="R604" s="273"/>
      <c r="S604" s="273"/>
      <c r="T604" s="273"/>
      <c r="U604" s="273"/>
      <c r="V604" s="273"/>
      <c r="W604" s="273"/>
      <c r="X604" s="274"/>
      <c r="Y604" s="273"/>
      <c r="Z604" s="273"/>
      <c r="AA604" s="273"/>
      <c r="AB604" s="273"/>
      <c r="AC604" s="273"/>
      <c r="AD604" s="273"/>
      <c r="AE604" s="273"/>
      <c r="AF604" s="273"/>
      <c r="AG604" s="273"/>
      <c r="AH604" s="273"/>
      <c r="AI604" s="273"/>
    </row>
    <row r="605" spans="1:35" ht="14.25" customHeight="1">
      <c r="A605" s="273"/>
      <c r="B605" s="273"/>
      <c r="C605" s="273"/>
      <c r="D605" s="273"/>
      <c r="E605" s="273"/>
      <c r="F605" s="273"/>
      <c r="G605" s="273"/>
      <c r="H605" s="273"/>
      <c r="I605" s="273"/>
      <c r="J605" s="273"/>
      <c r="K605" s="273"/>
      <c r="L605" s="274"/>
      <c r="M605" s="273"/>
      <c r="N605" s="273"/>
      <c r="O605" s="273"/>
      <c r="P605" s="273"/>
      <c r="Q605" s="273"/>
      <c r="R605" s="273"/>
      <c r="S605" s="273"/>
      <c r="T605" s="273"/>
      <c r="U605" s="273"/>
      <c r="V605" s="273"/>
      <c r="W605" s="273"/>
      <c r="X605" s="274"/>
      <c r="Y605" s="273"/>
      <c r="Z605" s="273"/>
      <c r="AA605" s="273"/>
      <c r="AB605" s="273"/>
      <c r="AC605" s="273"/>
      <c r="AD605" s="273"/>
      <c r="AE605" s="273"/>
      <c r="AF605" s="273"/>
      <c r="AG605" s="273"/>
      <c r="AH605" s="273"/>
      <c r="AI605" s="273"/>
    </row>
    <row r="606" spans="1:35" ht="14.25" customHeight="1">
      <c r="A606" s="273"/>
      <c r="B606" s="273"/>
      <c r="C606" s="273"/>
      <c r="D606" s="273"/>
      <c r="E606" s="273"/>
      <c r="F606" s="273"/>
      <c r="G606" s="273"/>
      <c r="H606" s="273"/>
      <c r="I606" s="273"/>
      <c r="J606" s="273"/>
      <c r="K606" s="273"/>
      <c r="L606" s="274"/>
      <c r="M606" s="273"/>
      <c r="N606" s="273"/>
      <c r="O606" s="273"/>
      <c r="P606" s="273"/>
      <c r="Q606" s="273"/>
      <c r="R606" s="273"/>
      <c r="S606" s="273"/>
      <c r="T606" s="273"/>
      <c r="U606" s="273"/>
      <c r="V606" s="273"/>
      <c r="W606" s="273"/>
      <c r="X606" s="274"/>
      <c r="Y606" s="273"/>
      <c r="Z606" s="273"/>
      <c r="AA606" s="273"/>
      <c r="AB606" s="273"/>
      <c r="AC606" s="273"/>
      <c r="AD606" s="273"/>
      <c r="AE606" s="273"/>
      <c r="AF606" s="273"/>
      <c r="AG606" s="273"/>
      <c r="AH606" s="273"/>
      <c r="AI606" s="273"/>
    </row>
    <row r="607" spans="1:35" ht="14.25" customHeight="1">
      <c r="A607" s="273"/>
      <c r="B607" s="273"/>
      <c r="C607" s="273"/>
      <c r="D607" s="273"/>
      <c r="E607" s="273"/>
      <c r="F607" s="273"/>
      <c r="G607" s="273"/>
      <c r="H607" s="273"/>
      <c r="I607" s="273"/>
      <c r="J607" s="273"/>
      <c r="K607" s="273"/>
      <c r="L607" s="274"/>
      <c r="M607" s="273"/>
      <c r="N607" s="273"/>
      <c r="O607" s="273"/>
      <c r="P607" s="273"/>
      <c r="Q607" s="273"/>
      <c r="R607" s="273"/>
      <c r="S607" s="273"/>
      <c r="T607" s="273"/>
      <c r="U607" s="273"/>
      <c r="V607" s="273"/>
      <c r="W607" s="273"/>
      <c r="X607" s="274"/>
      <c r="Y607" s="273"/>
      <c r="Z607" s="273"/>
      <c r="AA607" s="273"/>
      <c r="AB607" s="273"/>
      <c r="AC607" s="273"/>
      <c r="AD607" s="273"/>
      <c r="AE607" s="273"/>
      <c r="AF607" s="273"/>
      <c r="AG607" s="273"/>
      <c r="AH607" s="273"/>
      <c r="AI607" s="273"/>
    </row>
    <row r="608" spans="1:35" ht="14.25" customHeight="1">
      <c r="A608" s="273"/>
      <c r="B608" s="273"/>
      <c r="C608" s="273"/>
      <c r="D608" s="273"/>
      <c r="E608" s="273"/>
      <c r="F608" s="273"/>
      <c r="G608" s="273"/>
      <c r="H608" s="273"/>
      <c r="I608" s="273"/>
      <c r="J608" s="273"/>
      <c r="K608" s="273"/>
      <c r="L608" s="274"/>
      <c r="M608" s="273"/>
      <c r="N608" s="273"/>
      <c r="O608" s="273"/>
      <c r="P608" s="273"/>
      <c r="Q608" s="273"/>
      <c r="R608" s="273"/>
      <c r="S608" s="273"/>
      <c r="T608" s="273"/>
      <c r="U608" s="273"/>
      <c r="V608" s="273"/>
      <c r="W608" s="273"/>
      <c r="X608" s="274"/>
      <c r="Y608" s="273"/>
      <c r="Z608" s="273"/>
      <c r="AA608" s="273"/>
      <c r="AB608" s="273"/>
      <c r="AC608" s="273"/>
      <c r="AD608" s="273"/>
      <c r="AE608" s="273"/>
      <c r="AF608" s="273"/>
      <c r="AG608" s="273"/>
      <c r="AH608" s="273"/>
      <c r="AI608" s="273"/>
    </row>
    <row r="609" spans="1:35" ht="14.25" customHeight="1">
      <c r="A609" s="273"/>
      <c r="B609" s="273"/>
      <c r="C609" s="273"/>
      <c r="D609" s="273"/>
      <c r="E609" s="273"/>
      <c r="F609" s="273"/>
      <c r="G609" s="273"/>
      <c r="H609" s="273"/>
      <c r="I609" s="273"/>
      <c r="J609" s="273"/>
      <c r="K609" s="273"/>
      <c r="L609" s="274"/>
      <c r="M609" s="273"/>
      <c r="N609" s="273"/>
      <c r="O609" s="273"/>
      <c r="P609" s="273"/>
      <c r="Q609" s="273"/>
      <c r="R609" s="273"/>
      <c r="S609" s="273"/>
      <c r="T609" s="273"/>
      <c r="U609" s="273"/>
      <c r="V609" s="273"/>
      <c r="W609" s="273"/>
      <c r="X609" s="274"/>
      <c r="Y609" s="273"/>
      <c r="Z609" s="273"/>
      <c r="AA609" s="273"/>
      <c r="AB609" s="273"/>
      <c r="AC609" s="273"/>
      <c r="AD609" s="273"/>
      <c r="AE609" s="273"/>
      <c r="AF609" s="273"/>
      <c r="AG609" s="273"/>
      <c r="AH609" s="273"/>
      <c r="AI609" s="273"/>
    </row>
    <row r="610" spans="1:35" ht="14.25" customHeight="1">
      <c r="A610" s="273"/>
      <c r="B610" s="273"/>
      <c r="C610" s="273"/>
      <c r="D610" s="273"/>
      <c r="E610" s="273"/>
      <c r="F610" s="273"/>
      <c r="G610" s="273"/>
      <c r="H610" s="273"/>
      <c r="I610" s="273"/>
      <c r="J610" s="273"/>
      <c r="K610" s="273"/>
      <c r="L610" s="274"/>
      <c r="M610" s="273"/>
      <c r="N610" s="273"/>
      <c r="O610" s="273"/>
      <c r="P610" s="273"/>
      <c r="Q610" s="273"/>
      <c r="R610" s="273"/>
      <c r="S610" s="273"/>
      <c r="T610" s="273"/>
      <c r="U610" s="273"/>
      <c r="V610" s="273"/>
      <c r="W610" s="273"/>
      <c r="X610" s="274"/>
      <c r="Y610" s="273"/>
      <c r="Z610" s="273"/>
      <c r="AA610" s="273"/>
      <c r="AB610" s="273"/>
      <c r="AC610" s="273"/>
      <c r="AD610" s="273"/>
      <c r="AE610" s="273"/>
      <c r="AF610" s="273"/>
      <c r="AG610" s="273"/>
      <c r="AH610" s="273"/>
      <c r="AI610" s="273"/>
    </row>
    <row r="611" spans="1:35" ht="14.25" customHeight="1">
      <c r="A611" s="273"/>
      <c r="B611" s="273"/>
      <c r="C611" s="273"/>
      <c r="D611" s="273"/>
      <c r="E611" s="273"/>
      <c r="F611" s="273"/>
      <c r="G611" s="273"/>
      <c r="H611" s="273"/>
      <c r="I611" s="273"/>
      <c r="J611" s="273"/>
      <c r="K611" s="273"/>
      <c r="L611" s="274"/>
      <c r="M611" s="273"/>
      <c r="N611" s="273"/>
      <c r="O611" s="273"/>
      <c r="P611" s="273"/>
      <c r="Q611" s="273"/>
      <c r="R611" s="273"/>
      <c r="S611" s="273"/>
      <c r="T611" s="273"/>
      <c r="U611" s="273"/>
      <c r="V611" s="273"/>
      <c r="W611" s="273"/>
      <c r="X611" s="274"/>
      <c r="Y611" s="273"/>
      <c r="Z611" s="273"/>
      <c r="AA611" s="273"/>
      <c r="AB611" s="273"/>
      <c r="AC611" s="273"/>
      <c r="AD611" s="273"/>
      <c r="AE611" s="273"/>
      <c r="AF611" s="273"/>
      <c r="AG611" s="273"/>
      <c r="AH611" s="273"/>
      <c r="AI611" s="273"/>
    </row>
    <row r="612" spans="1:35" ht="14.25" customHeight="1">
      <c r="A612" s="273"/>
      <c r="B612" s="273"/>
      <c r="C612" s="273"/>
      <c r="D612" s="273"/>
      <c r="E612" s="273"/>
      <c r="F612" s="273"/>
      <c r="G612" s="273"/>
      <c r="H612" s="273"/>
      <c r="I612" s="273"/>
      <c r="J612" s="273"/>
      <c r="K612" s="273"/>
      <c r="L612" s="274"/>
      <c r="M612" s="273"/>
      <c r="N612" s="273"/>
      <c r="O612" s="273"/>
      <c r="P612" s="273"/>
      <c r="Q612" s="273"/>
      <c r="R612" s="273"/>
      <c r="S612" s="273"/>
      <c r="T612" s="273"/>
      <c r="U612" s="273"/>
      <c r="V612" s="273"/>
      <c r="W612" s="273"/>
      <c r="X612" s="274"/>
      <c r="Y612" s="273"/>
      <c r="Z612" s="273"/>
      <c r="AA612" s="273"/>
      <c r="AB612" s="273"/>
      <c r="AC612" s="273"/>
      <c r="AD612" s="273"/>
      <c r="AE612" s="273"/>
      <c r="AF612" s="273"/>
      <c r="AG612" s="273"/>
      <c r="AH612" s="273"/>
      <c r="AI612" s="273"/>
    </row>
    <row r="613" spans="1:35" ht="14.25" customHeight="1">
      <c r="A613" s="273"/>
      <c r="B613" s="273"/>
      <c r="C613" s="273"/>
      <c r="D613" s="273"/>
      <c r="E613" s="273"/>
      <c r="F613" s="273"/>
      <c r="G613" s="273"/>
      <c r="H613" s="273"/>
      <c r="I613" s="273"/>
      <c r="J613" s="273"/>
      <c r="K613" s="273"/>
      <c r="L613" s="274"/>
      <c r="M613" s="273"/>
      <c r="N613" s="273"/>
      <c r="O613" s="273"/>
      <c r="P613" s="273"/>
      <c r="Q613" s="273"/>
      <c r="R613" s="273"/>
      <c r="S613" s="273"/>
      <c r="T613" s="273"/>
      <c r="U613" s="273"/>
      <c r="V613" s="273"/>
      <c r="W613" s="273"/>
      <c r="X613" s="274"/>
      <c r="Y613" s="273"/>
      <c r="Z613" s="273"/>
      <c r="AA613" s="273"/>
      <c r="AB613" s="273"/>
      <c r="AC613" s="273"/>
      <c r="AD613" s="273"/>
      <c r="AE613" s="273"/>
      <c r="AF613" s="273"/>
      <c r="AG613" s="273"/>
      <c r="AH613" s="273"/>
      <c r="AI613" s="273"/>
    </row>
    <row r="614" spans="1:35" ht="14.25" customHeight="1">
      <c r="A614" s="273"/>
      <c r="B614" s="273"/>
      <c r="C614" s="273"/>
      <c r="D614" s="273"/>
      <c r="E614" s="273"/>
      <c r="F614" s="273"/>
      <c r="G614" s="273"/>
      <c r="H614" s="273"/>
      <c r="I614" s="273"/>
      <c r="J614" s="273"/>
      <c r="K614" s="273"/>
      <c r="L614" s="274"/>
      <c r="M614" s="273"/>
      <c r="N614" s="273"/>
      <c r="O614" s="273"/>
      <c r="P614" s="273"/>
      <c r="Q614" s="273"/>
      <c r="R614" s="273"/>
      <c r="S614" s="273"/>
      <c r="T614" s="273"/>
      <c r="U614" s="273"/>
      <c r="V614" s="273"/>
      <c r="W614" s="273"/>
      <c r="X614" s="274"/>
      <c r="Y614" s="273"/>
      <c r="Z614" s="273"/>
      <c r="AA614" s="273"/>
      <c r="AB614" s="273"/>
      <c r="AC614" s="273"/>
      <c r="AD614" s="273"/>
      <c r="AE614" s="273"/>
      <c r="AF614" s="273"/>
      <c r="AG614" s="273"/>
      <c r="AH614" s="273"/>
      <c r="AI614" s="273"/>
    </row>
    <row r="615" spans="1:35" ht="14.25" customHeight="1">
      <c r="A615" s="273"/>
      <c r="B615" s="273"/>
      <c r="C615" s="273"/>
      <c r="D615" s="273"/>
      <c r="E615" s="273"/>
      <c r="F615" s="273"/>
      <c r="G615" s="273"/>
      <c r="H615" s="273"/>
      <c r="I615" s="273"/>
      <c r="J615" s="273"/>
      <c r="K615" s="273"/>
      <c r="L615" s="274"/>
      <c r="M615" s="273"/>
      <c r="N615" s="273"/>
      <c r="O615" s="273"/>
      <c r="P615" s="273"/>
      <c r="Q615" s="273"/>
      <c r="R615" s="273"/>
      <c r="S615" s="273"/>
      <c r="T615" s="273"/>
      <c r="U615" s="273"/>
      <c r="V615" s="273"/>
      <c r="W615" s="273"/>
      <c r="X615" s="274"/>
      <c r="Y615" s="273"/>
      <c r="Z615" s="273"/>
      <c r="AA615" s="273"/>
      <c r="AB615" s="273"/>
      <c r="AC615" s="273"/>
      <c r="AD615" s="273"/>
      <c r="AE615" s="273"/>
      <c r="AF615" s="273"/>
      <c r="AG615" s="273"/>
      <c r="AH615" s="273"/>
      <c r="AI615" s="273"/>
    </row>
    <row r="616" spans="1:35" ht="14.25" customHeight="1">
      <c r="A616" s="273"/>
      <c r="B616" s="273"/>
      <c r="C616" s="273"/>
      <c r="D616" s="273"/>
      <c r="E616" s="273"/>
      <c r="F616" s="273"/>
      <c r="G616" s="273"/>
      <c r="H616" s="273"/>
      <c r="I616" s="273"/>
      <c r="J616" s="273"/>
      <c r="K616" s="273"/>
      <c r="L616" s="274"/>
      <c r="M616" s="273"/>
      <c r="N616" s="273"/>
      <c r="O616" s="273"/>
      <c r="P616" s="273"/>
      <c r="Q616" s="273"/>
      <c r="R616" s="273"/>
      <c r="S616" s="273"/>
      <c r="T616" s="273"/>
      <c r="U616" s="273"/>
      <c r="V616" s="273"/>
      <c r="W616" s="273"/>
      <c r="X616" s="274"/>
      <c r="Y616" s="273"/>
      <c r="Z616" s="273"/>
      <c r="AA616" s="273"/>
      <c r="AB616" s="273"/>
      <c r="AC616" s="273"/>
      <c r="AD616" s="273"/>
      <c r="AE616" s="273"/>
      <c r="AF616" s="273"/>
      <c r="AG616" s="273"/>
      <c r="AH616" s="273"/>
      <c r="AI616" s="273"/>
    </row>
    <row r="617" spans="1:35" ht="14.25" customHeight="1">
      <c r="A617" s="273"/>
      <c r="B617" s="273"/>
      <c r="C617" s="273"/>
      <c r="D617" s="273"/>
      <c r="E617" s="273"/>
      <c r="F617" s="273"/>
      <c r="G617" s="273"/>
      <c r="H617" s="273"/>
      <c r="I617" s="273"/>
      <c r="J617" s="273"/>
      <c r="K617" s="273"/>
      <c r="L617" s="274"/>
      <c r="M617" s="273"/>
      <c r="N617" s="273"/>
      <c r="O617" s="273"/>
      <c r="P617" s="273"/>
      <c r="Q617" s="273"/>
      <c r="R617" s="273"/>
      <c r="S617" s="273"/>
      <c r="T617" s="273"/>
      <c r="U617" s="273"/>
      <c r="V617" s="273"/>
      <c r="W617" s="273"/>
      <c r="X617" s="274"/>
      <c r="Y617" s="273"/>
      <c r="Z617" s="273"/>
      <c r="AA617" s="273"/>
      <c r="AB617" s="273"/>
      <c r="AC617" s="273"/>
      <c r="AD617" s="273"/>
      <c r="AE617" s="273"/>
      <c r="AF617" s="273"/>
      <c r="AG617" s="273"/>
      <c r="AH617" s="273"/>
      <c r="AI617" s="273"/>
    </row>
    <row r="618" spans="1:35" ht="14.25" customHeight="1">
      <c r="A618" s="273"/>
      <c r="B618" s="273"/>
      <c r="C618" s="273"/>
      <c r="D618" s="273"/>
      <c r="E618" s="273"/>
      <c r="F618" s="273"/>
      <c r="G618" s="273"/>
      <c r="H618" s="273"/>
      <c r="I618" s="273"/>
      <c r="J618" s="273"/>
      <c r="K618" s="273"/>
      <c r="L618" s="274"/>
      <c r="M618" s="273"/>
      <c r="N618" s="273"/>
      <c r="O618" s="273"/>
      <c r="P618" s="273"/>
      <c r="Q618" s="273"/>
      <c r="R618" s="273"/>
      <c r="S618" s="273"/>
      <c r="T618" s="273"/>
      <c r="U618" s="273"/>
      <c r="V618" s="273"/>
      <c r="W618" s="273"/>
      <c r="X618" s="274"/>
      <c r="Y618" s="273"/>
      <c r="Z618" s="273"/>
      <c r="AA618" s="273"/>
      <c r="AB618" s="273"/>
      <c r="AC618" s="273"/>
      <c r="AD618" s="273"/>
      <c r="AE618" s="273"/>
      <c r="AF618" s="273"/>
      <c r="AG618" s="273"/>
      <c r="AH618" s="273"/>
      <c r="AI618" s="273"/>
    </row>
    <row r="619" spans="1:35" ht="14.25" customHeight="1">
      <c r="A619" s="273"/>
      <c r="B619" s="273"/>
      <c r="C619" s="273"/>
      <c r="D619" s="273"/>
      <c r="E619" s="273"/>
      <c r="F619" s="273"/>
      <c r="G619" s="273"/>
      <c r="H619" s="273"/>
      <c r="I619" s="273"/>
      <c r="J619" s="273"/>
      <c r="K619" s="273"/>
      <c r="L619" s="274"/>
      <c r="M619" s="273"/>
      <c r="N619" s="273"/>
      <c r="O619" s="273"/>
      <c r="P619" s="273"/>
      <c r="Q619" s="273"/>
      <c r="R619" s="273"/>
      <c r="S619" s="273"/>
      <c r="T619" s="273"/>
      <c r="U619" s="273"/>
      <c r="V619" s="273"/>
      <c r="W619" s="273"/>
      <c r="X619" s="274"/>
      <c r="Y619" s="273"/>
      <c r="Z619" s="273"/>
      <c r="AA619" s="273"/>
      <c r="AB619" s="273"/>
      <c r="AC619" s="273"/>
      <c r="AD619" s="273"/>
      <c r="AE619" s="273"/>
      <c r="AF619" s="273"/>
      <c r="AG619" s="273"/>
      <c r="AH619" s="273"/>
      <c r="AI619" s="273"/>
    </row>
    <row r="620" spans="1:35" ht="14.25" customHeight="1">
      <c r="A620" s="273"/>
      <c r="B620" s="273"/>
      <c r="C620" s="273"/>
      <c r="D620" s="273"/>
      <c r="E620" s="273"/>
      <c r="F620" s="273"/>
      <c r="G620" s="273"/>
      <c r="H620" s="273"/>
      <c r="I620" s="273"/>
      <c r="J620" s="273"/>
      <c r="K620" s="273"/>
      <c r="L620" s="274"/>
      <c r="M620" s="273"/>
      <c r="N620" s="273"/>
      <c r="O620" s="273"/>
      <c r="P620" s="273"/>
      <c r="Q620" s="273"/>
      <c r="R620" s="273"/>
      <c r="S620" s="273"/>
      <c r="T620" s="273"/>
      <c r="U620" s="273"/>
      <c r="V620" s="273"/>
      <c r="W620" s="273"/>
      <c r="X620" s="274"/>
      <c r="Y620" s="273"/>
      <c r="Z620" s="273"/>
      <c r="AA620" s="273"/>
      <c r="AB620" s="273"/>
      <c r="AC620" s="273"/>
      <c r="AD620" s="273"/>
      <c r="AE620" s="273"/>
      <c r="AF620" s="273"/>
      <c r="AG620" s="273"/>
      <c r="AH620" s="273"/>
      <c r="AI620" s="273"/>
    </row>
    <row r="621" spans="1:35" ht="14.25" customHeight="1">
      <c r="A621" s="273"/>
      <c r="B621" s="273"/>
      <c r="C621" s="273"/>
      <c r="D621" s="273"/>
      <c r="E621" s="273"/>
      <c r="F621" s="273"/>
      <c r="G621" s="273"/>
      <c r="H621" s="273"/>
      <c r="I621" s="273"/>
      <c r="J621" s="273"/>
      <c r="K621" s="273"/>
      <c r="L621" s="274"/>
      <c r="M621" s="273"/>
      <c r="N621" s="273"/>
      <c r="O621" s="273"/>
      <c r="P621" s="273"/>
      <c r="Q621" s="273"/>
      <c r="R621" s="273"/>
      <c r="S621" s="273"/>
      <c r="T621" s="273"/>
      <c r="U621" s="273"/>
      <c r="V621" s="273"/>
      <c r="W621" s="273"/>
      <c r="X621" s="274"/>
      <c r="Y621" s="273"/>
      <c r="Z621" s="273"/>
      <c r="AA621" s="273"/>
      <c r="AB621" s="273"/>
      <c r="AC621" s="273"/>
      <c r="AD621" s="273"/>
      <c r="AE621" s="273"/>
      <c r="AF621" s="273"/>
      <c r="AG621" s="273"/>
      <c r="AH621" s="273"/>
      <c r="AI621" s="273"/>
    </row>
    <row r="622" spans="1:35" ht="14.25" customHeight="1">
      <c r="A622" s="273"/>
      <c r="B622" s="273"/>
      <c r="C622" s="273"/>
      <c r="D622" s="273"/>
      <c r="E622" s="273"/>
      <c r="F622" s="273"/>
      <c r="G622" s="273"/>
      <c r="H622" s="273"/>
      <c r="I622" s="273"/>
      <c r="J622" s="273"/>
      <c r="K622" s="273"/>
      <c r="L622" s="274"/>
      <c r="M622" s="273"/>
      <c r="N622" s="273"/>
      <c r="O622" s="273"/>
      <c r="P622" s="273"/>
      <c r="Q622" s="273"/>
      <c r="R622" s="273"/>
      <c r="S622" s="273"/>
      <c r="T622" s="273"/>
      <c r="U622" s="273"/>
      <c r="V622" s="273"/>
      <c r="W622" s="273"/>
      <c r="X622" s="274"/>
      <c r="Y622" s="273"/>
      <c r="Z622" s="273"/>
      <c r="AA622" s="273"/>
      <c r="AB622" s="273"/>
      <c r="AC622" s="273"/>
      <c r="AD622" s="273"/>
      <c r="AE622" s="273"/>
      <c r="AF622" s="273"/>
      <c r="AG622" s="273"/>
      <c r="AH622" s="273"/>
      <c r="AI622" s="273"/>
    </row>
    <row r="623" spans="1:35" ht="14.25" customHeight="1">
      <c r="A623" s="273"/>
      <c r="B623" s="273"/>
      <c r="C623" s="273"/>
      <c r="D623" s="273"/>
      <c r="E623" s="273"/>
      <c r="F623" s="273"/>
      <c r="G623" s="273"/>
      <c r="H623" s="273"/>
      <c r="I623" s="273"/>
      <c r="J623" s="273"/>
      <c r="K623" s="273"/>
      <c r="L623" s="274"/>
      <c r="M623" s="273"/>
      <c r="N623" s="273"/>
      <c r="O623" s="273"/>
      <c r="P623" s="273"/>
      <c r="Q623" s="273"/>
      <c r="R623" s="273"/>
      <c r="S623" s="273"/>
      <c r="T623" s="273"/>
      <c r="U623" s="273"/>
      <c r="V623" s="273"/>
      <c r="W623" s="273"/>
      <c r="X623" s="274"/>
      <c r="Y623" s="273"/>
      <c r="Z623" s="273"/>
      <c r="AA623" s="273"/>
      <c r="AB623" s="273"/>
      <c r="AC623" s="273"/>
      <c r="AD623" s="273"/>
      <c r="AE623" s="273"/>
      <c r="AF623" s="273"/>
      <c r="AG623" s="273"/>
      <c r="AH623" s="273"/>
      <c r="AI623" s="273"/>
    </row>
    <row r="624" spans="1:35" ht="14.25" customHeight="1">
      <c r="A624" s="273"/>
      <c r="B624" s="273"/>
      <c r="C624" s="273"/>
      <c r="D624" s="273"/>
      <c r="E624" s="273"/>
      <c r="F624" s="273"/>
      <c r="G624" s="273"/>
      <c r="H624" s="273"/>
      <c r="I624" s="273"/>
      <c r="J624" s="273"/>
      <c r="K624" s="273"/>
      <c r="L624" s="274"/>
      <c r="M624" s="273"/>
      <c r="N624" s="273"/>
      <c r="O624" s="273"/>
      <c r="P624" s="273"/>
      <c r="Q624" s="273"/>
      <c r="R624" s="273"/>
      <c r="S624" s="273"/>
      <c r="T624" s="273"/>
      <c r="U624" s="273"/>
      <c r="V624" s="273"/>
      <c r="W624" s="273"/>
      <c r="X624" s="274"/>
      <c r="Y624" s="273"/>
      <c r="Z624" s="273"/>
      <c r="AA624" s="273"/>
      <c r="AB624" s="273"/>
      <c r="AC624" s="273"/>
      <c r="AD624" s="273"/>
      <c r="AE624" s="273"/>
      <c r="AF624" s="273"/>
      <c r="AG624" s="273"/>
      <c r="AH624" s="273"/>
      <c r="AI624" s="273"/>
    </row>
    <row r="625" spans="1:35" ht="14.25" customHeight="1">
      <c r="A625" s="273"/>
      <c r="B625" s="273"/>
      <c r="C625" s="273"/>
      <c r="D625" s="273"/>
      <c r="E625" s="273"/>
      <c r="F625" s="273"/>
      <c r="G625" s="273"/>
      <c r="H625" s="273"/>
      <c r="I625" s="273"/>
      <c r="J625" s="273"/>
      <c r="K625" s="273"/>
      <c r="L625" s="274"/>
      <c r="M625" s="273"/>
      <c r="N625" s="273"/>
      <c r="O625" s="273"/>
      <c r="P625" s="273"/>
      <c r="Q625" s="273"/>
      <c r="R625" s="273"/>
      <c r="S625" s="273"/>
      <c r="T625" s="273"/>
      <c r="U625" s="273"/>
      <c r="V625" s="273"/>
      <c r="W625" s="273"/>
      <c r="X625" s="274"/>
      <c r="Y625" s="273"/>
      <c r="Z625" s="273"/>
      <c r="AA625" s="273"/>
      <c r="AB625" s="273"/>
      <c r="AC625" s="273"/>
      <c r="AD625" s="273"/>
      <c r="AE625" s="273"/>
      <c r="AF625" s="273"/>
      <c r="AG625" s="273"/>
      <c r="AH625" s="273"/>
      <c r="AI625" s="273"/>
    </row>
    <row r="626" spans="1:35" ht="14.25" customHeight="1">
      <c r="A626" s="273"/>
      <c r="B626" s="273"/>
      <c r="C626" s="273"/>
      <c r="D626" s="273"/>
      <c r="E626" s="273"/>
      <c r="F626" s="273"/>
      <c r="G626" s="273"/>
      <c r="H626" s="273"/>
      <c r="I626" s="273"/>
      <c r="J626" s="273"/>
      <c r="K626" s="273"/>
      <c r="L626" s="274"/>
      <c r="M626" s="273"/>
      <c r="N626" s="273"/>
      <c r="O626" s="273"/>
      <c r="P626" s="273"/>
      <c r="Q626" s="273"/>
      <c r="R626" s="273"/>
      <c r="S626" s="273"/>
      <c r="T626" s="273"/>
      <c r="U626" s="273"/>
      <c r="V626" s="273"/>
      <c r="W626" s="273"/>
      <c r="X626" s="274"/>
      <c r="Y626" s="273"/>
      <c r="Z626" s="273"/>
      <c r="AA626" s="273"/>
      <c r="AB626" s="273"/>
      <c r="AC626" s="273"/>
      <c r="AD626" s="273"/>
      <c r="AE626" s="273"/>
      <c r="AF626" s="273"/>
      <c r="AG626" s="273"/>
      <c r="AH626" s="273"/>
      <c r="AI626" s="273"/>
    </row>
    <row r="627" spans="1:35" ht="14.25" customHeight="1">
      <c r="A627" s="273"/>
      <c r="B627" s="273"/>
      <c r="C627" s="273"/>
      <c r="D627" s="273"/>
      <c r="E627" s="273"/>
      <c r="F627" s="273"/>
      <c r="G627" s="273"/>
      <c r="H627" s="273"/>
      <c r="I627" s="273"/>
      <c r="J627" s="273"/>
      <c r="K627" s="273"/>
      <c r="L627" s="274"/>
      <c r="M627" s="273"/>
      <c r="N627" s="273"/>
      <c r="O627" s="273"/>
      <c r="P627" s="273"/>
      <c r="Q627" s="273"/>
      <c r="R627" s="273"/>
      <c r="S627" s="273"/>
      <c r="T627" s="273"/>
      <c r="U627" s="273"/>
      <c r="V627" s="273"/>
      <c r="W627" s="273"/>
      <c r="X627" s="274"/>
      <c r="Y627" s="273"/>
      <c r="Z627" s="273"/>
      <c r="AA627" s="273"/>
      <c r="AB627" s="273"/>
      <c r="AC627" s="273"/>
      <c r="AD627" s="273"/>
      <c r="AE627" s="273"/>
      <c r="AF627" s="273"/>
      <c r="AG627" s="273"/>
      <c r="AH627" s="273"/>
      <c r="AI627" s="273"/>
    </row>
    <row r="628" spans="1:35" ht="14.25" customHeight="1">
      <c r="A628" s="273"/>
      <c r="B628" s="273"/>
      <c r="C628" s="273"/>
      <c r="D628" s="273"/>
      <c r="E628" s="273"/>
      <c r="F628" s="273"/>
      <c r="G628" s="273"/>
      <c r="H628" s="273"/>
      <c r="I628" s="273"/>
      <c r="J628" s="273"/>
      <c r="K628" s="273"/>
      <c r="L628" s="274"/>
      <c r="M628" s="273"/>
      <c r="N628" s="273"/>
      <c r="O628" s="273"/>
      <c r="P628" s="273"/>
      <c r="Q628" s="273"/>
      <c r="R628" s="273"/>
      <c r="S628" s="273"/>
      <c r="T628" s="273"/>
      <c r="U628" s="273"/>
      <c r="V628" s="273"/>
      <c r="W628" s="273"/>
      <c r="X628" s="274"/>
      <c r="Y628" s="273"/>
      <c r="Z628" s="273"/>
      <c r="AA628" s="273"/>
      <c r="AB628" s="273"/>
      <c r="AC628" s="273"/>
      <c r="AD628" s="273"/>
      <c r="AE628" s="273"/>
      <c r="AF628" s="273"/>
      <c r="AG628" s="273"/>
      <c r="AH628" s="273"/>
      <c r="AI628" s="273"/>
    </row>
    <row r="629" spans="1:35" ht="14.25" customHeight="1">
      <c r="A629" s="273"/>
      <c r="B629" s="273"/>
      <c r="C629" s="273"/>
      <c r="D629" s="273"/>
      <c r="E629" s="273"/>
      <c r="F629" s="273"/>
      <c r="G629" s="273"/>
      <c r="H629" s="273"/>
      <c r="I629" s="273"/>
      <c r="J629" s="273"/>
      <c r="K629" s="273"/>
      <c r="L629" s="274"/>
      <c r="M629" s="273"/>
      <c r="N629" s="273"/>
      <c r="O629" s="273"/>
      <c r="P629" s="273"/>
      <c r="Q629" s="273"/>
      <c r="R629" s="273"/>
      <c r="S629" s="273"/>
      <c r="T629" s="273"/>
      <c r="U629" s="273"/>
      <c r="V629" s="273"/>
      <c r="W629" s="273"/>
      <c r="X629" s="274"/>
      <c r="Y629" s="273"/>
      <c r="Z629" s="273"/>
      <c r="AA629" s="273"/>
      <c r="AB629" s="273"/>
      <c r="AC629" s="273"/>
      <c r="AD629" s="273"/>
      <c r="AE629" s="273"/>
      <c r="AF629" s="273"/>
      <c r="AG629" s="273"/>
      <c r="AH629" s="273"/>
      <c r="AI629" s="273"/>
    </row>
    <row r="630" spans="1:35" ht="14.25" customHeight="1">
      <c r="A630" s="273"/>
      <c r="B630" s="273"/>
      <c r="C630" s="273"/>
      <c r="D630" s="273"/>
      <c r="E630" s="273"/>
      <c r="F630" s="273"/>
      <c r="G630" s="273"/>
      <c r="H630" s="273"/>
      <c r="I630" s="273"/>
      <c r="J630" s="273"/>
      <c r="K630" s="273"/>
      <c r="L630" s="274"/>
      <c r="M630" s="273"/>
      <c r="N630" s="273"/>
      <c r="O630" s="273"/>
      <c r="P630" s="273"/>
      <c r="Q630" s="273"/>
      <c r="R630" s="273"/>
      <c r="S630" s="273"/>
      <c r="T630" s="273"/>
      <c r="U630" s="273"/>
      <c r="V630" s="273"/>
      <c r="W630" s="273"/>
      <c r="X630" s="274"/>
      <c r="Y630" s="273"/>
      <c r="Z630" s="273"/>
      <c r="AA630" s="273"/>
      <c r="AB630" s="273"/>
      <c r="AC630" s="273"/>
      <c r="AD630" s="273"/>
      <c r="AE630" s="273"/>
      <c r="AF630" s="273"/>
      <c r="AG630" s="273"/>
      <c r="AH630" s="273"/>
      <c r="AI630" s="273"/>
    </row>
    <row r="631" spans="1:35" ht="14.25" customHeight="1">
      <c r="A631" s="273"/>
      <c r="B631" s="273"/>
      <c r="C631" s="273"/>
      <c r="D631" s="273"/>
      <c r="E631" s="273"/>
      <c r="F631" s="273"/>
      <c r="G631" s="273"/>
      <c r="H631" s="273"/>
      <c r="I631" s="273"/>
      <c r="J631" s="273"/>
      <c r="K631" s="273"/>
      <c r="L631" s="274"/>
      <c r="M631" s="273"/>
      <c r="N631" s="273"/>
      <c r="O631" s="273"/>
      <c r="P631" s="273"/>
      <c r="Q631" s="273"/>
      <c r="R631" s="273"/>
      <c r="S631" s="273"/>
      <c r="T631" s="273"/>
      <c r="U631" s="273"/>
      <c r="V631" s="273"/>
      <c r="W631" s="273"/>
      <c r="X631" s="274"/>
      <c r="Y631" s="273"/>
      <c r="Z631" s="273"/>
      <c r="AA631" s="273"/>
      <c r="AB631" s="273"/>
      <c r="AC631" s="273"/>
      <c r="AD631" s="273"/>
      <c r="AE631" s="273"/>
      <c r="AF631" s="273"/>
      <c r="AG631" s="273"/>
      <c r="AH631" s="273"/>
      <c r="AI631" s="273"/>
    </row>
    <row r="632" spans="1:35" ht="14.25" customHeight="1">
      <c r="A632" s="273"/>
      <c r="B632" s="273"/>
      <c r="C632" s="273"/>
      <c r="D632" s="273"/>
      <c r="E632" s="273"/>
      <c r="F632" s="273"/>
      <c r="G632" s="273"/>
      <c r="H632" s="273"/>
      <c r="I632" s="273"/>
      <c r="J632" s="273"/>
      <c r="K632" s="273"/>
      <c r="L632" s="274"/>
      <c r="M632" s="273"/>
      <c r="N632" s="273"/>
      <c r="O632" s="273"/>
      <c r="P632" s="273"/>
      <c r="Q632" s="273"/>
      <c r="R632" s="273"/>
      <c r="S632" s="273"/>
      <c r="T632" s="273"/>
      <c r="U632" s="273"/>
      <c r="V632" s="273"/>
      <c r="W632" s="273"/>
      <c r="X632" s="274"/>
      <c r="Y632" s="273"/>
      <c r="Z632" s="273"/>
      <c r="AA632" s="273"/>
      <c r="AB632" s="273"/>
      <c r="AC632" s="273"/>
      <c r="AD632" s="273"/>
      <c r="AE632" s="273"/>
      <c r="AF632" s="273"/>
      <c r="AG632" s="273"/>
      <c r="AH632" s="273"/>
      <c r="AI632" s="273"/>
    </row>
    <row r="633" spans="1:35" ht="14.25" customHeight="1">
      <c r="A633" s="273"/>
      <c r="B633" s="273"/>
      <c r="C633" s="273"/>
      <c r="D633" s="273"/>
      <c r="E633" s="273"/>
      <c r="F633" s="273"/>
      <c r="G633" s="273"/>
      <c r="H633" s="273"/>
      <c r="I633" s="273"/>
      <c r="J633" s="273"/>
      <c r="K633" s="273"/>
      <c r="L633" s="274"/>
      <c r="M633" s="273"/>
      <c r="N633" s="273"/>
      <c r="O633" s="273"/>
      <c r="P633" s="273"/>
      <c r="Q633" s="273"/>
      <c r="R633" s="273"/>
      <c r="S633" s="273"/>
      <c r="T633" s="273"/>
      <c r="U633" s="273"/>
      <c r="V633" s="273"/>
      <c r="W633" s="273"/>
      <c r="X633" s="274"/>
      <c r="Y633" s="273"/>
      <c r="Z633" s="273"/>
      <c r="AA633" s="273"/>
      <c r="AB633" s="273"/>
      <c r="AC633" s="273"/>
      <c r="AD633" s="273"/>
      <c r="AE633" s="273"/>
      <c r="AF633" s="273"/>
      <c r="AG633" s="273"/>
      <c r="AH633" s="273"/>
      <c r="AI633" s="273"/>
    </row>
    <row r="634" spans="1:35" ht="14.25" customHeight="1">
      <c r="A634" s="273"/>
      <c r="B634" s="273"/>
      <c r="C634" s="273"/>
      <c r="D634" s="273"/>
      <c r="E634" s="273"/>
      <c r="F634" s="273"/>
      <c r="G634" s="273"/>
      <c r="H634" s="273"/>
      <c r="I634" s="273"/>
      <c r="J634" s="273"/>
      <c r="K634" s="273"/>
      <c r="L634" s="274"/>
      <c r="M634" s="273"/>
      <c r="N634" s="273"/>
      <c r="O634" s="273"/>
      <c r="P634" s="273"/>
      <c r="Q634" s="273"/>
      <c r="R634" s="273"/>
      <c r="S634" s="273"/>
      <c r="T634" s="273"/>
      <c r="U634" s="273"/>
      <c r="V634" s="273"/>
      <c r="W634" s="273"/>
      <c r="X634" s="274"/>
      <c r="Y634" s="273"/>
      <c r="Z634" s="273"/>
      <c r="AA634" s="273"/>
      <c r="AB634" s="273"/>
      <c r="AC634" s="273"/>
      <c r="AD634" s="273"/>
      <c r="AE634" s="273"/>
      <c r="AF634" s="273"/>
      <c r="AG634" s="273"/>
      <c r="AH634" s="273"/>
      <c r="AI634" s="273"/>
    </row>
    <row r="635" spans="1:35" ht="14.25" customHeight="1">
      <c r="A635" s="273"/>
      <c r="B635" s="273"/>
      <c r="C635" s="273"/>
      <c r="D635" s="273"/>
      <c r="E635" s="273"/>
      <c r="F635" s="273"/>
      <c r="G635" s="273"/>
      <c r="H635" s="273"/>
      <c r="I635" s="273"/>
      <c r="J635" s="273"/>
      <c r="K635" s="273"/>
      <c r="L635" s="274"/>
      <c r="M635" s="273"/>
      <c r="N635" s="273"/>
      <c r="O635" s="273"/>
      <c r="P635" s="273"/>
      <c r="Q635" s="273"/>
      <c r="R635" s="273"/>
      <c r="S635" s="273"/>
      <c r="T635" s="273"/>
      <c r="U635" s="273"/>
      <c r="V635" s="273"/>
      <c r="W635" s="273"/>
      <c r="X635" s="274"/>
      <c r="Y635" s="273"/>
      <c r="Z635" s="273"/>
      <c r="AA635" s="273"/>
      <c r="AB635" s="273"/>
      <c r="AC635" s="273"/>
      <c r="AD635" s="273"/>
      <c r="AE635" s="273"/>
      <c r="AF635" s="273"/>
      <c r="AG635" s="273"/>
      <c r="AH635" s="273"/>
      <c r="AI635" s="273"/>
    </row>
    <row r="636" spans="1:35" ht="14.25" customHeight="1">
      <c r="A636" s="273"/>
      <c r="B636" s="273"/>
      <c r="C636" s="273"/>
      <c r="D636" s="273"/>
      <c r="E636" s="273"/>
      <c r="F636" s="273"/>
      <c r="G636" s="273"/>
      <c r="H636" s="273"/>
      <c r="I636" s="273"/>
      <c r="J636" s="273"/>
      <c r="K636" s="273"/>
      <c r="L636" s="274"/>
      <c r="M636" s="273"/>
      <c r="N636" s="273"/>
      <c r="O636" s="273"/>
      <c r="P636" s="273"/>
      <c r="Q636" s="273"/>
      <c r="R636" s="273"/>
      <c r="S636" s="273"/>
      <c r="T636" s="273"/>
      <c r="U636" s="273"/>
      <c r="V636" s="273"/>
      <c r="W636" s="273"/>
      <c r="X636" s="274"/>
      <c r="Y636" s="273"/>
      <c r="Z636" s="273"/>
      <c r="AA636" s="273"/>
      <c r="AB636" s="273"/>
      <c r="AC636" s="273"/>
      <c r="AD636" s="273"/>
      <c r="AE636" s="273"/>
      <c r="AF636" s="273"/>
      <c r="AG636" s="273"/>
      <c r="AH636" s="273"/>
      <c r="AI636" s="273"/>
    </row>
    <row r="637" spans="1:35" ht="14.25" customHeight="1">
      <c r="A637" s="273"/>
      <c r="B637" s="273"/>
      <c r="C637" s="273"/>
      <c r="D637" s="273"/>
      <c r="E637" s="273"/>
      <c r="F637" s="273"/>
      <c r="G637" s="273"/>
      <c r="H637" s="273"/>
      <c r="I637" s="273"/>
      <c r="J637" s="273"/>
      <c r="K637" s="273"/>
      <c r="L637" s="274"/>
      <c r="M637" s="273"/>
      <c r="N637" s="273"/>
      <c r="O637" s="273"/>
      <c r="P637" s="273"/>
      <c r="Q637" s="273"/>
      <c r="R637" s="273"/>
      <c r="S637" s="273"/>
      <c r="T637" s="273"/>
      <c r="U637" s="273"/>
      <c r="V637" s="273"/>
      <c r="W637" s="273"/>
      <c r="X637" s="274"/>
      <c r="Y637" s="273"/>
      <c r="Z637" s="273"/>
      <c r="AA637" s="273"/>
      <c r="AB637" s="273"/>
      <c r="AC637" s="273"/>
      <c r="AD637" s="273"/>
      <c r="AE637" s="273"/>
      <c r="AF637" s="273"/>
      <c r="AG637" s="273"/>
      <c r="AH637" s="273"/>
      <c r="AI637" s="273"/>
    </row>
    <row r="638" spans="1:35" ht="14.25" customHeight="1">
      <c r="A638" s="273"/>
      <c r="B638" s="273"/>
      <c r="C638" s="273"/>
      <c r="D638" s="273"/>
      <c r="E638" s="273"/>
      <c r="F638" s="273"/>
      <c r="G638" s="273"/>
      <c r="H638" s="273"/>
      <c r="I638" s="273"/>
      <c r="J638" s="273"/>
      <c r="K638" s="273"/>
      <c r="L638" s="274"/>
      <c r="M638" s="273"/>
      <c r="N638" s="273"/>
      <c r="O638" s="273"/>
      <c r="P638" s="273"/>
      <c r="Q638" s="273"/>
      <c r="R638" s="273"/>
      <c r="S638" s="273"/>
      <c r="T638" s="273"/>
      <c r="U638" s="273"/>
      <c r="V638" s="273"/>
      <c r="W638" s="273"/>
      <c r="X638" s="274"/>
      <c r="Y638" s="273"/>
      <c r="Z638" s="273"/>
      <c r="AA638" s="273"/>
      <c r="AB638" s="273"/>
      <c r="AC638" s="273"/>
      <c r="AD638" s="273"/>
      <c r="AE638" s="273"/>
      <c r="AF638" s="273"/>
      <c r="AG638" s="273"/>
      <c r="AH638" s="273"/>
      <c r="AI638" s="273"/>
    </row>
    <row r="639" spans="1:35" ht="14.25" customHeight="1">
      <c r="A639" s="273"/>
      <c r="B639" s="273"/>
      <c r="C639" s="273"/>
      <c r="D639" s="273"/>
      <c r="E639" s="273"/>
      <c r="F639" s="273"/>
      <c r="G639" s="273"/>
      <c r="H639" s="273"/>
      <c r="I639" s="273"/>
      <c r="J639" s="273"/>
      <c r="K639" s="273"/>
      <c r="L639" s="274"/>
      <c r="M639" s="273"/>
      <c r="N639" s="273"/>
      <c r="O639" s="273"/>
      <c r="P639" s="273"/>
      <c r="Q639" s="273"/>
      <c r="R639" s="273"/>
      <c r="S639" s="273"/>
      <c r="T639" s="273"/>
      <c r="U639" s="273"/>
      <c r="V639" s="273"/>
      <c r="W639" s="273"/>
      <c r="X639" s="274"/>
      <c r="Y639" s="273"/>
      <c r="Z639" s="273"/>
      <c r="AA639" s="273"/>
      <c r="AB639" s="273"/>
      <c r="AC639" s="273"/>
      <c r="AD639" s="273"/>
      <c r="AE639" s="273"/>
      <c r="AF639" s="273"/>
      <c r="AG639" s="273"/>
      <c r="AH639" s="273"/>
      <c r="AI639" s="273"/>
    </row>
    <row r="640" spans="1:35" ht="14.25" customHeight="1">
      <c r="A640" s="273"/>
      <c r="B640" s="273"/>
      <c r="C640" s="273"/>
      <c r="D640" s="273"/>
      <c r="E640" s="273"/>
      <c r="F640" s="273"/>
      <c r="G640" s="273"/>
      <c r="H640" s="273"/>
      <c r="I640" s="273"/>
      <c r="J640" s="273"/>
      <c r="K640" s="273"/>
      <c r="L640" s="274"/>
      <c r="M640" s="273"/>
      <c r="N640" s="273"/>
      <c r="O640" s="273"/>
      <c r="P640" s="273"/>
      <c r="Q640" s="273"/>
      <c r="R640" s="273"/>
      <c r="S640" s="273"/>
      <c r="T640" s="273"/>
      <c r="U640" s="273"/>
      <c r="V640" s="273"/>
      <c r="W640" s="273"/>
      <c r="X640" s="274"/>
      <c r="Y640" s="273"/>
      <c r="Z640" s="273"/>
      <c r="AA640" s="273"/>
      <c r="AB640" s="273"/>
      <c r="AC640" s="273"/>
      <c r="AD640" s="273"/>
      <c r="AE640" s="273"/>
      <c r="AF640" s="273"/>
      <c r="AG640" s="273"/>
      <c r="AH640" s="273"/>
      <c r="AI640" s="273"/>
    </row>
    <row r="641" spans="1:35" ht="14.25" customHeight="1">
      <c r="A641" s="273"/>
      <c r="B641" s="273"/>
      <c r="C641" s="273"/>
      <c r="D641" s="273"/>
      <c r="E641" s="273"/>
      <c r="F641" s="273"/>
      <c r="G641" s="273"/>
      <c r="H641" s="273"/>
      <c r="I641" s="273"/>
      <c r="J641" s="273"/>
      <c r="K641" s="273"/>
      <c r="L641" s="274"/>
      <c r="M641" s="273"/>
      <c r="N641" s="273"/>
      <c r="O641" s="273"/>
      <c r="P641" s="273"/>
      <c r="Q641" s="273"/>
      <c r="R641" s="273"/>
      <c r="S641" s="273"/>
      <c r="T641" s="273"/>
      <c r="U641" s="273"/>
      <c r="V641" s="273"/>
      <c r="W641" s="273"/>
      <c r="X641" s="274"/>
      <c r="Y641" s="273"/>
      <c r="Z641" s="273"/>
      <c r="AA641" s="273"/>
      <c r="AB641" s="273"/>
      <c r="AC641" s="273"/>
      <c r="AD641" s="273"/>
      <c r="AE641" s="273"/>
      <c r="AF641" s="273"/>
      <c r="AG641" s="273"/>
      <c r="AH641" s="273"/>
      <c r="AI641" s="273"/>
    </row>
    <row r="642" spans="1:35" ht="14.25" customHeight="1">
      <c r="A642" s="273"/>
      <c r="B642" s="273"/>
      <c r="C642" s="273"/>
      <c r="D642" s="273"/>
      <c r="E642" s="273"/>
      <c r="F642" s="273"/>
      <c r="G642" s="273"/>
      <c r="H642" s="273"/>
      <c r="I642" s="273"/>
      <c r="J642" s="273"/>
      <c r="K642" s="273"/>
      <c r="L642" s="274"/>
      <c r="M642" s="273"/>
      <c r="N642" s="273"/>
      <c r="O642" s="273"/>
      <c r="P642" s="273"/>
      <c r="Q642" s="273"/>
      <c r="R642" s="273"/>
      <c r="S642" s="273"/>
      <c r="T642" s="273"/>
      <c r="U642" s="273"/>
      <c r="V642" s="273"/>
      <c r="W642" s="273"/>
      <c r="X642" s="274"/>
      <c r="Y642" s="273"/>
      <c r="Z642" s="273"/>
      <c r="AA642" s="273"/>
      <c r="AB642" s="273"/>
      <c r="AC642" s="273"/>
      <c r="AD642" s="273"/>
      <c r="AE642" s="273"/>
      <c r="AF642" s="273"/>
      <c r="AG642" s="273"/>
      <c r="AH642" s="273"/>
      <c r="AI642" s="273"/>
    </row>
    <row r="643" spans="1:35" ht="14.25" customHeight="1">
      <c r="A643" s="273"/>
      <c r="B643" s="273"/>
      <c r="C643" s="273"/>
      <c r="D643" s="273"/>
      <c r="E643" s="273"/>
      <c r="F643" s="273"/>
      <c r="G643" s="273"/>
      <c r="H643" s="273"/>
      <c r="I643" s="273"/>
      <c r="J643" s="273"/>
      <c r="K643" s="273"/>
      <c r="L643" s="274"/>
      <c r="M643" s="273"/>
      <c r="N643" s="273"/>
      <c r="O643" s="273"/>
      <c r="P643" s="273"/>
      <c r="Q643" s="273"/>
      <c r="R643" s="273"/>
      <c r="S643" s="273"/>
      <c r="T643" s="273"/>
      <c r="U643" s="273"/>
      <c r="V643" s="273"/>
      <c r="W643" s="273"/>
      <c r="X643" s="274"/>
      <c r="Y643" s="273"/>
      <c r="Z643" s="273"/>
      <c r="AA643" s="273"/>
      <c r="AB643" s="273"/>
      <c r="AC643" s="273"/>
      <c r="AD643" s="273"/>
      <c r="AE643" s="273"/>
      <c r="AF643" s="273"/>
      <c r="AG643" s="273"/>
      <c r="AH643" s="273"/>
      <c r="AI643" s="273"/>
    </row>
    <row r="644" spans="1:35" ht="14.25" customHeight="1">
      <c r="A644" s="273"/>
      <c r="B644" s="273"/>
      <c r="C644" s="273"/>
      <c r="D644" s="273"/>
      <c r="E644" s="273"/>
      <c r="F644" s="273"/>
      <c r="G644" s="273"/>
      <c r="H644" s="273"/>
      <c r="I644" s="273"/>
      <c r="J644" s="273"/>
      <c r="K644" s="273"/>
      <c r="L644" s="274"/>
      <c r="M644" s="273"/>
      <c r="N644" s="273"/>
      <c r="O644" s="273"/>
      <c r="P644" s="273"/>
      <c r="Q644" s="273"/>
      <c r="R644" s="273"/>
      <c r="S644" s="273"/>
      <c r="T644" s="273"/>
      <c r="U644" s="273"/>
      <c r="V644" s="273"/>
      <c r="W644" s="273"/>
      <c r="X644" s="274"/>
      <c r="Y644" s="273"/>
      <c r="Z644" s="273"/>
      <c r="AA644" s="273"/>
      <c r="AB644" s="273"/>
      <c r="AC644" s="273"/>
      <c r="AD644" s="273"/>
      <c r="AE644" s="273"/>
      <c r="AF644" s="273"/>
      <c r="AG644" s="273"/>
      <c r="AH644" s="273"/>
      <c r="AI644" s="273"/>
    </row>
    <row r="645" spans="1:35" ht="14.25" customHeight="1">
      <c r="A645" s="273"/>
      <c r="B645" s="273"/>
      <c r="C645" s="273"/>
      <c r="D645" s="273"/>
      <c r="E645" s="273"/>
      <c r="F645" s="273"/>
      <c r="G645" s="273"/>
      <c r="H645" s="273"/>
      <c r="I645" s="273"/>
      <c r="J645" s="273"/>
      <c r="K645" s="273"/>
      <c r="L645" s="274"/>
      <c r="M645" s="273"/>
      <c r="N645" s="273"/>
      <c r="O645" s="273"/>
      <c r="P645" s="273"/>
      <c r="Q645" s="273"/>
      <c r="R645" s="273"/>
      <c r="S645" s="273"/>
      <c r="T645" s="273"/>
      <c r="U645" s="273"/>
      <c r="V645" s="273"/>
      <c r="W645" s="273"/>
      <c r="X645" s="274"/>
      <c r="Y645" s="273"/>
      <c r="Z645" s="273"/>
      <c r="AA645" s="273"/>
      <c r="AB645" s="273"/>
      <c r="AC645" s="273"/>
      <c r="AD645" s="273"/>
      <c r="AE645" s="273"/>
      <c r="AF645" s="273"/>
      <c r="AG645" s="273"/>
      <c r="AH645" s="273"/>
      <c r="AI645" s="273"/>
    </row>
    <row r="646" spans="1:35" ht="14.25" customHeight="1">
      <c r="A646" s="273"/>
      <c r="B646" s="273"/>
      <c r="C646" s="273"/>
      <c r="D646" s="273"/>
      <c r="E646" s="273"/>
      <c r="F646" s="273"/>
      <c r="G646" s="273"/>
      <c r="H646" s="273"/>
      <c r="I646" s="273"/>
      <c r="J646" s="273"/>
      <c r="K646" s="273"/>
      <c r="L646" s="274"/>
      <c r="M646" s="273"/>
      <c r="N646" s="273"/>
      <c r="O646" s="273"/>
      <c r="P646" s="273"/>
      <c r="Q646" s="273"/>
      <c r="R646" s="273"/>
      <c r="S646" s="273"/>
      <c r="T646" s="273"/>
      <c r="U646" s="273"/>
      <c r="V646" s="273"/>
      <c r="W646" s="273"/>
      <c r="X646" s="274"/>
      <c r="Y646" s="273"/>
      <c r="Z646" s="273"/>
      <c r="AA646" s="273"/>
      <c r="AB646" s="273"/>
      <c r="AC646" s="273"/>
      <c r="AD646" s="273"/>
      <c r="AE646" s="273"/>
      <c r="AF646" s="273"/>
      <c r="AG646" s="273"/>
      <c r="AH646" s="273"/>
      <c r="AI646" s="273"/>
    </row>
    <row r="647" spans="1:35" ht="14.25" customHeight="1">
      <c r="A647" s="273"/>
      <c r="B647" s="273"/>
      <c r="C647" s="273"/>
      <c r="D647" s="273"/>
      <c r="E647" s="273"/>
      <c r="F647" s="273"/>
      <c r="G647" s="273"/>
      <c r="H647" s="273"/>
      <c r="I647" s="273"/>
      <c r="J647" s="273"/>
      <c r="K647" s="273"/>
      <c r="L647" s="274"/>
      <c r="M647" s="273"/>
      <c r="N647" s="273"/>
      <c r="O647" s="273"/>
      <c r="P647" s="273"/>
      <c r="Q647" s="273"/>
      <c r="R647" s="273"/>
      <c r="S647" s="273"/>
      <c r="T647" s="273"/>
      <c r="U647" s="273"/>
      <c r="V647" s="273"/>
      <c r="W647" s="273"/>
      <c r="X647" s="274"/>
      <c r="Y647" s="273"/>
      <c r="Z647" s="273"/>
      <c r="AA647" s="273"/>
      <c r="AB647" s="273"/>
      <c r="AC647" s="273"/>
      <c r="AD647" s="273"/>
      <c r="AE647" s="273"/>
      <c r="AF647" s="273"/>
      <c r="AG647" s="273"/>
      <c r="AH647" s="273"/>
      <c r="AI647" s="273"/>
    </row>
    <row r="648" spans="1:35" ht="14.25" customHeight="1">
      <c r="A648" s="273"/>
      <c r="B648" s="273"/>
      <c r="C648" s="273"/>
      <c r="D648" s="273"/>
      <c r="E648" s="273"/>
      <c r="F648" s="273"/>
      <c r="G648" s="273"/>
      <c r="H648" s="273"/>
      <c r="I648" s="273"/>
      <c r="J648" s="273"/>
      <c r="K648" s="273"/>
      <c r="L648" s="274"/>
      <c r="M648" s="273"/>
      <c r="N648" s="273"/>
      <c r="O648" s="273"/>
      <c r="P648" s="273"/>
      <c r="Q648" s="273"/>
      <c r="R648" s="273"/>
      <c r="S648" s="273"/>
      <c r="T648" s="273"/>
      <c r="U648" s="273"/>
      <c r="V648" s="273"/>
      <c r="W648" s="273"/>
      <c r="X648" s="274"/>
      <c r="Y648" s="273"/>
      <c r="Z648" s="273"/>
      <c r="AA648" s="273"/>
      <c r="AB648" s="273"/>
      <c r="AC648" s="273"/>
      <c r="AD648" s="273"/>
      <c r="AE648" s="273"/>
      <c r="AF648" s="273"/>
      <c r="AG648" s="273"/>
      <c r="AH648" s="273"/>
      <c r="AI648" s="273"/>
    </row>
    <row r="649" spans="1:35" ht="14.25" customHeight="1">
      <c r="A649" s="273"/>
      <c r="B649" s="273"/>
      <c r="C649" s="273"/>
      <c r="D649" s="273"/>
      <c r="E649" s="273"/>
      <c r="F649" s="273"/>
      <c r="G649" s="273"/>
      <c r="H649" s="273"/>
      <c r="I649" s="273"/>
      <c r="J649" s="273"/>
      <c r="K649" s="273"/>
      <c r="L649" s="274"/>
      <c r="M649" s="273"/>
      <c r="N649" s="273"/>
      <c r="O649" s="273"/>
      <c r="P649" s="273"/>
      <c r="Q649" s="273"/>
      <c r="R649" s="273"/>
      <c r="S649" s="273"/>
      <c r="T649" s="273"/>
      <c r="U649" s="273"/>
      <c r="V649" s="273"/>
      <c r="W649" s="273"/>
      <c r="X649" s="274"/>
      <c r="Y649" s="273"/>
      <c r="Z649" s="273"/>
      <c r="AA649" s="273"/>
      <c r="AB649" s="273"/>
      <c r="AC649" s="273"/>
      <c r="AD649" s="273"/>
      <c r="AE649" s="273"/>
      <c r="AF649" s="273"/>
      <c r="AG649" s="273"/>
      <c r="AH649" s="273"/>
      <c r="AI649" s="273"/>
    </row>
    <row r="650" spans="1:35" ht="14.25" customHeight="1">
      <c r="A650" s="273"/>
      <c r="B650" s="273"/>
      <c r="C650" s="273"/>
      <c r="D650" s="273"/>
      <c r="E650" s="273"/>
      <c r="F650" s="273"/>
      <c r="G650" s="273"/>
      <c r="H650" s="273"/>
      <c r="I650" s="273"/>
      <c r="J650" s="273"/>
      <c r="K650" s="273"/>
      <c r="L650" s="274"/>
      <c r="M650" s="273"/>
      <c r="N650" s="273"/>
      <c r="O650" s="273"/>
      <c r="P650" s="273"/>
      <c r="Q650" s="273"/>
      <c r="R650" s="273"/>
      <c r="S650" s="273"/>
      <c r="T650" s="273"/>
      <c r="U650" s="273"/>
      <c r="V650" s="273"/>
      <c r="W650" s="273"/>
      <c r="X650" s="274"/>
      <c r="Y650" s="273"/>
      <c r="Z650" s="273"/>
      <c r="AA650" s="273"/>
      <c r="AB650" s="273"/>
      <c r="AC650" s="273"/>
      <c r="AD650" s="273"/>
      <c r="AE650" s="273"/>
      <c r="AF650" s="273"/>
      <c r="AG650" s="273"/>
      <c r="AH650" s="273"/>
      <c r="AI650" s="273"/>
    </row>
    <row r="651" spans="1:35" ht="14.25" customHeight="1">
      <c r="A651" s="273"/>
      <c r="B651" s="273"/>
      <c r="C651" s="273"/>
      <c r="D651" s="273"/>
      <c r="E651" s="273"/>
      <c r="F651" s="273"/>
      <c r="G651" s="273"/>
      <c r="H651" s="273"/>
      <c r="I651" s="273"/>
      <c r="J651" s="273"/>
      <c r="K651" s="273"/>
      <c r="L651" s="274"/>
      <c r="M651" s="273"/>
      <c r="N651" s="273"/>
      <c r="O651" s="273"/>
      <c r="P651" s="273"/>
      <c r="Q651" s="273"/>
      <c r="R651" s="273"/>
      <c r="S651" s="273"/>
      <c r="T651" s="273"/>
      <c r="U651" s="273"/>
      <c r="V651" s="273"/>
      <c r="W651" s="273"/>
      <c r="X651" s="274"/>
      <c r="Y651" s="273"/>
      <c r="Z651" s="273"/>
      <c r="AA651" s="273"/>
      <c r="AB651" s="273"/>
      <c r="AC651" s="273"/>
      <c r="AD651" s="273"/>
      <c r="AE651" s="273"/>
      <c r="AF651" s="273"/>
      <c r="AG651" s="273"/>
      <c r="AH651" s="273"/>
      <c r="AI651" s="273"/>
    </row>
    <row r="652" spans="1:35" ht="14.25" customHeight="1">
      <c r="A652" s="273"/>
      <c r="B652" s="273"/>
      <c r="C652" s="273"/>
      <c r="D652" s="273"/>
      <c r="E652" s="273"/>
      <c r="F652" s="273"/>
      <c r="G652" s="273"/>
      <c r="H652" s="273"/>
      <c r="I652" s="273"/>
      <c r="J652" s="273"/>
      <c r="K652" s="273"/>
      <c r="L652" s="274"/>
      <c r="M652" s="273"/>
      <c r="N652" s="273"/>
      <c r="O652" s="273"/>
      <c r="P652" s="273"/>
      <c r="Q652" s="273"/>
      <c r="R652" s="273"/>
      <c r="S652" s="273"/>
      <c r="T652" s="273"/>
      <c r="U652" s="273"/>
      <c r="V652" s="273"/>
      <c r="W652" s="273"/>
      <c r="X652" s="274"/>
      <c r="Y652" s="273"/>
      <c r="Z652" s="273"/>
      <c r="AA652" s="273"/>
      <c r="AB652" s="273"/>
      <c r="AC652" s="273"/>
      <c r="AD652" s="273"/>
      <c r="AE652" s="273"/>
      <c r="AF652" s="273"/>
      <c r="AG652" s="273"/>
      <c r="AH652" s="273"/>
      <c r="AI652" s="273"/>
    </row>
    <row r="653" spans="1:35" ht="14.25" customHeight="1">
      <c r="A653" s="273"/>
      <c r="B653" s="273"/>
      <c r="C653" s="273"/>
      <c r="D653" s="273"/>
      <c r="E653" s="273"/>
      <c r="F653" s="273"/>
      <c r="G653" s="273"/>
      <c r="H653" s="273"/>
      <c r="I653" s="273"/>
      <c r="J653" s="273"/>
      <c r="K653" s="273"/>
      <c r="L653" s="274"/>
      <c r="M653" s="273"/>
      <c r="N653" s="273"/>
      <c r="O653" s="273"/>
      <c r="P653" s="273"/>
      <c r="Q653" s="273"/>
      <c r="R653" s="273"/>
      <c r="S653" s="273"/>
      <c r="T653" s="273"/>
      <c r="U653" s="273"/>
      <c r="V653" s="273"/>
      <c r="W653" s="273"/>
      <c r="X653" s="274"/>
      <c r="Y653" s="273"/>
      <c r="Z653" s="273"/>
      <c r="AA653" s="273"/>
      <c r="AB653" s="273"/>
      <c r="AC653" s="273"/>
      <c r="AD653" s="273"/>
      <c r="AE653" s="273"/>
      <c r="AF653" s="273"/>
      <c r="AG653" s="273"/>
      <c r="AH653" s="273"/>
      <c r="AI653" s="273"/>
    </row>
    <row r="654" spans="1:35" ht="14.25" customHeight="1">
      <c r="A654" s="273"/>
      <c r="B654" s="273"/>
      <c r="C654" s="273"/>
      <c r="D654" s="273"/>
      <c r="E654" s="273"/>
      <c r="F654" s="273"/>
      <c r="G654" s="273"/>
      <c r="H654" s="273"/>
      <c r="I654" s="273"/>
      <c r="J654" s="273"/>
      <c r="K654" s="273"/>
      <c r="L654" s="274"/>
      <c r="M654" s="273"/>
      <c r="N654" s="273"/>
      <c r="O654" s="273"/>
      <c r="P654" s="273"/>
      <c r="Q654" s="273"/>
      <c r="R654" s="273"/>
      <c r="S654" s="273"/>
      <c r="T654" s="273"/>
      <c r="U654" s="273"/>
      <c r="V654" s="273"/>
      <c r="W654" s="273"/>
      <c r="X654" s="274"/>
      <c r="Y654" s="273"/>
      <c r="Z654" s="273"/>
      <c r="AA654" s="273"/>
      <c r="AB654" s="273"/>
      <c r="AC654" s="273"/>
      <c r="AD654" s="273"/>
      <c r="AE654" s="273"/>
      <c r="AF654" s="273"/>
      <c r="AG654" s="273"/>
      <c r="AH654" s="273"/>
      <c r="AI654" s="273"/>
    </row>
    <row r="655" spans="1:35" ht="14.25" customHeight="1">
      <c r="A655" s="273"/>
      <c r="B655" s="273"/>
      <c r="C655" s="273"/>
      <c r="D655" s="273"/>
      <c r="E655" s="273"/>
      <c r="F655" s="273"/>
      <c r="G655" s="273"/>
      <c r="H655" s="273"/>
      <c r="I655" s="273"/>
      <c r="J655" s="273"/>
      <c r="K655" s="273"/>
      <c r="L655" s="274"/>
      <c r="M655" s="273"/>
      <c r="N655" s="273"/>
      <c r="O655" s="273"/>
      <c r="P655" s="273"/>
      <c r="Q655" s="273"/>
      <c r="R655" s="273"/>
      <c r="S655" s="273"/>
      <c r="T655" s="273"/>
      <c r="U655" s="273"/>
      <c r="V655" s="273"/>
      <c r="W655" s="273"/>
      <c r="X655" s="274"/>
      <c r="Y655" s="273"/>
      <c r="Z655" s="273"/>
      <c r="AA655" s="273"/>
      <c r="AB655" s="273"/>
      <c r="AC655" s="273"/>
      <c r="AD655" s="273"/>
      <c r="AE655" s="273"/>
      <c r="AF655" s="273"/>
      <c r="AG655" s="273"/>
      <c r="AH655" s="273"/>
      <c r="AI655" s="273"/>
    </row>
    <row r="656" spans="1:35" ht="14.25" customHeight="1">
      <c r="A656" s="273"/>
      <c r="B656" s="273"/>
      <c r="C656" s="273"/>
      <c r="D656" s="273"/>
      <c r="E656" s="273"/>
      <c r="F656" s="273"/>
      <c r="G656" s="273"/>
      <c r="H656" s="273"/>
      <c r="I656" s="273"/>
      <c r="J656" s="273"/>
      <c r="K656" s="273"/>
      <c r="L656" s="274"/>
      <c r="M656" s="273"/>
      <c r="N656" s="273"/>
      <c r="O656" s="273"/>
      <c r="P656" s="273"/>
      <c r="Q656" s="273"/>
      <c r="R656" s="273"/>
      <c r="S656" s="273"/>
      <c r="T656" s="273"/>
      <c r="U656" s="273"/>
      <c r="V656" s="273"/>
      <c r="W656" s="273"/>
      <c r="X656" s="274"/>
      <c r="Y656" s="273"/>
      <c r="Z656" s="273"/>
      <c r="AA656" s="273"/>
      <c r="AB656" s="273"/>
      <c r="AC656" s="273"/>
      <c r="AD656" s="273"/>
      <c r="AE656" s="273"/>
      <c r="AF656" s="273"/>
      <c r="AG656" s="273"/>
      <c r="AH656" s="273"/>
      <c r="AI656" s="273"/>
    </row>
    <row r="657" spans="1:35" ht="14.25" customHeight="1">
      <c r="A657" s="273"/>
      <c r="B657" s="273"/>
      <c r="C657" s="273"/>
      <c r="D657" s="273"/>
      <c r="E657" s="273"/>
      <c r="F657" s="273"/>
      <c r="G657" s="273"/>
      <c r="H657" s="273"/>
      <c r="I657" s="273"/>
      <c r="J657" s="273"/>
      <c r="K657" s="273"/>
      <c r="L657" s="274"/>
      <c r="M657" s="273"/>
      <c r="N657" s="273"/>
      <c r="O657" s="273"/>
      <c r="P657" s="273"/>
      <c r="Q657" s="273"/>
      <c r="R657" s="273"/>
      <c r="S657" s="273"/>
      <c r="T657" s="273"/>
      <c r="U657" s="273"/>
      <c r="V657" s="273"/>
      <c r="W657" s="273"/>
      <c r="X657" s="274"/>
      <c r="Y657" s="273"/>
      <c r="Z657" s="273"/>
      <c r="AA657" s="273"/>
      <c r="AB657" s="273"/>
      <c r="AC657" s="273"/>
      <c r="AD657" s="273"/>
      <c r="AE657" s="273"/>
      <c r="AF657" s="273"/>
      <c r="AG657" s="273"/>
      <c r="AH657" s="273"/>
      <c r="AI657" s="273"/>
    </row>
    <row r="658" spans="1:35" ht="14.25" customHeight="1">
      <c r="A658" s="273"/>
      <c r="B658" s="273"/>
      <c r="C658" s="273"/>
      <c r="D658" s="273"/>
      <c r="E658" s="273"/>
      <c r="F658" s="273"/>
      <c r="G658" s="273"/>
      <c r="H658" s="273"/>
      <c r="I658" s="273"/>
      <c r="J658" s="273"/>
      <c r="K658" s="273"/>
      <c r="L658" s="274"/>
      <c r="M658" s="273"/>
      <c r="N658" s="273"/>
      <c r="O658" s="273"/>
      <c r="P658" s="273"/>
      <c r="Q658" s="273"/>
      <c r="R658" s="273"/>
      <c r="S658" s="273"/>
      <c r="T658" s="273"/>
      <c r="U658" s="273"/>
      <c r="V658" s="273"/>
      <c r="W658" s="273"/>
      <c r="X658" s="274"/>
      <c r="Y658" s="273"/>
      <c r="Z658" s="273"/>
      <c r="AA658" s="273"/>
      <c r="AB658" s="273"/>
      <c r="AC658" s="273"/>
      <c r="AD658" s="273"/>
      <c r="AE658" s="273"/>
      <c r="AF658" s="273"/>
      <c r="AG658" s="273"/>
      <c r="AH658" s="273"/>
      <c r="AI658" s="273"/>
    </row>
    <row r="659" spans="1:35" ht="14.25" customHeight="1">
      <c r="A659" s="273"/>
      <c r="B659" s="273"/>
      <c r="C659" s="273"/>
      <c r="D659" s="273"/>
      <c r="E659" s="273"/>
      <c r="F659" s="273"/>
      <c r="G659" s="273"/>
      <c r="H659" s="273"/>
      <c r="I659" s="273"/>
      <c r="J659" s="273"/>
      <c r="K659" s="273"/>
      <c r="L659" s="274"/>
      <c r="M659" s="273"/>
      <c r="N659" s="273"/>
      <c r="O659" s="273"/>
      <c r="P659" s="273"/>
      <c r="Q659" s="273"/>
      <c r="R659" s="273"/>
      <c r="S659" s="273"/>
      <c r="T659" s="273"/>
      <c r="U659" s="273"/>
      <c r="V659" s="273"/>
      <c r="W659" s="273"/>
      <c r="X659" s="274"/>
      <c r="Y659" s="273"/>
      <c r="Z659" s="273"/>
      <c r="AA659" s="273"/>
      <c r="AB659" s="273"/>
      <c r="AC659" s="273"/>
      <c r="AD659" s="273"/>
      <c r="AE659" s="273"/>
      <c r="AF659" s="273"/>
      <c r="AG659" s="273"/>
      <c r="AH659" s="273"/>
      <c r="AI659" s="273"/>
    </row>
    <row r="660" spans="1:35" ht="14.25" customHeight="1">
      <c r="A660" s="273"/>
      <c r="B660" s="273"/>
      <c r="C660" s="273"/>
      <c r="D660" s="273"/>
      <c r="E660" s="273"/>
      <c r="F660" s="273"/>
      <c r="G660" s="273"/>
      <c r="H660" s="273"/>
      <c r="I660" s="273"/>
      <c r="J660" s="273"/>
      <c r="K660" s="273"/>
      <c r="L660" s="274"/>
      <c r="M660" s="273"/>
      <c r="N660" s="273"/>
      <c r="O660" s="273"/>
      <c r="P660" s="273"/>
      <c r="Q660" s="273"/>
      <c r="R660" s="273"/>
      <c r="S660" s="273"/>
      <c r="T660" s="273"/>
      <c r="U660" s="273"/>
      <c r="V660" s="273"/>
      <c r="W660" s="273"/>
      <c r="X660" s="274"/>
      <c r="Y660" s="273"/>
      <c r="Z660" s="273"/>
      <c r="AA660" s="273"/>
      <c r="AB660" s="273"/>
      <c r="AC660" s="273"/>
      <c r="AD660" s="273"/>
      <c r="AE660" s="273"/>
      <c r="AF660" s="273"/>
      <c r="AG660" s="273"/>
      <c r="AH660" s="273"/>
      <c r="AI660" s="273"/>
    </row>
    <row r="661" spans="1:35" ht="14.25" customHeight="1">
      <c r="A661" s="273"/>
      <c r="B661" s="273"/>
      <c r="C661" s="273"/>
      <c r="D661" s="273"/>
      <c r="E661" s="273"/>
      <c r="F661" s="273"/>
      <c r="G661" s="273"/>
      <c r="H661" s="273"/>
      <c r="I661" s="273"/>
      <c r="J661" s="273"/>
      <c r="K661" s="273"/>
      <c r="L661" s="274"/>
      <c r="M661" s="273"/>
      <c r="N661" s="273"/>
      <c r="O661" s="273"/>
      <c r="P661" s="273"/>
      <c r="Q661" s="273"/>
      <c r="R661" s="273"/>
      <c r="S661" s="273"/>
      <c r="T661" s="273"/>
      <c r="U661" s="273"/>
      <c r="V661" s="273"/>
      <c r="W661" s="273"/>
      <c r="X661" s="274"/>
      <c r="Y661" s="273"/>
      <c r="Z661" s="273"/>
      <c r="AA661" s="273"/>
      <c r="AB661" s="273"/>
      <c r="AC661" s="273"/>
      <c r="AD661" s="273"/>
      <c r="AE661" s="273"/>
      <c r="AF661" s="273"/>
      <c r="AG661" s="273"/>
      <c r="AH661" s="273"/>
      <c r="AI661" s="273"/>
    </row>
    <row r="662" spans="1:35" ht="14.25" customHeight="1">
      <c r="A662" s="273"/>
      <c r="B662" s="273"/>
      <c r="C662" s="273"/>
      <c r="D662" s="273"/>
      <c r="E662" s="273"/>
      <c r="F662" s="273"/>
      <c r="G662" s="273"/>
      <c r="H662" s="273"/>
      <c r="I662" s="273"/>
      <c r="J662" s="273"/>
      <c r="K662" s="273"/>
      <c r="L662" s="274"/>
      <c r="M662" s="273"/>
      <c r="N662" s="273"/>
      <c r="O662" s="273"/>
      <c r="P662" s="273"/>
      <c r="Q662" s="273"/>
      <c r="R662" s="273"/>
      <c r="S662" s="273"/>
      <c r="T662" s="273"/>
      <c r="U662" s="273"/>
      <c r="V662" s="273"/>
      <c r="W662" s="273"/>
      <c r="X662" s="274"/>
      <c r="Y662" s="273"/>
      <c r="Z662" s="273"/>
      <c r="AA662" s="273"/>
      <c r="AB662" s="273"/>
      <c r="AC662" s="273"/>
      <c r="AD662" s="273"/>
      <c r="AE662" s="273"/>
      <c r="AF662" s="273"/>
      <c r="AG662" s="273"/>
      <c r="AH662" s="273"/>
      <c r="AI662" s="273"/>
    </row>
    <row r="663" spans="1:35" ht="14.25" customHeight="1">
      <c r="A663" s="273"/>
      <c r="B663" s="273"/>
      <c r="C663" s="273"/>
      <c r="D663" s="273"/>
      <c r="E663" s="273"/>
      <c r="F663" s="273"/>
      <c r="G663" s="273"/>
      <c r="H663" s="273"/>
      <c r="I663" s="273"/>
      <c r="J663" s="273"/>
      <c r="K663" s="273"/>
      <c r="L663" s="274"/>
      <c r="M663" s="273"/>
      <c r="N663" s="273"/>
      <c r="O663" s="273"/>
      <c r="P663" s="273"/>
      <c r="Q663" s="273"/>
      <c r="R663" s="273"/>
      <c r="S663" s="273"/>
      <c r="T663" s="273"/>
      <c r="U663" s="273"/>
      <c r="V663" s="273"/>
      <c r="W663" s="273"/>
      <c r="X663" s="274"/>
      <c r="Y663" s="273"/>
      <c r="Z663" s="273"/>
      <c r="AA663" s="273"/>
      <c r="AB663" s="273"/>
      <c r="AC663" s="273"/>
      <c r="AD663" s="273"/>
      <c r="AE663" s="273"/>
      <c r="AF663" s="273"/>
      <c r="AG663" s="273"/>
      <c r="AH663" s="273"/>
      <c r="AI663" s="273"/>
    </row>
    <row r="664" spans="1:35" ht="14.25" customHeight="1">
      <c r="A664" s="273"/>
      <c r="B664" s="273"/>
      <c r="C664" s="273"/>
      <c r="D664" s="273"/>
      <c r="E664" s="273"/>
      <c r="F664" s="273"/>
      <c r="G664" s="273"/>
      <c r="H664" s="273"/>
      <c r="I664" s="273"/>
      <c r="J664" s="273"/>
      <c r="K664" s="273"/>
      <c r="L664" s="274"/>
      <c r="M664" s="273"/>
      <c r="N664" s="273"/>
      <c r="O664" s="273"/>
      <c r="P664" s="273"/>
      <c r="Q664" s="273"/>
      <c r="R664" s="273"/>
      <c r="S664" s="273"/>
      <c r="T664" s="273"/>
      <c r="U664" s="273"/>
      <c r="V664" s="273"/>
      <c r="W664" s="273"/>
      <c r="X664" s="274"/>
      <c r="Y664" s="273"/>
      <c r="Z664" s="273"/>
      <c r="AA664" s="273"/>
      <c r="AB664" s="273"/>
      <c r="AC664" s="273"/>
      <c r="AD664" s="273"/>
      <c r="AE664" s="273"/>
      <c r="AF664" s="273"/>
      <c r="AG664" s="273"/>
      <c r="AH664" s="273"/>
      <c r="AI664" s="273"/>
    </row>
    <row r="665" spans="1:35" ht="14.25" customHeight="1">
      <c r="A665" s="273"/>
      <c r="B665" s="273"/>
      <c r="C665" s="273"/>
      <c r="D665" s="273"/>
      <c r="E665" s="273"/>
      <c r="F665" s="273"/>
      <c r="G665" s="273"/>
      <c r="H665" s="273"/>
      <c r="I665" s="273"/>
      <c r="J665" s="273"/>
      <c r="K665" s="273"/>
      <c r="L665" s="274"/>
      <c r="M665" s="273"/>
      <c r="N665" s="273"/>
      <c r="O665" s="273"/>
      <c r="P665" s="273"/>
      <c r="Q665" s="273"/>
      <c r="R665" s="273"/>
      <c r="S665" s="273"/>
      <c r="T665" s="273"/>
      <c r="U665" s="273"/>
      <c r="V665" s="273"/>
      <c r="W665" s="273"/>
      <c r="X665" s="274"/>
      <c r="Y665" s="273"/>
      <c r="Z665" s="273"/>
      <c r="AA665" s="273"/>
      <c r="AB665" s="273"/>
      <c r="AC665" s="273"/>
      <c r="AD665" s="273"/>
      <c r="AE665" s="273"/>
      <c r="AF665" s="273"/>
      <c r="AG665" s="273"/>
      <c r="AH665" s="273"/>
      <c r="AI665" s="273"/>
    </row>
    <row r="666" spans="1:35" ht="14.25" customHeight="1">
      <c r="A666" s="273"/>
      <c r="B666" s="273"/>
      <c r="C666" s="273"/>
      <c r="D666" s="273"/>
      <c r="E666" s="273"/>
      <c r="F666" s="273"/>
      <c r="G666" s="273"/>
      <c r="H666" s="273"/>
      <c r="I666" s="273"/>
      <c r="J666" s="273"/>
      <c r="K666" s="273"/>
      <c r="L666" s="274"/>
      <c r="M666" s="273"/>
      <c r="N666" s="273"/>
      <c r="O666" s="273"/>
      <c r="P666" s="273"/>
      <c r="Q666" s="273"/>
      <c r="R666" s="273"/>
      <c r="S666" s="273"/>
      <c r="T666" s="273"/>
      <c r="U666" s="273"/>
      <c r="V666" s="273"/>
      <c r="W666" s="273"/>
      <c r="X666" s="274"/>
      <c r="Y666" s="273"/>
      <c r="Z666" s="273"/>
      <c r="AA666" s="273"/>
      <c r="AB666" s="273"/>
      <c r="AC666" s="273"/>
      <c r="AD666" s="273"/>
      <c r="AE666" s="273"/>
      <c r="AF666" s="273"/>
      <c r="AG666" s="273"/>
      <c r="AH666" s="273"/>
      <c r="AI666" s="273"/>
    </row>
    <row r="667" spans="1:35" ht="14.25" customHeight="1">
      <c r="A667" s="273"/>
      <c r="B667" s="273"/>
      <c r="C667" s="273"/>
      <c r="D667" s="273"/>
      <c r="E667" s="273"/>
      <c r="F667" s="273"/>
      <c r="G667" s="273"/>
      <c r="H667" s="273"/>
      <c r="I667" s="273"/>
      <c r="J667" s="273"/>
      <c r="K667" s="273"/>
      <c r="L667" s="274"/>
      <c r="M667" s="273"/>
      <c r="N667" s="273"/>
      <c r="O667" s="273"/>
      <c r="P667" s="273"/>
      <c r="Q667" s="273"/>
      <c r="R667" s="273"/>
      <c r="S667" s="273"/>
      <c r="T667" s="273"/>
      <c r="U667" s="273"/>
      <c r="V667" s="273"/>
      <c r="W667" s="273"/>
      <c r="X667" s="274"/>
      <c r="Y667" s="273"/>
      <c r="Z667" s="273"/>
      <c r="AA667" s="273"/>
      <c r="AB667" s="273"/>
      <c r="AC667" s="273"/>
      <c r="AD667" s="273"/>
      <c r="AE667" s="273"/>
      <c r="AF667" s="273"/>
      <c r="AG667" s="273"/>
      <c r="AH667" s="273"/>
      <c r="AI667" s="273"/>
    </row>
    <row r="668" spans="1:35" ht="14.25" customHeight="1">
      <c r="A668" s="273"/>
      <c r="B668" s="273"/>
      <c r="C668" s="273"/>
      <c r="D668" s="273"/>
      <c r="E668" s="273"/>
      <c r="F668" s="273"/>
      <c r="G668" s="273"/>
      <c r="H668" s="273"/>
      <c r="I668" s="273"/>
      <c r="J668" s="273"/>
      <c r="K668" s="273"/>
      <c r="L668" s="274"/>
      <c r="M668" s="273"/>
      <c r="N668" s="273"/>
      <c r="O668" s="273"/>
      <c r="P668" s="273"/>
      <c r="Q668" s="273"/>
      <c r="R668" s="273"/>
      <c r="S668" s="273"/>
      <c r="T668" s="273"/>
      <c r="U668" s="273"/>
      <c r="V668" s="273"/>
      <c r="W668" s="273"/>
      <c r="X668" s="274"/>
      <c r="Y668" s="273"/>
      <c r="Z668" s="273"/>
      <c r="AA668" s="273"/>
      <c r="AB668" s="273"/>
      <c r="AC668" s="273"/>
      <c r="AD668" s="273"/>
      <c r="AE668" s="273"/>
      <c r="AF668" s="273"/>
      <c r="AG668" s="273"/>
      <c r="AH668" s="273"/>
      <c r="AI668" s="273"/>
    </row>
    <row r="669" spans="1:35" ht="14.25" customHeight="1">
      <c r="A669" s="273"/>
      <c r="B669" s="273"/>
      <c r="C669" s="273"/>
      <c r="D669" s="273"/>
      <c r="E669" s="273"/>
      <c r="F669" s="273"/>
      <c r="G669" s="273"/>
      <c r="H669" s="273"/>
      <c r="I669" s="273"/>
      <c r="J669" s="273"/>
      <c r="K669" s="273"/>
      <c r="L669" s="274"/>
      <c r="M669" s="273"/>
      <c r="N669" s="273"/>
      <c r="O669" s="273"/>
      <c r="P669" s="273"/>
      <c r="Q669" s="273"/>
      <c r="R669" s="273"/>
      <c r="S669" s="273"/>
      <c r="T669" s="273"/>
      <c r="U669" s="273"/>
      <c r="V669" s="273"/>
      <c r="W669" s="273"/>
      <c r="X669" s="274"/>
      <c r="Y669" s="273"/>
      <c r="Z669" s="273"/>
      <c r="AA669" s="273"/>
      <c r="AB669" s="273"/>
      <c r="AC669" s="273"/>
      <c r="AD669" s="273"/>
      <c r="AE669" s="273"/>
      <c r="AF669" s="273"/>
      <c r="AG669" s="273"/>
      <c r="AH669" s="273"/>
      <c r="AI669" s="273"/>
    </row>
    <row r="670" spans="1:35" ht="14.25" customHeight="1">
      <c r="A670" s="273"/>
      <c r="B670" s="273"/>
      <c r="C670" s="273"/>
      <c r="D670" s="273"/>
      <c r="E670" s="273"/>
      <c r="F670" s="273"/>
      <c r="G670" s="273"/>
      <c r="H670" s="273"/>
      <c r="I670" s="273"/>
      <c r="J670" s="273"/>
      <c r="K670" s="273"/>
      <c r="L670" s="274"/>
      <c r="M670" s="273"/>
      <c r="N670" s="273"/>
      <c r="O670" s="273"/>
      <c r="P670" s="273"/>
      <c r="Q670" s="273"/>
      <c r="R670" s="273"/>
      <c r="S670" s="273"/>
      <c r="T670" s="273"/>
      <c r="U670" s="273"/>
      <c r="V670" s="273"/>
      <c r="W670" s="273"/>
      <c r="X670" s="274"/>
      <c r="Y670" s="273"/>
      <c r="Z670" s="273"/>
      <c r="AA670" s="273"/>
      <c r="AB670" s="273"/>
      <c r="AC670" s="273"/>
      <c r="AD670" s="273"/>
      <c r="AE670" s="273"/>
      <c r="AF670" s="273"/>
      <c r="AG670" s="273"/>
      <c r="AH670" s="273"/>
      <c r="AI670" s="273"/>
    </row>
    <row r="671" spans="1:35" ht="14.25" customHeight="1">
      <c r="A671" s="273"/>
      <c r="B671" s="273"/>
      <c r="C671" s="273"/>
      <c r="D671" s="273"/>
      <c r="E671" s="273"/>
      <c r="F671" s="273"/>
      <c r="G671" s="273"/>
      <c r="H671" s="273"/>
      <c r="I671" s="273"/>
      <c r="J671" s="273"/>
      <c r="K671" s="273"/>
      <c r="L671" s="274"/>
      <c r="M671" s="273"/>
      <c r="N671" s="273"/>
      <c r="O671" s="273"/>
      <c r="P671" s="273"/>
      <c r="Q671" s="273"/>
      <c r="R671" s="273"/>
      <c r="S671" s="273"/>
      <c r="T671" s="273"/>
      <c r="U671" s="273"/>
      <c r="V671" s="273"/>
      <c r="W671" s="273"/>
      <c r="X671" s="274"/>
      <c r="Y671" s="273"/>
      <c r="Z671" s="273"/>
      <c r="AA671" s="273"/>
      <c r="AB671" s="273"/>
      <c r="AC671" s="273"/>
      <c r="AD671" s="273"/>
      <c r="AE671" s="273"/>
      <c r="AF671" s="273"/>
      <c r="AG671" s="273"/>
      <c r="AH671" s="273"/>
      <c r="AI671" s="273"/>
    </row>
    <row r="672" spans="1:35" ht="14.25" customHeight="1">
      <c r="A672" s="273"/>
      <c r="B672" s="273"/>
      <c r="C672" s="273"/>
      <c r="D672" s="273"/>
      <c r="E672" s="273"/>
      <c r="F672" s="273"/>
      <c r="G672" s="273"/>
      <c r="H672" s="273"/>
      <c r="I672" s="273"/>
      <c r="J672" s="273"/>
      <c r="K672" s="273"/>
      <c r="L672" s="274"/>
      <c r="M672" s="273"/>
      <c r="N672" s="273"/>
      <c r="O672" s="273"/>
      <c r="P672" s="273"/>
      <c r="Q672" s="273"/>
      <c r="R672" s="273"/>
      <c r="S672" s="273"/>
      <c r="T672" s="273"/>
      <c r="U672" s="273"/>
      <c r="V672" s="273"/>
      <c r="W672" s="273"/>
      <c r="X672" s="274"/>
      <c r="Y672" s="273"/>
      <c r="Z672" s="273"/>
      <c r="AA672" s="273"/>
      <c r="AB672" s="273"/>
      <c r="AC672" s="273"/>
      <c r="AD672" s="273"/>
      <c r="AE672" s="273"/>
      <c r="AF672" s="273"/>
      <c r="AG672" s="273"/>
      <c r="AH672" s="273"/>
      <c r="AI672" s="273"/>
    </row>
    <row r="673" spans="1:35" ht="14.25" customHeight="1">
      <c r="A673" s="273"/>
      <c r="B673" s="273"/>
      <c r="C673" s="273"/>
      <c r="D673" s="273"/>
      <c r="E673" s="273"/>
      <c r="F673" s="273"/>
      <c r="G673" s="273"/>
      <c r="H673" s="273"/>
      <c r="I673" s="273"/>
      <c r="J673" s="273"/>
      <c r="K673" s="273"/>
      <c r="L673" s="274"/>
      <c r="M673" s="273"/>
      <c r="N673" s="273"/>
      <c r="O673" s="273"/>
      <c r="P673" s="273"/>
      <c r="Q673" s="273"/>
      <c r="R673" s="273"/>
      <c r="S673" s="273"/>
      <c r="T673" s="273"/>
      <c r="U673" s="273"/>
      <c r="V673" s="273"/>
      <c r="W673" s="273"/>
      <c r="X673" s="274"/>
      <c r="Y673" s="273"/>
      <c r="Z673" s="273"/>
      <c r="AA673" s="273"/>
      <c r="AB673" s="273"/>
      <c r="AC673" s="273"/>
      <c r="AD673" s="273"/>
      <c r="AE673" s="273"/>
      <c r="AF673" s="273"/>
      <c r="AG673" s="273"/>
      <c r="AH673" s="273"/>
      <c r="AI673" s="273"/>
    </row>
    <row r="674" spans="1:35" ht="14.25" customHeight="1">
      <c r="A674" s="273"/>
      <c r="B674" s="273"/>
      <c r="C674" s="273"/>
      <c r="D674" s="273"/>
      <c r="E674" s="273"/>
      <c r="F674" s="273"/>
      <c r="G674" s="273"/>
      <c r="H674" s="273"/>
      <c r="I674" s="273"/>
      <c r="J674" s="273"/>
      <c r="K674" s="273"/>
      <c r="L674" s="274"/>
      <c r="M674" s="273"/>
      <c r="N674" s="273"/>
      <c r="O674" s="273"/>
      <c r="P674" s="273"/>
      <c r="Q674" s="273"/>
      <c r="R674" s="273"/>
      <c r="S674" s="273"/>
      <c r="T674" s="273"/>
      <c r="U674" s="273"/>
      <c r="V674" s="273"/>
      <c r="W674" s="273"/>
      <c r="X674" s="274"/>
      <c r="Y674" s="273"/>
      <c r="Z674" s="273"/>
      <c r="AA674" s="273"/>
      <c r="AB674" s="273"/>
      <c r="AC674" s="273"/>
      <c r="AD674" s="273"/>
      <c r="AE674" s="273"/>
      <c r="AF674" s="273"/>
      <c r="AG674" s="273"/>
      <c r="AH674" s="273"/>
      <c r="AI674" s="273"/>
    </row>
    <row r="675" spans="1:35" ht="14.25" customHeight="1">
      <c r="A675" s="273"/>
      <c r="B675" s="273"/>
      <c r="C675" s="273"/>
      <c r="D675" s="273"/>
      <c r="E675" s="273"/>
      <c r="F675" s="273"/>
      <c r="G675" s="273"/>
      <c r="H675" s="273"/>
      <c r="I675" s="273"/>
      <c r="J675" s="273"/>
      <c r="K675" s="273"/>
      <c r="L675" s="274"/>
      <c r="M675" s="273"/>
      <c r="N675" s="273"/>
      <c r="O675" s="273"/>
      <c r="P675" s="273"/>
      <c r="Q675" s="273"/>
      <c r="R675" s="273"/>
      <c r="S675" s="273"/>
      <c r="T675" s="273"/>
      <c r="U675" s="273"/>
      <c r="V675" s="273"/>
      <c r="W675" s="273"/>
      <c r="X675" s="274"/>
      <c r="Y675" s="273"/>
      <c r="Z675" s="273"/>
      <c r="AA675" s="273"/>
      <c r="AB675" s="273"/>
      <c r="AC675" s="273"/>
      <c r="AD675" s="273"/>
      <c r="AE675" s="273"/>
      <c r="AF675" s="273"/>
      <c r="AG675" s="273"/>
      <c r="AH675" s="273"/>
      <c r="AI675" s="273"/>
    </row>
    <row r="676" spans="1:35" ht="14.25" customHeight="1">
      <c r="A676" s="273"/>
      <c r="B676" s="273"/>
      <c r="C676" s="273"/>
      <c r="D676" s="273"/>
      <c r="E676" s="273"/>
      <c r="F676" s="273"/>
      <c r="G676" s="273"/>
      <c r="H676" s="273"/>
      <c r="I676" s="273"/>
      <c r="J676" s="273"/>
      <c r="K676" s="273"/>
      <c r="L676" s="274"/>
      <c r="M676" s="273"/>
      <c r="N676" s="273"/>
      <c r="O676" s="273"/>
      <c r="P676" s="273"/>
      <c r="Q676" s="273"/>
      <c r="R676" s="273"/>
      <c r="S676" s="273"/>
      <c r="T676" s="273"/>
      <c r="U676" s="273"/>
      <c r="V676" s="273"/>
      <c r="W676" s="273"/>
      <c r="X676" s="274"/>
      <c r="Y676" s="273"/>
      <c r="Z676" s="273"/>
      <c r="AA676" s="273"/>
      <c r="AB676" s="273"/>
      <c r="AC676" s="273"/>
      <c r="AD676" s="273"/>
      <c r="AE676" s="273"/>
      <c r="AF676" s="273"/>
      <c r="AG676" s="273"/>
      <c r="AH676" s="273"/>
      <c r="AI676" s="273"/>
    </row>
    <row r="677" spans="1:35" ht="14.25" customHeight="1">
      <c r="A677" s="273"/>
      <c r="B677" s="273"/>
      <c r="C677" s="273"/>
      <c r="D677" s="273"/>
      <c r="E677" s="273"/>
      <c r="F677" s="273"/>
      <c r="G677" s="273"/>
      <c r="H677" s="273"/>
      <c r="I677" s="273"/>
      <c r="J677" s="273"/>
      <c r="K677" s="273"/>
      <c r="L677" s="274"/>
      <c r="M677" s="273"/>
      <c r="N677" s="273"/>
      <c r="O677" s="273"/>
      <c r="P677" s="273"/>
      <c r="Q677" s="273"/>
      <c r="R677" s="273"/>
      <c r="S677" s="273"/>
      <c r="T677" s="273"/>
      <c r="U677" s="273"/>
      <c r="V677" s="273"/>
      <c r="W677" s="273"/>
      <c r="X677" s="274"/>
      <c r="Y677" s="273"/>
      <c r="Z677" s="273"/>
      <c r="AA677" s="273"/>
      <c r="AB677" s="273"/>
      <c r="AC677" s="273"/>
      <c r="AD677" s="273"/>
      <c r="AE677" s="273"/>
      <c r="AF677" s="273"/>
      <c r="AG677" s="273"/>
      <c r="AH677" s="273"/>
      <c r="AI677" s="273"/>
    </row>
    <row r="678" spans="1:35" ht="14.25" customHeight="1">
      <c r="A678" s="273"/>
      <c r="B678" s="273"/>
      <c r="C678" s="273"/>
      <c r="D678" s="273"/>
      <c r="E678" s="273"/>
      <c r="F678" s="273"/>
      <c r="G678" s="273"/>
      <c r="H678" s="273"/>
      <c r="I678" s="273"/>
      <c r="J678" s="273"/>
      <c r="K678" s="273"/>
      <c r="L678" s="274"/>
      <c r="M678" s="273"/>
      <c r="N678" s="273"/>
      <c r="O678" s="273"/>
      <c r="P678" s="273"/>
      <c r="Q678" s="273"/>
      <c r="R678" s="273"/>
      <c r="S678" s="273"/>
      <c r="T678" s="273"/>
      <c r="U678" s="273"/>
      <c r="V678" s="273"/>
      <c r="W678" s="273"/>
      <c r="X678" s="274"/>
      <c r="Y678" s="273"/>
      <c r="Z678" s="273"/>
      <c r="AA678" s="273"/>
      <c r="AB678" s="273"/>
      <c r="AC678" s="273"/>
      <c r="AD678" s="273"/>
      <c r="AE678" s="273"/>
      <c r="AF678" s="273"/>
      <c r="AG678" s="273"/>
      <c r="AH678" s="273"/>
      <c r="AI678" s="273"/>
    </row>
    <row r="679" spans="1:35" ht="14.25" customHeight="1">
      <c r="A679" s="273"/>
      <c r="B679" s="273"/>
      <c r="C679" s="273"/>
      <c r="D679" s="273"/>
      <c r="E679" s="273"/>
      <c r="F679" s="273"/>
      <c r="G679" s="273"/>
      <c r="H679" s="273"/>
      <c r="I679" s="273"/>
      <c r="J679" s="273"/>
      <c r="K679" s="273"/>
      <c r="L679" s="274"/>
      <c r="M679" s="273"/>
      <c r="N679" s="273"/>
      <c r="O679" s="273"/>
      <c r="P679" s="273"/>
      <c r="Q679" s="273"/>
      <c r="R679" s="273"/>
      <c r="S679" s="273"/>
      <c r="T679" s="273"/>
      <c r="U679" s="273"/>
      <c r="V679" s="273"/>
      <c r="W679" s="273"/>
      <c r="X679" s="274"/>
      <c r="Y679" s="273"/>
      <c r="Z679" s="273"/>
      <c r="AA679" s="273"/>
      <c r="AB679" s="273"/>
      <c r="AC679" s="273"/>
      <c r="AD679" s="273"/>
      <c r="AE679" s="273"/>
      <c r="AF679" s="273"/>
      <c r="AG679" s="273"/>
      <c r="AH679" s="273"/>
      <c r="AI679" s="273"/>
    </row>
    <row r="680" spans="1:35" ht="14.25" customHeight="1">
      <c r="A680" s="273"/>
      <c r="B680" s="273"/>
      <c r="C680" s="273"/>
      <c r="D680" s="273"/>
      <c r="E680" s="273"/>
      <c r="F680" s="273"/>
      <c r="G680" s="273"/>
      <c r="H680" s="273"/>
      <c r="I680" s="273"/>
      <c r="J680" s="273"/>
      <c r="K680" s="273"/>
      <c r="L680" s="274"/>
      <c r="M680" s="273"/>
      <c r="N680" s="273"/>
      <c r="O680" s="273"/>
      <c r="P680" s="273"/>
      <c r="Q680" s="273"/>
      <c r="R680" s="273"/>
      <c r="S680" s="273"/>
      <c r="T680" s="273"/>
      <c r="U680" s="273"/>
      <c r="V680" s="273"/>
      <c r="W680" s="273"/>
      <c r="X680" s="274"/>
      <c r="Y680" s="273"/>
      <c r="Z680" s="273"/>
      <c r="AA680" s="273"/>
      <c r="AB680" s="273"/>
      <c r="AC680" s="273"/>
      <c r="AD680" s="273"/>
      <c r="AE680" s="273"/>
      <c r="AF680" s="273"/>
      <c r="AG680" s="273"/>
      <c r="AH680" s="273"/>
      <c r="AI680" s="273"/>
    </row>
    <row r="681" spans="1:35" ht="14.25" customHeight="1">
      <c r="A681" s="273"/>
      <c r="B681" s="273"/>
      <c r="C681" s="273"/>
      <c r="D681" s="273"/>
      <c r="E681" s="273"/>
      <c r="F681" s="273"/>
      <c r="G681" s="273"/>
      <c r="H681" s="273"/>
      <c r="I681" s="273"/>
      <c r="J681" s="273"/>
      <c r="K681" s="273"/>
      <c r="L681" s="274"/>
      <c r="M681" s="273"/>
      <c r="N681" s="273"/>
      <c r="O681" s="273"/>
      <c r="P681" s="273"/>
      <c r="Q681" s="273"/>
      <c r="R681" s="273"/>
      <c r="S681" s="273"/>
      <c r="T681" s="273"/>
      <c r="U681" s="273"/>
      <c r="V681" s="273"/>
      <c r="W681" s="273"/>
      <c r="X681" s="274"/>
      <c r="Y681" s="273"/>
      <c r="Z681" s="273"/>
      <c r="AA681" s="273"/>
      <c r="AB681" s="273"/>
      <c r="AC681" s="273"/>
      <c r="AD681" s="273"/>
      <c r="AE681" s="273"/>
      <c r="AF681" s="273"/>
      <c r="AG681" s="273"/>
      <c r="AH681" s="273"/>
      <c r="AI681" s="273"/>
    </row>
    <row r="682" spans="1:35" ht="14.25" customHeight="1">
      <c r="A682" s="273"/>
      <c r="B682" s="273"/>
      <c r="C682" s="273"/>
      <c r="D682" s="273"/>
      <c r="E682" s="273"/>
      <c r="F682" s="273"/>
      <c r="G682" s="273"/>
      <c r="H682" s="273"/>
      <c r="I682" s="273"/>
      <c r="J682" s="273"/>
      <c r="K682" s="273"/>
      <c r="L682" s="274"/>
      <c r="M682" s="273"/>
      <c r="N682" s="273"/>
      <c r="O682" s="273"/>
      <c r="P682" s="273"/>
      <c r="Q682" s="273"/>
      <c r="R682" s="273"/>
      <c r="S682" s="273"/>
      <c r="T682" s="273"/>
      <c r="U682" s="273"/>
      <c r="V682" s="273"/>
      <c r="W682" s="273"/>
      <c r="X682" s="274"/>
      <c r="Y682" s="273"/>
      <c r="Z682" s="273"/>
      <c r="AA682" s="273"/>
      <c r="AB682" s="273"/>
      <c r="AC682" s="273"/>
      <c r="AD682" s="273"/>
      <c r="AE682" s="273"/>
      <c r="AF682" s="273"/>
      <c r="AG682" s="273"/>
      <c r="AH682" s="273"/>
      <c r="AI682" s="273"/>
    </row>
    <row r="683" spans="1:35" ht="14.25" customHeight="1">
      <c r="A683" s="273"/>
      <c r="B683" s="273"/>
      <c r="C683" s="273"/>
      <c r="D683" s="273"/>
      <c r="E683" s="273"/>
      <c r="F683" s="273"/>
      <c r="G683" s="273"/>
      <c r="H683" s="273"/>
      <c r="I683" s="273"/>
      <c r="J683" s="273"/>
      <c r="K683" s="273"/>
      <c r="L683" s="274"/>
      <c r="M683" s="273"/>
      <c r="N683" s="273"/>
      <c r="O683" s="273"/>
      <c r="P683" s="273"/>
      <c r="Q683" s="273"/>
      <c r="R683" s="273"/>
      <c r="S683" s="273"/>
      <c r="T683" s="273"/>
      <c r="U683" s="273"/>
      <c r="V683" s="273"/>
      <c r="W683" s="273"/>
      <c r="X683" s="274"/>
      <c r="Y683" s="273"/>
      <c r="Z683" s="273"/>
      <c r="AA683" s="273"/>
      <c r="AB683" s="273"/>
      <c r="AC683" s="273"/>
      <c r="AD683" s="273"/>
      <c r="AE683" s="273"/>
      <c r="AF683" s="273"/>
      <c r="AG683" s="273"/>
      <c r="AH683" s="273"/>
      <c r="AI683" s="273"/>
    </row>
    <row r="684" spans="1:35" ht="14.25" customHeight="1">
      <c r="A684" s="273"/>
      <c r="B684" s="273"/>
      <c r="C684" s="273"/>
      <c r="D684" s="273"/>
      <c r="E684" s="273"/>
      <c r="F684" s="273"/>
      <c r="G684" s="273"/>
      <c r="H684" s="273"/>
      <c r="I684" s="273"/>
      <c r="J684" s="273"/>
      <c r="K684" s="273"/>
      <c r="L684" s="274"/>
      <c r="M684" s="273"/>
      <c r="N684" s="273"/>
      <c r="O684" s="273"/>
      <c r="P684" s="273"/>
      <c r="Q684" s="273"/>
      <c r="R684" s="273"/>
      <c r="S684" s="273"/>
      <c r="T684" s="273"/>
      <c r="U684" s="273"/>
      <c r="V684" s="273"/>
      <c r="W684" s="273"/>
      <c r="X684" s="274"/>
      <c r="Y684" s="273"/>
      <c r="Z684" s="273"/>
      <c r="AA684" s="273"/>
      <c r="AB684" s="273"/>
      <c r="AC684" s="273"/>
      <c r="AD684" s="273"/>
      <c r="AE684" s="273"/>
      <c r="AF684" s="273"/>
      <c r="AG684" s="273"/>
      <c r="AH684" s="273"/>
      <c r="AI684" s="273"/>
    </row>
    <row r="685" spans="1:35" ht="14.25" customHeight="1">
      <c r="A685" s="273"/>
      <c r="B685" s="273"/>
      <c r="C685" s="273"/>
      <c r="D685" s="273"/>
      <c r="E685" s="273"/>
      <c r="F685" s="273"/>
      <c r="G685" s="273"/>
      <c r="H685" s="273"/>
      <c r="I685" s="273"/>
      <c r="J685" s="273"/>
      <c r="K685" s="273"/>
      <c r="L685" s="274"/>
      <c r="M685" s="273"/>
      <c r="N685" s="273"/>
      <c r="O685" s="273"/>
      <c r="P685" s="273"/>
      <c r="Q685" s="273"/>
      <c r="R685" s="273"/>
      <c r="S685" s="273"/>
      <c r="T685" s="273"/>
      <c r="U685" s="273"/>
      <c r="V685" s="273"/>
      <c r="W685" s="273"/>
      <c r="X685" s="274"/>
      <c r="Y685" s="273"/>
      <c r="Z685" s="273"/>
      <c r="AA685" s="273"/>
      <c r="AB685" s="273"/>
      <c r="AC685" s="273"/>
      <c r="AD685" s="273"/>
      <c r="AE685" s="273"/>
      <c r="AF685" s="273"/>
      <c r="AG685" s="273"/>
      <c r="AH685" s="273"/>
      <c r="AI685" s="273"/>
    </row>
    <row r="686" spans="1:35" ht="14.25" customHeight="1">
      <c r="A686" s="273"/>
      <c r="B686" s="273"/>
      <c r="C686" s="273"/>
      <c r="D686" s="273"/>
      <c r="E686" s="273"/>
      <c r="F686" s="273"/>
      <c r="G686" s="273"/>
      <c r="H686" s="273"/>
      <c r="I686" s="273"/>
      <c r="J686" s="273"/>
      <c r="K686" s="273"/>
      <c r="L686" s="274"/>
      <c r="M686" s="273"/>
      <c r="N686" s="273"/>
      <c r="O686" s="273"/>
      <c r="P686" s="273"/>
      <c r="Q686" s="273"/>
      <c r="R686" s="273"/>
      <c r="S686" s="273"/>
      <c r="T686" s="273"/>
      <c r="U686" s="273"/>
      <c r="V686" s="273"/>
      <c r="W686" s="273"/>
      <c r="X686" s="274"/>
      <c r="Y686" s="273"/>
      <c r="Z686" s="273"/>
      <c r="AA686" s="273"/>
      <c r="AB686" s="273"/>
      <c r="AC686" s="273"/>
      <c r="AD686" s="273"/>
      <c r="AE686" s="273"/>
      <c r="AF686" s="273"/>
      <c r="AG686" s="273"/>
      <c r="AH686" s="273"/>
      <c r="AI686" s="273"/>
    </row>
    <row r="687" spans="1:35" ht="14.25" customHeight="1">
      <c r="A687" s="273"/>
      <c r="B687" s="273"/>
      <c r="C687" s="273"/>
      <c r="D687" s="273"/>
      <c r="E687" s="273"/>
      <c r="F687" s="273"/>
      <c r="G687" s="273"/>
      <c r="H687" s="273"/>
      <c r="I687" s="273"/>
      <c r="J687" s="273"/>
      <c r="K687" s="273"/>
      <c r="L687" s="274"/>
      <c r="M687" s="273"/>
      <c r="N687" s="273"/>
      <c r="O687" s="273"/>
      <c r="P687" s="273"/>
      <c r="Q687" s="273"/>
      <c r="R687" s="273"/>
      <c r="S687" s="273"/>
      <c r="T687" s="273"/>
      <c r="U687" s="273"/>
      <c r="V687" s="273"/>
      <c r="W687" s="273"/>
      <c r="X687" s="274"/>
      <c r="Y687" s="273"/>
      <c r="Z687" s="273"/>
      <c r="AA687" s="273"/>
      <c r="AB687" s="273"/>
      <c r="AC687" s="273"/>
      <c r="AD687" s="273"/>
      <c r="AE687" s="273"/>
      <c r="AF687" s="273"/>
      <c r="AG687" s="273"/>
      <c r="AH687" s="273"/>
      <c r="AI687" s="273"/>
    </row>
    <row r="688" spans="1:35" ht="14.25" customHeight="1">
      <c r="A688" s="273"/>
      <c r="B688" s="273"/>
      <c r="C688" s="273"/>
      <c r="D688" s="273"/>
      <c r="E688" s="273"/>
      <c r="F688" s="273"/>
      <c r="G688" s="273"/>
      <c r="H688" s="273"/>
      <c r="I688" s="273"/>
      <c r="J688" s="273"/>
      <c r="K688" s="273"/>
      <c r="L688" s="274"/>
      <c r="M688" s="273"/>
      <c r="N688" s="273"/>
      <c r="O688" s="273"/>
      <c r="P688" s="273"/>
      <c r="Q688" s="273"/>
      <c r="R688" s="273"/>
      <c r="S688" s="273"/>
      <c r="T688" s="273"/>
      <c r="U688" s="273"/>
      <c r="V688" s="273"/>
      <c r="W688" s="273"/>
      <c r="X688" s="274"/>
      <c r="Y688" s="273"/>
      <c r="Z688" s="273"/>
      <c r="AA688" s="273"/>
      <c r="AB688" s="273"/>
      <c r="AC688" s="273"/>
      <c r="AD688" s="273"/>
      <c r="AE688" s="273"/>
      <c r="AF688" s="273"/>
      <c r="AG688" s="273"/>
      <c r="AH688" s="273"/>
      <c r="AI688" s="273"/>
    </row>
    <row r="689" spans="1:35" ht="14.25" customHeight="1">
      <c r="A689" s="273"/>
      <c r="B689" s="273"/>
      <c r="C689" s="273"/>
      <c r="D689" s="273"/>
      <c r="E689" s="273"/>
      <c r="F689" s="273"/>
      <c r="G689" s="273"/>
      <c r="H689" s="273"/>
      <c r="I689" s="273"/>
      <c r="J689" s="273"/>
      <c r="K689" s="273"/>
      <c r="L689" s="274"/>
      <c r="M689" s="273"/>
      <c r="N689" s="273"/>
      <c r="O689" s="273"/>
      <c r="P689" s="273"/>
      <c r="Q689" s="273"/>
      <c r="R689" s="273"/>
      <c r="S689" s="273"/>
      <c r="T689" s="273"/>
      <c r="U689" s="273"/>
      <c r="V689" s="273"/>
      <c r="W689" s="273"/>
      <c r="X689" s="274"/>
      <c r="Y689" s="273"/>
      <c r="Z689" s="273"/>
      <c r="AA689" s="273"/>
      <c r="AB689" s="273"/>
      <c r="AC689" s="273"/>
      <c r="AD689" s="273"/>
      <c r="AE689" s="273"/>
      <c r="AF689" s="273"/>
      <c r="AG689" s="273"/>
      <c r="AH689" s="273"/>
      <c r="AI689" s="273"/>
    </row>
    <row r="690" spans="1:35" ht="14.25" customHeight="1">
      <c r="A690" s="273"/>
      <c r="B690" s="273"/>
      <c r="C690" s="273"/>
      <c r="D690" s="273"/>
      <c r="E690" s="273"/>
      <c r="F690" s="273"/>
      <c r="G690" s="273"/>
      <c r="H690" s="273"/>
      <c r="I690" s="273"/>
      <c r="J690" s="273"/>
      <c r="K690" s="273"/>
      <c r="L690" s="274"/>
      <c r="M690" s="273"/>
      <c r="N690" s="273"/>
      <c r="O690" s="273"/>
      <c r="P690" s="273"/>
      <c r="Q690" s="273"/>
      <c r="R690" s="273"/>
      <c r="S690" s="273"/>
      <c r="T690" s="273"/>
      <c r="U690" s="273"/>
      <c r="V690" s="273"/>
      <c r="W690" s="273"/>
      <c r="X690" s="274"/>
      <c r="Y690" s="273"/>
      <c r="Z690" s="273"/>
      <c r="AA690" s="273"/>
      <c r="AB690" s="273"/>
      <c r="AC690" s="273"/>
      <c r="AD690" s="273"/>
      <c r="AE690" s="273"/>
      <c r="AF690" s="273"/>
      <c r="AG690" s="273"/>
      <c r="AH690" s="273"/>
      <c r="AI690" s="273"/>
    </row>
    <row r="691" spans="1:35" ht="14.25" customHeight="1">
      <c r="A691" s="273"/>
      <c r="B691" s="273"/>
      <c r="C691" s="273"/>
      <c r="D691" s="273"/>
      <c r="E691" s="273"/>
      <c r="F691" s="273"/>
      <c r="G691" s="273"/>
      <c r="H691" s="273"/>
      <c r="I691" s="273"/>
      <c r="J691" s="273"/>
      <c r="K691" s="273"/>
      <c r="L691" s="274"/>
      <c r="M691" s="273"/>
      <c r="N691" s="273"/>
      <c r="O691" s="273"/>
      <c r="P691" s="273"/>
      <c r="Q691" s="273"/>
      <c r="R691" s="273"/>
      <c r="S691" s="273"/>
      <c r="T691" s="273"/>
      <c r="U691" s="273"/>
      <c r="V691" s="273"/>
      <c r="W691" s="273"/>
      <c r="X691" s="274"/>
      <c r="Y691" s="273"/>
      <c r="Z691" s="273"/>
      <c r="AA691" s="273"/>
      <c r="AB691" s="273"/>
      <c r="AC691" s="273"/>
      <c r="AD691" s="273"/>
      <c r="AE691" s="273"/>
      <c r="AF691" s="273"/>
      <c r="AG691" s="273"/>
      <c r="AH691" s="273"/>
      <c r="AI691" s="273"/>
    </row>
    <row r="692" spans="1:35" ht="14.25" customHeight="1">
      <c r="A692" s="273"/>
      <c r="B692" s="273"/>
      <c r="C692" s="273"/>
      <c r="D692" s="273"/>
      <c r="E692" s="273"/>
      <c r="F692" s="273"/>
      <c r="G692" s="273"/>
      <c r="H692" s="273"/>
      <c r="I692" s="273"/>
      <c r="J692" s="273"/>
      <c r="K692" s="273"/>
      <c r="L692" s="274"/>
      <c r="M692" s="273"/>
      <c r="N692" s="273"/>
      <c r="O692" s="273"/>
      <c r="P692" s="273"/>
      <c r="Q692" s="273"/>
      <c r="R692" s="273"/>
      <c r="S692" s="273"/>
      <c r="T692" s="273"/>
      <c r="U692" s="273"/>
      <c r="V692" s="273"/>
      <c r="W692" s="273"/>
      <c r="X692" s="274"/>
      <c r="Y692" s="273"/>
      <c r="Z692" s="273"/>
      <c r="AA692" s="273"/>
      <c r="AB692" s="273"/>
      <c r="AC692" s="273"/>
      <c r="AD692" s="273"/>
      <c r="AE692" s="273"/>
      <c r="AF692" s="273"/>
      <c r="AG692" s="273"/>
      <c r="AH692" s="273"/>
      <c r="AI692" s="273"/>
    </row>
    <row r="693" spans="1:35" ht="14.25" customHeight="1">
      <c r="A693" s="273"/>
      <c r="B693" s="273"/>
      <c r="C693" s="273"/>
      <c r="D693" s="273"/>
      <c r="E693" s="273"/>
      <c r="F693" s="273"/>
      <c r="G693" s="273"/>
      <c r="H693" s="273"/>
      <c r="I693" s="273"/>
      <c r="J693" s="273"/>
      <c r="K693" s="273"/>
      <c r="L693" s="274"/>
      <c r="M693" s="273"/>
      <c r="N693" s="273"/>
      <c r="O693" s="273"/>
      <c r="P693" s="273"/>
      <c r="Q693" s="273"/>
      <c r="R693" s="273"/>
      <c r="S693" s="273"/>
      <c r="T693" s="273"/>
      <c r="U693" s="273"/>
      <c r="V693" s="273"/>
      <c r="W693" s="273"/>
      <c r="X693" s="274"/>
      <c r="Y693" s="273"/>
      <c r="Z693" s="273"/>
      <c r="AA693" s="273"/>
      <c r="AB693" s="273"/>
      <c r="AC693" s="273"/>
      <c r="AD693" s="273"/>
      <c r="AE693" s="273"/>
      <c r="AF693" s="273"/>
      <c r="AG693" s="273"/>
      <c r="AH693" s="273"/>
      <c r="AI693" s="273"/>
    </row>
    <row r="694" spans="1:35" ht="14.25" customHeight="1">
      <c r="A694" s="273"/>
      <c r="B694" s="273"/>
      <c r="C694" s="273"/>
      <c r="D694" s="273"/>
      <c r="E694" s="273"/>
      <c r="F694" s="273"/>
      <c r="G694" s="273"/>
      <c r="H694" s="273"/>
      <c r="I694" s="273"/>
      <c r="J694" s="273"/>
      <c r="K694" s="273"/>
      <c r="L694" s="274"/>
      <c r="M694" s="273"/>
      <c r="N694" s="273"/>
      <c r="O694" s="273"/>
      <c r="P694" s="273"/>
      <c r="Q694" s="273"/>
      <c r="R694" s="273"/>
      <c r="S694" s="273"/>
      <c r="T694" s="273"/>
      <c r="U694" s="273"/>
      <c r="V694" s="273"/>
      <c r="W694" s="273"/>
      <c r="X694" s="274"/>
      <c r="Y694" s="273"/>
      <c r="Z694" s="273"/>
      <c r="AA694" s="273"/>
      <c r="AB694" s="273"/>
      <c r="AC694" s="273"/>
      <c r="AD694" s="273"/>
      <c r="AE694" s="273"/>
      <c r="AF694" s="273"/>
      <c r="AG694" s="273"/>
      <c r="AH694" s="273"/>
      <c r="AI694" s="273"/>
    </row>
    <row r="695" spans="1:35" ht="14.25" customHeight="1">
      <c r="A695" s="273"/>
      <c r="B695" s="273"/>
      <c r="C695" s="273"/>
      <c r="D695" s="273"/>
      <c r="E695" s="273"/>
      <c r="F695" s="273"/>
      <c r="G695" s="273"/>
      <c r="H695" s="273"/>
      <c r="I695" s="273"/>
      <c r="J695" s="273"/>
      <c r="K695" s="273"/>
      <c r="L695" s="274"/>
      <c r="M695" s="273"/>
      <c r="N695" s="273"/>
      <c r="O695" s="273"/>
      <c r="P695" s="273"/>
      <c r="Q695" s="273"/>
      <c r="R695" s="273"/>
      <c r="S695" s="273"/>
      <c r="T695" s="273"/>
      <c r="U695" s="273"/>
      <c r="V695" s="273"/>
      <c r="W695" s="273"/>
      <c r="X695" s="274"/>
      <c r="Y695" s="273"/>
      <c r="Z695" s="273"/>
      <c r="AA695" s="273"/>
      <c r="AB695" s="273"/>
      <c r="AC695" s="273"/>
      <c r="AD695" s="273"/>
      <c r="AE695" s="273"/>
      <c r="AF695" s="273"/>
      <c r="AG695" s="273"/>
      <c r="AH695" s="273"/>
      <c r="AI695" s="273"/>
    </row>
    <row r="696" spans="1:35" ht="14.25" customHeight="1">
      <c r="A696" s="273"/>
      <c r="B696" s="273"/>
      <c r="C696" s="273"/>
      <c r="D696" s="273"/>
      <c r="E696" s="273"/>
      <c r="F696" s="273"/>
      <c r="G696" s="273"/>
      <c r="H696" s="273"/>
      <c r="I696" s="273"/>
      <c r="J696" s="273"/>
      <c r="K696" s="273"/>
      <c r="L696" s="274"/>
      <c r="M696" s="273"/>
      <c r="N696" s="273"/>
      <c r="O696" s="273"/>
      <c r="P696" s="273"/>
      <c r="Q696" s="273"/>
      <c r="R696" s="273"/>
      <c r="S696" s="273"/>
      <c r="T696" s="273"/>
      <c r="U696" s="273"/>
      <c r="V696" s="273"/>
      <c r="W696" s="273"/>
      <c r="X696" s="274"/>
      <c r="Y696" s="273"/>
      <c r="Z696" s="273"/>
      <c r="AA696" s="273"/>
      <c r="AB696" s="273"/>
      <c r="AC696" s="273"/>
      <c r="AD696" s="273"/>
      <c r="AE696" s="273"/>
      <c r="AF696" s="273"/>
      <c r="AG696" s="273"/>
      <c r="AH696" s="273"/>
      <c r="AI696" s="273"/>
    </row>
    <row r="697" spans="1:35" ht="14.25" customHeight="1">
      <c r="A697" s="273"/>
      <c r="B697" s="273"/>
      <c r="C697" s="273"/>
      <c r="D697" s="273"/>
      <c r="E697" s="273"/>
      <c r="F697" s="273"/>
      <c r="G697" s="273"/>
      <c r="H697" s="273"/>
      <c r="I697" s="273"/>
      <c r="J697" s="273"/>
      <c r="K697" s="273"/>
      <c r="L697" s="274"/>
      <c r="M697" s="273"/>
      <c r="N697" s="273"/>
      <c r="O697" s="273"/>
      <c r="P697" s="273"/>
      <c r="Q697" s="273"/>
      <c r="R697" s="273"/>
      <c r="S697" s="273"/>
      <c r="T697" s="273"/>
      <c r="U697" s="273"/>
      <c r="V697" s="273"/>
      <c r="W697" s="273"/>
      <c r="X697" s="274"/>
      <c r="Y697" s="273"/>
      <c r="Z697" s="273"/>
      <c r="AA697" s="273"/>
      <c r="AB697" s="273"/>
      <c r="AC697" s="273"/>
      <c r="AD697" s="273"/>
      <c r="AE697" s="273"/>
      <c r="AF697" s="273"/>
      <c r="AG697" s="273"/>
      <c r="AH697" s="273"/>
      <c r="AI697" s="273"/>
    </row>
    <row r="698" spans="1:35" ht="14.25" customHeight="1">
      <c r="A698" s="273"/>
      <c r="B698" s="273"/>
      <c r="C698" s="273"/>
      <c r="D698" s="273"/>
      <c r="E698" s="273"/>
      <c r="F698" s="273"/>
      <c r="G698" s="273"/>
      <c r="H698" s="273"/>
      <c r="I698" s="273"/>
      <c r="J698" s="273"/>
      <c r="K698" s="273"/>
      <c r="L698" s="274"/>
      <c r="M698" s="273"/>
      <c r="N698" s="273"/>
      <c r="O698" s="273"/>
      <c r="P698" s="273"/>
      <c r="Q698" s="273"/>
      <c r="R698" s="273"/>
      <c r="S698" s="273"/>
      <c r="T698" s="273"/>
      <c r="U698" s="273"/>
      <c r="V698" s="273"/>
      <c r="W698" s="273"/>
      <c r="X698" s="274"/>
      <c r="Y698" s="273"/>
      <c r="Z698" s="273"/>
      <c r="AA698" s="273"/>
      <c r="AB698" s="273"/>
      <c r="AC698" s="273"/>
      <c r="AD698" s="273"/>
      <c r="AE698" s="273"/>
      <c r="AF698" s="273"/>
      <c r="AG698" s="273"/>
      <c r="AH698" s="273"/>
      <c r="AI698" s="273"/>
    </row>
    <row r="699" spans="1:35" ht="14.25" customHeight="1">
      <c r="A699" s="273"/>
      <c r="B699" s="273"/>
      <c r="C699" s="273"/>
      <c r="D699" s="273"/>
      <c r="E699" s="273"/>
      <c r="F699" s="273"/>
      <c r="G699" s="273"/>
      <c r="H699" s="273"/>
      <c r="I699" s="273"/>
      <c r="J699" s="273"/>
      <c r="K699" s="273"/>
      <c r="L699" s="274"/>
      <c r="M699" s="273"/>
      <c r="N699" s="273"/>
      <c r="O699" s="273"/>
      <c r="P699" s="273"/>
      <c r="Q699" s="273"/>
      <c r="R699" s="273"/>
      <c r="S699" s="273"/>
      <c r="T699" s="273"/>
      <c r="U699" s="273"/>
      <c r="V699" s="273"/>
      <c r="W699" s="273"/>
      <c r="X699" s="274"/>
      <c r="Y699" s="273"/>
      <c r="Z699" s="273"/>
      <c r="AA699" s="273"/>
      <c r="AB699" s="273"/>
      <c r="AC699" s="273"/>
      <c r="AD699" s="273"/>
      <c r="AE699" s="273"/>
      <c r="AF699" s="273"/>
      <c r="AG699" s="273"/>
      <c r="AH699" s="273"/>
      <c r="AI699" s="273"/>
    </row>
    <row r="700" spans="1:35" ht="14.25" customHeight="1">
      <c r="A700" s="273"/>
      <c r="B700" s="273"/>
      <c r="C700" s="273"/>
      <c r="D700" s="273"/>
      <c r="E700" s="273"/>
      <c r="F700" s="273"/>
      <c r="G700" s="273"/>
      <c r="H700" s="273"/>
      <c r="I700" s="273"/>
      <c r="J700" s="273"/>
      <c r="K700" s="273"/>
      <c r="L700" s="274"/>
      <c r="M700" s="273"/>
      <c r="N700" s="273"/>
      <c r="O700" s="273"/>
      <c r="P700" s="273"/>
      <c r="Q700" s="273"/>
      <c r="R700" s="273"/>
      <c r="S700" s="273"/>
      <c r="T700" s="273"/>
      <c r="U700" s="273"/>
      <c r="V700" s="273"/>
      <c r="W700" s="273"/>
      <c r="X700" s="274"/>
      <c r="Y700" s="273"/>
      <c r="Z700" s="273"/>
      <c r="AA700" s="273"/>
      <c r="AB700" s="273"/>
      <c r="AC700" s="273"/>
      <c r="AD700" s="273"/>
      <c r="AE700" s="273"/>
      <c r="AF700" s="273"/>
      <c r="AG700" s="273"/>
      <c r="AH700" s="273"/>
      <c r="AI700" s="273"/>
    </row>
    <row r="701" spans="1:35" ht="14.25" customHeight="1">
      <c r="A701" s="273"/>
      <c r="B701" s="273"/>
      <c r="C701" s="273"/>
      <c r="D701" s="273"/>
      <c r="E701" s="273"/>
      <c r="F701" s="273"/>
      <c r="G701" s="273"/>
      <c r="H701" s="273"/>
      <c r="I701" s="273"/>
      <c r="J701" s="273"/>
      <c r="K701" s="273"/>
      <c r="L701" s="274"/>
      <c r="M701" s="273"/>
      <c r="N701" s="273"/>
      <c r="O701" s="273"/>
      <c r="P701" s="273"/>
      <c r="Q701" s="273"/>
      <c r="R701" s="273"/>
      <c r="S701" s="273"/>
      <c r="T701" s="273"/>
      <c r="U701" s="273"/>
      <c r="V701" s="273"/>
      <c r="W701" s="273"/>
      <c r="X701" s="274"/>
      <c r="Y701" s="273"/>
      <c r="Z701" s="273"/>
      <c r="AA701" s="273"/>
      <c r="AB701" s="273"/>
      <c r="AC701" s="273"/>
      <c r="AD701" s="273"/>
      <c r="AE701" s="273"/>
      <c r="AF701" s="273"/>
      <c r="AG701" s="273"/>
      <c r="AH701" s="273"/>
      <c r="AI701" s="273"/>
    </row>
    <row r="702" spans="1:35" ht="14.25" customHeight="1">
      <c r="A702" s="273"/>
      <c r="B702" s="273"/>
      <c r="C702" s="273"/>
      <c r="D702" s="273"/>
      <c r="E702" s="273"/>
      <c r="F702" s="273"/>
      <c r="G702" s="273"/>
      <c r="H702" s="273"/>
      <c r="I702" s="273"/>
      <c r="J702" s="273"/>
      <c r="K702" s="273"/>
      <c r="L702" s="274"/>
      <c r="M702" s="273"/>
      <c r="N702" s="273"/>
      <c r="O702" s="273"/>
      <c r="P702" s="273"/>
      <c r="Q702" s="273"/>
      <c r="R702" s="273"/>
      <c r="S702" s="273"/>
      <c r="T702" s="273"/>
      <c r="U702" s="273"/>
      <c r="V702" s="273"/>
      <c r="W702" s="273"/>
      <c r="X702" s="274"/>
      <c r="Y702" s="273"/>
      <c r="Z702" s="273"/>
      <c r="AA702" s="273"/>
      <c r="AB702" s="273"/>
      <c r="AC702" s="273"/>
      <c r="AD702" s="273"/>
      <c r="AE702" s="273"/>
      <c r="AF702" s="273"/>
      <c r="AG702" s="273"/>
      <c r="AH702" s="273"/>
      <c r="AI702" s="273"/>
    </row>
    <row r="703" spans="1:35" ht="14.25" customHeight="1">
      <c r="A703" s="273"/>
      <c r="B703" s="273"/>
      <c r="C703" s="273"/>
      <c r="D703" s="273"/>
      <c r="E703" s="273"/>
      <c r="F703" s="273"/>
      <c r="G703" s="273"/>
      <c r="H703" s="273"/>
      <c r="I703" s="273"/>
      <c r="J703" s="273"/>
      <c r="K703" s="273"/>
      <c r="L703" s="274"/>
      <c r="M703" s="273"/>
      <c r="N703" s="273"/>
      <c r="O703" s="273"/>
      <c r="P703" s="273"/>
      <c r="Q703" s="273"/>
      <c r="R703" s="273"/>
      <c r="S703" s="273"/>
      <c r="T703" s="273"/>
      <c r="U703" s="273"/>
      <c r="V703" s="273"/>
      <c r="W703" s="273"/>
      <c r="X703" s="274"/>
      <c r="Y703" s="273"/>
      <c r="Z703" s="273"/>
      <c r="AA703" s="273"/>
      <c r="AB703" s="273"/>
      <c r="AC703" s="273"/>
      <c r="AD703" s="273"/>
      <c r="AE703" s="273"/>
      <c r="AF703" s="273"/>
      <c r="AG703" s="273"/>
      <c r="AH703" s="273"/>
      <c r="AI703" s="273"/>
    </row>
    <row r="704" spans="1:35" ht="14.25" customHeight="1">
      <c r="A704" s="273"/>
      <c r="B704" s="273"/>
      <c r="C704" s="273"/>
      <c r="D704" s="273"/>
      <c r="E704" s="273"/>
      <c r="F704" s="273"/>
      <c r="G704" s="273"/>
      <c r="H704" s="273"/>
      <c r="I704" s="273"/>
      <c r="J704" s="273"/>
      <c r="K704" s="273"/>
      <c r="L704" s="274"/>
      <c r="M704" s="273"/>
      <c r="N704" s="273"/>
      <c r="O704" s="273"/>
      <c r="P704" s="273"/>
      <c r="Q704" s="273"/>
      <c r="R704" s="273"/>
      <c r="S704" s="273"/>
      <c r="T704" s="273"/>
      <c r="U704" s="273"/>
      <c r="V704" s="273"/>
      <c r="W704" s="273"/>
      <c r="X704" s="274"/>
      <c r="Y704" s="273"/>
      <c r="Z704" s="273"/>
      <c r="AA704" s="273"/>
      <c r="AB704" s="273"/>
      <c r="AC704" s="273"/>
      <c r="AD704" s="273"/>
      <c r="AE704" s="273"/>
      <c r="AF704" s="273"/>
      <c r="AG704" s="273"/>
      <c r="AH704" s="273"/>
      <c r="AI704" s="273"/>
    </row>
    <row r="705" spans="1:35" ht="14.25" customHeight="1">
      <c r="A705" s="273"/>
      <c r="B705" s="273"/>
      <c r="C705" s="273"/>
      <c r="D705" s="273"/>
      <c r="E705" s="273"/>
      <c r="F705" s="273"/>
      <c r="G705" s="273"/>
      <c r="H705" s="273"/>
      <c r="I705" s="273"/>
      <c r="J705" s="273"/>
      <c r="K705" s="273"/>
      <c r="L705" s="274"/>
      <c r="M705" s="273"/>
      <c r="N705" s="273"/>
      <c r="O705" s="273"/>
      <c r="P705" s="273"/>
      <c r="Q705" s="273"/>
      <c r="R705" s="273"/>
      <c r="S705" s="273"/>
      <c r="T705" s="273"/>
      <c r="U705" s="273"/>
      <c r="V705" s="273"/>
      <c r="W705" s="273"/>
      <c r="X705" s="274"/>
      <c r="Y705" s="273"/>
      <c r="Z705" s="273"/>
      <c r="AA705" s="273"/>
      <c r="AB705" s="273"/>
      <c r="AC705" s="273"/>
      <c r="AD705" s="273"/>
      <c r="AE705" s="273"/>
      <c r="AF705" s="273"/>
      <c r="AG705" s="273"/>
      <c r="AH705" s="273"/>
      <c r="AI705" s="273"/>
    </row>
    <row r="706" spans="1:35" ht="14.25" customHeight="1">
      <c r="A706" s="273"/>
      <c r="B706" s="273"/>
      <c r="C706" s="273"/>
      <c r="D706" s="273"/>
      <c r="E706" s="273"/>
      <c r="F706" s="273"/>
      <c r="G706" s="273"/>
      <c r="H706" s="273"/>
      <c r="I706" s="273"/>
      <c r="J706" s="273"/>
      <c r="K706" s="273"/>
      <c r="L706" s="274"/>
      <c r="M706" s="273"/>
      <c r="N706" s="273"/>
      <c r="O706" s="273"/>
      <c r="P706" s="273"/>
      <c r="Q706" s="273"/>
      <c r="R706" s="273"/>
      <c r="S706" s="273"/>
      <c r="T706" s="273"/>
      <c r="U706" s="273"/>
      <c r="V706" s="273"/>
      <c r="W706" s="273"/>
      <c r="X706" s="274"/>
      <c r="Y706" s="273"/>
      <c r="Z706" s="273"/>
      <c r="AA706" s="273"/>
      <c r="AB706" s="273"/>
      <c r="AC706" s="273"/>
      <c r="AD706" s="273"/>
      <c r="AE706" s="273"/>
      <c r="AF706" s="273"/>
      <c r="AG706" s="273"/>
      <c r="AH706" s="273"/>
      <c r="AI706" s="273"/>
    </row>
    <row r="707" spans="1:35" ht="14.25" customHeight="1">
      <c r="A707" s="273"/>
      <c r="B707" s="273"/>
      <c r="C707" s="273"/>
      <c r="D707" s="273"/>
      <c r="E707" s="273"/>
      <c r="F707" s="273"/>
      <c r="G707" s="273"/>
      <c r="H707" s="273"/>
      <c r="I707" s="273"/>
      <c r="J707" s="273"/>
      <c r="K707" s="273"/>
      <c r="L707" s="274"/>
      <c r="M707" s="273"/>
      <c r="N707" s="273"/>
      <c r="O707" s="273"/>
      <c r="P707" s="273"/>
      <c r="Q707" s="273"/>
      <c r="R707" s="273"/>
      <c r="S707" s="273"/>
      <c r="T707" s="273"/>
      <c r="U707" s="273"/>
      <c r="V707" s="273"/>
      <c r="W707" s="273"/>
      <c r="X707" s="274"/>
      <c r="Y707" s="273"/>
      <c r="Z707" s="273"/>
      <c r="AA707" s="273"/>
      <c r="AB707" s="273"/>
      <c r="AC707" s="273"/>
      <c r="AD707" s="273"/>
      <c r="AE707" s="273"/>
      <c r="AF707" s="273"/>
      <c r="AG707" s="273"/>
      <c r="AH707" s="273"/>
      <c r="AI707" s="273"/>
    </row>
    <row r="708" spans="1:35" ht="14.25" customHeight="1">
      <c r="A708" s="273"/>
      <c r="B708" s="273"/>
      <c r="C708" s="273"/>
      <c r="D708" s="273"/>
      <c r="E708" s="273"/>
      <c r="F708" s="273"/>
      <c r="G708" s="273"/>
      <c r="H708" s="273"/>
      <c r="I708" s="273"/>
      <c r="J708" s="273"/>
      <c r="K708" s="273"/>
      <c r="L708" s="274"/>
      <c r="M708" s="273"/>
      <c r="N708" s="273"/>
      <c r="O708" s="273"/>
      <c r="P708" s="273"/>
      <c r="Q708" s="273"/>
      <c r="R708" s="273"/>
      <c r="S708" s="273"/>
      <c r="T708" s="273"/>
      <c r="U708" s="273"/>
      <c r="V708" s="273"/>
      <c r="W708" s="273"/>
      <c r="X708" s="274"/>
      <c r="Y708" s="273"/>
      <c r="Z708" s="273"/>
      <c r="AA708" s="273"/>
      <c r="AB708" s="273"/>
      <c r="AC708" s="273"/>
      <c r="AD708" s="273"/>
      <c r="AE708" s="273"/>
      <c r="AF708" s="273"/>
      <c r="AG708" s="273"/>
      <c r="AH708" s="273"/>
      <c r="AI708" s="273"/>
    </row>
    <row r="709" spans="1:35" ht="14.25" customHeight="1">
      <c r="A709" s="273"/>
      <c r="B709" s="273"/>
      <c r="C709" s="273"/>
      <c r="D709" s="273"/>
      <c r="E709" s="273"/>
      <c r="F709" s="273"/>
      <c r="G709" s="273"/>
      <c r="H709" s="273"/>
      <c r="I709" s="273"/>
      <c r="J709" s="273"/>
      <c r="K709" s="273"/>
      <c r="L709" s="274"/>
      <c r="M709" s="273"/>
      <c r="N709" s="273"/>
      <c r="O709" s="273"/>
      <c r="P709" s="273"/>
      <c r="Q709" s="273"/>
      <c r="R709" s="273"/>
      <c r="S709" s="273"/>
      <c r="T709" s="273"/>
      <c r="U709" s="273"/>
      <c r="V709" s="273"/>
      <c r="W709" s="273"/>
      <c r="X709" s="274"/>
      <c r="Y709" s="273"/>
      <c r="Z709" s="273"/>
      <c r="AA709" s="273"/>
      <c r="AB709" s="273"/>
      <c r="AC709" s="273"/>
      <c r="AD709" s="273"/>
      <c r="AE709" s="273"/>
      <c r="AF709" s="273"/>
      <c r="AG709" s="273"/>
      <c r="AH709" s="273"/>
      <c r="AI709" s="273"/>
    </row>
    <row r="710" spans="1:35" ht="14.25" customHeight="1">
      <c r="A710" s="273"/>
      <c r="B710" s="273"/>
      <c r="C710" s="273"/>
      <c r="D710" s="273"/>
      <c r="E710" s="273"/>
      <c r="F710" s="273"/>
      <c r="G710" s="273"/>
      <c r="H710" s="273"/>
      <c r="I710" s="273"/>
      <c r="J710" s="273"/>
      <c r="K710" s="273"/>
      <c r="L710" s="274"/>
      <c r="M710" s="273"/>
      <c r="N710" s="273"/>
      <c r="O710" s="273"/>
      <c r="P710" s="273"/>
      <c r="Q710" s="273"/>
      <c r="R710" s="273"/>
      <c r="S710" s="273"/>
      <c r="T710" s="273"/>
      <c r="U710" s="273"/>
      <c r="V710" s="273"/>
      <c r="W710" s="273"/>
      <c r="X710" s="274"/>
      <c r="Y710" s="273"/>
      <c r="Z710" s="273"/>
      <c r="AA710" s="273"/>
      <c r="AB710" s="273"/>
      <c r="AC710" s="273"/>
      <c r="AD710" s="273"/>
      <c r="AE710" s="273"/>
      <c r="AF710" s="273"/>
      <c r="AG710" s="273"/>
      <c r="AH710" s="273"/>
      <c r="AI710" s="273"/>
    </row>
    <row r="711" spans="1:35" ht="14.25" customHeight="1">
      <c r="A711" s="273"/>
      <c r="B711" s="273"/>
      <c r="C711" s="273"/>
      <c r="D711" s="273"/>
      <c r="E711" s="273"/>
      <c r="F711" s="273"/>
      <c r="G711" s="273"/>
      <c r="H711" s="273"/>
      <c r="I711" s="273"/>
      <c r="J711" s="273"/>
      <c r="K711" s="273"/>
      <c r="L711" s="274"/>
      <c r="M711" s="273"/>
      <c r="N711" s="273"/>
      <c r="O711" s="273"/>
      <c r="P711" s="273"/>
      <c r="Q711" s="273"/>
      <c r="R711" s="273"/>
      <c r="S711" s="273"/>
      <c r="T711" s="273"/>
      <c r="U711" s="273"/>
      <c r="V711" s="273"/>
      <c r="W711" s="273"/>
      <c r="X711" s="274"/>
      <c r="Y711" s="273"/>
      <c r="Z711" s="273"/>
      <c r="AA711" s="273"/>
      <c r="AB711" s="273"/>
      <c r="AC711" s="273"/>
      <c r="AD711" s="273"/>
      <c r="AE711" s="273"/>
      <c r="AF711" s="273"/>
      <c r="AG711" s="273"/>
      <c r="AH711" s="273"/>
      <c r="AI711" s="273"/>
    </row>
    <row r="712" spans="1:35" ht="14.25" customHeight="1">
      <c r="A712" s="273"/>
      <c r="B712" s="273"/>
      <c r="C712" s="273"/>
      <c r="D712" s="273"/>
      <c r="E712" s="273"/>
      <c r="F712" s="273"/>
      <c r="G712" s="273"/>
      <c r="H712" s="273"/>
      <c r="I712" s="273"/>
      <c r="J712" s="273"/>
      <c r="K712" s="273"/>
      <c r="L712" s="274"/>
      <c r="M712" s="273"/>
      <c r="N712" s="273"/>
      <c r="O712" s="273"/>
      <c r="P712" s="273"/>
      <c r="Q712" s="273"/>
      <c r="R712" s="273"/>
      <c r="S712" s="273"/>
      <c r="T712" s="273"/>
      <c r="U712" s="273"/>
      <c r="V712" s="273"/>
      <c r="W712" s="273"/>
      <c r="X712" s="274"/>
      <c r="Y712" s="273"/>
      <c r="Z712" s="273"/>
      <c r="AA712" s="273"/>
      <c r="AB712" s="273"/>
      <c r="AC712" s="273"/>
      <c r="AD712" s="273"/>
      <c r="AE712" s="273"/>
      <c r="AF712" s="273"/>
      <c r="AG712" s="273"/>
      <c r="AH712" s="273"/>
      <c r="AI712" s="273"/>
    </row>
    <row r="713" spans="1:35" ht="14.25" customHeight="1">
      <c r="A713" s="273"/>
      <c r="B713" s="273"/>
      <c r="C713" s="273"/>
      <c r="D713" s="273"/>
      <c r="E713" s="273"/>
      <c r="F713" s="273"/>
      <c r="G713" s="273"/>
      <c r="H713" s="273"/>
      <c r="I713" s="273"/>
      <c r="J713" s="273"/>
      <c r="K713" s="273"/>
      <c r="L713" s="274"/>
      <c r="M713" s="273"/>
      <c r="N713" s="273"/>
      <c r="O713" s="273"/>
      <c r="P713" s="273"/>
      <c r="Q713" s="273"/>
      <c r="R713" s="273"/>
      <c r="S713" s="273"/>
      <c r="T713" s="273"/>
      <c r="U713" s="273"/>
      <c r="V713" s="273"/>
      <c r="W713" s="273"/>
      <c r="X713" s="274"/>
      <c r="Y713" s="273"/>
      <c r="Z713" s="273"/>
      <c r="AA713" s="273"/>
      <c r="AB713" s="273"/>
      <c r="AC713" s="273"/>
      <c r="AD713" s="273"/>
      <c r="AE713" s="273"/>
      <c r="AF713" s="273"/>
      <c r="AG713" s="273"/>
      <c r="AH713" s="273"/>
      <c r="AI713" s="273"/>
    </row>
    <row r="714" spans="1:35" ht="14.25" customHeight="1">
      <c r="A714" s="273"/>
      <c r="B714" s="273"/>
      <c r="C714" s="273"/>
      <c r="D714" s="273"/>
      <c r="E714" s="273"/>
      <c r="F714" s="273"/>
      <c r="G714" s="273"/>
      <c r="H714" s="273"/>
      <c r="I714" s="273"/>
      <c r="J714" s="273"/>
      <c r="K714" s="273"/>
      <c r="L714" s="274"/>
      <c r="M714" s="273"/>
      <c r="N714" s="273"/>
      <c r="O714" s="273"/>
      <c r="P714" s="273"/>
      <c r="Q714" s="273"/>
      <c r="R714" s="273"/>
      <c r="S714" s="273"/>
      <c r="T714" s="273"/>
      <c r="U714" s="273"/>
      <c r="V714" s="273"/>
      <c r="W714" s="273"/>
      <c r="X714" s="274"/>
      <c r="Y714" s="273"/>
      <c r="Z714" s="273"/>
      <c r="AA714" s="273"/>
      <c r="AB714" s="273"/>
      <c r="AC714" s="273"/>
      <c r="AD714" s="273"/>
      <c r="AE714" s="273"/>
      <c r="AF714" s="273"/>
      <c r="AG714" s="273"/>
      <c r="AH714" s="273"/>
      <c r="AI714" s="273"/>
    </row>
    <row r="715" spans="1:35" ht="14.25" customHeight="1">
      <c r="A715" s="273"/>
      <c r="B715" s="273"/>
      <c r="C715" s="273"/>
      <c r="D715" s="273"/>
      <c r="E715" s="273"/>
      <c r="F715" s="273"/>
      <c r="G715" s="273"/>
      <c r="H715" s="273"/>
      <c r="I715" s="273"/>
      <c r="J715" s="273"/>
      <c r="K715" s="273"/>
      <c r="L715" s="274"/>
      <c r="M715" s="273"/>
      <c r="N715" s="273"/>
      <c r="O715" s="273"/>
      <c r="P715" s="273"/>
      <c r="Q715" s="273"/>
      <c r="R715" s="273"/>
      <c r="S715" s="273"/>
      <c r="T715" s="273"/>
      <c r="U715" s="273"/>
      <c r="V715" s="273"/>
      <c r="W715" s="273"/>
      <c r="X715" s="274"/>
      <c r="Y715" s="273"/>
      <c r="Z715" s="273"/>
      <c r="AA715" s="273"/>
      <c r="AB715" s="273"/>
      <c r="AC715" s="273"/>
      <c r="AD715" s="273"/>
      <c r="AE715" s="273"/>
      <c r="AF715" s="273"/>
      <c r="AG715" s="273"/>
      <c r="AH715" s="273"/>
      <c r="AI715" s="273"/>
    </row>
    <row r="716" spans="1:35" ht="14.25" customHeight="1">
      <c r="A716" s="273"/>
      <c r="B716" s="273"/>
      <c r="C716" s="273"/>
      <c r="D716" s="273"/>
      <c r="E716" s="273"/>
      <c r="F716" s="273"/>
      <c r="G716" s="273"/>
      <c r="H716" s="273"/>
      <c r="I716" s="273"/>
      <c r="J716" s="273"/>
      <c r="K716" s="273"/>
      <c r="L716" s="274"/>
      <c r="M716" s="273"/>
      <c r="N716" s="273"/>
      <c r="O716" s="273"/>
      <c r="P716" s="273"/>
      <c r="Q716" s="273"/>
      <c r="R716" s="273"/>
      <c r="S716" s="273"/>
      <c r="T716" s="273"/>
      <c r="U716" s="273"/>
      <c r="V716" s="273"/>
      <c r="W716" s="273"/>
      <c r="X716" s="274"/>
      <c r="Y716" s="273"/>
      <c r="Z716" s="273"/>
      <c r="AA716" s="273"/>
      <c r="AB716" s="273"/>
      <c r="AC716" s="273"/>
      <c r="AD716" s="273"/>
      <c r="AE716" s="273"/>
      <c r="AF716" s="273"/>
      <c r="AG716" s="273"/>
      <c r="AH716" s="273"/>
      <c r="AI716" s="273"/>
    </row>
    <row r="717" spans="1:35" ht="14.25" customHeight="1">
      <c r="A717" s="273"/>
      <c r="B717" s="273"/>
      <c r="C717" s="273"/>
      <c r="D717" s="273"/>
      <c r="E717" s="273"/>
      <c r="F717" s="273"/>
      <c r="G717" s="273"/>
      <c r="H717" s="273"/>
      <c r="I717" s="273"/>
      <c r="J717" s="273"/>
      <c r="K717" s="273"/>
      <c r="L717" s="274"/>
      <c r="M717" s="273"/>
      <c r="N717" s="273"/>
      <c r="O717" s="273"/>
      <c r="P717" s="273"/>
      <c r="Q717" s="273"/>
      <c r="R717" s="273"/>
      <c r="S717" s="273"/>
      <c r="T717" s="273"/>
      <c r="U717" s="273"/>
      <c r="V717" s="273"/>
      <c r="W717" s="273"/>
      <c r="X717" s="274"/>
      <c r="Y717" s="273"/>
      <c r="Z717" s="273"/>
      <c r="AA717" s="273"/>
      <c r="AB717" s="273"/>
      <c r="AC717" s="273"/>
      <c r="AD717" s="273"/>
      <c r="AE717" s="273"/>
      <c r="AF717" s="273"/>
      <c r="AG717" s="273"/>
      <c r="AH717" s="273"/>
      <c r="AI717" s="273"/>
    </row>
    <row r="718" spans="1:35" ht="14.25" customHeight="1">
      <c r="A718" s="273"/>
      <c r="B718" s="273"/>
      <c r="C718" s="273"/>
      <c r="D718" s="273"/>
      <c r="E718" s="273"/>
      <c r="F718" s="273"/>
      <c r="G718" s="273"/>
      <c r="H718" s="273"/>
      <c r="I718" s="273"/>
      <c r="J718" s="273"/>
      <c r="K718" s="273"/>
      <c r="L718" s="274"/>
      <c r="M718" s="273"/>
      <c r="N718" s="273"/>
      <c r="O718" s="273"/>
      <c r="P718" s="273"/>
      <c r="Q718" s="273"/>
      <c r="R718" s="273"/>
      <c r="S718" s="273"/>
      <c r="T718" s="273"/>
      <c r="U718" s="273"/>
      <c r="V718" s="273"/>
      <c r="W718" s="273"/>
      <c r="X718" s="274"/>
      <c r="Y718" s="273"/>
      <c r="Z718" s="273"/>
      <c r="AA718" s="273"/>
      <c r="AB718" s="273"/>
      <c r="AC718" s="273"/>
      <c r="AD718" s="273"/>
      <c r="AE718" s="273"/>
      <c r="AF718" s="273"/>
      <c r="AG718" s="273"/>
      <c r="AH718" s="273"/>
      <c r="AI718" s="273"/>
    </row>
    <row r="719" spans="1:35" ht="14.25" customHeight="1">
      <c r="A719" s="273"/>
      <c r="B719" s="273"/>
      <c r="C719" s="273"/>
      <c r="D719" s="273"/>
      <c r="E719" s="273"/>
      <c r="F719" s="273"/>
      <c r="G719" s="273"/>
      <c r="H719" s="273"/>
      <c r="I719" s="273"/>
      <c r="J719" s="273"/>
      <c r="K719" s="273"/>
      <c r="L719" s="274"/>
      <c r="M719" s="273"/>
      <c r="N719" s="273"/>
      <c r="O719" s="273"/>
      <c r="P719" s="273"/>
      <c r="Q719" s="273"/>
      <c r="R719" s="273"/>
      <c r="S719" s="273"/>
      <c r="T719" s="273"/>
      <c r="U719" s="273"/>
      <c r="V719" s="273"/>
      <c r="W719" s="273"/>
      <c r="X719" s="274"/>
      <c r="Y719" s="273"/>
      <c r="Z719" s="273"/>
      <c r="AA719" s="273"/>
      <c r="AB719" s="273"/>
      <c r="AC719" s="273"/>
      <c r="AD719" s="273"/>
      <c r="AE719" s="273"/>
      <c r="AF719" s="273"/>
      <c r="AG719" s="273"/>
      <c r="AH719" s="273"/>
      <c r="AI719" s="273"/>
    </row>
    <row r="720" spans="1:35" ht="14.25" customHeight="1">
      <c r="A720" s="273"/>
      <c r="B720" s="273"/>
      <c r="C720" s="273"/>
      <c r="D720" s="273"/>
      <c r="E720" s="273"/>
      <c r="F720" s="273"/>
      <c r="G720" s="273"/>
      <c r="H720" s="273"/>
      <c r="I720" s="273"/>
      <c r="J720" s="273"/>
      <c r="K720" s="273"/>
      <c r="L720" s="274"/>
      <c r="M720" s="273"/>
      <c r="N720" s="273"/>
      <c r="O720" s="273"/>
      <c r="P720" s="273"/>
      <c r="Q720" s="273"/>
      <c r="R720" s="273"/>
      <c r="S720" s="273"/>
      <c r="T720" s="273"/>
      <c r="U720" s="273"/>
      <c r="V720" s="273"/>
      <c r="W720" s="273"/>
      <c r="X720" s="274"/>
      <c r="Y720" s="273"/>
      <c r="Z720" s="273"/>
      <c r="AA720" s="273"/>
      <c r="AB720" s="273"/>
      <c r="AC720" s="273"/>
      <c r="AD720" s="273"/>
      <c r="AE720" s="273"/>
      <c r="AF720" s="273"/>
      <c r="AG720" s="273"/>
      <c r="AH720" s="273"/>
      <c r="AI720" s="273"/>
    </row>
    <row r="721" spans="1:35" ht="14.25" customHeight="1">
      <c r="A721" s="273"/>
      <c r="B721" s="273"/>
      <c r="C721" s="273"/>
      <c r="D721" s="273"/>
      <c r="E721" s="273"/>
      <c r="F721" s="273"/>
      <c r="G721" s="273"/>
      <c r="H721" s="273"/>
      <c r="I721" s="273"/>
      <c r="J721" s="273"/>
      <c r="K721" s="273"/>
      <c r="L721" s="274"/>
      <c r="M721" s="273"/>
      <c r="N721" s="273"/>
      <c r="O721" s="273"/>
      <c r="P721" s="273"/>
      <c r="Q721" s="273"/>
      <c r="R721" s="273"/>
      <c r="S721" s="273"/>
      <c r="T721" s="273"/>
      <c r="U721" s="273"/>
      <c r="V721" s="273"/>
      <c r="W721" s="273"/>
      <c r="X721" s="274"/>
      <c r="Y721" s="273"/>
      <c r="Z721" s="273"/>
      <c r="AA721" s="273"/>
      <c r="AB721" s="273"/>
      <c r="AC721" s="273"/>
      <c r="AD721" s="273"/>
      <c r="AE721" s="273"/>
      <c r="AF721" s="273"/>
      <c r="AG721" s="273"/>
      <c r="AH721" s="273"/>
      <c r="AI721" s="273"/>
    </row>
    <row r="722" spans="1:35" ht="14.25" customHeight="1">
      <c r="A722" s="273"/>
      <c r="B722" s="273"/>
      <c r="C722" s="273"/>
      <c r="D722" s="273"/>
      <c r="E722" s="273"/>
      <c r="F722" s="273"/>
      <c r="G722" s="273"/>
      <c r="H722" s="273"/>
      <c r="I722" s="273"/>
      <c r="J722" s="273"/>
      <c r="K722" s="273"/>
      <c r="L722" s="274"/>
      <c r="M722" s="273"/>
      <c r="N722" s="273"/>
      <c r="O722" s="273"/>
      <c r="P722" s="273"/>
      <c r="Q722" s="273"/>
      <c r="R722" s="273"/>
      <c r="S722" s="273"/>
      <c r="T722" s="273"/>
      <c r="U722" s="273"/>
      <c r="V722" s="273"/>
      <c r="W722" s="273"/>
      <c r="X722" s="274"/>
      <c r="Y722" s="273"/>
      <c r="Z722" s="273"/>
      <c r="AA722" s="273"/>
      <c r="AB722" s="273"/>
      <c r="AC722" s="273"/>
      <c r="AD722" s="273"/>
      <c r="AE722" s="273"/>
      <c r="AF722" s="273"/>
      <c r="AG722" s="273"/>
      <c r="AH722" s="273"/>
      <c r="AI722" s="273"/>
    </row>
    <row r="723" spans="1:35" ht="14.25" customHeight="1">
      <c r="A723" s="273"/>
      <c r="B723" s="273"/>
      <c r="C723" s="273"/>
      <c r="D723" s="273"/>
      <c r="E723" s="273"/>
      <c r="F723" s="273"/>
      <c r="G723" s="273"/>
      <c r="H723" s="273"/>
      <c r="I723" s="273"/>
      <c r="J723" s="273"/>
      <c r="K723" s="273"/>
      <c r="L723" s="274"/>
      <c r="M723" s="273"/>
      <c r="N723" s="273"/>
      <c r="O723" s="273"/>
      <c r="P723" s="273"/>
      <c r="Q723" s="273"/>
      <c r="R723" s="273"/>
      <c r="S723" s="273"/>
      <c r="T723" s="273"/>
      <c r="U723" s="273"/>
      <c r="V723" s="273"/>
      <c r="W723" s="273"/>
      <c r="X723" s="274"/>
      <c r="Y723" s="273"/>
      <c r="Z723" s="273"/>
      <c r="AA723" s="273"/>
      <c r="AB723" s="273"/>
      <c r="AC723" s="273"/>
      <c r="AD723" s="273"/>
      <c r="AE723" s="273"/>
      <c r="AF723" s="273"/>
      <c r="AG723" s="273"/>
      <c r="AH723" s="273"/>
      <c r="AI723" s="273"/>
    </row>
    <row r="724" spans="1:35" ht="14.25" customHeight="1">
      <c r="A724" s="273"/>
      <c r="B724" s="273"/>
      <c r="C724" s="273"/>
      <c r="D724" s="273"/>
      <c r="E724" s="273"/>
      <c r="F724" s="273"/>
      <c r="G724" s="273"/>
      <c r="H724" s="273"/>
      <c r="I724" s="273"/>
      <c r="J724" s="273"/>
      <c r="K724" s="273"/>
      <c r="L724" s="274"/>
      <c r="M724" s="273"/>
      <c r="N724" s="273"/>
      <c r="O724" s="273"/>
      <c r="P724" s="273"/>
      <c r="Q724" s="273"/>
      <c r="R724" s="273"/>
      <c r="S724" s="273"/>
      <c r="T724" s="273"/>
      <c r="U724" s="273"/>
      <c r="V724" s="273"/>
      <c r="W724" s="273"/>
      <c r="X724" s="274"/>
      <c r="Y724" s="273"/>
      <c r="Z724" s="273"/>
      <c r="AA724" s="273"/>
      <c r="AB724" s="273"/>
      <c r="AC724" s="273"/>
      <c r="AD724" s="273"/>
      <c r="AE724" s="273"/>
      <c r="AF724" s="273"/>
      <c r="AG724" s="273"/>
      <c r="AH724" s="273"/>
      <c r="AI724" s="273"/>
    </row>
    <row r="725" spans="1:35" ht="14.25" customHeight="1">
      <c r="A725" s="273"/>
      <c r="B725" s="273"/>
      <c r="C725" s="273"/>
      <c r="D725" s="273"/>
      <c r="E725" s="273"/>
      <c r="F725" s="273"/>
      <c r="G725" s="273"/>
      <c r="H725" s="273"/>
      <c r="I725" s="273"/>
      <c r="J725" s="273"/>
      <c r="K725" s="273"/>
      <c r="L725" s="274"/>
      <c r="M725" s="273"/>
      <c r="N725" s="273"/>
      <c r="O725" s="273"/>
      <c r="P725" s="273"/>
      <c r="Q725" s="273"/>
      <c r="R725" s="273"/>
      <c r="S725" s="273"/>
      <c r="T725" s="273"/>
      <c r="U725" s="273"/>
      <c r="V725" s="273"/>
      <c r="W725" s="273"/>
      <c r="X725" s="274"/>
      <c r="Y725" s="273"/>
      <c r="Z725" s="273"/>
      <c r="AA725" s="273"/>
      <c r="AB725" s="273"/>
      <c r="AC725" s="273"/>
      <c r="AD725" s="273"/>
      <c r="AE725" s="273"/>
      <c r="AF725" s="273"/>
      <c r="AG725" s="273"/>
      <c r="AH725" s="273"/>
      <c r="AI725" s="273"/>
    </row>
    <row r="726" spans="1:35" ht="14.25" customHeight="1">
      <c r="A726" s="273"/>
      <c r="B726" s="273"/>
      <c r="C726" s="273"/>
      <c r="D726" s="273"/>
      <c r="E726" s="273"/>
      <c r="F726" s="273"/>
      <c r="G726" s="273"/>
      <c r="H726" s="273"/>
      <c r="I726" s="273"/>
      <c r="J726" s="273"/>
      <c r="K726" s="273"/>
      <c r="L726" s="274"/>
      <c r="M726" s="273"/>
      <c r="N726" s="273"/>
      <c r="O726" s="273"/>
      <c r="P726" s="273"/>
      <c r="Q726" s="273"/>
      <c r="R726" s="273"/>
      <c r="S726" s="273"/>
      <c r="T726" s="273"/>
      <c r="U726" s="273"/>
      <c r="V726" s="273"/>
      <c r="W726" s="273"/>
      <c r="X726" s="274"/>
      <c r="Y726" s="273"/>
      <c r="Z726" s="273"/>
      <c r="AA726" s="273"/>
      <c r="AB726" s="273"/>
      <c r="AC726" s="273"/>
      <c r="AD726" s="273"/>
      <c r="AE726" s="273"/>
      <c r="AF726" s="273"/>
      <c r="AG726" s="273"/>
      <c r="AH726" s="273"/>
      <c r="AI726" s="273"/>
    </row>
    <row r="727" spans="1:35" ht="14.25" customHeight="1">
      <c r="A727" s="273"/>
      <c r="B727" s="273"/>
      <c r="C727" s="273"/>
      <c r="D727" s="273"/>
      <c r="E727" s="273"/>
      <c r="F727" s="273"/>
      <c r="G727" s="273"/>
      <c r="H727" s="273"/>
      <c r="I727" s="273"/>
      <c r="J727" s="273"/>
      <c r="K727" s="273"/>
      <c r="L727" s="274"/>
      <c r="M727" s="273"/>
      <c r="N727" s="273"/>
      <c r="O727" s="273"/>
      <c r="P727" s="273"/>
      <c r="Q727" s="273"/>
      <c r="R727" s="273"/>
      <c r="S727" s="273"/>
      <c r="T727" s="273"/>
      <c r="U727" s="273"/>
      <c r="V727" s="273"/>
      <c r="W727" s="273"/>
      <c r="X727" s="274"/>
      <c r="Y727" s="273"/>
      <c r="Z727" s="273"/>
      <c r="AA727" s="273"/>
      <c r="AB727" s="273"/>
      <c r="AC727" s="273"/>
      <c r="AD727" s="273"/>
      <c r="AE727" s="273"/>
      <c r="AF727" s="273"/>
      <c r="AG727" s="273"/>
      <c r="AH727" s="273"/>
      <c r="AI727" s="273"/>
    </row>
    <row r="728" spans="1:35" ht="14.25" customHeight="1">
      <c r="A728" s="273"/>
      <c r="B728" s="273"/>
      <c r="C728" s="273"/>
      <c r="D728" s="273"/>
      <c r="E728" s="273"/>
      <c r="F728" s="273"/>
      <c r="G728" s="273"/>
      <c r="H728" s="273"/>
      <c r="I728" s="273"/>
      <c r="J728" s="273"/>
      <c r="K728" s="273"/>
      <c r="L728" s="274"/>
      <c r="M728" s="273"/>
      <c r="N728" s="273"/>
      <c r="O728" s="273"/>
      <c r="P728" s="273"/>
      <c r="Q728" s="273"/>
      <c r="R728" s="273"/>
      <c r="S728" s="273"/>
      <c r="T728" s="273"/>
      <c r="U728" s="273"/>
      <c r="V728" s="273"/>
      <c r="W728" s="273"/>
      <c r="X728" s="274"/>
      <c r="Y728" s="273"/>
      <c r="Z728" s="273"/>
      <c r="AA728" s="273"/>
      <c r="AB728" s="273"/>
      <c r="AC728" s="273"/>
      <c r="AD728" s="273"/>
      <c r="AE728" s="273"/>
      <c r="AF728" s="273"/>
      <c r="AG728" s="273"/>
      <c r="AH728" s="273"/>
      <c r="AI728" s="273"/>
    </row>
    <row r="729" spans="1:35" ht="14.25" customHeight="1">
      <c r="A729" s="273"/>
      <c r="B729" s="273"/>
      <c r="C729" s="273"/>
      <c r="D729" s="273"/>
      <c r="E729" s="273"/>
      <c r="F729" s="273"/>
      <c r="G729" s="273"/>
      <c r="H729" s="273"/>
      <c r="I729" s="273"/>
      <c r="J729" s="273"/>
      <c r="K729" s="273"/>
      <c r="L729" s="274"/>
      <c r="M729" s="273"/>
      <c r="N729" s="273"/>
      <c r="O729" s="273"/>
      <c r="P729" s="273"/>
      <c r="Q729" s="273"/>
      <c r="R729" s="273"/>
      <c r="S729" s="273"/>
      <c r="T729" s="273"/>
      <c r="U729" s="273"/>
      <c r="V729" s="273"/>
      <c r="W729" s="273"/>
      <c r="X729" s="274"/>
      <c r="Y729" s="273"/>
      <c r="Z729" s="273"/>
      <c r="AA729" s="273"/>
      <c r="AB729" s="273"/>
      <c r="AC729" s="273"/>
      <c r="AD729" s="273"/>
      <c r="AE729" s="273"/>
      <c r="AF729" s="273"/>
      <c r="AG729" s="273"/>
      <c r="AH729" s="273"/>
      <c r="AI729" s="273"/>
    </row>
    <row r="730" spans="1:35" ht="14.25" customHeight="1">
      <c r="A730" s="273"/>
      <c r="B730" s="273"/>
      <c r="C730" s="273"/>
      <c r="D730" s="273"/>
      <c r="E730" s="273"/>
      <c r="F730" s="273"/>
      <c r="G730" s="273"/>
      <c r="H730" s="273"/>
      <c r="I730" s="273"/>
      <c r="J730" s="273"/>
      <c r="K730" s="273"/>
      <c r="L730" s="274"/>
      <c r="M730" s="273"/>
      <c r="N730" s="273"/>
      <c r="O730" s="273"/>
      <c r="P730" s="273"/>
      <c r="Q730" s="273"/>
      <c r="R730" s="273"/>
      <c r="S730" s="273"/>
      <c r="T730" s="273"/>
      <c r="U730" s="273"/>
      <c r="V730" s="273"/>
      <c r="W730" s="273"/>
      <c r="X730" s="274"/>
      <c r="Y730" s="273"/>
      <c r="Z730" s="273"/>
      <c r="AA730" s="273"/>
      <c r="AB730" s="273"/>
      <c r="AC730" s="273"/>
      <c r="AD730" s="273"/>
      <c r="AE730" s="273"/>
      <c r="AF730" s="273"/>
      <c r="AG730" s="273"/>
      <c r="AH730" s="273"/>
      <c r="AI730" s="273"/>
    </row>
    <row r="731" spans="1:35" ht="14.25" customHeight="1">
      <c r="A731" s="273"/>
      <c r="B731" s="273"/>
      <c r="C731" s="273"/>
      <c r="D731" s="273"/>
      <c r="E731" s="273"/>
      <c r="F731" s="273"/>
      <c r="G731" s="273"/>
      <c r="H731" s="273"/>
      <c r="I731" s="273"/>
      <c r="J731" s="273"/>
      <c r="K731" s="273"/>
      <c r="L731" s="274"/>
      <c r="M731" s="273"/>
      <c r="N731" s="273"/>
      <c r="O731" s="273"/>
      <c r="P731" s="273"/>
      <c r="Q731" s="273"/>
      <c r="R731" s="273"/>
      <c r="S731" s="273"/>
      <c r="T731" s="273"/>
      <c r="U731" s="273"/>
      <c r="V731" s="273"/>
      <c r="W731" s="273"/>
      <c r="X731" s="274"/>
      <c r="Y731" s="273"/>
      <c r="Z731" s="273"/>
      <c r="AA731" s="273"/>
      <c r="AB731" s="273"/>
      <c r="AC731" s="273"/>
      <c r="AD731" s="273"/>
      <c r="AE731" s="273"/>
      <c r="AF731" s="273"/>
      <c r="AG731" s="273"/>
      <c r="AH731" s="273"/>
      <c r="AI731" s="273"/>
    </row>
    <row r="732" spans="1:35" ht="14.25" customHeight="1">
      <c r="A732" s="273"/>
      <c r="B732" s="273"/>
      <c r="C732" s="273"/>
      <c r="D732" s="273"/>
      <c r="E732" s="273"/>
      <c r="F732" s="273"/>
      <c r="G732" s="273"/>
      <c r="H732" s="273"/>
      <c r="I732" s="273"/>
      <c r="J732" s="273"/>
      <c r="K732" s="273"/>
      <c r="L732" s="274"/>
      <c r="M732" s="273"/>
      <c r="N732" s="273"/>
      <c r="O732" s="273"/>
      <c r="P732" s="273"/>
      <c r="Q732" s="273"/>
      <c r="R732" s="273"/>
      <c r="S732" s="273"/>
      <c r="T732" s="273"/>
      <c r="U732" s="273"/>
      <c r="V732" s="273"/>
      <c r="W732" s="273"/>
      <c r="X732" s="274"/>
      <c r="Y732" s="273"/>
      <c r="Z732" s="273"/>
      <c r="AA732" s="273"/>
      <c r="AB732" s="273"/>
      <c r="AC732" s="273"/>
      <c r="AD732" s="273"/>
      <c r="AE732" s="273"/>
      <c r="AF732" s="273"/>
      <c r="AG732" s="273"/>
      <c r="AH732" s="273"/>
      <c r="AI732" s="273"/>
    </row>
    <row r="733" spans="1:35" ht="14.25" customHeight="1">
      <c r="A733" s="273"/>
      <c r="B733" s="273"/>
      <c r="C733" s="273"/>
      <c r="D733" s="273"/>
      <c r="E733" s="273"/>
      <c r="F733" s="273"/>
      <c r="G733" s="273"/>
      <c r="H733" s="273"/>
      <c r="I733" s="273"/>
      <c r="J733" s="273"/>
      <c r="K733" s="273"/>
      <c r="L733" s="274"/>
      <c r="M733" s="273"/>
      <c r="N733" s="273"/>
      <c r="O733" s="273"/>
      <c r="P733" s="273"/>
      <c r="Q733" s="273"/>
      <c r="R733" s="273"/>
      <c r="S733" s="273"/>
      <c r="T733" s="273"/>
      <c r="U733" s="273"/>
      <c r="V733" s="273"/>
      <c r="W733" s="273"/>
      <c r="X733" s="274"/>
      <c r="Y733" s="273"/>
      <c r="Z733" s="273"/>
      <c r="AA733" s="273"/>
      <c r="AB733" s="273"/>
      <c r="AC733" s="273"/>
      <c r="AD733" s="273"/>
      <c r="AE733" s="273"/>
      <c r="AF733" s="273"/>
      <c r="AG733" s="273"/>
      <c r="AH733" s="273"/>
      <c r="AI733" s="273"/>
    </row>
    <row r="734" spans="1:35" ht="14.25" customHeight="1">
      <c r="A734" s="273"/>
      <c r="B734" s="273"/>
      <c r="C734" s="273"/>
      <c r="D734" s="273"/>
      <c r="E734" s="273"/>
      <c r="F734" s="273"/>
      <c r="G734" s="273"/>
      <c r="H734" s="273"/>
      <c r="I734" s="273"/>
      <c r="J734" s="273"/>
      <c r="K734" s="273"/>
      <c r="L734" s="274"/>
      <c r="M734" s="273"/>
      <c r="N734" s="273"/>
      <c r="O734" s="273"/>
      <c r="P734" s="273"/>
      <c r="Q734" s="273"/>
      <c r="R734" s="273"/>
      <c r="S734" s="273"/>
      <c r="T734" s="273"/>
      <c r="U734" s="273"/>
      <c r="V734" s="273"/>
      <c r="W734" s="273"/>
      <c r="X734" s="274"/>
      <c r="Y734" s="273"/>
      <c r="Z734" s="273"/>
      <c r="AA734" s="273"/>
      <c r="AB734" s="273"/>
      <c r="AC734" s="273"/>
      <c r="AD734" s="273"/>
      <c r="AE734" s="273"/>
      <c r="AF734" s="273"/>
      <c r="AG734" s="273"/>
      <c r="AH734" s="273"/>
      <c r="AI734" s="273"/>
    </row>
    <row r="735" spans="1:35" ht="14.25" customHeight="1">
      <c r="A735" s="273"/>
      <c r="B735" s="273"/>
      <c r="C735" s="273"/>
      <c r="D735" s="273"/>
      <c r="E735" s="273"/>
      <c r="F735" s="273"/>
      <c r="G735" s="273"/>
      <c r="H735" s="273"/>
      <c r="I735" s="273"/>
      <c r="J735" s="273"/>
      <c r="K735" s="273"/>
      <c r="L735" s="274"/>
      <c r="M735" s="273"/>
      <c r="N735" s="273"/>
      <c r="O735" s="273"/>
      <c r="P735" s="273"/>
      <c r="Q735" s="273"/>
      <c r="R735" s="273"/>
      <c r="S735" s="273"/>
      <c r="T735" s="273"/>
      <c r="U735" s="273"/>
      <c r="V735" s="273"/>
      <c r="W735" s="273"/>
      <c r="X735" s="274"/>
      <c r="Y735" s="273"/>
      <c r="Z735" s="273"/>
      <c r="AA735" s="273"/>
      <c r="AB735" s="273"/>
      <c r="AC735" s="273"/>
      <c r="AD735" s="273"/>
      <c r="AE735" s="273"/>
      <c r="AF735" s="273"/>
      <c r="AG735" s="273"/>
      <c r="AH735" s="273"/>
      <c r="AI735" s="273"/>
    </row>
    <row r="736" spans="1:35" ht="14.25" customHeight="1">
      <c r="A736" s="273"/>
      <c r="B736" s="273"/>
      <c r="C736" s="273"/>
      <c r="D736" s="273"/>
      <c r="E736" s="273"/>
      <c r="F736" s="273"/>
      <c r="G736" s="273"/>
      <c r="H736" s="273"/>
      <c r="I736" s="273"/>
      <c r="J736" s="273"/>
      <c r="K736" s="273"/>
      <c r="L736" s="274"/>
      <c r="M736" s="273"/>
      <c r="N736" s="273"/>
      <c r="O736" s="273"/>
      <c r="P736" s="273"/>
      <c r="Q736" s="273"/>
      <c r="R736" s="273"/>
      <c r="S736" s="273"/>
      <c r="T736" s="273"/>
      <c r="U736" s="273"/>
      <c r="V736" s="273"/>
      <c r="W736" s="273"/>
      <c r="X736" s="274"/>
      <c r="Y736" s="273"/>
      <c r="Z736" s="273"/>
      <c r="AA736" s="273"/>
      <c r="AB736" s="273"/>
      <c r="AC736" s="273"/>
      <c r="AD736" s="273"/>
      <c r="AE736" s="273"/>
      <c r="AF736" s="273"/>
      <c r="AG736" s="273"/>
      <c r="AH736" s="273"/>
      <c r="AI736" s="273"/>
    </row>
    <row r="737" spans="1:35" ht="14.25" customHeight="1">
      <c r="A737" s="273"/>
      <c r="B737" s="273"/>
      <c r="C737" s="273"/>
      <c r="D737" s="273"/>
      <c r="E737" s="273"/>
      <c r="F737" s="273"/>
      <c r="G737" s="273"/>
      <c r="H737" s="273"/>
      <c r="I737" s="273"/>
      <c r="J737" s="273"/>
      <c r="K737" s="273"/>
      <c r="L737" s="274"/>
      <c r="M737" s="273"/>
      <c r="N737" s="273"/>
      <c r="O737" s="273"/>
      <c r="P737" s="273"/>
      <c r="Q737" s="273"/>
      <c r="R737" s="273"/>
      <c r="S737" s="273"/>
      <c r="T737" s="273"/>
      <c r="U737" s="273"/>
      <c r="V737" s="273"/>
      <c r="W737" s="273"/>
      <c r="X737" s="274"/>
      <c r="Y737" s="273"/>
      <c r="Z737" s="273"/>
      <c r="AA737" s="273"/>
      <c r="AB737" s="273"/>
      <c r="AC737" s="273"/>
      <c r="AD737" s="273"/>
      <c r="AE737" s="273"/>
      <c r="AF737" s="273"/>
      <c r="AG737" s="273"/>
      <c r="AH737" s="273"/>
      <c r="AI737" s="273"/>
    </row>
    <row r="738" spans="1:35" ht="14.25" customHeight="1">
      <c r="A738" s="273"/>
      <c r="B738" s="273"/>
      <c r="C738" s="273"/>
      <c r="D738" s="273"/>
      <c r="E738" s="273"/>
      <c r="F738" s="273"/>
      <c r="G738" s="273"/>
      <c r="H738" s="273"/>
      <c r="I738" s="273"/>
      <c r="J738" s="273"/>
      <c r="K738" s="273"/>
      <c r="L738" s="274"/>
      <c r="M738" s="273"/>
      <c r="N738" s="273"/>
      <c r="O738" s="273"/>
      <c r="P738" s="273"/>
      <c r="Q738" s="273"/>
      <c r="R738" s="273"/>
      <c r="S738" s="273"/>
      <c r="T738" s="273"/>
      <c r="U738" s="273"/>
      <c r="V738" s="273"/>
      <c r="W738" s="273"/>
      <c r="X738" s="274"/>
      <c r="Y738" s="273"/>
      <c r="Z738" s="273"/>
      <c r="AA738" s="273"/>
      <c r="AB738" s="273"/>
      <c r="AC738" s="273"/>
      <c r="AD738" s="273"/>
      <c r="AE738" s="273"/>
      <c r="AF738" s="273"/>
      <c r="AG738" s="273"/>
      <c r="AH738" s="273"/>
      <c r="AI738" s="273"/>
    </row>
    <row r="739" spans="1:35" ht="14.25" customHeight="1">
      <c r="A739" s="273"/>
      <c r="B739" s="273"/>
      <c r="C739" s="273"/>
      <c r="D739" s="273"/>
      <c r="E739" s="273"/>
      <c r="F739" s="273"/>
      <c r="G739" s="273"/>
      <c r="H739" s="273"/>
      <c r="I739" s="273"/>
      <c r="J739" s="273"/>
      <c r="K739" s="273"/>
      <c r="L739" s="274"/>
      <c r="M739" s="273"/>
      <c r="N739" s="273"/>
      <c r="O739" s="273"/>
      <c r="P739" s="273"/>
      <c r="Q739" s="273"/>
      <c r="R739" s="273"/>
      <c r="S739" s="273"/>
      <c r="T739" s="273"/>
      <c r="U739" s="273"/>
      <c r="V739" s="273"/>
      <c r="W739" s="273"/>
      <c r="X739" s="274"/>
      <c r="Y739" s="273"/>
      <c r="Z739" s="273"/>
      <c r="AA739" s="273"/>
      <c r="AB739" s="273"/>
      <c r="AC739" s="273"/>
      <c r="AD739" s="273"/>
      <c r="AE739" s="273"/>
      <c r="AF739" s="273"/>
      <c r="AG739" s="273"/>
      <c r="AH739" s="273"/>
      <c r="AI739" s="273"/>
    </row>
    <row r="740" spans="1:35" ht="14.25" customHeight="1">
      <c r="A740" s="273"/>
      <c r="B740" s="273"/>
      <c r="C740" s="273"/>
      <c r="D740" s="273"/>
      <c r="E740" s="273"/>
      <c r="F740" s="273"/>
      <c r="G740" s="273"/>
      <c r="H740" s="273"/>
      <c r="I740" s="273"/>
      <c r="J740" s="273"/>
      <c r="K740" s="273"/>
      <c r="L740" s="274"/>
      <c r="M740" s="273"/>
      <c r="N740" s="273"/>
      <c r="O740" s="273"/>
      <c r="P740" s="273"/>
      <c r="Q740" s="273"/>
      <c r="R740" s="273"/>
      <c r="S740" s="273"/>
      <c r="T740" s="273"/>
      <c r="U740" s="273"/>
      <c r="V740" s="273"/>
      <c r="W740" s="273"/>
      <c r="X740" s="274"/>
      <c r="Y740" s="273"/>
      <c r="Z740" s="273"/>
      <c r="AA740" s="273"/>
      <c r="AB740" s="273"/>
      <c r="AC740" s="273"/>
      <c r="AD740" s="273"/>
      <c r="AE740" s="273"/>
      <c r="AF740" s="273"/>
      <c r="AG740" s="273"/>
      <c r="AH740" s="273"/>
      <c r="AI740" s="273"/>
    </row>
    <row r="741" spans="1:35" ht="14.25" customHeight="1">
      <c r="A741" s="273"/>
      <c r="B741" s="273"/>
      <c r="C741" s="273"/>
      <c r="D741" s="273"/>
      <c r="E741" s="273"/>
      <c r="F741" s="273"/>
      <c r="G741" s="273"/>
      <c r="H741" s="273"/>
      <c r="I741" s="273"/>
      <c r="J741" s="273"/>
      <c r="K741" s="273"/>
      <c r="L741" s="274"/>
      <c r="M741" s="273"/>
      <c r="N741" s="273"/>
      <c r="O741" s="273"/>
      <c r="P741" s="273"/>
      <c r="Q741" s="273"/>
      <c r="R741" s="273"/>
      <c r="S741" s="273"/>
      <c r="T741" s="273"/>
      <c r="U741" s="273"/>
      <c r="V741" s="273"/>
      <c r="W741" s="273"/>
      <c r="X741" s="274"/>
      <c r="Y741" s="273"/>
      <c r="Z741" s="273"/>
      <c r="AA741" s="273"/>
      <c r="AB741" s="273"/>
      <c r="AC741" s="273"/>
      <c r="AD741" s="273"/>
      <c r="AE741" s="273"/>
      <c r="AF741" s="273"/>
      <c r="AG741" s="273"/>
      <c r="AH741" s="273"/>
      <c r="AI741" s="273"/>
    </row>
    <row r="742" spans="1:35" ht="14.25" customHeight="1">
      <c r="A742" s="273"/>
      <c r="B742" s="273"/>
      <c r="C742" s="273"/>
      <c r="D742" s="273"/>
      <c r="E742" s="273"/>
      <c r="F742" s="273"/>
      <c r="G742" s="273"/>
      <c r="H742" s="273"/>
      <c r="I742" s="273"/>
      <c r="J742" s="273"/>
      <c r="K742" s="273"/>
      <c r="L742" s="274"/>
      <c r="M742" s="273"/>
      <c r="N742" s="273"/>
      <c r="O742" s="273"/>
      <c r="P742" s="273"/>
      <c r="Q742" s="273"/>
      <c r="R742" s="273"/>
      <c r="S742" s="273"/>
      <c r="T742" s="273"/>
      <c r="U742" s="273"/>
      <c r="V742" s="273"/>
      <c r="W742" s="273"/>
      <c r="X742" s="274"/>
      <c r="Y742" s="273"/>
      <c r="Z742" s="273"/>
      <c r="AA742" s="273"/>
      <c r="AB742" s="273"/>
      <c r="AC742" s="273"/>
      <c r="AD742" s="273"/>
      <c r="AE742" s="273"/>
      <c r="AF742" s="273"/>
      <c r="AG742" s="273"/>
      <c r="AH742" s="273"/>
      <c r="AI742" s="273"/>
    </row>
    <row r="743" spans="1:35" ht="14.25" customHeight="1">
      <c r="A743" s="273"/>
      <c r="B743" s="273"/>
      <c r="C743" s="273"/>
      <c r="D743" s="273"/>
      <c r="E743" s="273"/>
      <c r="F743" s="273"/>
      <c r="G743" s="273"/>
      <c r="H743" s="273"/>
      <c r="I743" s="273"/>
      <c r="J743" s="273"/>
      <c r="K743" s="273"/>
      <c r="L743" s="274"/>
      <c r="M743" s="273"/>
      <c r="N743" s="273"/>
      <c r="O743" s="273"/>
      <c r="P743" s="273"/>
      <c r="Q743" s="273"/>
      <c r="R743" s="273"/>
      <c r="S743" s="273"/>
      <c r="T743" s="273"/>
      <c r="U743" s="273"/>
      <c r="V743" s="273"/>
      <c r="W743" s="273"/>
      <c r="X743" s="274"/>
      <c r="Y743" s="273"/>
      <c r="Z743" s="273"/>
      <c r="AA743" s="273"/>
      <c r="AB743" s="273"/>
      <c r="AC743" s="273"/>
      <c r="AD743" s="273"/>
      <c r="AE743" s="273"/>
      <c r="AF743" s="273"/>
      <c r="AG743" s="273"/>
      <c r="AH743" s="273"/>
      <c r="AI743" s="273"/>
    </row>
    <row r="744" spans="1:35" ht="14.25" customHeight="1">
      <c r="A744" s="273"/>
      <c r="B744" s="273"/>
      <c r="C744" s="273"/>
      <c r="D744" s="273"/>
      <c r="E744" s="273"/>
      <c r="F744" s="273"/>
      <c r="G744" s="273"/>
      <c r="H744" s="273"/>
      <c r="I744" s="273"/>
      <c r="J744" s="273"/>
      <c r="K744" s="273"/>
      <c r="L744" s="274"/>
      <c r="M744" s="273"/>
      <c r="N744" s="273"/>
      <c r="O744" s="273"/>
      <c r="P744" s="273"/>
      <c r="Q744" s="273"/>
      <c r="R744" s="273"/>
      <c r="S744" s="273"/>
      <c r="T744" s="273"/>
      <c r="U744" s="273"/>
      <c r="V744" s="273"/>
      <c r="W744" s="273"/>
      <c r="X744" s="274"/>
      <c r="Y744" s="273"/>
      <c r="Z744" s="273"/>
      <c r="AA744" s="273"/>
      <c r="AB744" s="273"/>
      <c r="AC744" s="273"/>
      <c r="AD744" s="273"/>
      <c r="AE744" s="273"/>
      <c r="AF744" s="273"/>
      <c r="AG744" s="273"/>
      <c r="AH744" s="273"/>
      <c r="AI744" s="273"/>
    </row>
    <row r="745" spans="1:35" ht="14.25" customHeight="1">
      <c r="A745" s="273"/>
      <c r="B745" s="273"/>
      <c r="C745" s="273"/>
      <c r="D745" s="273"/>
      <c r="E745" s="273"/>
      <c r="F745" s="273"/>
      <c r="G745" s="273"/>
      <c r="H745" s="273"/>
      <c r="I745" s="273"/>
      <c r="J745" s="273"/>
      <c r="K745" s="273"/>
      <c r="L745" s="274"/>
      <c r="M745" s="273"/>
      <c r="N745" s="273"/>
      <c r="O745" s="273"/>
      <c r="P745" s="273"/>
      <c r="Q745" s="273"/>
      <c r="R745" s="273"/>
      <c r="S745" s="273"/>
      <c r="T745" s="273"/>
      <c r="U745" s="273"/>
      <c r="V745" s="273"/>
      <c r="W745" s="273"/>
      <c r="X745" s="274"/>
      <c r="Y745" s="273"/>
      <c r="Z745" s="273"/>
      <c r="AA745" s="273"/>
      <c r="AB745" s="273"/>
      <c r="AC745" s="273"/>
      <c r="AD745" s="273"/>
      <c r="AE745" s="273"/>
      <c r="AF745" s="273"/>
      <c r="AG745" s="273"/>
      <c r="AH745" s="273"/>
      <c r="AI745" s="273"/>
    </row>
    <row r="746" spans="1:35" ht="14.25" customHeight="1">
      <c r="A746" s="273"/>
      <c r="B746" s="273"/>
      <c r="C746" s="273"/>
      <c r="D746" s="273"/>
      <c r="E746" s="273"/>
      <c r="F746" s="273"/>
      <c r="G746" s="273"/>
      <c r="H746" s="273"/>
      <c r="I746" s="273"/>
      <c r="J746" s="273"/>
      <c r="K746" s="273"/>
      <c r="L746" s="274"/>
      <c r="M746" s="273"/>
      <c r="N746" s="273"/>
      <c r="O746" s="273"/>
      <c r="P746" s="273"/>
      <c r="Q746" s="273"/>
      <c r="R746" s="273"/>
      <c r="S746" s="273"/>
      <c r="T746" s="273"/>
      <c r="U746" s="273"/>
      <c r="V746" s="273"/>
      <c r="W746" s="273"/>
      <c r="X746" s="274"/>
      <c r="Y746" s="273"/>
      <c r="Z746" s="273"/>
      <c r="AA746" s="273"/>
      <c r="AB746" s="273"/>
      <c r="AC746" s="273"/>
      <c r="AD746" s="273"/>
      <c r="AE746" s="273"/>
      <c r="AF746" s="273"/>
      <c r="AG746" s="273"/>
      <c r="AH746" s="273"/>
      <c r="AI746" s="273"/>
    </row>
    <row r="747" spans="1:35" ht="14.25" customHeight="1">
      <c r="A747" s="273"/>
      <c r="B747" s="273"/>
      <c r="C747" s="273"/>
      <c r="D747" s="273"/>
      <c r="E747" s="273"/>
      <c r="F747" s="273"/>
      <c r="G747" s="273"/>
      <c r="H747" s="273"/>
      <c r="I747" s="273"/>
      <c r="J747" s="273"/>
      <c r="K747" s="273"/>
      <c r="L747" s="274"/>
      <c r="M747" s="273"/>
      <c r="N747" s="273"/>
      <c r="O747" s="273"/>
      <c r="P747" s="273"/>
      <c r="Q747" s="273"/>
      <c r="R747" s="273"/>
      <c r="S747" s="273"/>
      <c r="T747" s="273"/>
      <c r="U747" s="273"/>
      <c r="V747" s="273"/>
      <c r="W747" s="273"/>
      <c r="X747" s="274"/>
      <c r="Y747" s="273"/>
      <c r="Z747" s="273"/>
      <c r="AA747" s="273"/>
      <c r="AB747" s="273"/>
      <c r="AC747" s="273"/>
      <c r="AD747" s="273"/>
      <c r="AE747" s="273"/>
      <c r="AF747" s="273"/>
      <c r="AG747" s="273"/>
      <c r="AH747" s="273"/>
      <c r="AI747" s="273"/>
    </row>
    <row r="748" spans="1:35" ht="14.25" customHeight="1">
      <c r="A748" s="273"/>
      <c r="B748" s="273"/>
      <c r="C748" s="273"/>
      <c r="D748" s="273"/>
      <c r="E748" s="273"/>
      <c r="F748" s="273"/>
      <c r="G748" s="273"/>
      <c r="H748" s="273"/>
      <c r="I748" s="273"/>
      <c r="J748" s="273"/>
      <c r="K748" s="273"/>
      <c r="L748" s="274"/>
      <c r="M748" s="273"/>
      <c r="N748" s="273"/>
      <c r="O748" s="273"/>
      <c r="P748" s="273"/>
      <c r="Q748" s="273"/>
      <c r="R748" s="273"/>
      <c r="S748" s="273"/>
      <c r="T748" s="273"/>
      <c r="U748" s="273"/>
      <c r="V748" s="273"/>
      <c r="W748" s="273"/>
      <c r="X748" s="274"/>
      <c r="Y748" s="273"/>
      <c r="Z748" s="273"/>
      <c r="AA748" s="273"/>
      <c r="AB748" s="273"/>
      <c r="AC748" s="273"/>
      <c r="AD748" s="273"/>
      <c r="AE748" s="273"/>
      <c r="AF748" s="273"/>
      <c r="AG748" s="273"/>
      <c r="AH748" s="273"/>
      <c r="AI748" s="273"/>
    </row>
    <row r="749" spans="1:35" ht="14.25" customHeight="1">
      <c r="A749" s="273"/>
      <c r="B749" s="273"/>
      <c r="C749" s="273"/>
      <c r="D749" s="273"/>
      <c r="E749" s="273"/>
      <c r="F749" s="273"/>
      <c r="G749" s="273"/>
      <c r="H749" s="273"/>
      <c r="I749" s="273"/>
      <c r="J749" s="273"/>
      <c r="K749" s="273"/>
      <c r="L749" s="274"/>
      <c r="M749" s="273"/>
      <c r="N749" s="273"/>
      <c r="O749" s="273"/>
      <c r="P749" s="273"/>
      <c r="Q749" s="273"/>
      <c r="R749" s="273"/>
      <c r="S749" s="273"/>
      <c r="T749" s="273"/>
      <c r="U749" s="273"/>
      <c r="V749" s="273"/>
      <c r="W749" s="273"/>
      <c r="X749" s="274"/>
      <c r="Y749" s="273"/>
      <c r="Z749" s="273"/>
      <c r="AA749" s="273"/>
      <c r="AB749" s="273"/>
      <c r="AC749" s="273"/>
      <c r="AD749" s="273"/>
      <c r="AE749" s="273"/>
      <c r="AF749" s="273"/>
      <c r="AG749" s="273"/>
      <c r="AH749" s="273"/>
      <c r="AI749" s="273"/>
    </row>
    <row r="750" spans="1:35" ht="14.25" customHeight="1">
      <c r="A750" s="273"/>
      <c r="B750" s="273"/>
      <c r="C750" s="273"/>
      <c r="D750" s="273"/>
      <c r="E750" s="273"/>
      <c r="F750" s="273"/>
      <c r="G750" s="273"/>
      <c r="H750" s="273"/>
      <c r="I750" s="273"/>
      <c r="J750" s="273"/>
      <c r="K750" s="273"/>
      <c r="L750" s="274"/>
      <c r="M750" s="273"/>
      <c r="N750" s="273"/>
      <c r="O750" s="273"/>
      <c r="P750" s="273"/>
      <c r="Q750" s="273"/>
      <c r="R750" s="273"/>
      <c r="S750" s="273"/>
      <c r="T750" s="273"/>
      <c r="U750" s="273"/>
      <c r="V750" s="273"/>
      <c r="W750" s="273"/>
      <c r="X750" s="274"/>
      <c r="Y750" s="273"/>
      <c r="Z750" s="273"/>
      <c r="AA750" s="273"/>
      <c r="AB750" s="273"/>
      <c r="AC750" s="273"/>
      <c r="AD750" s="273"/>
      <c r="AE750" s="273"/>
      <c r="AF750" s="273"/>
      <c r="AG750" s="273"/>
      <c r="AH750" s="273"/>
      <c r="AI750" s="273"/>
    </row>
    <row r="751" spans="1:35" ht="14.25" customHeight="1">
      <c r="A751" s="273"/>
      <c r="B751" s="273"/>
      <c r="C751" s="273"/>
      <c r="D751" s="273"/>
      <c r="E751" s="273"/>
      <c r="F751" s="273"/>
      <c r="G751" s="273"/>
      <c r="H751" s="273"/>
      <c r="I751" s="273"/>
      <c r="J751" s="273"/>
      <c r="K751" s="273"/>
      <c r="L751" s="274"/>
      <c r="M751" s="273"/>
      <c r="N751" s="273"/>
      <c r="O751" s="273"/>
      <c r="P751" s="273"/>
      <c r="Q751" s="273"/>
      <c r="R751" s="273"/>
      <c r="S751" s="273"/>
      <c r="T751" s="273"/>
      <c r="U751" s="273"/>
      <c r="V751" s="273"/>
      <c r="W751" s="273"/>
      <c r="X751" s="274"/>
      <c r="Y751" s="273"/>
      <c r="Z751" s="273"/>
      <c r="AA751" s="273"/>
      <c r="AB751" s="273"/>
      <c r="AC751" s="273"/>
      <c r="AD751" s="273"/>
      <c r="AE751" s="273"/>
      <c r="AF751" s="273"/>
      <c r="AG751" s="273"/>
      <c r="AH751" s="273"/>
      <c r="AI751" s="273"/>
    </row>
    <row r="752" spans="1:35" ht="14.25" customHeight="1">
      <c r="A752" s="273"/>
      <c r="B752" s="273"/>
      <c r="C752" s="273"/>
      <c r="D752" s="273"/>
      <c r="E752" s="273"/>
      <c r="F752" s="273"/>
      <c r="G752" s="273"/>
      <c r="H752" s="273"/>
      <c r="I752" s="273"/>
      <c r="J752" s="273"/>
      <c r="K752" s="273"/>
      <c r="L752" s="274"/>
      <c r="M752" s="273"/>
      <c r="N752" s="273"/>
      <c r="O752" s="273"/>
      <c r="P752" s="273"/>
      <c r="Q752" s="273"/>
      <c r="R752" s="273"/>
      <c r="S752" s="273"/>
      <c r="T752" s="273"/>
      <c r="U752" s="273"/>
      <c r="V752" s="273"/>
      <c r="W752" s="273"/>
      <c r="X752" s="274"/>
      <c r="Y752" s="273"/>
      <c r="Z752" s="273"/>
      <c r="AA752" s="273"/>
      <c r="AB752" s="273"/>
      <c r="AC752" s="273"/>
      <c r="AD752" s="273"/>
      <c r="AE752" s="273"/>
      <c r="AF752" s="273"/>
      <c r="AG752" s="273"/>
      <c r="AH752" s="273"/>
      <c r="AI752" s="273"/>
    </row>
    <row r="753" spans="1:35" ht="14.25" customHeight="1">
      <c r="A753" s="273"/>
      <c r="B753" s="273"/>
      <c r="C753" s="273"/>
      <c r="D753" s="273"/>
      <c r="E753" s="273"/>
      <c r="F753" s="273"/>
      <c r="G753" s="273"/>
      <c r="H753" s="273"/>
      <c r="I753" s="273"/>
      <c r="J753" s="273"/>
      <c r="K753" s="273"/>
      <c r="L753" s="274"/>
      <c r="M753" s="273"/>
      <c r="N753" s="273"/>
      <c r="O753" s="273"/>
      <c r="P753" s="273"/>
      <c r="Q753" s="273"/>
      <c r="R753" s="273"/>
      <c r="S753" s="273"/>
      <c r="T753" s="273"/>
      <c r="U753" s="273"/>
      <c r="V753" s="273"/>
      <c r="W753" s="273"/>
      <c r="X753" s="274"/>
      <c r="Y753" s="273"/>
      <c r="Z753" s="273"/>
      <c r="AA753" s="273"/>
      <c r="AB753" s="273"/>
      <c r="AC753" s="273"/>
      <c r="AD753" s="273"/>
      <c r="AE753" s="273"/>
      <c r="AF753" s="273"/>
      <c r="AG753" s="273"/>
      <c r="AH753" s="273"/>
      <c r="AI753" s="273"/>
    </row>
    <row r="754" spans="1:35" ht="14.25" customHeight="1">
      <c r="A754" s="273"/>
      <c r="B754" s="273"/>
      <c r="C754" s="273"/>
      <c r="D754" s="273"/>
      <c r="E754" s="273"/>
      <c r="F754" s="273"/>
      <c r="G754" s="273"/>
      <c r="H754" s="273"/>
      <c r="I754" s="273"/>
      <c r="J754" s="273"/>
      <c r="K754" s="273"/>
      <c r="L754" s="274"/>
      <c r="M754" s="273"/>
      <c r="N754" s="273"/>
      <c r="O754" s="273"/>
      <c r="P754" s="273"/>
      <c r="Q754" s="273"/>
      <c r="R754" s="273"/>
      <c r="S754" s="273"/>
      <c r="T754" s="273"/>
      <c r="U754" s="273"/>
      <c r="V754" s="273"/>
      <c r="W754" s="273"/>
      <c r="X754" s="274"/>
      <c r="Y754" s="273"/>
      <c r="Z754" s="273"/>
      <c r="AA754" s="273"/>
      <c r="AB754" s="273"/>
      <c r="AC754" s="273"/>
      <c r="AD754" s="273"/>
      <c r="AE754" s="273"/>
      <c r="AF754" s="273"/>
      <c r="AG754" s="273"/>
      <c r="AH754" s="273"/>
      <c r="AI754" s="273"/>
    </row>
    <row r="755" spans="1:35" ht="14.25" customHeight="1">
      <c r="A755" s="273"/>
      <c r="B755" s="273"/>
      <c r="C755" s="273"/>
      <c r="D755" s="273"/>
      <c r="E755" s="273"/>
      <c r="F755" s="273"/>
      <c r="G755" s="273"/>
      <c r="H755" s="273"/>
      <c r="I755" s="273"/>
      <c r="J755" s="273"/>
      <c r="K755" s="273"/>
      <c r="L755" s="274"/>
      <c r="M755" s="273"/>
      <c r="N755" s="273"/>
      <c r="O755" s="273"/>
      <c r="P755" s="273"/>
      <c r="Q755" s="273"/>
      <c r="R755" s="273"/>
      <c r="S755" s="273"/>
      <c r="T755" s="273"/>
      <c r="U755" s="273"/>
      <c r="V755" s="273"/>
      <c r="W755" s="273"/>
      <c r="X755" s="274"/>
      <c r="Y755" s="273"/>
      <c r="Z755" s="273"/>
      <c r="AA755" s="273"/>
      <c r="AB755" s="273"/>
      <c r="AC755" s="273"/>
      <c r="AD755" s="273"/>
      <c r="AE755" s="273"/>
      <c r="AF755" s="273"/>
      <c r="AG755" s="273"/>
      <c r="AH755" s="273"/>
      <c r="AI755" s="273"/>
    </row>
    <row r="756" spans="1:35" ht="14.25" customHeight="1">
      <c r="A756" s="273"/>
      <c r="B756" s="273"/>
      <c r="C756" s="273"/>
      <c r="D756" s="273"/>
      <c r="E756" s="273"/>
      <c r="F756" s="273"/>
      <c r="G756" s="273"/>
      <c r="H756" s="273"/>
      <c r="I756" s="273"/>
      <c r="J756" s="273"/>
      <c r="K756" s="273"/>
      <c r="L756" s="274"/>
      <c r="M756" s="273"/>
      <c r="N756" s="273"/>
      <c r="O756" s="273"/>
      <c r="P756" s="273"/>
      <c r="Q756" s="273"/>
      <c r="R756" s="273"/>
      <c r="S756" s="273"/>
      <c r="T756" s="273"/>
      <c r="U756" s="273"/>
      <c r="V756" s="273"/>
      <c r="W756" s="273"/>
      <c r="X756" s="274"/>
      <c r="Y756" s="273"/>
      <c r="Z756" s="273"/>
      <c r="AA756" s="273"/>
      <c r="AB756" s="273"/>
      <c r="AC756" s="273"/>
      <c r="AD756" s="273"/>
      <c r="AE756" s="273"/>
      <c r="AF756" s="273"/>
      <c r="AG756" s="273"/>
      <c r="AH756" s="273"/>
      <c r="AI756" s="273"/>
    </row>
    <row r="757" spans="1:35" ht="14.25" customHeight="1">
      <c r="A757" s="273"/>
      <c r="B757" s="273"/>
      <c r="C757" s="273"/>
      <c r="D757" s="273"/>
      <c r="E757" s="273"/>
      <c r="F757" s="273"/>
      <c r="G757" s="273"/>
      <c r="H757" s="273"/>
      <c r="I757" s="273"/>
      <c r="J757" s="273"/>
      <c r="K757" s="273"/>
      <c r="L757" s="274"/>
      <c r="M757" s="273"/>
      <c r="N757" s="273"/>
      <c r="O757" s="273"/>
      <c r="P757" s="273"/>
      <c r="Q757" s="273"/>
      <c r="R757" s="273"/>
      <c r="S757" s="273"/>
      <c r="T757" s="273"/>
      <c r="U757" s="273"/>
      <c r="V757" s="273"/>
      <c r="W757" s="273"/>
      <c r="X757" s="274"/>
      <c r="Y757" s="273"/>
      <c r="Z757" s="273"/>
      <c r="AA757" s="273"/>
      <c r="AB757" s="273"/>
      <c r="AC757" s="273"/>
      <c r="AD757" s="273"/>
      <c r="AE757" s="273"/>
      <c r="AF757" s="273"/>
      <c r="AG757" s="273"/>
      <c r="AH757" s="273"/>
      <c r="AI757" s="273"/>
    </row>
    <row r="758" spans="1:35" ht="14.25" customHeight="1">
      <c r="A758" s="273"/>
      <c r="B758" s="273"/>
      <c r="C758" s="273"/>
      <c r="D758" s="273"/>
      <c r="E758" s="273"/>
      <c r="F758" s="273"/>
      <c r="G758" s="273"/>
      <c r="H758" s="273"/>
      <c r="I758" s="273"/>
      <c r="J758" s="273"/>
      <c r="K758" s="273"/>
      <c r="L758" s="274"/>
      <c r="M758" s="273"/>
      <c r="N758" s="273"/>
      <c r="O758" s="273"/>
      <c r="P758" s="273"/>
      <c r="Q758" s="273"/>
      <c r="R758" s="273"/>
      <c r="S758" s="273"/>
      <c r="T758" s="273"/>
      <c r="U758" s="273"/>
      <c r="V758" s="273"/>
      <c r="W758" s="273"/>
      <c r="X758" s="274"/>
      <c r="Y758" s="273"/>
      <c r="Z758" s="273"/>
      <c r="AA758" s="273"/>
      <c r="AB758" s="273"/>
      <c r="AC758" s="273"/>
      <c r="AD758" s="273"/>
      <c r="AE758" s="273"/>
      <c r="AF758" s="273"/>
      <c r="AG758" s="273"/>
      <c r="AH758" s="273"/>
      <c r="AI758" s="273"/>
    </row>
    <row r="759" spans="1:35" ht="14.25" customHeight="1">
      <c r="A759" s="273"/>
      <c r="B759" s="273"/>
      <c r="C759" s="273"/>
      <c r="D759" s="273"/>
      <c r="E759" s="273"/>
      <c r="F759" s="273"/>
      <c r="G759" s="273"/>
      <c r="H759" s="273"/>
      <c r="I759" s="273"/>
      <c r="J759" s="273"/>
      <c r="K759" s="273"/>
      <c r="L759" s="274"/>
      <c r="M759" s="273"/>
      <c r="N759" s="273"/>
      <c r="O759" s="273"/>
      <c r="P759" s="273"/>
      <c r="Q759" s="273"/>
      <c r="R759" s="273"/>
      <c r="S759" s="273"/>
      <c r="T759" s="273"/>
      <c r="U759" s="273"/>
      <c r="V759" s="273"/>
      <c r="W759" s="273"/>
      <c r="X759" s="274"/>
      <c r="Y759" s="273"/>
      <c r="Z759" s="273"/>
      <c r="AA759" s="273"/>
      <c r="AB759" s="273"/>
      <c r="AC759" s="273"/>
      <c r="AD759" s="273"/>
      <c r="AE759" s="273"/>
      <c r="AF759" s="273"/>
      <c r="AG759" s="273"/>
      <c r="AH759" s="273"/>
      <c r="AI759" s="273"/>
    </row>
    <row r="760" spans="1:35" ht="14.25" customHeight="1">
      <c r="A760" s="273"/>
      <c r="B760" s="273"/>
      <c r="C760" s="273"/>
      <c r="D760" s="273"/>
      <c r="E760" s="273"/>
      <c r="F760" s="273"/>
      <c r="G760" s="273"/>
      <c r="H760" s="273"/>
      <c r="I760" s="273"/>
      <c r="J760" s="273"/>
      <c r="K760" s="273"/>
      <c r="L760" s="274"/>
      <c r="M760" s="273"/>
      <c r="N760" s="273"/>
      <c r="O760" s="273"/>
      <c r="P760" s="273"/>
      <c r="Q760" s="273"/>
      <c r="R760" s="273"/>
      <c r="S760" s="273"/>
      <c r="T760" s="273"/>
      <c r="U760" s="273"/>
      <c r="V760" s="273"/>
      <c r="W760" s="273"/>
      <c r="X760" s="274"/>
      <c r="Y760" s="273"/>
      <c r="Z760" s="273"/>
      <c r="AA760" s="273"/>
      <c r="AB760" s="273"/>
      <c r="AC760" s="273"/>
      <c r="AD760" s="273"/>
      <c r="AE760" s="273"/>
      <c r="AF760" s="273"/>
      <c r="AG760" s="273"/>
      <c r="AH760" s="273"/>
      <c r="AI760" s="273"/>
    </row>
    <row r="761" spans="1:35" ht="14.25" customHeight="1">
      <c r="A761" s="273"/>
      <c r="B761" s="273"/>
      <c r="C761" s="273"/>
      <c r="D761" s="273"/>
      <c r="E761" s="273"/>
      <c r="F761" s="273"/>
      <c r="G761" s="273"/>
      <c r="H761" s="273"/>
      <c r="I761" s="273"/>
      <c r="J761" s="273"/>
      <c r="K761" s="273"/>
      <c r="L761" s="274"/>
      <c r="M761" s="273"/>
      <c r="N761" s="273"/>
      <c r="O761" s="273"/>
      <c r="P761" s="273"/>
      <c r="Q761" s="273"/>
      <c r="R761" s="273"/>
      <c r="S761" s="273"/>
      <c r="T761" s="273"/>
      <c r="U761" s="273"/>
      <c r="V761" s="273"/>
      <c r="W761" s="273"/>
      <c r="X761" s="274"/>
      <c r="Y761" s="273"/>
      <c r="Z761" s="273"/>
      <c r="AA761" s="273"/>
      <c r="AB761" s="273"/>
      <c r="AC761" s="273"/>
      <c r="AD761" s="273"/>
      <c r="AE761" s="273"/>
      <c r="AF761" s="273"/>
      <c r="AG761" s="273"/>
      <c r="AH761" s="273"/>
      <c r="AI761" s="273"/>
    </row>
    <row r="762" spans="1:35" ht="14.25" customHeight="1">
      <c r="A762" s="273"/>
      <c r="B762" s="273"/>
      <c r="C762" s="273"/>
      <c r="D762" s="273"/>
      <c r="E762" s="273"/>
      <c r="F762" s="273"/>
      <c r="G762" s="273"/>
      <c r="H762" s="273"/>
      <c r="I762" s="273"/>
      <c r="J762" s="273"/>
      <c r="K762" s="273"/>
      <c r="L762" s="274"/>
      <c r="M762" s="273"/>
      <c r="N762" s="273"/>
      <c r="O762" s="273"/>
      <c r="P762" s="273"/>
      <c r="Q762" s="273"/>
      <c r="R762" s="273"/>
      <c r="S762" s="273"/>
      <c r="T762" s="273"/>
      <c r="U762" s="273"/>
      <c r="V762" s="273"/>
      <c r="W762" s="273"/>
      <c r="X762" s="274"/>
      <c r="Y762" s="273"/>
      <c r="Z762" s="273"/>
      <c r="AA762" s="273"/>
      <c r="AB762" s="273"/>
      <c r="AC762" s="273"/>
      <c r="AD762" s="273"/>
      <c r="AE762" s="273"/>
      <c r="AF762" s="273"/>
      <c r="AG762" s="273"/>
      <c r="AH762" s="273"/>
      <c r="AI762" s="273"/>
    </row>
    <row r="763" spans="1:35" ht="14.25" customHeight="1">
      <c r="A763" s="273"/>
      <c r="B763" s="273"/>
      <c r="C763" s="273"/>
      <c r="D763" s="273"/>
      <c r="E763" s="273"/>
      <c r="F763" s="273"/>
      <c r="G763" s="273"/>
      <c r="H763" s="273"/>
      <c r="I763" s="273"/>
      <c r="J763" s="273"/>
      <c r="K763" s="273"/>
      <c r="L763" s="274"/>
      <c r="M763" s="273"/>
      <c r="N763" s="273"/>
      <c r="O763" s="273"/>
      <c r="P763" s="273"/>
      <c r="Q763" s="273"/>
      <c r="R763" s="273"/>
      <c r="S763" s="273"/>
      <c r="T763" s="273"/>
      <c r="U763" s="273"/>
      <c r="V763" s="273"/>
      <c r="W763" s="273"/>
      <c r="X763" s="274"/>
      <c r="Y763" s="273"/>
      <c r="Z763" s="273"/>
      <c r="AA763" s="273"/>
      <c r="AB763" s="273"/>
      <c r="AC763" s="273"/>
      <c r="AD763" s="273"/>
      <c r="AE763" s="273"/>
      <c r="AF763" s="273"/>
      <c r="AG763" s="273"/>
      <c r="AH763" s="273"/>
      <c r="AI763" s="273"/>
    </row>
    <row r="764" spans="1:35" ht="14.25" customHeight="1">
      <c r="A764" s="273"/>
      <c r="B764" s="273"/>
      <c r="C764" s="273"/>
      <c r="D764" s="273"/>
      <c r="E764" s="273"/>
      <c r="F764" s="273"/>
      <c r="G764" s="273"/>
      <c r="H764" s="273"/>
      <c r="I764" s="273"/>
      <c r="J764" s="273"/>
      <c r="K764" s="273"/>
      <c r="L764" s="274"/>
      <c r="M764" s="273"/>
      <c r="N764" s="273"/>
      <c r="O764" s="273"/>
      <c r="P764" s="273"/>
      <c r="Q764" s="273"/>
      <c r="R764" s="273"/>
      <c r="S764" s="273"/>
      <c r="T764" s="273"/>
      <c r="U764" s="273"/>
      <c r="V764" s="273"/>
      <c r="W764" s="273"/>
      <c r="X764" s="274"/>
      <c r="Y764" s="273"/>
      <c r="Z764" s="273"/>
      <c r="AA764" s="273"/>
      <c r="AB764" s="273"/>
      <c r="AC764" s="273"/>
      <c r="AD764" s="273"/>
      <c r="AE764" s="273"/>
      <c r="AF764" s="273"/>
      <c r="AG764" s="273"/>
      <c r="AH764" s="273"/>
      <c r="AI764" s="273"/>
    </row>
    <row r="765" spans="1:35" ht="14.25" customHeight="1">
      <c r="A765" s="273"/>
      <c r="B765" s="273"/>
      <c r="C765" s="273"/>
      <c r="D765" s="273"/>
      <c r="E765" s="273"/>
      <c r="F765" s="273"/>
      <c r="G765" s="273"/>
      <c r="H765" s="273"/>
      <c r="I765" s="273"/>
      <c r="J765" s="273"/>
      <c r="K765" s="273"/>
      <c r="L765" s="274"/>
      <c r="M765" s="273"/>
      <c r="N765" s="273"/>
      <c r="O765" s="273"/>
      <c r="P765" s="273"/>
      <c r="Q765" s="273"/>
      <c r="R765" s="273"/>
      <c r="S765" s="273"/>
      <c r="T765" s="273"/>
      <c r="U765" s="273"/>
      <c r="V765" s="273"/>
      <c r="W765" s="273"/>
      <c r="X765" s="274"/>
      <c r="Y765" s="273"/>
      <c r="Z765" s="273"/>
      <c r="AA765" s="273"/>
      <c r="AB765" s="273"/>
      <c r="AC765" s="273"/>
      <c r="AD765" s="273"/>
      <c r="AE765" s="273"/>
      <c r="AF765" s="273"/>
      <c r="AG765" s="273"/>
      <c r="AH765" s="273"/>
      <c r="AI765" s="273"/>
    </row>
    <row r="766" spans="1:35" ht="14.25" customHeight="1">
      <c r="A766" s="273"/>
      <c r="B766" s="273"/>
      <c r="C766" s="273"/>
      <c r="D766" s="273"/>
      <c r="E766" s="273"/>
      <c r="F766" s="273"/>
      <c r="G766" s="273"/>
      <c r="H766" s="273"/>
      <c r="I766" s="273"/>
      <c r="J766" s="273"/>
      <c r="K766" s="273"/>
      <c r="L766" s="274"/>
      <c r="M766" s="273"/>
      <c r="N766" s="273"/>
      <c r="O766" s="273"/>
      <c r="P766" s="273"/>
      <c r="Q766" s="273"/>
      <c r="R766" s="273"/>
      <c r="S766" s="273"/>
      <c r="T766" s="273"/>
      <c r="U766" s="273"/>
      <c r="V766" s="273"/>
      <c r="W766" s="273"/>
      <c r="X766" s="274"/>
      <c r="Y766" s="273"/>
      <c r="Z766" s="273"/>
      <c r="AA766" s="273"/>
      <c r="AB766" s="273"/>
      <c r="AC766" s="273"/>
      <c r="AD766" s="273"/>
      <c r="AE766" s="273"/>
      <c r="AF766" s="273"/>
      <c r="AG766" s="273"/>
      <c r="AH766" s="273"/>
      <c r="AI766" s="273"/>
    </row>
    <row r="767" spans="1:35" ht="14.25" customHeight="1">
      <c r="A767" s="273"/>
      <c r="B767" s="273"/>
      <c r="C767" s="273"/>
      <c r="D767" s="273"/>
      <c r="E767" s="273"/>
      <c r="F767" s="273"/>
      <c r="G767" s="273"/>
      <c r="H767" s="273"/>
      <c r="I767" s="273"/>
      <c r="J767" s="273"/>
      <c r="K767" s="273"/>
      <c r="L767" s="274"/>
      <c r="M767" s="273"/>
      <c r="N767" s="273"/>
      <c r="O767" s="273"/>
      <c r="P767" s="273"/>
      <c r="Q767" s="273"/>
      <c r="R767" s="273"/>
      <c r="S767" s="273"/>
      <c r="T767" s="273"/>
      <c r="U767" s="273"/>
      <c r="V767" s="273"/>
      <c r="W767" s="273"/>
      <c r="X767" s="274"/>
      <c r="Y767" s="273"/>
      <c r="Z767" s="273"/>
      <c r="AA767" s="273"/>
      <c r="AB767" s="273"/>
      <c r="AC767" s="273"/>
      <c r="AD767" s="273"/>
      <c r="AE767" s="273"/>
      <c r="AF767" s="273"/>
      <c r="AG767" s="273"/>
      <c r="AH767" s="273"/>
      <c r="AI767" s="273"/>
    </row>
    <row r="768" spans="1:35" ht="14.25" customHeight="1">
      <c r="A768" s="273"/>
      <c r="B768" s="273"/>
      <c r="C768" s="273"/>
      <c r="D768" s="273"/>
      <c r="E768" s="273"/>
      <c r="F768" s="273"/>
      <c r="G768" s="273"/>
      <c r="H768" s="273"/>
      <c r="I768" s="273"/>
      <c r="J768" s="273"/>
      <c r="K768" s="273"/>
      <c r="L768" s="274"/>
      <c r="M768" s="273"/>
      <c r="N768" s="273"/>
      <c r="O768" s="273"/>
      <c r="P768" s="273"/>
      <c r="Q768" s="273"/>
      <c r="R768" s="273"/>
      <c r="S768" s="273"/>
      <c r="T768" s="273"/>
      <c r="U768" s="273"/>
      <c r="V768" s="273"/>
      <c r="W768" s="273"/>
      <c r="X768" s="274"/>
      <c r="Y768" s="273"/>
      <c r="Z768" s="273"/>
      <c r="AA768" s="273"/>
      <c r="AB768" s="273"/>
      <c r="AC768" s="273"/>
      <c r="AD768" s="273"/>
      <c r="AE768" s="273"/>
      <c r="AF768" s="273"/>
      <c r="AG768" s="273"/>
      <c r="AH768" s="273"/>
      <c r="AI768" s="273"/>
    </row>
    <row r="769" spans="1:35" ht="14.25" customHeight="1">
      <c r="A769" s="273"/>
      <c r="B769" s="273"/>
      <c r="C769" s="273"/>
      <c r="D769" s="273"/>
      <c r="E769" s="273"/>
      <c r="F769" s="273"/>
      <c r="G769" s="273"/>
      <c r="H769" s="273"/>
      <c r="I769" s="273"/>
      <c r="J769" s="273"/>
      <c r="K769" s="273"/>
      <c r="L769" s="274"/>
      <c r="M769" s="273"/>
      <c r="N769" s="273"/>
      <c r="O769" s="273"/>
      <c r="P769" s="273"/>
      <c r="Q769" s="273"/>
      <c r="R769" s="273"/>
      <c r="S769" s="273"/>
      <c r="T769" s="273"/>
      <c r="U769" s="273"/>
      <c r="V769" s="273"/>
      <c r="W769" s="273"/>
      <c r="X769" s="274"/>
      <c r="Y769" s="273"/>
      <c r="Z769" s="273"/>
      <c r="AA769" s="273"/>
      <c r="AB769" s="273"/>
      <c r="AC769" s="273"/>
      <c r="AD769" s="273"/>
      <c r="AE769" s="273"/>
      <c r="AF769" s="273"/>
      <c r="AG769" s="273"/>
      <c r="AH769" s="273"/>
      <c r="AI769" s="273"/>
    </row>
    <row r="770" spans="1:35" ht="14.25" customHeight="1">
      <c r="A770" s="273"/>
      <c r="B770" s="273"/>
      <c r="C770" s="273"/>
      <c r="D770" s="273"/>
      <c r="E770" s="273"/>
      <c r="F770" s="273"/>
      <c r="G770" s="273"/>
      <c r="H770" s="273"/>
      <c r="I770" s="273"/>
      <c r="J770" s="273"/>
      <c r="K770" s="273"/>
      <c r="L770" s="274"/>
      <c r="M770" s="273"/>
      <c r="N770" s="273"/>
      <c r="O770" s="273"/>
      <c r="P770" s="273"/>
      <c r="Q770" s="273"/>
      <c r="R770" s="273"/>
      <c r="S770" s="273"/>
      <c r="T770" s="273"/>
      <c r="U770" s="273"/>
      <c r="V770" s="273"/>
      <c r="W770" s="273"/>
      <c r="X770" s="274"/>
      <c r="Y770" s="273"/>
      <c r="Z770" s="273"/>
      <c r="AA770" s="273"/>
      <c r="AB770" s="273"/>
      <c r="AC770" s="273"/>
      <c r="AD770" s="273"/>
      <c r="AE770" s="273"/>
      <c r="AF770" s="273"/>
      <c r="AG770" s="273"/>
      <c r="AH770" s="273"/>
      <c r="AI770" s="273"/>
    </row>
    <row r="771" spans="1:35" ht="14.25" customHeight="1">
      <c r="A771" s="273"/>
      <c r="B771" s="273"/>
      <c r="C771" s="273"/>
      <c r="D771" s="273"/>
      <c r="E771" s="273"/>
      <c r="F771" s="273"/>
      <c r="G771" s="273"/>
      <c r="H771" s="273"/>
      <c r="I771" s="273"/>
      <c r="J771" s="273"/>
      <c r="K771" s="273"/>
      <c r="L771" s="274"/>
      <c r="M771" s="273"/>
      <c r="N771" s="273"/>
      <c r="O771" s="273"/>
      <c r="P771" s="273"/>
      <c r="Q771" s="273"/>
      <c r="R771" s="273"/>
      <c r="S771" s="273"/>
      <c r="T771" s="273"/>
      <c r="U771" s="273"/>
      <c r="V771" s="273"/>
      <c r="W771" s="273"/>
      <c r="X771" s="274"/>
      <c r="Y771" s="273"/>
      <c r="Z771" s="273"/>
      <c r="AA771" s="273"/>
      <c r="AB771" s="273"/>
      <c r="AC771" s="273"/>
      <c r="AD771" s="273"/>
      <c r="AE771" s="273"/>
      <c r="AF771" s="273"/>
      <c r="AG771" s="273"/>
      <c r="AH771" s="273"/>
      <c r="AI771" s="273"/>
    </row>
    <row r="772" spans="1:35" ht="14.25" customHeight="1">
      <c r="A772" s="273"/>
      <c r="B772" s="273"/>
      <c r="C772" s="273"/>
      <c r="D772" s="273"/>
      <c r="E772" s="273"/>
      <c r="F772" s="273"/>
      <c r="G772" s="273"/>
      <c r="H772" s="273"/>
      <c r="I772" s="273"/>
      <c r="J772" s="273"/>
      <c r="K772" s="273"/>
      <c r="L772" s="274"/>
      <c r="M772" s="273"/>
      <c r="N772" s="273"/>
      <c r="O772" s="273"/>
      <c r="P772" s="273"/>
      <c r="Q772" s="273"/>
      <c r="R772" s="273"/>
      <c r="S772" s="273"/>
      <c r="T772" s="273"/>
      <c r="U772" s="273"/>
      <c r="V772" s="273"/>
      <c r="W772" s="273"/>
      <c r="X772" s="274"/>
      <c r="Y772" s="273"/>
      <c r="Z772" s="273"/>
      <c r="AA772" s="273"/>
      <c r="AB772" s="273"/>
      <c r="AC772" s="273"/>
      <c r="AD772" s="273"/>
      <c r="AE772" s="273"/>
      <c r="AF772" s="273"/>
      <c r="AG772" s="273"/>
      <c r="AH772" s="273"/>
      <c r="AI772" s="273"/>
    </row>
    <row r="773" spans="1:35" ht="14.25" customHeight="1">
      <c r="A773" s="273"/>
      <c r="B773" s="273"/>
      <c r="C773" s="273"/>
      <c r="D773" s="273"/>
      <c r="E773" s="273"/>
      <c r="F773" s="273"/>
      <c r="G773" s="273"/>
      <c r="H773" s="273"/>
      <c r="I773" s="273"/>
      <c r="J773" s="273"/>
      <c r="K773" s="273"/>
      <c r="L773" s="274"/>
      <c r="M773" s="273"/>
      <c r="N773" s="273"/>
      <c r="O773" s="273"/>
      <c r="P773" s="273"/>
      <c r="Q773" s="273"/>
      <c r="R773" s="273"/>
      <c r="S773" s="273"/>
      <c r="T773" s="273"/>
      <c r="U773" s="273"/>
      <c r="V773" s="273"/>
      <c r="W773" s="273"/>
      <c r="X773" s="274"/>
      <c r="Y773" s="273"/>
      <c r="Z773" s="273"/>
      <c r="AA773" s="273"/>
      <c r="AB773" s="273"/>
      <c r="AC773" s="273"/>
      <c r="AD773" s="273"/>
      <c r="AE773" s="273"/>
      <c r="AF773" s="273"/>
      <c r="AG773" s="273"/>
      <c r="AH773" s="273"/>
      <c r="AI773" s="273"/>
    </row>
    <row r="774" spans="1:35" ht="14.25" customHeight="1">
      <c r="A774" s="273"/>
      <c r="B774" s="273"/>
      <c r="C774" s="273"/>
      <c r="D774" s="273"/>
      <c r="E774" s="273"/>
      <c r="F774" s="273"/>
      <c r="G774" s="273"/>
      <c r="H774" s="273"/>
      <c r="I774" s="273"/>
      <c r="J774" s="273"/>
      <c r="K774" s="273"/>
      <c r="L774" s="274"/>
      <c r="M774" s="273"/>
      <c r="N774" s="273"/>
      <c r="O774" s="273"/>
      <c r="P774" s="273"/>
      <c r="Q774" s="273"/>
      <c r="R774" s="273"/>
      <c r="S774" s="273"/>
      <c r="T774" s="273"/>
      <c r="U774" s="273"/>
      <c r="V774" s="273"/>
      <c r="W774" s="273"/>
      <c r="X774" s="274"/>
      <c r="Y774" s="273"/>
      <c r="Z774" s="273"/>
      <c r="AA774" s="273"/>
      <c r="AB774" s="273"/>
      <c r="AC774" s="273"/>
      <c r="AD774" s="273"/>
      <c r="AE774" s="273"/>
      <c r="AF774" s="273"/>
      <c r="AG774" s="273"/>
      <c r="AH774" s="273"/>
      <c r="AI774" s="273"/>
    </row>
    <row r="775" spans="1:35" ht="14.25" customHeight="1">
      <c r="A775" s="273"/>
      <c r="B775" s="273"/>
      <c r="C775" s="273"/>
      <c r="D775" s="273"/>
      <c r="E775" s="273"/>
      <c r="F775" s="273"/>
      <c r="G775" s="273"/>
      <c r="H775" s="273"/>
      <c r="I775" s="273"/>
      <c r="J775" s="273"/>
      <c r="K775" s="273"/>
      <c r="L775" s="274"/>
      <c r="M775" s="273"/>
      <c r="N775" s="273"/>
      <c r="O775" s="273"/>
      <c r="P775" s="273"/>
      <c r="Q775" s="273"/>
      <c r="R775" s="273"/>
      <c r="S775" s="273"/>
      <c r="T775" s="273"/>
      <c r="U775" s="273"/>
      <c r="V775" s="273"/>
      <c r="W775" s="273"/>
      <c r="X775" s="274"/>
      <c r="Y775" s="273"/>
      <c r="Z775" s="273"/>
      <c r="AA775" s="273"/>
      <c r="AB775" s="273"/>
      <c r="AC775" s="273"/>
      <c r="AD775" s="273"/>
      <c r="AE775" s="273"/>
      <c r="AF775" s="273"/>
      <c r="AG775" s="273"/>
      <c r="AH775" s="273"/>
      <c r="AI775" s="273"/>
    </row>
    <row r="776" spans="1:35" ht="14.25" customHeight="1">
      <c r="A776" s="273"/>
      <c r="B776" s="273"/>
      <c r="C776" s="273"/>
      <c r="D776" s="273"/>
      <c r="E776" s="273"/>
      <c r="F776" s="273"/>
      <c r="G776" s="273"/>
      <c r="H776" s="273"/>
      <c r="I776" s="273"/>
      <c r="J776" s="273"/>
      <c r="K776" s="273"/>
      <c r="L776" s="274"/>
      <c r="M776" s="273"/>
      <c r="N776" s="273"/>
      <c r="O776" s="273"/>
      <c r="P776" s="273"/>
      <c r="Q776" s="273"/>
      <c r="R776" s="273"/>
      <c r="S776" s="273"/>
      <c r="T776" s="273"/>
      <c r="U776" s="273"/>
      <c r="V776" s="273"/>
      <c r="W776" s="273"/>
      <c r="X776" s="274"/>
      <c r="Y776" s="273"/>
      <c r="Z776" s="273"/>
      <c r="AA776" s="273"/>
      <c r="AB776" s="273"/>
      <c r="AC776" s="273"/>
      <c r="AD776" s="273"/>
      <c r="AE776" s="273"/>
      <c r="AF776" s="273"/>
      <c r="AG776" s="273"/>
      <c r="AH776" s="273"/>
      <c r="AI776" s="273"/>
    </row>
    <row r="777" spans="1:35" ht="14.25" customHeight="1">
      <c r="A777" s="273"/>
      <c r="B777" s="273"/>
      <c r="C777" s="273"/>
      <c r="D777" s="273"/>
      <c r="E777" s="273"/>
      <c r="F777" s="273"/>
      <c r="G777" s="273"/>
      <c r="H777" s="273"/>
      <c r="I777" s="273"/>
      <c r="J777" s="273"/>
      <c r="K777" s="273"/>
      <c r="L777" s="274"/>
      <c r="M777" s="273"/>
      <c r="N777" s="273"/>
      <c r="O777" s="273"/>
      <c r="P777" s="273"/>
      <c r="Q777" s="273"/>
      <c r="R777" s="273"/>
      <c r="S777" s="273"/>
      <c r="T777" s="273"/>
      <c r="U777" s="273"/>
      <c r="V777" s="273"/>
      <c r="W777" s="273"/>
      <c r="X777" s="274"/>
      <c r="Y777" s="273"/>
      <c r="Z777" s="273"/>
      <c r="AA777" s="273"/>
      <c r="AB777" s="273"/>
      <c r="AC777" s="273"/>
      <c r="AD777" s="273"/>
      <c r="AE777" s="273"/>
      <c r="AF777" s="273"/>
      <c r="AG777" s="273"/>
      <c r="AH777" s="273"/>
      <c r="AI777" s="273"/>
    </row>
    <row r="778" spans="1:35" ht="14.25" customHeight="1">
      <c r="A778" s="273"/>
      <c r="B778" s="273"/>
      <c r="C778" s="273"/>
      <c r="D778" s="273"/>
      <c r="E778" s="273"/>
      <c r="F778" s="273"/>
      <c r="G778" s="273"/>
      <c r="H778" s="273"/>
      <c r="I778" s="273"/>
      <c r="J778" s="273"/>
      <c r="K778" s="273"/>
      <c r="L778" s="274"/>
      <c r="M778" s="273"/>
      <c r="N778" s="273"/>
      <c r="O778" s="273"/>
      <c r="P778" s="273"/>
      <c r="Q778" s="273"/>
      <c r="R778" s="273"/>
      <c r="S778" s="273"/>
      <c r="T778" s="273"/>
      <c r="U778" s="273"/>
      <c r="V778" s="273"/>
      <c r="W778" s="273"/>
      <c r="X778" s="274"/>
      <c r="Y778" s="273"/>
      <c r="Z778" s="273"/>
      <c r="AA778" s="273"/>
      <c r="AB778" s="273"/>
      <c r="AC778" s="273"/>
      <c r="AD778" s="273"/>
      <c r="AE778" s="273"/>
      <c r="AF778" s="273"/>
      <c r="AG778" s="273"/>
      <c r="AH778" s="273"/>
      <c r="AI778" s="273"/>
    </row>
    <row r="779" spans="1:35" ht="14.25" customHeight="1">
      <c r="A779" s="273"/>
      <c r="B779" s="273"/>
      <c r="C779" s="273"/>
      <c r="D779" s="273"/>
      <c r="E779" s="273"/>
      <c r="F779" s="273"/>
      <c r="G779" s="273"/>
      <c r="H779" s="273"/>
      <c r="I779" s="273"/>
      <c r="J779" s="273"/>
      <c r="K779" s="273"/>
      <c r="L779" s="274"/>
      <c r="M779" s="273"/>
      <c r="N779" s="273"/>
      <c r="O779" s="273"/>
      <c r="P779" s="273"/>
      <c r="Q779" s="273"/>
      <c r="R779" s="273"/>
      <c r="S779" s="273"/>
      <c r="T779" s="273"/>
      <c r="U779" s="273"/>
      <c r="V779" s="273"/>
      <c r="W779" s="273"/>
      <c r="X779" s="274"/>
      <c r="Y779" s="273"/>
      <c r="Z779" s="273"/>
      <c r="AA779" s="273"/>
      <c r="AB779" s="273"/>
      <c r="AC779" s="273"/>
      <c r="AD779" s="273"/>
      <c r="AE779" s="273"/>
      <c r="AF779" s="273"/>
      <c r="AG779" s="273"/>
      <c r="AH779" s="273"/>
      <c r="AI779" s="273"/>
    </row>
    <row r="780" spans="1:35" ht="14.25" customHeight="1">
      <c r="A780" s="273"/>
      <c r="B780" s="273"/>
      <c r="C780" s="273"/>
      <c r="D780" s="273"/>
      <c r="E780" s="273"/>
      <c r="F780" s="273"/>
      <c r="G780" s="273"/>
      <c r="H780" s="273"/>
      <c r="I780" s="273"/>
      <c r="J780" s="273"/>
      <c r="K780" s="273"/>
      <c r="L780" s="274"/>
      <c r="M780" s="273"/>
      <c r="N780" s="273"/>
      <c r="O780" s="273"/>
      <c r="P780" s="273"/>
      <c r="Q780" s="273"/>
      <c r="R780" s="273"/>
      <c r="S780" s="273"/>
      <c r="T780" s="273"/>
      <c r="U780" s="273"/>
      <c r="V780" s="273"/>
      <c r="W780" s="273"/>
      <c r="X780" s="274"/>
      <c r="Y780" s="273"/>
      <c r="Z780" s="273"/>
      <c r="AA780" s="273"/>
      <c r="AB780" s="273"/>
      <c r="AC780" s="273"/>
      <c r="AD780" s="273"/>
      <c r="AE780" s="273"/>
      <c r="AF780" s="273"/>
      <c r="AG780" s="273"/>
      <c r="AH780" s="273"/>
      <c r="AI780" s="273"/>
    </row>
    <row r="781" spans="1:35" ht="14.25" customHeight="1">
      <c r="A781" s="273"/>
      <c r="B781" s="273"/>
      <c r="C781" s="273"/>
      <c r="D781" s="273"/>
      <c r="E781" s="273"/>
      <c r="F781" s="273"/>
      <c r="G781" s="273"/>
      <c r="H781" s="273"/>
      <c r="I781" s="273"/>
      <c r="J781" s="273"/>
      <c r="K781" s="273"/>
      <c r="L781" s="274"/>
      <c r="M781" s="273"/>
      <c r="N781" s="273"/>
      <c r="O781" s="273"/>
      <c r="P781" s="273"/>
      <c r="Q781" s="273"/>
      <c r="R781" s="273"/>
      <c r="S781" s="273"/>
      <c r="T781" s="273"/>
      <c r="U781" s="273"/>
      <c r="V781" s="273"/>
      <c r="W781" s="273"/>
      <c r="X781" s="274"/>
      <c r="Y781" s="273"/>
      <c r="Z781" s="273"/>
      <c r="AA781" s="273"/>
      <c r="AB781" s="273"/>
      <c r="AC781" s="273"/>
      <c r="AD781" s="273"/>
      <c r="AE781" s="273"/>
      <c r="AF781" s="273"/>
      <c r="AG781" s="273"/>
      <c r="AH781" s="273"/>
      <c r="AI781" s="273"/>
    </row>
    <row r="782" spans="1:35" ht="14.25" customHeight="1">
      <c r="A782" s="273"/>
      <c r="B782" s="273"/>
      <c r="C782" s="273"/>
      <c r="D782" s="273"/>
      <c r="E782" s="273"/>
      <c r="F782" s="273"/>
      <c r="G782" s="273"/>
      <c r="H782" s="273"/>
      <c r="I782" s="273"/>
      <c r="J782" s="273"/>
      <c r="K782" s="273"/>
      <c r="L782" s="274"/>
      <c r="M782" s="273"/>
      <c r="N782" s="273"/>
      <c r="O782" s="273"/>
      <c r="P782" s="273"/>
      <c r="Q782" s="273"/>
      <c r="R782" s="273"/>
      <c r="S782" s="273"/>
      <c r="T782" s="273"/>
      <c r="U782" s="273"/>
      <c r="V782" s="273"/>
      <c r="W782" s="273"/>
      <c r="X782" s="274"/>
      <c r="Y782" s="273"/>
      <c r="Z782" s="273"/>
      <c r="AA782" s="273"/>
      <c r="AB782" s="273"/>
      <c r="AC782" s="273"/>
      <c r="AD782" s="273"/>
      <c r="AE782" s="273"/>
      <c r="AF782" s="273"/>
      <c r="AG782" s="273"/>
      <c r="AH782" s="273"/>
      <c r="AI782" s="273"/>
    </row>
    <row r="783" spans="1:35" ht="14.25" customHeight="1">
      <c r="A783" s="273"/>
      <c r="B783" s="273"/>
      <c r="C783" s="273"/>
      <c r="D783" s="273"/>
      <c r="E783" s="273"/>
      <c r="F783" s="273"/>
      <c r="G783" s="273"/>
      <c r="H783" s="273"/>
      <c r="I783" s="273"/>
      <c r="J783" s="273"/>
      <c r="K783" s="273"/>
      <c r="L783" s="274"/>
      <c r="M783" s="273"/>
      <c r="N783" s="273"/>
      <c r="O783" s="273"/>
      <c r="P783" s="273"/>
      <c r="Q783" s="273"/>
      <c r="R783" s="273"/>
      <c r="S783" s="273"/>
      <c r="T783" s="273"/>
      <c r="U783" s="273"/>
      <c r="V783" s="273"/>
      <c r="W783" s="273"/>
      <c r="X783" s="274"/>
      <c r="Y783" s="273"/>
      <c r="Z783" s="273"/>
      <c r="AA783" s="273"/>
      <c r="AB783" s="273"/>
      <c r="AC783" s="273"/>
      <c r="AD783" s="273"/>
      <c r="AE783" s="273"/>
      <c r="AF783" s="273"/>
      <c r="AG783" s="273"/>
      <c r="AH783" s="273"/>
      <c r="AI783" s="273"/>
    </row>
    <row r="784" spans="1:35" ht="14.25" customHeight="1">
      <c r="A784" s="273"/>
      <c r="B784" s="273"/>
      <c r="C784" s="273"/>
      <c r="D784" s="273"/>
      <c r="E784" s="273"/>
      <c r="F784" s="273"/>
      <c r="G784" s="273"/>
      <c r="H784" s="273"/>
      <c r="I784" s="273"/>
      <c r="J784" s="273"/>
      <c r="K784" s="273"/>
      <c r="L784" s="274"/>
      <c r="M784" s="273"/>
      <c r="N784" s="273"/>
      <c r="O784" s="273"/>
      <c r="P784" s="273"/>
      <c r="Q784" s="273"/>
      <c r="R784" s="273"/>
      <c r="S784" s="273"/>
      <c r="T784" s="273"/>
      <c r="U784" s="273"/>
      <c r="V784" s="273"/>
      <c r="W784" s="273"/>
      <c r="X784" s="274"/>
      <c r="Y784" s="273"/>
      <c r="Z784" s="273"/>
      <c r="AA784" s="273"/>
      <c r="AB784" s="273"/>
      <c r="AC784" s="273"/>
      <c r="AD784" s="273"/>
      <c r="AE784" s="273"/>
      <c r="AF784" s="273"/>
      <c r="AG784" s="273"/>
      <c r="AH784" s="273"/>
      <c r="AI784" s="273"/>
    </row>
    <row r="785" spans="1:35" ht="14.25" customHeight="1">
      <c r="A785" s="273"/>
      <c r="B785" s="273"/>
      <c r="C785" s="273"/>
      <c r="D785" s="273"/>
      <c r="E785" s="273"/>
      <c r="F785" s="273"/>
      <c r="G785" s="273"/>
      <c r="H785" s="273"/>
      <c r="I785" s="273"/>
      <c r="J785" s="273"/>
      <c r="K785" s="273"/>
      <c r="L785" s="274"/>
      <c r="M785" s="273"/>
      <c r="N785" s="273"/>
      <c r="O785" s="273"/>
      <c r="P785" s="273"/>
      <c r="Q785" s="273"/>
      <c r="R785" s="273"/>
      <c r="S785" s="273"/>
      <c r="T785" s="273"/>
      <c r="U785" s="273"/>
      <c r="V785" s="273"/>
      <c r="W785" s="273"/>
      <c r="X785" s="274"/>
      <c r="Y785" s="273"/>
      <c r="Z785" s="273"/>
      <c r="AA785" s="273"/>
      <c r="AB785" s="273"/>
      <c r="AC785" s="273"/>
      <c r="AD785" s="273"/>
      <c r="AE785" s="273"/>
      <c r="AF785" s="273"/>
      <c r="AG785" s="273"/>
      <c r="AH785" s="273"/>
      <c r="AI785" s="273"/>
    </row>
    <row r="786" spans="1:35" ht="14.25" customHeight="1">
      <c r="A786" s="273"/>
      <c r="B786" s="273"/>
      <c r="C786" s="273"/>
      <c r="D786" s="273"/>
      <c r="E786" s="273"/>
      <c r="F786" s="273"/>
      <c r="G786" s="273"/>
      <c r="H786" s="273"/>
      <c r="I786" s="273"/>
      <c r="J786" s="273"/>
      <c r="K786" s="273"/>
      <c r="L786" s="274"/>
      <c r="M786" s="273"/>
      <c r="N786" s="273"/>
      <c r="O786" s="273"/>
      <c r="P786" s="273"/>
      <c r="Q786" s="273"/>
      <c r="R786" s="273"/>
      <c r="S786" s="273"/>
      <c r="T786" s="273"/>
      <c r="U786" s="273"/>
      <c r="V786" s="273"/>
      <c r="W786" s="273"/>
      <c r="X786" s="274"/>
      <c r="Y786" s="273"/>
      <c r="Z786" s="273"/>
      <c r="AA786" s="273"/>
      <c r="AB786" s="273"/>
      <c r="AC786" s="273"/>
      <c r="AD786" s="273"/>
      <c r="AE786" s="273"/>
      <c r="AF786" s="273"/>
      <c r="AG786" s="273"/>
      <c r="AH786" s="273"/>
      <c r="AI786" s="273"/>
    </row>
    <row r="787" spans="1:35" ht="14.25" customHeight="1">
      <c r="A787" s="273"/>
      <c r="B787" s="273"/>
      <c r="C787" s="273"/>
      <c r="D787" s="273"/>
      <c r="E787" s="273"/>
      <c r="F787" s="273"/>
      <c r="G787" s="273"/>
      <c r="H787" s="273"/>
      <c r="I787" s="273"/>
      <c r="J787" s="273"/>
      <c r="K787" s="273"/>
      <c r="L787" s="274"/>
      <c r="M787" s="273"/>
      <c r="N787" s="273"/>
      <c r="O787" s="273"/>
      <c r="P787" s="273"/>
      <c r="Q787" s="273"/>
      <c r="R787" s="273"/>
      <c r="S787" s="273"/>
      <c r="T787" s="273"/>
      <c r="U787" s="273"/>
      <c r="V787" s="273"/>
      <c r="W787" s="273"/>
      <c r="X787" s="274"/>
      <c r="Y787" s="273"/>
      <c r="Z787" s="273"/>
      <c r="AA787" s="273"/>
      <c r="AB787" s="273"/>
      <c r="AC787" s="273"/>
      <c r="AD787" s="273"/>
      <c r="AE787" s="273"/>
      <c r="AF787" s="273"/>
      <c r="AG787" s="273"/>
      <c r="AH787" s="273"/>
      <c r="AI787" s="273"/>
    </row>
    <row r="788" spans="1:35" ht="14.25" customHeight="1">
      <c r="A788" s="273"/>
      <c r="B788" s="273"/>
      <c r="C788" s="273"/>
      <c r="D788" s="273"/>
      <c r="E788" s="273"/>
      <c r="F788" s="273"/>
      <c r="G788" s="273"/>
      <c r="H788" s="273"/>
      <c r="I788" s="273"/>
      <c r="J788" s="273"/>
      <c r="K788" s="273"/>
      <c r="L788" s="274"/>
      <c r="M788" s="273"/>
      <c r="N788" s="273"/>
      <c r="O788" s="273"/>
      <c r="P788" s="273"/>
      <c r="Q788" s="273"/>
      <c r="R788" s="273"/>
      <c r="S788" s="273"/>
      <c r="T788" s="273"/>
      <c r="U788" s="273"/>
      <c r="V788" s="273"/>
      <c r="W788" s="273"/>
      <c r="X788" s="274"/>
      <c r="Y788" s="273"/>
      <c r="Z788" s="273"/>
      <c r="AA788" s="273"/>
      <c r="AB788" s="273"/>
      <c r="AC788" s="273"/>
      <c r="AD788" s="273"/>
      <c r="AE788" s="273"/>
      <c r="AF788" s="273"/>
      <c r="AG788" s="273"/>
      <c r="AH788" s="273"/>
      <c r="AI788" s="273"/>
    </row>
    <row r="789" spans="1:35" ht="14.25" customHeight="1">
      <c r="A789" s="273"/>
      <c r="B789" s="273"/>
      <c r="C789" s="273"/>
      <c r="D789" s="273"/>
      <c r="E789" s="273"/>
      <c r="F789" s="273"/>
      <c r="G789" s="273"/>
      <c r="H789" s="273"/>
      <c r="I789" s="273"/>
      <c r="J789" s="273"/>
      <c r="K789" s="273"/>
      <c r="L789" s="274"/>
      <c r="M789" s="273"/>
      <c r="N789" s="273"/>
      <c r="O789" s="273"/>
      <c r="P789" s="273"/>
      <c r="Q789" s="273"/>
      <c r="R789" s="273"/>
      <c r="S789" s="273"/>
      <c r="T789" s="273"/>
      <c r="U789" s="273"/>
      <c r="V789" s="273"/>
      <c r="W789" s="273"/>
      <c r="X789" s="274"/>
      <c r="Y789" s="273"/>
      <c r="Z789" s="273"/>
      <c r="AA789" s="273"/>
      <c r="AB789" s="273"/>
      <c r="AC789" s="273"/>
      <c r="AD789" s="273"/>
      <c r="AE789" s="273"/>
      <c r="AF789" s="273"/>
      <c r="AG789" s="273"/>
      <c r="AH789" s="273"/>
      <c r="AI789" s="273"/>
    </row>
    <row r="790" spans="1:35" ht="14.25" customHeight="1">
      <c r="A790" s="273"/>
      <c r="B790" s="273"/>
      <c r="C790" s="273"/>
      <c r="D790" s="273"/>
      <c r="E790" s="273"/>
      <c r="F790" s="273"/>
      <c r="G790" s="273"/>
      <c r="H790" s="273"/>
      <c r="I790" s="273"/>
      <c r="J790" s="273"/>
      <c r="K790" s="273"/>
      <c r="L790" s="274"/>
      <c r="M790" s="273"/>
      <c r="N790" s="273"/>
      <c r="O790" s="273"/>
      <c r="P790" s="273"/>
      <c r="Q790" s="273"/>
      <c r="R790" s="273"/>
      <c r="S790" s="273"/>
      <c r="T790" s="273"/>
      <c r="U790" s="273"/>
      <c r="V790" s="273"/>
      <c r="W790" s="273"/>
      <c r="X790" s="274"/>
      <c r="Y790" s="273"/>
      <c r="Z790" s="273"/>
      <c r="AA790" s="273"/>
      <c r="AB790" s="273"/>
      <c r="AC790" s="273"/>
      <c r="AD790" s="273"/>
      <c r="AE790" s="273"/>
      <c r="AF790" s="273"/>
      <c r="AG790" s="273"/>
      <c r="AH790" s="273"/>
      <c r="AI790" s="273"/>
    </row>
    <row r="791" spans="1:35" ht="14.25" customHeight="1">
      <c r="A791" s="273"/>
      <c r="B791" s="273"/>
      <c r="C791" s="273"/>
      <c r="D791" s="273"/>
      <c r="E791" s="273"/>
      <c r="F791" s="273"/>
      <c r="G791" s="273"/>
      <c r="H791" s="273"/>
      <c r="I791" s="273"/>
      <c r="J791" s="273"/>
      <c r="K791" s="273"/>
      <c r="L791" s="274"/>
      <c r="M791" s="273"/>
      <c r="N791" s="273"/>
      <c r="O791" s="273"/>
      <c r="P791" s="273"/>
      <c r="Q791" s="273"/>
      <c r="R791" s="273"/>
      <c r="S791" s="273"/>
      <c r="T791" s="273"/>
      <c r="U791" s="273"/>
      <c r="V791" s="273"/>
      <c r="W791" s="273"/>
      <c r="X791" s="274"/>
      <c r="Y791" s="273"/>
      <c r="Z791" s="273"/>
      <c r="AA791" s="273"/>
      <c r="AB791" s="273"/>
      <c r="AC791" s="273"/>
      <c r="AD791" s="273"/>
      <c r="AE791" s="273"/>
      <c r="AF791" s="273"/>
      <c r="AG791" s="273"/>
      <c r="AH791" s="273"/>
      <c r="AI791" s="273"/>
    </row>
    <row r="792" spans="1:35" ht="14.25" customHeight="1">
      <c r="A792" s="273"/>
      <c r="B792" s="273"/>
      <c r="C792" s="273"/>
      <c r="D792" s="273"/>
      <c r="E792" s="273"/>
      <c r="F792" s="273"/>
      <c r="G792" s="273"/>
      <c r="H792" s="273"/>
      <c r="I792" s="273"/>
      <c r="J792" s="273"/>
      <c r="K792" s="273"/>
      <c r="L792" s="274"/>
      <c r="M792" s="273"/>
      <c r="N792" s="273"/>
      <c r="O792" s="273"/>
      <c r="P792" s="273"/>
      <c r="Q792" s="273"/>
      <c r="R792" s="273"/>
      <c r="S792" s="273"/>
      <c r="T792" s="273"/>
      <c r="U792" s="273"/>
      <c r="V792" s="273"/>
      <c r="W792" s="273"/>
      <c r="X792" s="274"/>
      <c r="Y792" s="273"/>
      <c r="Z792" s="273"/>
      <c r="AA792" s="273"/>
      <c r="AB792" s="273"/>
      <c r="AC792" s="273"/>
      <c r="AD792" s="273"/>
      <c r="AE792" s="273"/>
      <c r="AF792" s="273"/>
      <c r="AG792" s="273"/>
      <c r="AH792" s="273"/>
      <c r="AI792" s="273"/>
    </row>
    <row r="793" spans="1:35" ht="14.25" customHeight="1">
      <c r="A793" s="273"/>
      <c r="B793" s="273"/>
      <c r="C793" s="273"/>
      <c r="D793" s="273"/>
      <c r="E793" s="273"/>
      <c r="F793" s="273"/>
      <c r="G793" s="273"/>
      <c r="H793" s="273"/>
      <c r="I793" s="273"/>
      <c r="J793" s="273"/>
      <c r="K793" s="273"/>
      <c r="L793" s="274"/>
      <c r="M793" s="273"/>
      <c r="N793" s="273"/>
      <c r="O793" s="273"/>
      <c r="P793" s="273"/>
      <c r="Q793" s="273"/>
      <c r="R793" s="273"/>
      <c r="S793" s="273"/>
      <c r="T793" s="273"/>
      <c r="U793" s="273"/>
      <c r="V793" s="273"/>
      <c r="W793" s="273"/>
      <c r="X793" s="274"/>
      <c r="Y793" s="273"/>
      <c r="Z793" s="273"/>
      <c r="AA793" s="273"/>
      <c r="AB793" s="273"/>
      <c r="AC793" s="273"/>
      <c r="AD793" s="273"/>
      <c r="AE793" s="273"/>
      <c r="AF793" s="273"/>
      <c r="AG793" s="273"/>
      <c r="AH793" s="273"/>
      <c r="AI793" s="273"/>
    </row>
    <row r="794" spans="1:35" ht="14.25" customHeight="1">
      <c r="A794" s="273"/>
      <c r="B794" s="273"/>
      <c r="C794" s="273"/>
      <c r="D794" s="273"/>
      <c r="E794" s="273"/>
      <c r="F794" s="273"/>
      <c r="G794" s="273"/>
      <c r="H794" s="273"/>
      <c r="I794" s="273"/>
      <c r="J794" s="273"/>
      <c r="K794" s="273"/>
      <c r="L794" s="274"/>
      <c r="M794" s="273"/>
      <c r="N794" s="273"/>
      <c r="O794" s="273"/>
      <c r="P794" s="273"/>
      <c r="Q794" s="273"/>
      <c r="R794" s="273"/>
      <c r="S794" s="273"/>
      <c r="T794" s="273"/>
      <c r="U794" s="273"/>
      <c r="V794" s="273"/>
      <c r="W794" s="273"/>
      <c r="X794" s="274"/>
      <c r="Y794" s="273"/>
      <c r="Z794" s="273"/>
      <c r="AA794" s="273"/>
      <c r="AB794" s="273"/>
      <c r="AC794" s="273"/>
      <c r="AD794" s="273"/>
      <c r="AE794" s="273"/>
      <c r="AF794" s="273"/>
      <c r="AG794" s="273"/>
      <c r="AH794" s="273"/>
      <c r="AI794" s="273"/>
    </row>
    <row r="795" spans="1:35" ht="14.25" customHeight="1">
      <c r="A795" s="273"/>
      <c r="B795" s="273"/>
      <c r="C795" s="273"/>
      <c r="D795" s="273"/>
      <c r="E795" s="273"/>
      <c r="F795" s="273"/>
      <c r="G795" s="273"/>
      <c r="H795" s="273"/>
      <c r="I795" s="273"/>
      <c r="J795" s="273"/>
      <c r="K795" s="273"/>
      <c r="L795" s="274"/>
      <c r="M795" s="273"/>
      <c r="N795" s="273"/>
      <c r="O795" s="273"/>
      <c r="P795" s="273"/>
      <c r="Q795" s="273"/>
      <c r="R795" s="273"/>
      <c r="S795" s="273"/>
      <c r="T795" s="273"/>
      <c r="U795" s="273"/>
      <c r="V795" s="273"/>
      <c r="W795" s="273"/>
      <c r="X795" s="274"/>
      <c r="Y795" s="273"/>
      <c r="Z795" s="273"/>
      <c r="AA795" s="273"/>
      <c r="AB795" s="273"/>
      <c r="AC795" s="273"/>
      <c r="AD795" s="273"/>
      <c r="AE795" s="273"/>
      <c r="AF795" s="273"/>
      <c r="AG795" s="273"/>
      <c r="AH795" s="273"/>
      <c r="AI795" s="273"/>
    </row>
    <row r="796" spans="1:35" ht="14.25" customHeight="1">
      <c r="A796" s="273"/>
      <c r="B796" s="273"/>
      <c r="C796" s="273"/>
      <c r="D796" s="273"/>
      <c r="E796" s="273"/>
      <c r="F796" s="273"/>
      <c r="G796" s="273"/>
      <c r="H796" s="273"/>
      <c r="I796" s="273"/>
      <c r="J796" s="273"/>
      <c r="K796" s="273"/>
      <c r="L796" s="274"/>
      <c r="M796" s="273"/>
      <c r="N796" s="273"/>
      <c r="O796" s="273"/>
      <c r="P796" s="273"/>
      <c r="Q796" s="273"/>
      <c r="R796" s="273"/>
      <c r="S796" s="273"/>
      <c r="T796" s="273"/>
      <c r="U796" s="273"/>
      <c r="V796" s="273"/>
      <c r="W796" s="273"/>
      <c r="X796" s="274"/>
      <c r="Y796" s="273"/>
      <c r="Z796" s="273"/>
      <c r="AA796" s="273"/>
      <c r="AB796" s="273"/>
      <c r="AC796" s="273"/>
      <c r="AD796" s="273"/>
      <c r="AE796" s="273"/>
      <c r="AF796" s="273"/>
      <c r="AG796" s="273"/>
      <c r="AH796" s="273"/>
      <c r="AI796" s="273"/>
    </row>
    <row r="797" spans="1:35" ht="14.25" customHeight="1">
      <c r="A797" s="273"/>
      <c r="B797" s="273"/>
      <c r="C797" s="273"/>
      <c r="D797" s="273"/>
      <c r="E797" s="273"/>
      <c r="F797" s="273"/>
      <c r="G797" s="273"/>
      <c r="H797" s="273"/>
      <c r="I797" s="273"/>
      <c r="J797" s="273"/>
      <c r="K797" s="273"/>
      <c r="L797" s="274"/>
      <c r="M797" s="273"/>
      <c r="N797" s="273"/>
      <c r="O797" s="273"/>
      <c r="P797" s="273"/>
      <c r="Q797" s="273"/>
      <c r="R797" s="273"/>
      <c r="S797" s="273"/>
      <c r="T797" s="273"/>
      <c r="U797" s="273"/>
      <c r="V797" s="273"/>
      <c r="W797" s="273"/>
      <c r="X797" s="274"/>
      <c r="Y797" s="273"/>
      <c r="Z797" s="273"/>
      <c r="AA797" s="273"/>
      <c r="AB797" s="273"/>
      <c r="AC797" s="273"/>
      <c r="AD797" s="273"/>
      <c r="AE797" s="273"/>
      <c r="AF797" s="273"/>
      <c r="AG797" s="273"/>
      <c r="AH797" s="273"/>
      <c r="AI797" s="273"/>
    </row>
    <row r="798" spans="1:35" ht="14.25" customHeight="1">
      <c r="A798" s="273"/>
      <c r="B798" s="273"/>
      <c r="C798" s="273"/>
      <c r="D798" s="273"/>
      <c r="E798" s="273"/>
      <c r="F798" s="273"/>
      <c r="G798" s="273"/>
      <c r="H798" s="273"/>
      <c r="I798" s="273"/>
      <c r="J798" s="273"/>
      <c r="K798" s="273"/>
      <c r="L798" s="274"/>
      <c r="M798" s="273"/>
      <c r="N798" s="273"/>
      <c r="O798" s="273"/>
      <c r="P798" s="273"/>
      <c r="Q798" s="273"/>
      <c r="R798" s="273"/>
      <c r="S798" s="273"/>
      <c r="T798" s="273"/>
      <c r="U798" s="273"/>
      <c r="V798" s="273"/>
      <c r="W798" s="273"/>
      <c r="X798" s="274"/>
      <c r="Y798" s="273"/>
      <c r="Z798" s="273"/>
      <c r="AA798" s="273"/>
      <c r="AB798" s="273"/>
      <c r="AC798" s="273"/>
      <c r="AD798" s="273"/>
      <c r="AE798" s="273"/>
      <c r="AF798" s="273"/>
      <c r="AG798" s="273"/>
      <c r="AH798" s="273"/>
      <c r="AI798" s="273"/>
    </row>
    <row r="799" spans="1:35" ht="14.25" customHeight="1">
      <c r="A799" s="273"/>
      <c r="B799" s="273"/>
      <c r="C799" s="273"/>
      <c r="D799" s="273"/>
      <c r="E799" s="273"/>
      <c r="F799" s="273"/>
      <c r="G799" s="273"/>
      <c r="H799" s="273"/>
      <c r="I799" s="273"/>
      <c r="J799" s="273"/>
      <c r="K799" s="273"/>
      <c r="L799" s="274"/>
      <c r="M799" s="273"/>
      <c r="N799" s="273"/>
      <c r="O799" s="273"/>
      <c r="P799" s="273"/>
      <c r="Q799" s="273"/>
      <c r="R799" s="273"/>
      <c r="S799" s="273"/>
      <c r="T799" s="273"/>
      <c r="U799" s="273"/>
      <c r="V799" s="273"/>
      <c r="W799" s="273"/>
      <c r="X799" s="274"/>
      <c r="Y799" s="273"/>
      <c r="Z799" s="273"/>
      <c r="AA799" s="273"/>
      <c r="AB799" s="273"/>
      <c r="AC799" s="273"/>
      <c r="AD799" s="273"/>
      <c r="AE799" s="273"/>
      <c r="AF799" s="273"/>
      <c r="AG799" s="273"/>
      <c r="AH799" s="273"/>
      <c r="AI799" s="273"/>
    </row>
    <row r="800" spans="1:35" ht="14.25" customHeight="1">
      <c r="A800" s="273"/>
      <c r="B800" s="273"/>
      <c r="C800" s="273"/>
      <c r="D800" s="273"/>
      <c r="E800" s="273"/>
      <c r="F800" s="273"/>
      <c r="G800" s="273"/>
      <c r="H800" s="273"/>
      <c r="I800" s="273"/>
      <c r="J800" s="273"/>
      <c r="K800" s="273"/>
      <c r="L800" s="274"/>
      <c r="M800" s="273"/>
      <c r="N800" s="273"/>
      <c r="O800" s="273"/>
      <c r="P800" s="273"/>
      <c r="Q800" s="273"/>
      <c r="R800" s="273"/>
      <c r="S800" s="273"/>
      <c r="T800" s="273"/>
      <c r="U800" s="273"/>
      <c r="V800" s="273"/>
      <c r="W800" s="273"/>
      <c r="X800" s="274"/>
      <c r="Y800" s="273"/>
      <c r="Z800" s="273"/>
      <c r="AA800" s="273"/>
      <c r="AB800" s="273"/>
      <c r="AC800" s="273"/>
      <c r="AD800" s="273"/>
      <c r="AE800" s="273"/>
      <c r="AF800" s="273"/>
      <c r="AG800" s="273"/>
      <c r="AH800" s="273"/>
      <c r="AI800" s="273"/>
    </row>
    <row r="801" spans="1:35" ht="14.25" customHeight="1">
      <c r="A801" s="273"/>
      <c r="B801" s="273"/>
      <c r="C801" s="273"/>
      <c r="D801" s="273"/>
      <c r="E801" s="273"/>
      <c r="F801" s="273"/>
      <c r="G801" s="273"/>
      <c r="H801" s="273"/>
      <c r="I801" s="273"/>
      <c r="J801" s="273"/>
      <c r="K801" s="273"/>
      <c r="L801" s="274"/>
      <c r="M801" s="273"/>
      <c r="N801" s="273"/>
      <c r="O801" s="273"/>
      <c r="P801" s="273"/>
      <c r="Q801" s="273"/>
      <c r="R801" s="273"/>
      <c r="S801" s="273"/>
      <c r="T801" s="273"/>
      <c r="U801" s="273"/>
      <c r="V801" s="273"/>
      <c r="W801" s="273"/>
      <c r="X801" s="274"/>
      <c r="Y801" s="273"/>
      <c r="Z801" s="273"/>
      <c r="AA801" s="273"/>
      <c r="AB801" s="273"/>
      <c r="AC801" s="273"/>
      <c r="AD801" s="273"/>
      <c r="AE801" s="273"/>
      <c r="AF801" s="273"/>
      <c r="AG801" s="273"/>
      <c r="AH801" s="273"/>
      <c r="AI801" s="273"/>
    </row>
    <row r="802" spans="1:35" ht="14.25" customHeight="1">
      <c r="A802" s="273"/>
      <c r="B802" s="273"/>
      <c r="C802" s="273"/>
      <c r="D802" s="273"/>
      <c r="E802" s="273"/>
      <c r="F802" s="273"/>
      <c r="G802" s="273"/>
      <c r="H802" s="273"/>
      <c r="I802" s="273"/>
      <c r="J802" s="273"/>
      <c r="K802" s="273"/>
      <c r="L802" s="274"/>
      <c r="M802" s="273"/>
      <c r="N802" s="273"/>
      <c r="O802" s="273"/>
      <c r="P802" s="273"/>
      <c r="Q802" s="273"/>
      <c r="R802" s="273"/>
      <c r="S802" s="273"/>
      <c r="T802" s="273"/>
      <c r="U802" s="273"/>
      <c r="V802" s="273"/>
      <c r="W802" s="273"/>
      <c r="X802" s="274"/>
      <c r="Y802" s="273"/>
      <c r="Z802" s="273"/>
      <c r="AA802" s="273"/>
      <c r="AB802" s="273"/>
      <c r="AC802" s="273"/>
      <c r="AD802" s="273"/>
      <c r="AE802" s="273"/>
      <c r="AF802" s="273"/>
      <c r="AG802" s="273"/>
      <c r="AH802" s="273"/>
      <c r="AI802" s="273"/>
    </row>
    <row r="803" spans="1:35" ht="14.25" customHeight="1">
      <c r="A803" s="273"/>
      <c r="B803" s="273"/>
      <c r="C803" s="273"/>
      <c r="D803" s="273"/>
      <c r="E803" s="273"/>
      <c r="F803" s="273"/>
      <c r="G803" s="273"/>
      <c r="H803" s="273"/>
      <c r="I803" s="273"/>
      <c r="J803" s="273"/>
      <c r="K803" s="273"/>
      <c r="L803" s="274"/>
      <c r="M803" s="273"/>
      <c r="N803" s="273"/>
      <c r="O803" s="273"/>
      <c r="P803" s="273"/>
      <c r="Q803" s="273"/>
      <c r="R803" s="273"/>
      <c r="S803" s="273"/>
      <c r="T803" s="273"/>
      <c r="U803" s="273"/>
      <c r="V803" s="273"/>
      <c r="W803" s="273"/>
      <c r="X803" s="274"/>
      <c r="Y803" s="273"/>
      <c r="Z803" s="273"/>
      <c r="AA803" s="273"/>
      <c r="AB803" s="273"/>
      <c r="AC803" s="273"/>
      <c r="AD803" s="273"/>
      <c r="AE803" s="273"/>
      <c r="AF803" s="273"/>
      <c r="AG803" s="273"/>
      <c r="AH803" s="273"/>
      <c r="AI803" s="273"/>
    </row>
    <row r="804" spans="1:35" ht="14.25" customHeight="1">
      <c r="A804" s="273"/>
      <c r="B804" s="273"/>
      <c r="C804" s="273"/>
      <c r="D804" s="273"/>
      <c r="E804" s="273"/>
      <c r="F804" s="273"/>
      <c r="G804" s="273"/>
      <c r="H804" s="273"/>
      <c r="I804" s="273"/>
      <c r="J804" s="273"/>
      <c r="K804" s="273"/>
      <c r="L804" s="274"/>
      <c r="M804" s="273"/>
      <c r="N804" s="273"/>
      <c r="O804" s="273"/>
      <c r="P804" s="273"/>
      <c r="Q804" s="273"/>
      <c r="R804" s="273"/>
      <c r="S804" s="273"/>
      <c r="T804" s="273"/>
      <c r="U804" s="273"/>
      <c r="V804" s="273"/>
      <c r="W804" s="273"/>
      <c r="X804" s="274"/>
      <c r="Y804" s="273"/>
      <c r="Z804" s="273"/>
      <c r="AA804" s="273"/>
      <c r="AB804" s="273"/>
      <c r="AC804" s="273"/>
      <c r="AD804" s="273"/>
      <c r="AE804" s="273"/>
      <c r="AF804" s="273"/>
      <c r="AG804" s="273"/>
      <c r="AH804" s="273"/>
      <c r="AI804" s="273"/>
    </row>
    <row r="805" spans="1:35" ht="14.25" customHeight="1">
      <c r="A805" s="273"/>
      <c r="B805" s="273"/>
      <c r="C805" s="273"/>
      <c r="D805" s="273"/>
      <c r="E805" s="273"/>
      <c r="F805" s="273"/>
      <c r="G805" s="273"/>
      <c r="H805" s="273"/>
      <c r="I805" s="273"/>
      <c r="J805" s="273"/>
      <c r="K805" s="273"/>
      <c r="L805" s="274"/>
      <c r="M805" s="273"/>
      <c r="N805" s="273"/>
      <c r="O805" s="273"/>
      <c r="P805" s="273"/>
      <c r="Q805" s="273"/>
      <c r="R805" s="273"/>
      <c r="S805" s="273"/>
      <c r="T805" s="273"/>
      <c r="U805" s="273"/>
      <c r="V805" s="273"/>
      <c r="W805" s="273"/>
      <c r="X805" s="274"/>
      <c r="Y805" s="273"/>
      <c r="Z805" s="273"/>
      <c r="AA805" s="273"/>
      <c r="AB805" s="273"/>
      <c r="AC805" s="273"/>
      <c r="AD805" s="273"/>
      <c r="AE805" s="273"/>
      <c r="AF805" s="273"/>
      <c r="AG805" s="273"/>
      <c r="AH805" s="273"/>
      <c r="AI805" s="273"/>
    </row>
    <row r="806" spans="1:35" ht="14.25" customHeight="1">
      <c r="A806" s="273"/>
      <c r="B806" s="273"/>
      <c r="C806" s="273"/>
      <c r="D806" s="273"/>
      <c r="E806" s="273"/>
      <c r="F806" s="273"/>
      <c r="G806" s="273"/>
      <c r="H806" s="273"/>
      <c r="I806" s="273"/>
      <c r="J806" s="273"/>
      <c r="K806" s="273"/>
      <c r="L806" s="274"/>
      <c r="M806" s="273"/>
      <c r="N806" s="273"/>
      <c r="O806" s="273"/>
      <c r="P806" s="273"/>
      <c r="Q806" s="273"/>
      <c r="R806" s="273"/>
      <c r="S806" s="273"/>
      <c r="T806" s="273"/>
      <c r="U806" s="273"/>
      <c r="V806" s="273"/>
      <c r="W806" s="273"/>
      <c r="X806" s="274"/>
      <c r="Y806" s="273"/>
      <c r="Z806" s="273"/>
      <c r="AA806" s="273"/>
      <c r="AB806" s="273"/>
      <c r="AC806" s="273"/>
      <c r="AD806" s="273"/>
      <c r="AE806" s="273"/>
      <c r="AF806" s="273"/>
      <c r="AG806" s="273"/>
      <c r="AH806" s="273"/>
      <c r="AI806" s="273"/>
    </row>
    <row r="807" spans="1:35" ht="14.25" customHeight="1">
      <c r="A807" s="273"/>
      <c r="B807" s="273"/>
      <c r="C807" s="273"/>
      <c r="D807" s="273"/>
      <c r="E807" s="273"/>
      <c r="F807" s="273"/>
      <c r="G807" s="273"/>
      <c r="H807" s="273"/>
      <c r="I807" s="273"/>
      <c r="J807" s="273"/>
      <c r="K807" s="273"/>
      <c r="L807" s="274"/>
      <c r="M807" s="273"/>
      <c r="N807" s="273"/>
      <c r="O807" s="273"/>
      <c r="P807" s="273"/>
      <c r="Q807" s="273"/>
      <c r="R807" s="273"/>
      <c r="S807" s="273"/>
      <c r="T807" s="273"/>
      <c r="U807" s="273"/>
      <c r="V807" s="273"/>
      <c r="W807" s="273"/>
      <c r="X807" s="274"/>
      <c r="Y807" s="273"/>
      <c r="Z807" s="273"/>
      <c r="AA807" s="273"/>
      <c r="AB807" s="273"/>
      <c r="AC807" s="273"/>
      <c r="AD807" s="273"/>
      <c r="AE807" s="273"/>
      <c r="AF807" s="273"/>
      <c r="AG807" s="273"/>
      <c r="AH807" s="273"/>
      <c r="AI807" s="273"/>
    </row>
    <row r="808" spans="1:35" ht="14.25" customHeight="1">
      <c r="A808" s="273"/>
      <c r="B808" s="273"/>
      <c r="C808" s="273"/>
      <c r="D808" s="273"/>
      <c r="E808" s="273"/>
      <c r="F808" s="273"/>
      <c r="G808" s="273"/>
      <c r="H808" s="273"/>
      <c r="I808" s="273"/>
      <c r="J808" s="273"/>
      <c r="K808" s="273"/>
      <c r="L808" s="274"/>
      <c r="M808" s="273"/>
      <c r="N808" s="273"/>
      <c r="O808" s="273"/>
      <c r="P808" s="273"/>
      <c r="Q808" s="273"/>
      <c r="R808" s="273"/>
      <c r="S808" s="273"/>
      <c r="T808" s="273"/>
      <c r="U808" s="273"/>
      <c r="V808" s="273"/>
      <c r="W808" s="273"/>
      <c r="X808" s="274"/>
      <c r="Y808" s="273"/>
      <c r="Z808" s="273"/>
      <c r="AA808" s="273"/>
      <c r="AB808" s="273"/>
      <c r="AC808" s="273"/>
      <c r="AD808" s="273"/>
      <c r="AE808" s="273"/>
      <c r="AF808" s="273"/>
      <c r="AG808" s="273"/>
      <c r="AH808" s="273"/>
      <c r="AI808" s="273"/>
    </row>
    <row r="809" spans="1:35" ht="14.25" customHeight="1">
      <c r="A809" s="273"/>
      <c r="B809" s="273"/>
      <c r="C809" s="273"/>
      <c r="D809" s="273"/>
      <c r="E809" s="273"/>
      <c r="F809" s="273"/>
      <c r="G809" s="273"/>
      <c r="H809" s="273"/>
      <c r="I809" s="273"/>
      <c r="J809" s="273"/>
      <c r="K809" s="273"/>
      <c r="L809" s="274"/>
      <c r="M809" s="273"/>
      <c r="N809" s="273"/>
      <c r="O809" s="273"/>
      <c r="P809" s="273"/>
      <c r="Q809" s="273"/>
      <c r="R809" s="273"/>
      <c r="S809" s="273"/>
      <c r="T809" s="273"/>
      <c r="U809" s="273"/>
      <c r="V809" s="273"/>
      <c r="W809" s="273"/>
      <c r="X809" s="274"/>
      <c r="Y809" s="273"/>
      <c r="Z809" s="273"/>
      <c r="AA809" s="273"/>
      <c r="AB809" s="273"/>
      <c r="AC809" s="273"/>
      <c r="AD809" s="273"/>
      <c r="AE809" s="273"/>
      <c r="AF809" s="273"/>
      <c r="AG809" s="273"/>
      <c r="AH809" s="273"/>
      <c r="AI809" s="273"/>
    </row>
    <row r="810" spans="1:35" ht="14.25" customHeight="1">
      <c r="A810" s="273"/>
      <c r="B810" s="273"/>
      <c r="C810" s="273"/>
      <c r="D810" s="273"/>
      <c r="E810" s="273"/>
      <c r="F810" s="273"/>
      <c r="G810" s="273"/>
      <c r="H810" s="273"/>
      <c r="I810" s="273"/>
      <c r="J810" s="273"/>
      <c r="K810" s="273"/>
      <c r="L810" s="274"/>
      <c r="M810" s="273"/>
      <c r="N810" s="273"/>
      <c r="O810" s="273"/>
      <c r="P810" s="273"/>
      <c r="Q810" s="273"/>
      <c r="R810" s="273"/>
      <c r="S810" s="273"/>
      <c r="T810" s="273"/>
      <c r="U810" s="273"/>
      <c r="V810" s="273"/>
      <c r="W810" s="273"/>
      <c r="X810" s="274"/>
      <c r="Y810" s="273"/>
      <c r="Z810" s="273"/>
      <c r="AA810" s="273"/>
      <c r="AB810" s="273"/>
      <c r="AC810" s="273"/>
      <c r="AD810" s="273"/>
      <c r="AE810" s="273"/>
      <c r="AF810" s="273"/>
      <c r="AG810" s="273"/>
      <c r="AH810" s="273"/>
      <c r="AI810" s="273"/>
    </row>
    <row r="811" spans="1:35" ht="14.25" customHeight="1">
      <c r="A811" s="273"/>
      <c r="B811" s="273"/>
      <c r="C811" s="273"/>
      <c r="D811" s="273"/>
      <c r="E811" s="273"/>
      <c r="F811" s="273"/>
      <c r="G811" s="273"/>
      <c r="H811" s="273"/>
      <c r="I811" s="273"/>
      <c r="J811" s="273"/>
      <c r="K811" s="273"/>
      <c r="L811" s="274"/>
      <c r="M811" s="273"/>
      <c r="N811" s="273"/>
      <c r="O811" s="273"/>
      <c r="P811" s="273"/>
      <c r="Q811" s="273"/>
      <c r="R811" s="273"/>
      <c r="S811" s="273"/>
      <c r="T811" s="273"/>
      <c r="U811" s="273"/>
      <c r="V811" s="273"/>
      <c r="W811" s="273"/>
      <c r="X811" s="274"/>
      <c r="Y811" s="273"/>
      <c r="Z811" s="273"/>
      <c r="AA811" s="273"/>
      <c r="AB811" s="273"/>
      <c r="AC811" s="273"/>
      <c r="AD811" s="273"/>
      <c r="AE811" s="273"/>
      <c r="AF811" s="273"/>
      <c r="AG811" s="273"/>
      <c r="AH811" s="273"/>
      <c r="AI811" s="273"/>
    </row>
    <row r="812" spans="1:35" ht="14.25" customHeight="1">
      <c r="A812" s="273"/>
      <c r="B812" s="273"/>
      <c r="C812" s="273"/>
      <c r="D812" s="273"/>
      <c r="E812" s="273"/>
      <c r="F812" s="273"/>
      <c r="G812" s="273"/>
      <c r="H812" s="273"/>
      <c r="I812" s="273"/>
      <c r="J812" s="273"/>
      <c r="K812" s="273"/>
      <c r="L812" s="274"/>
      <c r="M812" s="273"/>
      <c r="N812" s="273"/>
      <c r="O812" s="273"/>
      <c r="P812" s="273"/>
      <c r="Q812" s="273"/>
      <c r="R812" s="273"/>
      <c r="S812" s="273"/>
      <c r="T812" s="273"/>
      <c r="U812" s="273"/>
      <c r="V812" s="273"/>
      <c r="W812" s="273"/>
      <c r="X812" s="274"/>
      <c r="Y812" s="273"/>
      <c r="Z812" s="273"/>
      <c r="AA812" s="273"/>
      <c r="AB812" s="273"/>
      <c r="AC812" s="273"/>
      <c r="AD812" s="273"/>
      <c r="AE812" s="273"/>
      <c r="AF812" s="273"/>
      <c r="AG812" s="273"/>
      <c r="AH812" s="273"/>
      <c r="AI812" s="273"/>
    </row>
    <row r="813" spans="1:35" ht="14.25" customHeight="1">
      <c r="A813" s="273"/>
      <c r="B813" s="273"/>
      <c r="C813" s="273"/>
      <c r="D813" s="273"/>
      <c r="E813" s="273"/>
      <c r="F813" s="273"/>
      <c r="G813" s="273"/>
      <c r="H813" s="273"/>
      <c r="I813" s="273"/>
      <c r="J813" s="273"/>
      <c r="K813" s="273"/>
      <c r="L813" s="274"/>
      <c r="M813" s="273"/>
      <c r="N813" s="273"/>
      <c r="O813" s="273"/>
      <c r="P813" s="273"/>
      <c r="Q813" s="273"/>
      <c r="R813" s="273"/>
      <c r="S813" s="273"/>
      <c r="T813" s="273"/>
      <c r="U813" s="273"/>
      <c r="V813" s="273"/>
      <c r="W813" s="273"/>
      <c r="X813" s="274"/>
      <c r="Y813" s="273"/>
      <c r="Z813" s="273"/>
      <c r="AA813" s="273"/>
      <c r="AB813" s="273"/>
      <c r="AC813" s="273"/>
      <c r="AD813" s="273"/>
      <c r="AE813" s="273"/>
      <c r="AF813" s="273"/>
      <c r="AG813" s="273"/>
      <c r="AH813" s="273"/>
      <c r="AI813" s="273"/>
    </row>
    <row r="814" spans="1:35" ht="14.25" customHeight="1">
      <c r="A814" s="273"/>
      <c r="B814" s="273"/>
      <c r="C814" s="273"/>
      <c r="D814" s="273"/>
      <c r="E814" s="273"/>
      <c r="F814" s="273"/>
      <c r="G814" s="273"/>
      <c r="H814" s="273"/>
      <c r="I814" s="273"/>
      <c r="J814" s="273"/>
      <c r="K814" s="273"/>
      <c r="L814" s="274"/>
      <c r="M814" s="273"/>
      <c r="N814" s="273"/>
      <c r="O814" s="273"/>
      <c r="P814" s="273"/>
      <c r="Q814" s="273"/>
      <c r="R814" s="273"/>
      <c r="S814" s="273"/>
      <c r="T814" s="273"/>
      <c r="U814" s="273"/>
      <c r="V814" s="273"/>
      <c r="W814" s="273"/>
      <c r="X814" s="274"/>
      <c r="Y814" s="273"/>
      <c r="Z814" s="273"/>
      <c r="AA814" s="273"/>
      <c r="AB814" s="273"/>
      <c r="AC814" s="273"/>
      <c r="AD814" s="273"/>
      <c r="AE814" s="273"/>
      <c r="AF814" s="273"/>
      <c r="AG814" s="273"/>
      <c r="AH814" s="273"/>
      <c r="AI814" s="273"/>
    </row>
    <row r="815" spans="1:35" ht="14.25" customHeight="1">
      <c r="A815" s="273"/>
      <c r="B815" s="273"/>
      <c r="C815" s="273"/>
      <c r="D815" s="273"/>
      <c r="E815" s="273"/>
      <c r="F815" s="273"/>
      <c r="G815" s="273"/>
      <c r="H815" s="273"/>
      <c r="I815" s="273"/>
      <c r="J815" s="273"/>
      <c r="K815" s="273"/>
      <c r="L815" s="274"/>
      <c r="M815" s="273"/>
      <c r="N815" s="273"/>
      <c r="O815" s="273"/>
      <c r="P815" s="273"/>
      <c r="Q815" s="273"/>
      <c r="R815" s="273"/>
      <c r="S815" s="273"/>
      <c r="T815" s="273"/>
      <c r="U815" s="273"/>
      <c r="V815" s="273"/>
      <c r="W815" s="273"/>
      <c r="X815" s="274"/>
      <c r="Y815" s="273"/>
      <c r="Z815" s="273"/>
      <c r="AA815" s="273"/>
      <c r="AB815" s="273"/>
      <c r="AC815" s="273"/>
      <c r="AD815" s="273"/>
      <c r="AE815" s="273"/>
      <c r="AF815" s="273"/>
      <c r="AG815" s="273"/>
      <c r="AH815" s="273"/>
      <c r="AI815" s="273"/>
    </row>
    <row r="816" spans="1:35" ht="14.25" customHeight="1">
      <c r="A816" s="273"/>
      <c r="B816" s="273"/>
      <c r="C816" s="273"/>
      <c r="D816" s="273"/>
      <c r="E816" s="273"/>
      <c r="F816" s="273"/>
      <c r="G816" s="273"/>
      <c r="H816" s="273"/>
      <c r="I816" s="273"/>
      <c r="J816" s="273"/>
      <c r="K816" s="273"/>
      <c r="L816" s="274"/>
      <c r="M816" s="273"/>
      <c r="N816" s="273"/>
      <c r="O816" s="273"/>
      <c r="P816" s="273"/>
      <c r="Q816" s="273"/>
      <c r="R816" s="273"/>
      <c r="S816" s="273"/>
      <c r="T816" s="273"/>
      <c r="U816" s="273"/>
      <c r="V816" s="273"/>
      <c r="W816" s="273"/>
      <c r="X816" s="274"/>
      <c r="Y816" s="273"/>
      <c r="Z816" s="273"/>
      <c r="AA816" s="273"/>
      <c r="AB816" s="273"/>
      <c r="AC816" s="273"/>
      <c r="AD816" s="273"/>
      <c r="AE816" s="273"/>
      <c r="AF816" s="273"/>
      <c r="AG816" s="273"/>
      <c r="AH816" s="273"/>
      <c r="AI816" s="273"/>
    </row>
    <row r="817" spans="1:35" ht="14.25" customHeight="1">
      <c r="A817" s="273"/>
      <c r="B817" s="273"/>
      <c r="C817" s="273"/>
      <c r="D817" s="273"/>
      <c r="E817" s="273"/>
      <c r="F817" s="273"/>
      <c r="G817" s="273"/>
      <c r="H817" s="273"/>
      <c r="I817" s="273"/>
      <c r="J817" s="273"/>
      <c r="K817" s="273"/>
      <c r="L817" s="274"/>
      <c r="M817" s="273"/>
      <c r="N817" s="273"/>
      <c r="O817" s="273"/>
      <c r="P817" s="273"/>
      <c r="Q817" s="273"/>
      <c r="R817" s="273"/>
      <c r="S817" s="273"/>
      <c r="T817" s="273"/>
      <c r="U817" s="273"/>
      <c r="V817" s="273"/>
      <c r="W817" s="273"/>
      <c r="X817" s="274"/>
      <c r="Y817" s="273"/>
      <c r="Z817" s="273"/>
      <c r="AA817" s="273"/>
      <c r="AB817" s="273"/>
      <c r="AC817" s="273"/>
      <c r="AD817" s="273"/>
      <c r="AE817" s="273"/>
      <c r="AF817" s="273"/>
      <c r="AG817" s="273"/>
      <c r="AH817" s="273"/>
      <c r="AI817" s="273"/>
    </row>
    <row r="818" spans="1:35" ht="14.25" customHeight="1">
      <c r="A818" s="273"/>
      <c r="B818" s="273"/>
      <c r="C818" s="273"/>
      <c r="D818" s="273"/>
      <c r="E818" s="273"/>
      <c r="F818" s="273"/>
      <c r="G818" s="273"/>
      <c r="H818" s="273"/>
      <c r="I818" s="273"/>
      <c r="J818" s="273"/>
      <c r="K818" s="273"/>
      <c r="L818" s="274"/>
      <c r="M818" s="273"/>
      <c r="N818" s="273"/>
      <c r="O818" s="273"/>
      <c r="P818" s="273"/>
      <c r="Q818" s="273"/>
      <c r="R818" s="273"/>
      <c r="S818" s="273"/>
      <c r="T818" s="273"/>
      <c r="U818" s="273"/>
      <c r="V818" s="273"/>
      <c r="W818" s="273"/>
      <c r="X818" s="274"/>
      <c r="Y818" s="273"/>
      <c r="Z818" s="273"/>
      <c r="AA818" s="273"/>
      <c r="AB818" s="273"/>
      <c r="AC818" s="273"/>
      <c r="AD818" s="273"/>
      <c r="AE818" s="273"/>
      <c r="AF818" s="273"/>
      <c r="AG818" s="273"/>
      <c r="AH818" s="273"/>
      <c r="AI818" s="273"/>
    </row>
    <row r="819" spans="1:35" ht="14.25" customHeight="1">
      <c r="A819" s="273"/>
      <c r="B819" s="273"/>
      <c r="C819" s="273"/>
      <c r="D819" s="273"/>
      <c r="E819" s="273"/>
      <c r="F819" s="273"/>
      <c r="G819" s="273"/>
      <c r="H819" s="273"/>
      <c r="I819" s="273"/>
      <c r="J819" s="273"/>
      <c r="K819" s="273"/>
      <c r="L819" s="274"/>
      <c r="M819" s="273"/>
      <c r="N819" s="273"/>
      <c r="O819" s="273"/>
      <c r="P819" s="273"/>
      <c r="Q819" s="273"/>
      <c r="R819" s="273"/>
      <c r="S819" s="273"/>
      <c r="T819" s="273"/>
      <c r="U819" s="273"/>
      <c r="V819" s="273"/>
      <c r="W819" s="273"/>
      <c r="X819" s="274"/>
      <c r="Y819" s="273"/>
      <c r="Z819" s="273"/>
      <c r="AA819" s="273"/>
      <c r="AB819" s="273"/>
      <c r="AC819" s="273"/>
      <c r="AD819" s="273"/>
      <c r="AE819" s="273"/>
      <c r="AF819" s="273"/>
      <c r="AG819" s="273"/>
      <c r="AH819" s="273"/>
      <c r="AI819" s="273"/>
    </row>
    <row r="820" spans="1:35" ht="14.25" customHeight="1">
      <c r="A820" s="273"/>
      <c r="B820" s="273"/>
      <c r="C820" s="273"/>
      <c r="D820" s="273"/>
      <c r="E820" s="273"/>
      <c r="F820" s="273"/>
      <c r="G820" s="273"/>
      <c r="H820" s="273"/>
      <c r="I820" s="273"/>
      <c r="J820" s="273"/>
      <c r="K820" s="273"/>
      <c r="L820" s="274"/>
      <c r="M820" s="273"/>
      <c r="N820" s="273"/>
      <c r="O820" s="273"/>
      <c r="P820" s="273"/>
      <c r="Q820" s="273"/>
      <c r="R820" s="273"/>
      <c r="S820" s="273"/>
      <c r="T820" s="273"/>
      <c r="U820" s="273"/>
      <c r="V820" s="273"/>
      <c r="W820" s="273"/>
      <c r="X820" s="274"/>
      <c r="Y820" s="273"/>
      <c r="Z820" s="273"/>
      <c r="AA820" s="273"/>
      <c r="AB820" s="273"/>
      <c r="AC820" s="273"/>
      <c r="AD820" s="273"/>
      <c r="AE820" s="273"/>
      <c r="AF820" s="273"/>
      <c r="AG820" s="273"/>
      <c r="AH820" s="273"/>
      <c r="AI820" s="273"/>
    </row>
    <row r="821" spans="1:35" ht="14.25" customHeight="1">
      <c r="A821" s="273"/>
      <c r="B821" s="273"/>
      <c r="C821" s="273"/>
      <c r="D821" s="273"/>
      <c r="E821" s="273"/>
      <c r="F821" s="273"/>
      <c r="G821" s="273"/>
      <c r="H821" s="273"/>
      <c r="I821" s="273"/>
      <c r="J821" s="273"/>
      <c r="K821" s="273"/>
      <c r="L821" s="274"/>
      <c r="M821" s="273"/>
      <c r="N821" s="273"/>
      <c r="O821" s="273"/>
      <c r="P821" s="273"/>
      <c r="Q821" s="273"/>
      <c r="R821" s="273"/>
      <c r="S821" s="273"/>
      <c r="T821" s="273"/>
      <c r="U821" s="273"/>
      <c r="V821" s="273"/>
      <c r="W821" s="273"/>
      <c r="X821" s="274"/>
      <c r="Y821" s="273"/>
      <c r="Z821" s="273"/>
      <c r="AA821" s="273"/>
      <c r="AB821" s="273"/>
      <c r="AC821" s="273"/>
      <c r="AD821" s="273"/>
      <c r="AE821" s="273"/>
      <c r="AF821" s="273"/>
      <c r="AG821" s="273"/>
      <c r="AH821" s="273"/>
      <c r="AI821" s="273"/>
    </row>
    <row r="822" spans="1:35" ht="14.25" customHeight="1">
      <c r="A822" s="273"/>
      <c r="B822" s="273"/>
      <c r="C822" s="273"/>
      <c r="D822" s="273"/>
      <c r="E822" s="273"/>
      <c r="F822" s="273"/>
      <c r="G822" s="273"/>
      <c r="H822" s="273"/>
      <c r="I822" s="273"/>
      <c r="J822" s="273"/>
      <c r="K822" s="273"/>
      <c r="L822" s="274"/>
      <c r="M822" s="273"/>
      <c r="N822" s="273"/>
      <c r="O822" s="273"/>
      <c r="P822" s="273"/>
      <c r="Q822" s="273"/>
      <c r="R822" s="273"/>
      <c r="S822" s="273"/>
      <c r="T822" s="273"/>
      <c r="U822" s="273"/>
      <c r="V822" s="273"/>
      <c r="W822" s="273"/>
      <c r="X822" s="274"/>
      <c r="Y822" s="273"/>
      <c r="Z822" s="273"/>
      <c r="AA822" s="273"/>
      <c r="AB822" s="273"/>
      <c r="AC822" s="273"/>
      <c r="AD822" s="273"/>
      <c r="AE822" s="273"/>
      <c r="AF822" s="273"/>
      <c r="AG822" s="273"/>
      <c r="AH822" s="273"/>
      <c r="AI822" s="273"/>
    </row>
    <row r="823" spans="1:35" ht="14.25" customHeight="1">
      <c r="A823" s="273"/>
      <c r="B823" s="273"/>
      <c r="C823" s="273"/>
      <c r="D823" s="273"/>
      <c r="E823" s="273"/>
      <c r="F823" s="273"/>
      <c r="G823" s="273"/>
      <c r="H823" s="273"/>
      <c r="I823" s="273"/>
      <c r="J823" s="273"/>
      <c r="K823" s="273"/>
      <c r="L823" s="274"/>
      <c r="M823" s="273"/>
      <c r="N823" s="273"/>
      <c r="O823" s="273"/>
      <c r="P823" s="273"/>
      <c r="Q823" s="273"/>
      <c r="R823" s="273"/>
      <c r="S823" s="273"/>
      <c r="T823" s="273"/>
      <c r="U823" s="273"/>
      <c r="V823" s="273"/>
      <c r="W823" s="273"/>
      <c r="X823" s="274"/>
      <c r="Y823" s="273"/>
      <c r="Z823" s="273"/>
      <c r="AA823" s="273"/>
      <c r="AB823" s="273"/>
      <c r="AC823" s="273"/>
      <c r="AD823" s="273"/>
      <c r="AE823" s="273"/>
      <c r="AF823" s="273"/>
      <c r="AG823" s="273"/>
      <c r="AH823" s="273"/>
      <c r="AI823" s="273"/>
    </row>
    <row r="824" spans="1:35" ht="14.25" customHeight="1">
      <c r="A824" s="273"/>
      <c r="B824" s="273"/>
      <c r="C824" s="273"/>
      <c r="D824" s="273"/>
      <c r="E824" s="273"/>
      <c r="F824" s="273"/>
      <c r="G824" s="273"/>
      <c r="H824" s="273"/>
      <c r="I824" s="273"/>
      <c r="J824" s="273"/>
      <c r="K824" s="273"/>
      <c r="L824" s="274"/>
      <c r="M824" s="273"/>
      <c r="N824" s="273"/>
      <c r="O824" s="273"/>
      <c r="P824" s="273"/>
      <c r="Q824" s="273"/>
      <c r="R824" s="273"/>
      <c r="S824" s="273"/>
      <c r="T824" s="273"/>
      <c r="U824" s="273"/>
      <c r="V824" s="273"/>
      <c r="W824" s="273"/>
      <c r="X824" s="274"/>
      <c r="Y824" s="273"/>
      <c r="Z824" s="273"/>
      <c r="AA824" s="273"/>
      <c r="AB824" s="273"/>
      <c r="AC824" s="273"/>
      <c r="AD824" s="273"/>
      <c r="AE824" s="273"/>
      <c r="AF824" s="273"/>
      <c r="AG824" s="273"/>
      <c r="AH824" s="273"/>
      <c r="AI824" s="273"/>
    </row>
    <row r="825" spans="1:35" ht="14.25" customHeight="1">
      <c r="A825" s="273"/>
      <c r="B825" s="273"/>
      <c r="C825" s="273"/>
      <c r="D825" s="273"/>
      <c r="E825" s="273"/>
      <c r="F825" s="273"/>
      <c r="G825" s="273"/>
      <c r="H825" s="273"/>
      <c r="I825" s="273"/>
      <c r="J825" s="273"/>
      <c r="K825" s="273"/>
      <c r="L825" s="274"/>
      <c r="M825" s="273"/>
      <c r="N825" s="273"/>
      <c r="O825" s="273"/>
      <c r="P825" s="273"/>
      <c r="Q825" s="273"/>
      <c r="R825" s="273"/>
      <c r="S825" s="273"/>
      <c r="T825" s="273"/>
      <c r="U825" s="273"/>
      <c r="V825" s="273"/>
      <c r="W825" s="273"/>
      <c r="X825" s="274"/>
      <c r="Y825" s="273"/>
      <c r="Z825" s="273"/>
      <c r="AA825" s="273"/>
      <c r="AB825" s="273"/>
      <c r="AC825" s="273"/>
      <c r="AD825" s="273"/>
      <c r="AE825" s="273"/>
      <c r="AF825" s="273"/>
      <c r="AG825" s="273"/>
      <c r="AH825" s="273"/>
      <c r="AI825" s="273"/>
    </row>
    <row r="826" spans="1:35" ht="14.25" customHeight="1">
      <c r="A826" s="273"/>
      <c r="B826" s="273"/>
      <c r="C826" s="273"/>
      <c r="D826" s="273"/>
      <c r="E826" s="273"/>
      <c r="F826" s="273"/>
      <c r="G826" s="273"/>
      <c r="H826" s="273"/>
      <c r="I826" s="273"/>
      <c r="J826" s="273"/>
      <c r="K826" s="273"/>
      <c r="L826" s="274"/>
      <c r="M826" s="273"/>
      <c r="N826" s="273"/>
      <c r="O826" s="273"/>
      <c r="P826" s="273"/>
      <c r="Q826" s="273"/>
      <c r="R826" s="273"/>
      <c r="S826" s="273"/>
      <c r="T826" s="273"/>
      <c r="U826" s="273"/>
      <c r="V826" s="273"/>
      <c r="W826" s="273"/>
      <c r="X826" s="274"/>
      <c r="Y826" s="273"/>
      <c r="Z826" s="273"/>
      <c r="AA826" s="273"/>
      <c r="AB826" s="273"/>
      <c r="AC826" s="273"/>
      <c r="AD826" s="273"/>
      <c r="AE826" s="273"/>
      <c r="AF826" s="273"/>
      <c r="AG826" s="273"/>
      <c r="AH826" s="273"/>
      <c r="AI826" s="273"/>
    </row>
    <row r="827" spans="1:35" ht="14.25" customHeight="1">
      <c r="A827" s="273"/>
      <c r="B827" s="273"/>
      <c r="C827" s="273"/>
      <c r="D827" s="273"/>
      <c r="E827" s="273"/>
      <c r="F827" s="273"/>
      <c r="G827" s="273"/>
      <c r="H827" s="273"/>
      <c r="I827" s="273"/>
      <c r="J827" s="273"/>
      <c r="K827" s="273"/>
      <c r="L827" s="274"/>
      <c r="M827" s="273"/>
      <c r="N827" s="273"/>
      <c r="O827" s="273"/>
      <c r="P827" s="273"/>
      <c r="Q827" s="273"/>
      <c r="R827" s="273"/>
      <c r="S827" s="273"/>
      <c r="T827" s="273"/>
      <c r="U827" s="273"/>
      <c r="V827" s="273"/>
      <c r="W827" s="273"/>
      <c r="X827" s="274"/>
      <c r="Y827" s="273"/>
      <c r="Z827" s="273"/>
      <c r="AA827" s="273"/>
      <c r="AB827" s="273"/>
      <c r="AC827" s="273"/>
      <c r="AD827" s="273"/>
      <c r="AE827" s="273"/>
      <c r="AF827" s="273"/>
      <c r="AG827" s="273"/>
      <c r="AH827" s="273"/>
      <c r="AI827" s="273"/>
    </row>
    <row r="828" spans="1:35" ht="14.25" customHeight="1">
      <c r="A828" s="273"/>
      <c r="B828" s="273"/>
      <c r="C828" s="273"/>
      <c r="D828" s="273"/>
      <c r="E828" s="273"/>
      <c r="F828" s="273"/>
      <c r="G828" s="273"/>
      <c r="H828" s="273"/>
      <c r="I828" s="273"/>
      <c r="J828" s="273"/>
      <c r="K828" s="273"/>
      <c r="L828" s="274"/>
      <c r="M828" s="273"/>
      <c r="N828" s="273"/>
      <c r="O828" s="273"/>
      <c r="P828" s="273"/>
      <c r="Q828" s="273"/>
      <c r="R828" s="273"/>
      <c r="S828" s="273"/>
      <c r="T828" s="273"/>
      <c r="U828" s="273"/>
      <c r="V828" s="273"/>
      <c r="W828" s="273"/>
      <c r="X828" s="274"/>
      <c r="Y828" s="273"/>
      <c r="Z828" s="273"/>
      <c r="AA828" s="273"/>
      <c r="AB828" s="273"/>
      <c r="AC828" s="273"/>
      <c r="AD828" s="273"/>
      <c r="AE828" s="273"/>
      <c r="AF828" s="273"/>
      <c r="AG828" s="273"/>
      <c r="AH828" s="273"/>
      <c r="AI828" s="273"/>
    </row>
    <row r="829" spans="1:35" ht="14.25" customHeight="1">
      <c r="A829" s="273"/>
      <c r="B829" s="273"/>
      <c r="C829" s="273"/>
      <c r="D829" s="273"/>
      <c r="E829" s="273"/>
      <c r="F829" s="273"/>
      <c r="G829" s="273"/>
      <c r="H829" s="273"/>
      <c r="I829" s="273"/>
      <c r="J829" s="273"/>
      <c r="K829" s="273"/>
      <c r="L829" s="274"/>
      <c r="M829" s="273"/>
      <c r="N829" s="273"/>
      <c r="O829" s="273"/>
      <c r="P829" s="273"/>
      <c r="Q829" s="273"/>
      <c r="R829" s="273"/>
      <c r="S829" s="273"/>
      <c r="T829" s="273"/>
      <c r="U829" s="273"/>
      <c r="V829" s="273"/>
      <c r="W829" s="273"/>
      <c r="X829" s="274"/>
      <c r="Y829" s="273"/>
      <c r="Z829" s="273"/>
      <c r="AA829" s="273"/>
      <c r="AB829" s="273"/>
      <c r="AC829" s="273"/>
      <c r="AD829" s="273"/>
      <c r="AE829" s="273"/>
      <c r="AF829" s="273"/>
      <c r="AG829" s="273"/>
      <c r="AH829" s="273"/>
      <c r="AI829" s="273"/>
    </row>
    <row r="830" spans="1:35" ht="14.25" customHeight="1">
      <c r="A830" s="273"/>
      <c r="B830" s="273"/>
      <c r="C830" s="273"/>
      <c r="D830" s="273"/>
      <c r="E830" s="273"/>
      <c r="F830" s="273"/>
      <c r="G830" s="273"/>
      <c r="H830" s="273"/>
      <c r="I830" s="273"/>
      <c r="J830" s="273"/>
      <c r="K830" s="273"/>
      <c r="L830" s="274"/>
      <c r="M830" s="273"/>
      <c r="N830" s="273"/>
      <c r="O830" s="273"/>
      <c r="P830" s="273"/>
      <c r="Q830" s="273"/>
      <c r="R830" s="273"/>
      <c r="S830" s="273"/>
      <c r="T830" s="273"/>
      <c r="U830" s="273"/>
      <c r="V830" s="273"/>
      <c r="W830" s="273"/>
      <c r="X830" s="274"/>
      <c r="Y830" s="273"/>
      <c r="Z830" s="273"/>
      <c r="AA830" s="273"/>
      <c r="AB830" s="273"/>
      <c r="AC830" s="273"/>
      <c r="AD830" s="273"/>
      <c r="AE830" s="273"/>
      <c r="AF830" s="273"/>
      <c r="AG830" s="273"/>
      <c r="AH830" s="273"/>
      <c r="AI830" s="273"/>
    </row>
    <row r="831" spans="1:35" ht="14.25" customHeight="1">
      <c r="A831" s="273"/>
      <c r="B831" s="273"/>
      <c r="C831" s="273"/>
      <c r="D831" s="273"/>
      <c r="E831" s="273"/>
      <c r="F831" s="273"/>
      <c r="G831" s="273"/>
      <c r="H831" s="273"/>
      <c r="I831" s="273"/>
      <c r="J831" s="273"/>
      <c r="K831" s="273"/>
      <c r="L831" s="274"/>
      <c r="M831" s="273"/>
      <c r="N831" s="273"/>
      <c r="O831" s="273"/>
      <c r="P831" s="273"/>
      <c r="Q831" s="273"/>
      <c r="R831" s="273"/>
      <c r="S831" s="273"/>
      <c r="T831" s="273"/>
      <c r="U831" s="273"/>
      <c r="V831" s="273"/>
      <c r="W831" s="273"/>
      <c r="X831" s="274"/>
      <c r="Y831" s="273"/>
      <c r="Z831" s="273"/>
      <c r="AA831" s="273"/>
      <c r="AB831" s="273"/>
      <c r="AC831" s="273"/>
      <c r="AD831" s="273"/>
      <c r="AE831" s="273"/>
      <c r="AF831" s="273"/>
      <c r="AG831" s="273"/>
      <c r="AH831" s="273"/>
      <c r="AI831" s="273"/>
    </row>
    <row r="832" spans="1:35" ht="14.25" customHeight="1">
      <c r="A832" s="273"/>
      <c r="B832" s="273"/>
      <c r="C832" s="273"/>
      <c r="D832" s="273"/>
      <c r="E832" s="273"/>
      <c r="F832" s="273"/>
      <c r="G832" s="273"/>
      <c r="H832" s="273"/>
      <c r="I832" s="273"/>
      <c r="J832" s="273"/>
      <c r="K832" s="273"/>
      <c r="L832" s="274"/>
      <c r="M832" s="273"/>
      <c r="N832" s="273"/>
      <c r="O832" s="273"/>
      <c r="P832" s="273"/>
      <c r="Q832" s="273"/>
      <c r="R832" s="273"/>
      <c r="S832" s="273"/>
      <c r="T832" s="273"/>
      <c r="U832" s="273"/>
      <c r="V832" s="273"/>
      <c r="W832" s="273"/>
      <c r="X832" s="274"/>
      <c r="Y832" s="273"/>
      <c r="Z832" s="273"/>
      <c r="AA832" s="273"/>
      <c r="AB832" s="273"/>
      <c r="AC832" s="273"/>
      <c r="AD832" s="273"/>
      <c r="AE832" s="273"/>
      <c r="AF832" s="273"/>
      <c r="AG832" s="273"/>
      <c r="AH832" s="273"/>
      <c r="AI832" s="273"/>
    </row>
    <row r="833" spans="1:35" ht="14.25" customHeight="1">
      <c r="A833" s="273"/>
      <c r="B833" s="273"/>
      <c r="C833" s="273"/>
      <c r="D833" s="273"/>
      <c r="E833" s="273"/>
      <c r="F833" s="273"/>
      <c r="G833" s="273"/>
      <c r="H833" s="273"/>
      <c r="I833" s="273"/>
      <c r="J833" s="273"/>
      <c r="K833" s="273"/>
      <c r="L833" s="274"/>
      <c r="M833" s="273"/>
      <c r="N833" s="273"/>
      <c r="O833" s="273"/>
      <c r="P833" s="273"/>
      <c r="Q833" s="273"/>
      <c r="R833" s="273"/>
      <c r="S833" s="273"/>
      <c r="T833" s="273"/>
      <c r="U833" s="273"/>
      <c r="V833" s="273"/>
      <c r="W833" s="273"/>
      <c r="X833" s="274"/>
      <c r="Y833" s="273"/>
      <c r="Z833" s="273"/>
      <c r="AA833" s="273"/>
      <c r="AB833" s="273"/>
      <c r="AC833" s="273"/>
      <c r="AD833" s="273"/>
      <c r="AE833" s="273"/>
      <c r="AF833" s="273"/>
      <c r="AG833" s="273"/>
      <c r="AH833" s="273"/>
      <c r="AI833" s="273"/>
    </row>
    <row r="834" spans="1:35" ht="14.25" customHeight="1">
      <c r="A834" s="273"/>
      <c r="B834" s="273"/>
      <c r="C834" s="273"/>
      <c r="D834" s="273"/>
      <c r="E834" s="273"/>
      <c r="F834" s="273"/>
      <c r="G834" s="273"/>
      <c r="H834" s="273"/>
      <c r="I834" s="273"/>
      <c r="J834" s="273"/>
      <c r="K834" s="273"/>
      <c r="L834" s="274"/>
      <c r="M834" s="273"/>
      <c r="N834" s="273"/>
      <c r="O834" s="273"/>
      <c r="P834" s="273"/>
      <c r="Q834" s="273"/>
      <c r="R834" s="273"/>
      <c r="S834" s="273"/>
      <c r="T834" s="273"/>
      <c r="U834" s="273"/>
      <c r="V834" s="273"/>
      <c r="W834" s="273"/>
      <c r="X834" s="274"/>
      <c r="Y834" s="273"/>
      <c r="Z834" s="273"/>
      <c r="AA834" s="273"/>
      <c r="AB834" s="273"/>
      <c r="AC834" s="273"/>
      <c r="AD834" s="273"/>
      <c r="AE834" s="273"/>
      <c r="AF834" s="273"/>
      <c r="AG834" s="273"/>
      <c r="AH834" s="273"/>
      <c r="AI834" s="273"/>
    </row>
    <row r="835" spans="1:35" ht="14.25" customHeight="1">
      <c r="A835" s="273"/>
      <c r="B835" s="273"/>
      <c r="C835" s="273"/>
      <c r="D835" s="273"/>
      <c r="E835" s="273"/>
      <c r="F835" s="273"/>
      <c r="G835" s="273"/>
      <c r="H835" s="273"/>
      <c r="I835" s="273"/>
      <c r="J835" s="273"/>
      <c r="K835" s="273"/>
      <c r="L835" s="274"/>
      <c r="M835" s="273"/>
      <c r="N835" s="273"/>
      <c r="O835" s="273"/>
      <c r="P835" s="273"/>
      <c r="Q835" s="273"/>
      <c r="R835" s="273"/>
      <c r="S835" s="273"/>
      <c r="T835" s="273"/>
      <c r="U835" s="273"/>
      <c r="V835" s="273"/>
      <c r="W835" s="273"/>
      <c r="X835" s="274"/>
      <c r="Y835" s="273"/>
      <c r="Z835" s="273"/>
      <c r="AA835" s="273"/>
      <c r="AB835" s="273"/>
      <c r="AC835" s="273"/>
      <c r="AD835" s="273"/>
      <c r="AE835" s="273"/>
      <c r="AF835" s="273"/>
      <c r="AG835" s="273"/>
      <c r="AH835" s="273"/>
      <c r="AI835" s="273"/>
    </row>
    <row r="836" spans="1:35" ht="14.25" customHeight="1">
      <c r="A836" s="273"/>
      <c r="B836" s="273"/>
      <c r="C836" s="273"/>
      <c r="D836" s="273"/>
      <c r="E836" s="273"/>
      <c r="F836" s="273"/>
      <c r="G836" s="273"/>
      <c r="H836" s="273"/>
      <c r="I836" s="273"/>
      <c r="J836" s="273"/>
      <c r="K836" s="273"/>
      <c r="L836" s="274"/>
      <c r="M836" s="273"/>
      <c r="N836" s="273"/>
      <c r="O836" s="273"/>
      <c r="P836" s="273"/>
      <c r="Q836" s="273"/>
      <c r="R836" s="273"/>
      <c r="S836" s="273"/>
      <c r="T836" s="273"/>
      <c r="U836" s="273"/>
      <c r="V836" s="273"/>
      <c r="W836" s="273"/>
      <c r="X836" s="274"/>
      <c r="Y836" s="273"/>
      <c r="Z836" s="273"/>
      <c r="AA836" s="273"/>
      <c r="AB836" s="273"/>
      <c r="AC836" s="273"/>
      <c r="AD836" s="273"/>
      <c r="AE836" s="273"/>
      <c r="AF836" s="273"/>
      <c r="AG836" s="273"/>
      <c r="AH836" s="273"/>
      <c r="AI836" s="273"/>
    </row>
    <row r="837" spans="1:35" ht="14.25" customHeight="1">
      <c r="A837" s="273"/>
      <c r="B837" s="273"/>
      <c r="C837" s="273"/>
      <c r="D837" s="273"/>
      <c r="E837" s="273"/>
      <c r="F837" s="273"/>
      <c r="G837" s="273"/>
      <c r="H837" s="273"/>
      <c r="I837" s="273"/>
      <c r="J837" s="273"/>
      <c r="K837" s="273"/>
      <c r="L837" s="274"/>
      <c r="M837" s="273"/>
      <c r="N837" s="273"/>
      <c r="O837" s="273"/>
      <c r="P837" s="273"/>
      <c r="Q837" s="273"/>
      <c r="R837" s="273"/>
      <c r="S837" s="273"/>
      <c r="T837" s="273"/>
      <c r="U837" s="273"/>
      <c r="V837" s="273"/>
      <c r="W837" s="273"/>
      <c r="X837" s="274"/>
      <c r="Y837" s="273"/>
      <c r="Z837" s="273"/>
      <c r="AA837" s="273"/>
      <c r="AB837" s="273"/>
      <c r="AC837" s="273"/>
      <c r="AD837" s="273"/>
      <c r="AE837" s="273"/>
      <c r="AF837" s="273"/>
      <c r="AG837" s="273"/>
      <c r="AH837" s="273"/>
      <c r="AI837" s="273"/>
    </row>
    <row r="838" spans="1:35" ht="14.25" customHeight="1">
      <c r="A838" s="273"/>
      <c r="B838" s="273"/>
      <c r="C838" s="273"/>
      <c r="D838" s="273"/>
      <c r="E838" s="273"/>
      <c r="F838" s="273"/>
      <c r="G838" s="273"/>
      <c r="H838" s="273"/>
      <c r="I838" s="273"/>
      <c r="J838" s="273"/>
      <c r="K838" s="273"/>
      <c r="L838" s="274"/>
      <c r="M838" s="273"/>
      <c r="N838" s="273"/>
      <c r="O838" s="273"/>
      <c r="P838" s="273"/>
      <c r="Q838" s="273"/>
      <c r="R838" s="273"/>
      <c r="S838" s="273"/>
      <c r="T838" s="273"/>
      <c r="U838" s="273"/>
      <c r="V838" s="273"/>
      <c r="W838" s="273"/>
      <c r="X838" s="274"/>
      <c r="Y838" s="273"/>
      <c r="Z838" s="273"/>
      <c r="AA838" s="273"/>
      <c r="AB838" s="273"/>
      <c r="AC838" s="273"/>
      <c r="AD838" s="273"/>
      <c r="AE838" s="273"/>
      <c r="AF838" s="273"/>
      <c r="AG838" s="273"/>
      <c r="AH838" s="273"/>
      <c r="AI838" s="273"/>
    </row>
    <row r="839" spans="1:35" ht="14.25" customHeight="1">
      <c r="A839" s="273"/>
      <c r="B839" s="273"/>
      <c r="C839" s="273"/>
      <c r="D839" s="273"/>
      <c r="E839" s="273"/>
      <c r="F839" s="273"/>
      <c r="G839" s="273"/>
      <c r="H839" s="273"/>
      <c r="I839" s="273"/>
      <c r="J839" s="273"/>
      <c r="K839" s="273"/>
      <c r="L839" s="274"/>
      <c r="M839" s="273"/>
      <c r="N839" s="273"/>
      <c r="O839" s="273"/>
      <c r="P839" s="273"/>
      <c r="Q839" s="273"/>
      <c r="R839" s="273"/>
      <c r="S839" s="273"/>
      <c r="T839" s="273"/>
      <c r="U839" s="273"/>
      <c r="V839" s="273"/>
      <c r="W839" s="273"/>
      <c r="X839" s="274"/>
      <c r="Y839" s="273"/>
      <c r="Z839" s="273"/>
      <c r="AA839" s="273"/>
      <c r="AB839" s="273"/>
      <c r="AC839" s="273"/>
      <c r="AD839" s="273"/>
      <c r="AE839" s="273"/>
      <c r="AF839" s="273"/>
      <c r="AG839" s="273"/>
      <c r="AH839" s="273"/>
      <c r="AI839" s="273"/>
    </row>
    <row r="840" spans="1:35" ht="14.25" customHeight="1">
      <c r="A840" s="273"/>
      <c r="B840" s="273"/>
      <c r="C840" s="273"/>
      <c r="D840" s="273"/>
      <c r="E840" s="273"/>
      <c r="F840" s="273"/>
      <c r="G840" s="273"/>
      <c r="H840" s="273"/>
      <c r="I840" s="273"/>
      <c r="J840" s="273"/>
      <c r="K840" s="273"/>
      <c r="L840" s="274"/>
      <c r="M840" s="273"/>
      <c r="N840" s="273"/>
      <c r="O840" s="273"/>
      <c r="P840" s="273"/>
      <c r="Q840" s="273"/>
      <c r="R840" s="273"/>
      <c r="S840" s="273"/>
      <c r="T840" s="273"/>
      <c r="U840" s="273"/>
      <c r="V840" s="273"/>
      <c r="W840" s="273"/>
      <c r="X840" s="274"/>
      <c r="Y840" s="273"/>
      <c r="Z840" s="273"/>
      <c r="AA840" s="273"/>
      <c r="AB840" s="273"/>
      <c r="AC840" s="273"/>
      <c r="AD840" s="273"/>
      <c r="AE840" s="273"/>
      <c r="AF840" s="273"/>
      <c r="AG840" s="273"/>
      <c r="AH840" s="273"/>
      <c r="AI840" s="273"/>
    </row>
    <row r="841" spans="1:35" ht="14.25" customHeight="1">
      <c r="A841" s="273"/>
      <c r="B841" s="273"/>
      <c r="C841" s="273"/>
      <c r="D841" s="273"/>
      <c r="E841" s="273"/>
      <c r="F841" s="273"/>
      <c r="G841" s="273"/>
      <c r="H841" s="273"/>
      <c r="I841" s="273"/>
      <c r="J841" s="273"/>
      <c r="K841" s="273"/>
      <c r="L841" s="274"/>
      <c r="M841" s="273"/>
      <c r="N841" s="273"/>
      <c r="O841" s="273"/>
      <c r="P841" s="273"/>
      <c r="Q841" s="273"/>
      <c r="R841" s="273"/>
      <c r="S841" s="273"/>
      <c r="T841" s="273"/>
      <c r="U841" s="273"/>
      <c r="V841" s="273"/>
      <c r="W841" s="273"/>
      <c r="X841" s="274"/>
      <c r="Y841" s="273"/>
      <c r="Z841" s="273"/>
      <c r="AA841" s="273"/>
      <c r="AB841" s="273"/>
      <c r="AC841" s="273"/>
      <c r="AD841" s="273"/>
      <c r="AE841" s="273"/>
      <c r="AF841" s="273"/>
      <c r="AG841" s="273"/>
      <c r="AH841" s="273"/>
      <c r="AI841" s="273"/>
    </row>
    <row r="842" spans="1:35" ht="14.25" customHeight="1">
      <c r="A842" s="273"/>
      <c r="B842" s="273"/>
      <c r="C842" s="273"/>
      <c r="D842" s="273"/>
      <c r="E842" s="273"/>
      <c r="F842" s="273"/>
      <c r="G842" s="273"/>
      <c r="H842" s="273"/>
      <c r="I842" s="273"/>
      <c r="J842" s="273"/>
      <c r="K842" s="273"/>
      <c r="L842" s="274"/>
      <c r="M842" s="273"/>
      <c r="N842" s="273"/>
      <c r="O842" s="273"/>
      <c r="P842" s="273"/>
      <c r="Q842" s="273"/>
      <c r="R842" s="273"/>
      <c r="S842" s="273"/>
      <c r="T842" s="273"/>
      <c r="U842" s="273"/>
      <c r="V842" s="273"/>
      <c r="W842" s="273"/>
      <c r="X842" s="274"/>
      <c r="Y842" s="273"/>
      <c r="Z842" s="273"/>
      <c r="AA842" s="273"/>
      <c r="AB842" s="273"/>
      <c r="AC842" s="273"/>
      <c r="AD842" s="273"/>
      <c r="AE842" s="273"/>
      <c r="AF842" s="273"/>
      <c r="AG842" s="273"/>
      <c r="AH842" s="273"/>
      <c r="AI842" s="273"/>
    </row>
    <row r="843" spans="1:35" ht="14.25" customHeight="1">
      <c r="A843" s="273"/>
      <c r="B843" s="273"/>
      <c r="C843" s="273"/>
      <c r="D843" s="273"/>
      <c r="E843" s="273"/>
      <c r="F843" s="273"/>
      <c r="G843" s="273"/>
      <c r="H843" s="273"/>
      <c r="I843" s="273"/>
      <c r="J843" s="273"/>
      <c r="K843" s="273"/>
      <c r="L843" s="274"/>
      <c r="M843" s="273"/>
      <c r="N843" s="273"/>
      <c r="O843" s="273"/>
      <c r="P843" s="273"/>
      <c r="Q843" s="273"/>
      <c r="R843" s="273"/>
      <c r="S843" s="273"/>
      <c r="T843" s="273"/>
      <c r="U843" s="273"/>
      <c r="V843" s="273"/>
      <c r="W843" s="273"/>
      <c r="X843" s="274"/>
      <c r="Y843" s="273"/>
      <c r="Z843" s="273"/>
      <c r="AA843" s="273"/>
      <c r="AB843" s="273"/>
      <c r="AC843" s="273"/>
      <c r="AD843" s="273"/>
      <c r="AE843" s="273"/>
      <c r="AF843" s="273"/>
      <c r="AG843" s="273"/>
      <c r="AH843" s="273"/>
      <c r="AI843" s="273"/>
    </row>
    <row r="844" spans="1:35" ht="14.25" customHeight="1">
      <c r="A844" s="273"/>
      <c r="B844" s="273"/>
      <c r="C844" s="273"/>
      <c r="D844" s="273"/>
      <c r="E844" s="273"/>
      <c r="F844" s="273"/>
      <c r="G844" s="273"/>
      <c r="H844" s="273"/>
      <c r="I844" s="273"/>
      <c r="J844" s="273"/>
      <c r="K844" s="273"/>
      <c r="L844" s="274"/>
      <c r="M844" s="273"/>
      <c r="N844" s="273"/>
      <c r="O844" s="273"/>
      <c r="P844" s="273"/>
      <c r="Q844" s="273"/>
      <c r="R844" s="273"/>
      <c r="S844" s="273"/>
      <c r="T844" s="273"/>
      <c r="U844" s="273"/>
      <c r="V844" s="273"/>
      <c r="W844" s="273"/>
      <c r="X844" s="274"/>
      <c r="Y844" s="273"/>
      <c r="Z844" s="273"/>
      <c r="AA844" s="273"/>
      <c r="AB844" s="273"/>
      <c r="AC844" s="273"/>
      <c r="AD844" s="273"/>
      <c r="AE844" s="273"/>
      <c r="AF844" s="273"/>
      <c r="AG844" s="273"/>
      <c r="AH844" s="273"/>
      <c r="AI844" s="273"/>
    </row>
    <row r="845" spans="1:35" ht="14.25" customHeight="1">
      <c r="A845" s="273"/>
      <c r="B845" s="273"/>
      <c r="C845" s="273"/>
      <c r="D845" s="273"/>
      <c r="E845" s="273"/>
      <c r="F845" s="273"/>
      <c r="G845" s="273"/>
      <c r="H845" s="273"/>
      <c r="I845" s="273"/>
      <c r="J845" s="273"/>
      <c r="K845" s="273"/>
      <c r="L845" s="274"/>
      <c r="M845" s="273"/>
      <c r="N845" s="273"/>
      <c r="O845" s="273"/>
      <c r="P845" s="273"/>
      <c r="Q845" s="273"/>
      <c r="R845" s="273"/>
      <c r="S845" s="273"/>
      <c r="T845" s="273"/>
      <c r="U845" s="273"/>
      <c r="V845" s="273"/>
      <c r="W845" s="273"/>
      <c r="X845" s="274"/>
      <c r="Y845" s="273"/>
      <c r="Z845" s="273"/>
      <c r="AA845" s="273"/>
      <c r="AB845" s="273"/>
      <c r="AC845" s="273"/>
      <c r="AD845" s="273"/>
      <c r="AE845" s="273"/>
      <c r="AF845" s="273"/>
      <c r="AG845" s="273"/>
      <c r="AH845" s="273"/>
      <c r="AI845" s="273"/>
    </row>
    <row r="846" spans="1:35" ht="14.25" customHeight="1">
      <c r="A846" s="273"/>
      <c r="B846" s="273"/>
      <c r="C846" s="273"/>
      <c r="D846" s="273"/>
      <c r="E846" s="273"/>
      <c r="F846" s="273"/>
      <c r="G846" s="273"/>
      <c r="H846" s="273"/>
      <c r="I846" s="273"/>
      <c r="J846" s="273"/>
      <c r="K846" s="273"/>
      <c r="L846" s="274"/>
      <c r="M846" s="273"/>
      <c r="N846" s="273"/>
      <c r="O846" s="273"/>
      <c r="P846" s="273"/>
      <c r="Q846" s="273"/>
      <c r="R846" s="273"/>
      <c r="S846" s="273"/>
      <c r="T846" s="273"/>
      <c r="U846" s="273"/>
      <c r="V846" s="273"/>
      <c r="W846" s="273"/>
      <c r="X846" s="274"/>
      <c r="Y846" s="273"/>
      <c r="Z846" s="273"/>
      <c r="AA846" s="273"/>
      <c r="AB846" s="273"/>
      <c r="AC846" s="273"/>
      <c r="AD846" s="273"/>
      <c r="AE846" s="273"/>
      <c r="AF846" s="273"/>
      <c r="AG846" s="273"/>
      <c r="AH846" s="273"/>
      <c r="AI846" s="273"/>
    </row>
    <row r="847" spans="1:35" ht="14.25" customHeight="1">
      <c r="A847" s="273"/>
      <c r="B847" s="273"/>
      <c r="C847" s="273"/>
      <c r="D847" s="273"/>
      <c r="E847" s="273"/>
      <c r="F847" s="273"/>
      <c r="G847" s="273"/>
      <c r="H847" s="273"/>
      <c r="I847" s="273"/>
      <c r="J847" s="273"/>
      <c r="K847" s="273"/>
      <c r="L847" s="274"/>
      <c r="M847" s="273"/>
      <c r="N847" s="273"/>
      <c r="O847" s="273"/>
      <c r="P847" s="273"/>
      <c r="Q847" s="273"/>
      <c r="R847" s="273"/>
      <c r="S847" s="273"/>
      <c r="T847" s="273"/>
      <c r="U847" s="273"/>
      <c r="V847" s="273"/>
      <c r="W847" s="273"/>
      <c r="X847" s="274"/>
      <c r="Y847" s="273"/>
      <c r="Z847" s="273"/>
      <c r="AA847" s="273"/>
      <c r="AB847" s="273"/>
      <c r="AC847" s="273"/>
      <c r="AD847" s="273"/>
      <c r="AE847" s="273"/>
      <c r="AF847" s="273"/>
      <c r="AG847" s="273"/>
      <c r="AH847" s="273"/>
      <c r="AI847" s="273"/>
    </row>
    <row r="848" spans="1:35" ht="14.25" customHeight="1">
      <c r="A848" s="273"/>
      <c r="B848" s="273"/>
      <c r="C848" s="273"/>
      <c r="D848" s="273"/>
      <c r="E848" s="273"/>
      <c r="F848" s="273"/>
      <c r="G848" s="273"/>
      <c r="H848" s="273"/>
      <c r="I848" s="273"/>
      <c r="J848" s="273"/>
      <c r="K848" s="273"/>
      <c r="L848" s="274"/>
      <c r="M848" s="273"/>
      <c r="N848" s="273"/>
      <c r="O848" s="273"/>
      <c r="P848" s="273"/>
      <c r="Q848" s="273"/>
      <c r="R848" s="273"/>
      <c r="S848" s="273"/>
      <c r="T848" s="273"/>
      <c r="U848" s="273"/>
      <c r="V848" s="273"/>
      <c r="W848" s="273"/>
      <c r="X848" s="274"/>
      <c r="Y848" s="273"/>
      <c r="Z848" s="273"/>
      <c r="AA848" s="273"/>
      <c r="AB848" s="273"/>
      <c r="AC848" s="273"/>
      <c r="AD848" s="273"/>
      <c r="AE848" s="273"/>
      <c r="AF848" s="273"/>
      <c r="AG848" s="273"/>
      <c r="AH848" s="273"/>
      <c r="AI848" s="273"/>
    </row>
    <row r="849" spans="1:35" ht="14.25" customHeight="1">
      <c r="A849" s="273"/>
      <c r="B849" s="273"/>
      <c r="C849" s="273"/>
      <c r="D849" s="273"/>
      <c r="E849" s="273"/>
      <c r="F849" s="273"/>
      <c r="G849" s="273"/>
      <c r="H849" s="273"/>
      <c r="I849" s="273"/>
      <c r="J849" s="273"/>
      <c r="K849" s="273"/>
      <c r="L849" s="274"/>
      <c r="M849" s="273"/>
      <c r="N849" s="273"/>
      <c r="O849" s="273"/>
      <c r="P849" s="273"/>
      <c r="Q849" s="273"/>
      <c r="R849" s="273"/>
      <c r="S849" s="273"/>
      <c r="T849" s="273"/>
      <c r="U849" s="273"/>
      <c r="V849" s="273"/>
      <c r="W849" s="273"/>
      <c r="X849" s="274"/>
      <c r="Y849" s="273"/>
      <c r="Z849" s="273"/>
      <c r="AA849" s="273"/>
      <c r="AB849" s="273"/>
      <c r="AC849" s="273"/>
      <c r="AD849" s="273"/>
      <c r="AE849" s="273"/>
      <c r="AF849" s="273"/>
      <c r="AG849" s="273"/>
      <c r="AH849" s="273"/>
      <c r="AI849" s="273"/>
    </row>
    <row r="850" spans="1:35" ht="14.25" customHeight="1">
      <c r="A850" s="273"/>
      <c r="B850" s="273"/>
      <c r="C850" s="273"/>
      <c r="D850" s="273"/>
      <c r="E850" s="273"/>
      <c r="F850" s="273"/>
      <c r="G850" s="273"/>
      <c r="H850" s="273"/>
      <c r="I850" s="273"/>
      <c r="J850" s="273"/>
      <c r="K850" s="273"/>
      <c r="L850" s="274"/>
      <c r="M850" s="273"/>
      <c r="N850" s="273"/>
      <c r="O850" s="273"/>
      <c r="P850" s="273"/>
      <c r="Q850" s="273"/>
      <c r="R850" s="273"/>
      <c r="S850" s="273"/>
      <c r="T850" s="273"/>
      <c r="U850" s="273"/>
      <c r="V850" s="273"/>
      <c r="W850" s="273"/>
      <c r="X850" s="274"/>
      <c r="Y850" s="273"/>
      <c r="Z850" s="273"/>
      <c r="AA850" s="273"/>
      <c r="AB850" s="273"/>
      <c r="AC850" s="273"/>
      <c r="AD850" s="273"/>
      <c r="AE850" s="273"/>
      <c r="AF850" s="273"/>
      <c r="AG850" s="273"/>
      <c r="AH850" s="273"/>
      <c r="AI850" s="273"/>
    </row>
    <row r="851" spans="1:35" ht="14.25" customHeight="1">
      <c r="A851" s="273"/>
      <c r="B851" s="273"/>
      <c r="C851" s="273"/>
      <c r="D851" s="273"/>
      <c r="E851" s="273"/>
      <c r="F851" s="273"/>
      <c r="G851" s="273"/>
      <c r="H851" s="273"/>
      <c r="I851" s="273"/>
      <c r="J851" s="273"/>
      <c r="K851" s="273"/>
      <c r="L851" s="274"/>
      <c r="M851" s="273"/>
      <c r="N851" s="273"/>
      <c r="O851" s="273"/>
      <c r="P851" s="273"/>
      <c r="Q851" s="273"/>
      <c r="R851" s="273"/>
      <c r="S851" s="273"/>
      <c r="T851" s="273"/>
      <c r="U851" s="273"/>
      <c r="V851" s="273"/>
      <c r="W851" s="273"/>
      <c r="X851" s="274"/>
      <c r="Y851" s="273"/>
      <c r="Z851" s="273"/>
      <c r="AA851" s="273"/>
      <c r="AB851" s="273"/>
      <c r="AC851" s="273"/>
      <c r="AD851" s="273"/>
      <c r="AE851" s="273"/>
      <c r="AF851" s="273"/>
      <c r="AG851" s="273"/>
      <c r="AH851" s="273"/>
      <c r="AI851" s="273"/>
    </row>
    <row r="852" spans="1:35" ht="14.25" customHeight="1">
      <c r="A852" s="273"/>
      <c r="B852" s="273"/>
      <c r="C852" s="273"/>
      <c r="D852" s="273"/>
      <c r="E852" s="273"/>
      <c r="F852" s="273"/>
      <c r="G852" s="273"/>
      <c r="H852" s="273"/>
      <c r="I852" s="273"/>
      <c r="J852" s="273"/>
      <c r="K852" s="273"/>
      <c r="L852" s="274"/>
      <c r="M852" s="273"/>
      <c r="N852" s="273"/>
      <c r="O852" s="273"/>
      <c r="P852" s="273"/>
      <c r="Q852" s="273"/>
      <c r="R852" s="273"/>
      <c r="S852" s="273"/>
      <c r="T852" s="273"/>
      <c r="U852" s="273"/>
      <c r="V852" s="273"/>
      <c r="W852" s="273"/>
      <c r="X852" s="274"/>
      <c r="Y852" s="273"/>
      <c r="Z852" s="273"/>
      <c r="AA852" s="273"/>
      <c r="AB852" s="273"/>
      <c r="AC852" s="273"/>
      <c r="AD852" s="273"/>
      <c r="AE852" s="273"/>
      <c r="AF852" s="273"/>
      <c r="AG852" s="273"/>
      <c r="AH852" s="273"/>
      <c r="AI852" s="273"/>
    </row>
    <row r="853" spans="1:35" ht="14.25" customHeight="1">
      <c r="A853" s="273"/>
      <c r="B853" s="273"/>
      <c r="C853" s="273"/>
      <c r="D853" s="273"/>
      <c r="E853" s="273"/>
      <c r="F853" s="273"/>
      <c r="G853" s="273"/>
      <c r="H853" s="273"/>
      <c r="I853" s="273"/>
      <c r="J853" s="273"/>
      <c r="K853" s="273"/>
      <c r="L853" s="274"/>
      <c r="M853" s="273"/>
      <c r="N853" s="273"/>
      <c r="O853" s="273"/>
      <c r="P853" s="273"/>
      <c r="Q853" s="273"/>
      <c r="R853" s="273"/>
      <c r="S853" s="273"/>
      <c r="T853" s="273"/>
      <c r="U853" s="273"/>
      <c r="V853" s="273"/>
      <c r="W853" s="273"/>
      <c r="X853" s="274"/>
      <c r="Y853" s="273"/>
      <c r="Z853" s="273"/>
      <c r="AA853" s="273"/>
      <c r="AB853" s="273"/>
      <c r="AC853" s="273"/>
      <c r="AD853" s="273"/>
      <c r="AE853" s="273"/>
      <c r="AF853" s="273"/>
      <c r="AG853" s="273"/>
      <c r="AH853" s="273"/>
      <c r="AI853" s="273"/>
    </row>
    <row r="854" spans="1:35" ht="14.25" customHeight="1">
      <c r="A854" s="273"/>
      <c r="B854" s="273"/>
      <c r="C854" s="273"/>
      <c r="D854" s="273"/>
      <c r="E854" s="273"/>
      <c r="F854" s="273"/>
      <c r="G854" s="273"/>
      <c r="H854" s="273"/>
      <c r="I854" s="273"/>
      <c r="J854" s="273"/>
      <c r="K854" s="273"/>
      <c r="L854" s="274"/>
      <c r="M854" s="273"/>
      <c r="N854" s="273"/>
      <c r="O854" s="273"/>
      <c r="P854" s="273"/>
      <c r="Q854" s="273"/>
      <c r="R854" s="273"/>
      <c r="S854" s="273"/>
      <c r="T854" s="273"/>
      <c r="U854" s="273"/>
      <c r="V854" s="273"/>
      <c r="W854" s="273"/>
      <c r="X854" s="274"/>
      <c r="Y854" s="273"/>
      <c r="Z854" s="273"/>
      <c r="AA854" s="273"/>
      <c r="AB854" s="273"/>
      <c r="AC854" s="273"/>
      <c r="AD854" s="273"/>
      <c r="AE854" s="273"/>
      <c r="AF854" s="273"/>
      <c r="AG854" s="273"/>
      <c r="AH854" s="273"/>
      <c r="AI854" s="273"/>
    </row>
    <row r="855" spans="1:35" ht="14.25" customHeight="1">
      <c r="A855" s="273"/>
      <c r="B855" s="273"/>
      <c r="C855" s="273"/>
      <c r="D855" s="273"/>
      <c r="E855" s="273"/>
      <c r="F855" s="273"/>
      <c r="G855" s="273"/>
      <c r="H855" s="273"/>
      <c r="I855" s="273"/>
      <c r="J855" s="273"/>
      <c r="K855" s="273"/>
      <c r="L855" s="274"/>
      <c r="M855" s="273"/>
      <c r="N855" s="273"/>
      <c r="O855" s="273"/>
      <c r="P855" s="273"/>
      <c r="Q855" s="273"/>
      <c r="R855" s="273"/>
      <c r="S855" s="273"/>
      <c r="T855" s="273"/>
      <c r="U855" s="273"/>
      <c r="V855" s="273"/>
      <c r="W855" s="273"/>
      <c r="X855" s="274"/>
      <c r="Y855" s="273"/>
      <c r="Z855" s="273"/>
      <c r="AA855" s="273"/>
      <c r="AB855" s="273"/>
      <c r="AC855" s="273"/>
      <c r="AD855" s="273"/>
      <c r="AE855" s="273"/>
      <c r="AF855" s="273"/>
      <c r="AG855" s="273"/>
      <c r="AH855" s="273"/>
      <c r="AI855" s="273"/>
    </row>
    <row r="856" spans="1:35" ht="14.25" customHeight="1">
      <c r="A856" s="273"/>
      <c r="B856" s="273"/>
      <c r="C856" s="273"/>
      <c r="D856" s="273"/>
      <c r="E856" s="273"/>
      <c r="F856" s="273"/>
      <c r="G856" s="273"/>
      <c r="H856" s="273"/>
      <c r="I856" s="273"/>
      <c r="J856" s="273"/>
      <c r="K856" s="273"/>
      <c r="L856" s="274"/>
      <c r="M856" s="273"/>
      <c r="N856" s="273"/>
      <c r="O856" s="273"/>
      <c r="P856" s="273"/>
      <c r="Q856" s="273"/>
      <c r="R856" s="273"/>
      <c r="S856" s="273"/>
      <c r="T856" s="273"/>
      <c r="U856" s="273"/>
      <c r="V856" s="273"/>
      <c r="W856" s="273"/>
      <c r="X856" s="274"/>
      <c r="Y856" s="273"/>
      <c r="Z856" s="273"/>
      <c r="AA856" s="273"/>
      <c r="AB856" s="273"/>
      <c r="AC856" s="273"/>
      <c r="AD856" s="273"/>
      <c r="AE856" s="273"/>
      <c r="AF856" s="273"/>
      <c r="AG856" s="273"/>
      <c r="AH856" s="273"/>
      <c r="AI856" s="273"/>
    </row>
    <row r="857" spans="1:35" ht="14.25" customHeight="1">
      <c r="A857" s="273"/>
      <c r="B857" s="273"/>
      <c r="C857" s="273"/>
      <c r="D857" s="273"/>
      <c r="E857" s="273"/>
      <c r="F857" s="273"/>
      <c r="G857" s="273"/>
      <c r="H857" s="273"/>
      <c r="I857" s="273"/>
      <c r="J857" s="273"/>
      <c r="K857" s="273"/>
      <c r="L857" s="274"/>
      <c r="M857" s="273"/>
      <c r="N857" s="273"/>
      <c r="O857" s="273"/>
      <c r="P857" s="273"/>
      <c r="Q857" s="273"/>
      <c r="R857" s="273"/>
      <c r="S857" s="273"/>
      <c r="T857" s="273"/>
      <c r="U857" s="273"/>
      <c r="V857" s="273"/>
      <c r="W857" s="273"/>
      <c r="X857" s="274"/>
      <c r="Y857" s="273"/>
      <c r="Z857" s="273"/>
      <c r="AA857" s="273"/>
      <c r="AB857" s="273"/>
      <c r="AC857" s="273"/>
      <c r="AD857" s="273"/>
      <c r="AE857" s="273"/>
      <c r="AF857" s="273"/>
      <c r="AG857" s="273"/>
      <c r="AH857" s="273"/>
      <c r="AI857" s="273"/>
    </row>
    <row r="858" spans="1:35" ht="14.25" customHeight="1">
      <c r="A858" s="273"/>
      <c r="B858" s="273"/>
      <c r="C858" s="273"/>
      <c r="D858" s="273"/>
      <c r="E858" s="273"/>
      <c r="F858" s="273"/>
      <c r="G858" s="273"/>
      <c r="H858" s="273"/>
      <c r="I858" s="273"/>
      <c r="J858" s="273"/>
      <c r="K858" s="273"/>
      <c r="L858" s="274"/>
      <c r="M858" s="273"/>
      <c r="N858" s="273"/>
      <c r="O858" s="273"/>
      <c r="P858" s="273"/>
      <c r="Q858" s="273"/>
      <c r="R858" s="273"/>
      <c r="S858" s="273"/>
      <c r="T858" s="273"/>
      <c r="U858" s="273"/>
      <c r="V858" s="273"/>
      <c r="W858" s="273"/>
      <c r="X858" s="274"/>
      <c r="Y858" s="273"/>
      <c r="Z858" s="273"/>
      <c r="AA858" s="273"/>
      <c r="AB858" s="273"/>
      <c r="AC858" s="273"/>
      <c r="AD858" s="273"/>
      <c r="AE858" s="273"/>
      <c r="AF858" s="273"/>
      <c r="AG858" s="273"/>
      <c r="AH858" s="273"/>
      <c r="AI858" s="273"/>
    </row>
    <row r="859" spans="1:35" ht="14.25" customHeight="1">
      <c r="A859" s="273"/>
      <c r="B859" s="273"/>
      <c r="C859" s="273"/>
      <c r="D859" s="273"/>
      <c r="E859" s="273"/>
      <c r="F859" s="273"/>
      <c r="G859" s="273"/>
      <c r="H859" s="273"/>
      <c r="I859" s="273"/>
      <c r="J859" s="273"/>
      <c r="K859" s="273"/>
      <c r="L859" s="274"/>
      <c r="M859" s="273"/>
      <c r="N859" s="273"/>
      <c r="O859" s="273"/>
      <c r="P859" s="273"/>
      <c r="Q859" s="273"/>
      <c r="R859" s="273"/>
      <c r="S859" s="273"/>
      <c r="T859" s="273"/>
      <c r="U859" s="273"/>
      <c r="V859" s="273"/>
      <c r="W859" s="273"/>
      <c r="X859" s="274"/>
      <c r="Y859" s="273"/>
      <c r="Z859" s="273"/>
      <c r="AA859" s="273"/>
      <c r="AB859" s="273"/>
      <c r="AC859" s="273"/>
      <c r="AD859" s="273"/>
      <c r="AE859" s="273"/>
      <c r="AF859" s="273"/>
      <c r="AG859" s="273"/>
      <c r="AH859" s="273"/>
      <c r="AI859" s="273"/>
    </row>
    <row r="860" spans="1:35" ht="14.25" customHeight="1">
      <c r="A860" s="273"/>
      <c r="B860" s="273"/>
      <c r="C860" s="273"/>
      <c r="D860" s="273"/>
      <c r="E860" s="273"/>
      <c r="F860" s="273"/>
      <c r="G860" s="273"/>
      <c r="H860" s="273"/>
      <c r="I860" s="273"/>
      <c r="J860" s="273"/>
      <c r="K860" s="273"/>
      <c r="L860" s="274"/>
      <c r="M860" s="273"/>
      <c r="N860" s="273"/>
      <c r="O860" s="273"/>
      <c r="P860" s="273"/>
      <c r="Q860" s="273"/>
      <c r="R860" s="273"/>
      <c r="S860" s="273"/>
      <c r="T860" s="273"/>
      <c r="U860" s="273"/>
      <c r="V860" s="273"/>
      <c r="W860" s="273"/>
      <c r="X860" s="274"/>
      <c r="Y860" s="273"/>
      <c r="Z860" s="273"/>
      <c r="AA860" s="273"/>
      <c r="AB860" s="273"/>
      <c r="AC860" s="273"/>
      <c r="AD860" s="273"/>
      <c r="AE860" s="273"/>
      <c r="AF860" s="273"/>
      <c r="AG860" s="273"/>
      <c r="AH860" s="273"/>
      <c r="AI860" s="273"/>
    </row>
    <row r="861" spans="1:35" ht="14.25" customHeight="1">
      <c r="A861" s="273"/>
      <c r="B861" s="273"/>
      <c r="C861" s="273"/>
      <c r="D861" s="273"/>
      <c r="E861" s="273"/>
      <c r="F861" s="273"/>
      <c r="G861" s="273"/>
      <c r="H861" s="273"/>
      <c r="I861" s="273"/>
      <c r="J861" s="273"/>
      <c r="K861" s="273"/>
      <c r="L861" s="274"/>
      <c r="M861" s="273"/>
      <c r="N861" s="273"/>
      <c r="O861" s="273"/>
      <c r="P861" s="273"/>
      <c r="Q861" s="273"/>
      <c r="R861" s="273"/>
      <c r="S861" s="273"/>
      <c r="T861" s="273"/>
      <c r="U861" s="273"/>
      <c r="V861" s="273"/>
      <c r="W861" s="273"/>
      <c r="X861" s="274"/>
      <c r="Y861" s="273"/>
      <c r="Z861" s="273"/>
      <c r="AA861" s="273"/>
      <c r="AB861" s="273"/>
      <c r="AC861" s="273"/>
      <c r="AD861" s="273"/>
      <c r="AE861" s="273"/>
      <c r="AF861" s="273"/>
      <c r="AG861" s="273"/>
      <c r="AH861" s="273"/>
      <c r="AI861" s="273"/>
    </row>
    <row r="862" spans="1:35" ht="14.25" customHeight="1">
      <c r="A862" s="273"/>
      <c r="B862" s="273"/>
      <c r="C862" s="273"/>
      <c r="D862" s="273"/>
      <c r="E862" s="273"/>
      <c r="F862" s="273"/>
      <c r="G862" s="273"/>
      <c r="H862" s="273"/>
      <c r="I862" s="273"/>
      <c r="J862" s="273"/>
      <c r="K862" s="273"/>
      <c r="L862" s="274"/>
      <c r="M862" s="273"/>
      <c r="N862" s="273"/>
      <c r="O862" s="273"/>
      <c r="P862" s="273"/>
      <c r="Q862" s="273"/>
      <c r="R862" s="273"/>
      <c r="S862" s="273"/>
      <c r="T862" s="273"/>
      <c r="U862" s="273"/>
      <c r="V862" s="273"/>
      <c r="W862" s="273"/>
      <c r="X862" s="274"/>
      <c r="Y862" s="273"/>
      <c r="Z862" s="273"/>
      <c r="AA862" s="273"/>
      <c r="AB862" s="273"/>
      <c r="AC862" s="273"/>
      <c r="AD862" s="273"/>
      <c r="AE862" s="273"/>
      <c r="AF862" s="273"/>
      <c r="AG862" s="273"/>
      <c r="AH862" s="273"/>
      <c r="AI862" s="273"/>
    </row>
    <row r="863" spans="1:35" ht="14.25" customHeight="1">
      <c r="A863" s="273"/>
      <c r="B863" s="273"/>
      <c r="C863" s="273"/>
      <c r="D863" s="273"/>
      <c r="E863" s="273"/>
      <c r="F863" s="273"/>
      <c r="G863" s="273"/>
      <c r="H863" s="273"/>
      <c r="I863" s="273"/>
      <c r="J863" s="273"/>
      <c r="K863" s="273"/>
      <c r="L863" s="274"/>
      <c r="M863" s="273"/>
      <c r="N863" s="273"/>
      <c r="O863" s="273"/>
      <c r="P863" s="273"/>
      <c r="Q863" s="273"/>
      <c r="R863" s="273"/>
      <c r="S863" s="273"/>
      <c r="T863" s="273"/>
      <c r="U863" s="273"/>
      <c r="V863" s="273"/>
      <c r="W863" s="273"/>
      <c r="X863" s="274"/>
      <c r="Y863" s="273"/>
      <c r="Z863" s="273"/>
      <c r="AA863" s="273"/>
      <c r="AB863" s="273"/>
      <c r="AC863" s="273"/>
      <c r="AD863" s="273"/>
      <c r="AE863" s="273"/>
      <c r="AF863" s="273"/>
      <c r="AG863" s="273"/>
      <c r="AH863" s="273"/>
      <c r="AI863" s="273"/>
    </row>
    <row r="864" spans="1:35" ht="14.25" customHeight="1">
      <c r="A864" s="273"/>
      <c r="B864" s="273"/>
      <c r="C864" s="273"/>
      <c r="D864" s="273"/>
      <c r="E864" s="273"/>
      <c r="F864" s="273"/>
      <c r="G864" s="273"/>
      <c r="H864" s="273"/>
      <c r="I864" s="273"/>
      <c r="J864" s="273"/>
      <c r="K864" s="273"/>
      <c r="L864" s="274"/>
      <c r="M864" s="273"/>
      <c r="N864" s="273"/>
      <c r="O864" s="273"/>
      <c r="P864" s="273"/>
      <c r="Q864" s="273"/>
      <c r="R864" s="273"/>
      <c r="S864" s="273"/>
      <c r="T864" s="273"/>
      <c r="U864" s="273"/>
      <c r="V864" s="273"/>
      <c r="W864" s="273"/>
      <c r="X864" s="274"/>
      <c r="Y864" s="273"/>
      <c r="Z864" s="273"/>
      <c r="AA864" s="273"/>
      <c r="AB864" s="273"/>
      <c r="AC864" s="273"/>
      <c r="AD864" s="273"/>
      <c r="AE864" s="273"/>
      <c r="AF864" s="273"/>
      <c r="AG864" s="273"/>
      <c r="AH864" s="273"/>
      <c r="AI864" s="273"/>
    </row>
    <row r="865" spans="1:35" ht="14.25" customHeight="1">
      <c r="A865" s="273"/>
      <c r="B865" s="273"/>
      <c r="C865" s="273"/>
      <c r="D865" s="273"/>
      <c r="E865" s="273"/>
      <c r="F865" s="273"/>
      <c r="G865" s="273"/>
      <c r="H865" s="273"/>
      <c r="I865" s="273"/>
      <c r="J865" s="273"/>
      <c r="K865" s="273"/>
      <c r="L865" s="274"/>
      <c r="M865" s="273"/>
      <c r="N865" s="273"/>
      <c r="O865" s="273"/>
      <c r="P865" s="273"/>
      <c r="Q865" s="273"/>
      <c r="R865" s="273"/>
      <c r="S865" s="273"/>
      <c r="T865" s="273"/>
      <c r="U865" s="273"/>
      <c r="V865" s="273"/>
      <c r="W865" s="273"/>
      <c r="X865" s="274"/>
      <c r="Y865" s="273"/>
      <c r="Z865" s="273"/>
      <c r="AA865" s="273"/>
      <c r="AB865" s="273"/>
      <c r="AC865" s="273"/>
      <c r="AD865" s="273"/>
      <c r="AE865" s="273"/>
      <c r="AF865" s="273"/>
      <c r="AG865" s="273"/>
      <c r="AH865" s="273"/>
      <c r="AI865" s="273"/>
    </row>
    <row r="866" spans="1:35" ht="14.25" customHeight="1">
      <c r="A866" s="273"/>
      <c r="B866" s="273"/>
      <c r="C866" s="273"/>
      <c r="D866" s="273"/>
      <c r="E866" s="273"/>
      <c r="F866" s="273"/>
      <c r="G866" s="273"/>
      <c r="H866" s="273"/>
      <c r="I866" s="273"/>
      <c r="J866" s="273"/>
      <c r="K866" s="273"/>
      <c r="L866" s="274"/>
      <c r="M866" s="273"/>
      <c r="N866" s="273"/>
      <c r="O866" s="273"/>
      <c r="P866" s="273"/>
      <c r="Q866" s="273"/>
      <c r="R866" s="273"/>
      <c r="S866" s="273"/>
      <c r="T866" s="273"/>
      <c r="U866" s="273"/>
      <c r="V866" s="273"/>
      <c r="W866" s="273"/>
      <c r="X866" s="274"/>
      <c r="Y866" s="273"/>
      <c r="Z866" s="273"/>
      <c r="AA866" s="273"/>
      <c r="AB866" s="273"/>
      <c r="AC866" s="273"/>
      <c r="AD866" s="273"/>
      <c r="AE866" s="273"/>
      <c r="AF866" s="273"/>
      <c r="AG866" s="273"/>
      <c r="AH866" s="273"/>
      <c r="AI866" s="273"/>
    </row>
    <row r="867" spans="1:35" ht="14.25" customHeight="1">
      <c r="A867" s="273"/>
      <c r="B867" s="273"/>
      <c r="C867" s="273"/>
      <c r="D867" s="273"/>
      <c r="E867" s="273"/>
      <c r="F867" s="273"/>
      <c r="G867" s="273"/>
      <c r="H867" s="273"/>
      <c r="I867" s="273"/>
      <c r="J867" s="273"/>
      <c r="K867" s="273"/>
      <c r="L867" s="274"/>
      <c r="M867" s="273"/>
      <c r="N867" s="273"/>
      <c r="O867" s="273"/>
      <c r="P867" s="273"/>
      <c r="Q867" s="273"/>
      <c r="R867" s="273"/>
      <c r="S867" s="273"/>
      <c r="T867" s="273"/>
      <c r="U867" s="273"/>
      <c r="V867" s="273"/>
      <c r="W867" s="273"/>
      <c r="X867" s="274"/>
      <c r="Y867" s="273"/>
      <c r="Z867" s="273"/>
      <c r="AA867" s="273"/>
      <c r="AB867" s="273"/>
      <c r="AC867" s="273"/>
      <c r="AD867" s="273"/>
      <c r="AE867" s="273"/>
      <c r="AF867" s="273"/>
      <c r="AG867" s="273"/>
      <c r="AH867" s="273"/>
      <c r="AI867" s="273"/>
    </row>
    <row r="868" spans="1:35" ht="14.25" customHeight="1">
      <c r="A868" s="273"/>
      <c r="B868" s="273"/>
      <c r="C868" s="273"/>
      <c r="D868" s="273"/>
      <c r="E868" s="273"/>
      <c r="F868" s="273"/>
      <c r="G868" s="273"/>
      <c r="H868" s="273"/>
      <c r="I868" s="273"/>
      <c r="J868" s="273"/>
      <c r="K868" s="273"/>
      <c r="L868" s="274"/>
      <c r="M868" s="273"/>
      <c r="N868" s="273"/>
      <c r="O868" s="273"/>
      <c r="P868" s="273"/>
      <c r="Q868" s="273"/>
      <c r="R868" s="273"/>
      <c r="S868" s="273"/>
      <c r="T868" s="273"/>
      <c r="U868" s="273"/>
      <c r="V868" s="273"/>
      <c r="W868" s="273"/>
      <c r="X868" s="274"/>
      <c r="Y868" s="273"/>
      <c r="Z868" s="273"/>
      <c r="AA868" s="273"/>
      <c r="AB868" s="273"/>
      <c r="AC868" s="273"/>
      <c r="AD868" s="273"/>
      <c r="AE868" s="273"/>
      <c r="AF868" s="273"/>
      <c r="AG868" s="273"/>
      <c r="AH868" s="273"/>
      <c r="AI868" s="273"/>
    </row>
    <row r="869" spans="1:35" ht="14.25" customHeight="1">
      <c r="A869" s="273"/>
      <c r="B869" s="273"/>
      <c r="C869" s="273"/>
      <c r="D869" s="273"/>
      <c r="E869" s="273"/>
      <c r="F869" s="273"/>
      <c r="G869" s="273"/>
      <c r="H869" s="273"/>
      <c r="I869" s="273"/>
      <c r="J869" s="273"/>
      <c r="K869" s="273"/>
      <c r="L869" s="274"/>
      <c r="M869" s="273"/>
      <c r="N869" s="273"/>
      <c r="O869" s="273"/>
      <c r="P869" s="273"/>
      <c r="Q869" s="273"/>
      <c r="R869" s="273"/>
      <c r="S869" s="273"/>
      <c r="T869" s="273"/>
      <c r="U869" s="273"/>
      <c r="V869" s="273"/>
      <c r="W869" s="273"/>
      <c r="X869" s="274"/>
      <c r="Y869" s="273"/>
      <c r="Z869" s="273"/>
      <c r="AA869" s="273"/>
      <c r="AB869" s="273"/>
      <c r="AC869" s="273"/>
      <c r="AD869" s="273"/>
      <c r="AE869" s="273"/>
      <c r="AF869" s="273"/>
      <c r="AG869" s="273"/>
      <c r="AH869" s="273"/>
      <c r="AI869" s="273"/>
    </row>
    <row r="870" spans="1:35" ht="14.25" customHeight="1">
      <c r="A870" s="273"/>
      <c r="B870" s="273"/>
      <c r="C870" s="273"/>
      <c r="D870" s="273"/>
      <c r="E870" s="273"/>
      <c r="F870" s="273"/>
      <c r="G870" s="273"/>
      <c r="H870" s="273"/>
      <c r="I870" s="273"/>
      <c r="J870" s="273"/>
      <c r="K870" s="273"/>
      <c r="L870" s="274"/>
      <c r="M870" s="273"/>
      <c r="N870" s="273"/>
      <c r="O870" s="273"/>
      <c r="P870" s="273"/>
      <c r="Q870" s="273"/>
      <c r="R870" s="273"/>
      <c r="S870" s="273"/>
      <c r="T870" s="273"/>
      <c r="U870" s="273"/>
      <c r="V870" s="273"/>
      <c r="W870" s="273"/>
      <c r="X870" s="274"/>
      <c r="Y870" s="273"/>
      <c r="Z870" s="273"/>
      <c r="AA870" s="273"/>
      <c r="AB870" s="273"/>
      <c r="AC870" s="273"/>
      <c r="AD870" s="273"/>
      <c r="AE870" s="273"/>
      <c r="AF870" s="273"/>
      <c r="AG870" s="273"/>
      <c r="AH870" s="273"/>
      <c r="AI870" s="273"/>
    </row>
    <row r="871" spans="1:35" ht="14.25" customHeight="1">
      <c r="A871" s="273"/>
      <c r="B871" s="273"/>
      <c r="C871" s="273"/>
      <c r="D871" s="273"/>
      <c r="E871" s="273"/>
      <c r="F871" s="273"/>
      <c r="G871" s="273"/>
      <c r="H871" s="273"/>
      <c r="I871" s="273"/>
      <c r="J871" s="273"/>
      <c r="K871" s="273"/>
      <c r="L871" s="274"/>
      <c r="M871" s="273"/>
      <c r="N871" s="273"/>
      <c r="O871" s="273"/>
      <c r="P871" s="273"/>
      <c r="Q871" s="273"/>
      <c r="R871" s="273"/>
      <c r="S871" s="273"/>
      <c r="T871" s="273"/>
      <c r="U871" s="273"/>
      <c r="V871" s="273"/>
      <c r="W871" s="273"/>
      <c r="X871" s="274"/>
      <c r="Y871" s="273"/>
      <c r="Z871" s="273"/>
      <c r="AA871" s="273"/>
      <c r="AB871" s="273"/>
      <c r="AC871" s="273"/>
      <c r="AD871" s="273"/>
      <c r="AE871" s="273"/>
      <c r="AF871" s="273"/>
      <c r="AG871" s="273"/>
      <c r="AH871" s="273"/>
      <c r="AI871" s="273"/>
    </row>
    <row r="872" spans="1:35" ht="14.25" customHeight="1">
      <c r="A872" s="273"/>
      <c r="B872" s="273"/>
      <c r="C872" s="273"/>
      <c r="D872" s="273"/>
      <c r="E872" s="273"/>
      <c r="F872" s="273"/>
      <c r="G872" s="273"/>
      <c r="H872" s="273"/>
      <c r="I872" s="273"/>
      <c r="J872" s="273"/>
      <c r="K872" s="273"/>
      <c r="L872" s="274"/>
      <c r="M872" s="273"/>
      <c r="N872" s="273"/>
      <c r="O872" s="273"/>
      <c r="P872" s="273"/>
      <c r="Q872" s="273"/>
      <c r="R872" s="273"/>
      <c r="S872" s="273"/>
      <c r="T872" s="273"/>
      <c r="U872" s="273"/>
      <c r="V872" s="273"/>
      <c r="W872" s="273"/>
      <c r="X872" s="274"/>
      <c r="Y872" s="273"/>
      <c r="Z872" s="273"/>
      <c r="AA872" s="273"/>
      <c r="AB872" s="273"/>
      <c r="AC872" s="273"/>
      <c r="AD872" s="273"/>
      <c r="AE872" s="273"/>
      <c r="AF872" s="273"/>
      <c r="AG872" s="273"/>
      <c r="AH872" s="273"/>
      <c r="AI872" s="273"/>
    </row>
    <row r="873" spans="1:35" ht="14.25" customHeight="1">
      <c r="A873" s="273"/>
      <c r="B873" s="273"/>
      <c r="C873" s="273"/>
      <c r="D873" s="273"/>
      <c r="E873" s="273"/>
      <c r="F873" s="273"/>
      <c r="G873" s="273"/>
      <c r="H873" s="273"/>
      <c r="I873" s="273"/>
      <c r="J873" s="273"/>
      <c r="K873" s="273"/>
      <c r="L873" s="274"/>
      <c r="M873" s="273"/>
      <c r="N873" s="273"/>
      <c r="O873" s="273"/>
      <c r="P873" s="273"/>
      <c r="Q873" s="273"/>
      <c r="R873" s="273"/>
      <c r="S873" s="273"/>
      <c r="T873" s="273"/>
      <c r="U873" s="273"/>
      <c r="V873" s="273"/>
      <c r="W873" s="273"/>
      <c r="X873" s="274"/>
      <c r="Y873" s="273"/>
      <c r="Z873" s="273"/>
      <c r="AA873" s="273"/>
      <c r="AB873" s="273"/>
      <c r="AC873" s="273"/>
      <c r="AD873" s="273"/>
      <c r="AE873" s="273"/>
      <c r="AF873" s="273"/>
      <c r="AG873" s="273"/>
      <c r="AH873" s="273"/>
      <c r="AI873" s="273"/>
    </row>
    <row r="874" spans="1:35" ht="14.25" customHeight="1">
      <c r="A874" s="273"/>
      <c r="B874" s="273"/>
      <c r="C874" s="273"/>
      <c r="D874" s="273"/>
      <c r="E874" s="273"/>
      <c r="F874" s="273"/>
      <c r="G874" s="273"/>
      <c r="H874" s="273"/>
      <c r="I874" s="273"/>
      <c r="J874" s="273"/>
      <c r="K874" s="273"/>
      <c r="L874" s="274"/>
      <c r="M874" s="273"/>
      <c r="N874" s="273"/>
      <c r="O874" s="273"/>
      <c r="P874" s="273"/>
      <c r="Q874" s="273"/>
      <c r="R874" s="273"/>
      <c r="S874" s="273"/>
      <c r="T874" s="273"/>
      <c r="U874" s="273"/>
      <c r="V874" s="273"/>
      <c r="W874" s="273"/>
      <c r="X874" s="274"/>
      <c r="Y874" s="273"/>
      <c r="Z874" s="273"/>
      <c r="AA874" s="273"/>
      <c r="AB874" s="273"/>
      <c r="AC874" s="273"/>
      <c r="AD874" s="273"/>
      <c r="AE874" s="273"/>
      <c r="AF874" s="273"/>
      <c r="AG874" s="273"/>
      <c r="AH874" s="273"/>
      <c r="AI874" s="273"/>
    </row>
    <row r="875" spans="1:35" ht="14.25" customHeight="1">
      <c r="A875" s="273"/>
      <c r="B875" s="273"/>
      <c r="C875" s="273"/>
      <c r="D875" s="273"/>
      <c r="E875" s="273"/>
      <c r="F875" s="273"/>
      <c r="G875" s="273"/>
      <c r="H875" s="273"/>
      <c r="I875" s="273"/>
      <c r="J875" s="273"/>
      <c r="K875" s="273"/>
      <c r="L875" s="274"/>
      <c r="M875" s="273"/>
      <c r="N875" s="273"/>
      <c r="O875" s="273"/>
      <c r="P875" s="273"/>
      <c r="Q875" s="273"/>
      <c r="R875" s="273"/>
      <c r="S875" s="273"/>
      <c r="T875" s="273"/>
      <c r="U875" s="273"/>
      <c r="V875" s="273"/>
      <c r="W875" s="273"/>
      <c r="X875" s="274"/>
      <c r="Y875" s="273"/>
      <c r="Z875" s="273"/>
      <c r="AA875" s="273"/>
      <c r="AB875" s="273"/>
      <c r="AC875" s="273"/>
      <c r="AD875" s="273"/>
      <c r="AE875" s="273"/>
      <c r="AF875" s="273"/>
      <c r="AG875" s="273"/>
      <c r="AH875" s="273"/>
      <c r="AI875" s="273"/>
    </row>
    <row r="876" spans="1:35" ht="14.25" customHeight="1">
      <c r="A876" s="273"/>
      <c r="B876" s="273"/>
      <c r="C876" s="273"/>
      <c r="D876" s="273"/>
      <c r="E876" s="273"/>
      <c r="F876" s="273"/>
      <c r="G876" s="273"/>
      <c r="H876" s="273"/>
      <c r="I876" s="273"/>
      <c r="J876" s="273"/>
      <c r="K876" s="273"/>
      <c r="L876" s="274"/>
      <c r="M876" s="273"/>
      <c r="N876" s="273"/>
      <c r="O876" s="273"/>
      <c r="P876" s="273"/>
      <c r="Q876" s="273"/>
      <c r="R876" s="273"/>
      <c r="S876" s="273"/>
      <c r="T876" s="273"/>
      <c r="U876" s="273"/>
      <c r="V876" s="273"/>
      <c r="W876" s="273"/>
      <c r="X876" s="274"/>
      <c r="Y876" s="273"/>
      <c r="Z876" s="273"/>
      <c r="AA876" s="273"/>
      <c r="AB876" s="273"/>
      <c r="AC876" s="273"/>
      <c r="AD876" s="273"/>
      <c r="AE876" s="273"/>
      <c r="AF876" s="273"/>
      <c r="AG876" s="273"/>
      <c r="AH876" s="273"/>
      <c r="AI876" s="273"/>
    </row>
    <row r="877" spans="1:35" ht="14.25" customHeight="1">
      <c r="A877" s="273"/>
      <c r="B877" s="273"/>
      <c r="C877" s="273"/>
      <c r="D877" s="273"/>
      <c r="E877" s="273"/>
      <c r="F877" s="273"/>
      <c r="G877" s="273"/>
      <c r="H877" s="273"/>
      <c r="I877" s="273"/>
      <c r="J877" s="273"/>
      <c r="K877" s="273"/>
      <c r="L877" s="274"/>
      <c r="M877" s="273"/>
      <c r="N877" s="273"/>
      <c r="O877" s="273"/>
      <c r="P877" s="273"/>
      <c r="Q877" s="273"/>
      <c r="R877" s="273"/>
      <c r="S877" s="273"/>
      <c r="T877" s="273"/>
      <c r="U877" s="273"/>
      <c r="V877" s="273"/>
      <c r="W877" s="273"/>
      <c r="X877" s="274"/>
      <c r="Y877" s="273"/>
      <c r="Z877" s="273"/>
      <c r="AA877" s="273"/>
      <c r="AB877" s="273"/>
      <c r="AC877" s="273"/>
      <c r="AD877" s="273"/>
      <c r="AE877" s="273"/>
      <c r="AF877" s="273"/>
      <c r="AG877" s="273"/>
      <c r="AH877" s="273"/>
      <c r="AI877" s="273"/>
    </row>
    <row r="878" spans="1:35" ht="14.25" customHeight="1">
      <c r="A878" s="273"/>
      <c r="B878" s="273"/>
      <c r="C878" s="273"/>
      <c r="D878" s="273"/>
      <c r="E878" s="273"/>
      <c r="F878" s="273"/>
      <c r="G878" s="273"/>
      <c r="H878" s="273"/>
      <c r="I878" s="273"/>
      <c r="J878" s="273"/>
      <c r="K878" s="273"/>
      <c r="L878" s="274"/>
      <c r="M878" s="273"/>
      <c r="N878" s="273"/>
      <c r="O878" s="273"/>
      <c r="P878" s="273"/>
      <c r="Q878" s="273"/>
      <c r="R878" s="273"/>
      <c r="S878" s="273"/>
      <c r="T878" s="273"/>
      <c r="U878" s="273"/>
      <c r="V878" s="273"/>
      <c r="W878" s="273"/>
      <c r="X878" s="274"/>
      <c r="Y878" s="273"/>
      <c r="Z878" s="273"/>
      <c r="AA878" s="273"/>
      <c r="AB878" s="273"/>
      <c r="AC878" s="273"/>
      <c r="AD878" s="273"/>
      <c r="AE878" s="273"/>
      <c r="AF878" s="273"/>
      <c r="AG878" s="273"/>
      <c r="AH878" s="273"/>
      <c r="AI878" s="273"/>
    </row>
    <row r="879" spans="1:35" ht="14.25" customHeight="1">
      <c r="A879" s="273"/>
      <c r="B879" s="273"/>
      <c r="C879" s="273"/>
      <c r="D879" s="273"/>
      <c r="E879" s="273"/>
      <c r="F879" s="273"/>
      <c r="G879" s="273"/>
      <c r="H879" s="273"/>
      <c r="I879" s="273"/>
      <c r="J879" s="273"/>
      <c r="K879" s="273"/>
      <c r="L879" s="274"/>
      <c r="M879" s="273"/>
      <c r="N879" s="273"/>
      <c r="O879" s="273"/>
      <c r="P879" s="273"/>
      <c r="Q879" s="273"/>
      <c r="R879" s="273"/>
      <c r="S879" s="273"/>
      <c r="T879" s="273"/>
      <c r="U879" s="273"/>
      <c r="V879" s="273"/>
      <c r="W879" s="273"/>
      <c r="X879" s="274"/>
      <c r="Y879" s="273"/>
      <c r="Z879" s="273"/>
      <c r="AA879" s="273"/>
      <c r="AB879" s="273"/>
      <c r="AC879" s="273"/>
      <c r="AD879" s="273"/>
      <c r="AE879" s="273"/>
      <c r="AF879" s="273"/>
      <c r="AG879" s="273"/>
      <c r="AH879" s="273"/>
      <c r="AI879" s="273"/>
    </row>
    <row r="880" spans="1:35" ht="14.25" customHeight="1">
      <c r="A880" s="273"/>
      <c r="B880" s="273"/>
      <c r="C880" s="273"/>
      <c r="D880" s="273"/>
      <c r="E880" s="273"/>
      <c r="F880" s="273"/>
      <c r="G880" s="273"/>
      <c r="H880" s="273"/>
      <c r="I880" s="273"/>
      <c r="J880" s="273"/>
      <c r="K880" s="273"/>
      <c r="L880" s="274"/>
      <c r="M880" s="273"/>
      <c r="N880" s="273"/>
      <c r="O880" s="273"/>
      <c r="P880" s="273"/>
      <c r="Q880" s="273"/>
      <c r="R880" s="273"/>
      <c r="S880" s="273"/>
      <c r="T880" s="273"/>
      <c r="U880" s="273"/>
      <c r="V880" s="273"/>
      <c r="W880" s="273"/>
      <c r="X880" s="274"/>
      <c r="Y880" s="273"/>
      <c r="Z880" s="273"/>
      <c r="AA880" s="273"/>
      <c r="AB880" s="273"/>
      <c r="AC880" s="273"/>
      <c r="AD880" s="273"/>
      <c r="AE880" s="273"/>
      <c r="AF880" s="273"/>
      <c r="AG880" s="273"/>
      <c r="AH880" s="273"/>
      <c r="AI880" s="273"/>
    </row>
    <row r="881" spans="1:35" ht="14.25" customHeight="1">
      <c r="A881" s="273"/>
      <c r="B881" s="273"/>
      <c r="C881" s="273"/>
      <c r="D881" s="273"/>
      <c r="E881" s="273"/>
      <c r="F881" s="273"/>
      <c r="G881" s="273"/>
      <c r="H881" s="273"/>
      <c r="I881" s="273"/>
      <c r="J881" s="273"/>
      <c r="K881" s="273"/>
      <c r="L881" s="274"/>
      <c r="M881" s="273"/>
      <c r="N881" s="273"/>
      <c r="O881" s="273"/>
      <c r="P881" s="273"/>
      <c r="Q881" s="273"/>
      <c r="R881" s="273"/>
      <c r="S881" s="273"/>
      <c r="T881" s="273"/>
      <c r="U881" s="273"/>
      <c r="V881" s="273"/>
      <c r="W881" s="273"/>
      <c r="X881" s="274"/>
      <c r="Y881" s="273"/>
      <c r="Z881" s="273"/>
      <c r="AA881" s="273"/>
      <c r="AB881" s="273"/>
      <c r="AC881" s="273"/>
      <c r="AD881" s="273"/>
      <c r="AE881" s="273"/>
      <c r="AF881" s="273"/>
      <c r="AG881" s="273"/>
      <c r="AH881" s="273"/>
      <c r="AI881" s="273"/>
    </row>
    <row r="882" spans="1:35" ht="14.25" customHeight="1">
      <c r="A882" s="273"/>
      <c r="B882" s="273"/>
      <c r="C882" s="273"/>
      <c r="D882" s="273"/>
      <c r="E882" s="273"/>
      <c r="F882" s="273"/>
      <c r="G882" s="273"/>
      <c r="H882" s="273"/>
      <c r="I882" s="273"/>
      <c r="J882" s="273"/>
      <c r="K882" s="273"/>
      <c r="L882" s="274"/>
      <c r="M882" s="273"/>
      <c r="N882" s="273"/>
      <c r="O882" s="273"/>
      <c r="P882" s="273"/>
      <c r="Q882" s="273"/>
      <c r="R882" s="273"/>
      <c r="S882" s="273"/>
      <c r="T882" s="273"/>
      <c r="U882" s="273"/>
      <c r="V882" s="273"/>
      <c r="W882" s="273"/>
      <c r="X882" s="274"/>
      <c r="Y882" s="273"/>
      <c r="Z882" s="273"/>
      <c r="AA882" s="273"/>
      <c r="AB882" s="273"/>
      <c r="AC882" s="273"/>
      <c r="AD882" s="273"/>
      <c r="AE882" s="273"/>
      <c r="AF882" s="273"/>
      <c r="AG882" s="273"/>
      <c r="AH882" s="273"/>
      <c r="AI882" s="273"/>
    </row>
    <row r="883" spans="1:35" ht="14.25" customHeight="1">
      <c r="A883" s="273"/>
      <c r="B883" s="273"/>
      <c r="C883" s="273"/>
      <c r="D883" s="273"/>
      <c r="E883" s="273"/>
      <c r="F883" s="273"/>
      <c r="G883" s="273"/>
      <c r="H883" s="273"/>
      <c r="I883" s="273"/>
      <c r="J883" s="273"/>
      <c r="K883" s="273"/>
      <c r="L883" s="274"/>
      <c r="M883" s="273"/>
      <c r="N883" s="273"/>
      <c r="O883" s="273"/>
      <c r="P883" s="273"/>
      <c r="Q883" s="273"/>
      <c r="R883" s="273"/>
      <c r="S883" s="273"/>
      <c r="T883" s="273"/>
      <c r="U883" s="273"/>
      <c r="V883" s="273"/>
      <c r="W883" s="273"/>
      <c r="X883" s="274"/>
      <c r="Y883" s="273"/>
      <c r="Z883" s="273"/>
      <c r="AA883" s="273"/>
      <c r="AB883" s="273"/>
      <c r="AC883" s="273"/>
      <c r="AD883" s="273"/>
      <c r="AE883" s="273"/>
      <c r="AF883" s="273"/>
      <c r="AG883" s="273"/>
      <c r="AH883" s="273"/>
      <c r="AI883" s="273"/>
    </row>
    <row r="884" spans="1:35" ht="14.25" customHeight="1">
      <c r="A884" s="273"/>
      <c r="B884" s="273"/>
      <c r="C884" s="273"/>
      <c r="D884" s="273"/>
      <c r="E884" s="273"/>
      <c r="F884" s="273"/>
      <c r="G884" s="273"/>
      <c r="H884" s="273"/>
      <c r="I884" s="273"/>
      <c r="J884" s="273"/>
      <c r="K884" s="273"/>
      <c r="L884" s="274"/>
      <c r="M884" s="273"/>
      <c r="N884" s="273"/>
      <c r="O884" s="273"/>
      <c r="P884" s="273"/>
      <c r="Q884" s="273"/>
      <c r="R884" s="273"/>
      <c r="S884" s="273"/>
      <c r="T884" s="273"/>
      <c r="U884" s="273"/>
      <c r="V884" s="273"/>
      <c r="W884" s="273"/>
      <c r="X884" s="274"/>
      <c r="Y884" s="273"/>
      <c r="Z884" s="273"/>
      <c r="AA884" s="273"/>
      <c r="AB884" s="273"/>
      <c r="AC884" s="273"/>
      <c r="AD884" s="273"/>
      <c r="AE884" s="273"/>
      <c r="AF884" s="273"/>
      <c r="AG884" s="273"/>
      <c r="AH884" s="273"/>
      <c r="AI884" s="273"/>
    </row>
    <row r="885" spans="1:35" ht="14.25" customHeight="1">
      <c r="A885" s="273"/>
      <c r="B885" s="273"/>
      <c r="C885" s="273"/>
      <c r="D885" s="273"/>
      <c r="E885" s="273"/>
      <c r="F885" s="273"/>
      <c r="G885" s="273"/>
      <c r="H885" s="273"/>
      <c r="I885" s="273"/>
      <c r="J885" s="273"/>
      <c r="K885" s="273"/>
      <c r="L885" s="274"/>
      <c r="M885" s="273"/>
      <c r="N885" s="273"/>
      <c r="O885" s="273"/>
      <c r="P885" s="273"/>
      <c r="Q885" s="273"/>
      <c r="R885" s="273"/>
      <c r="S885" s="273"/>
      <c r="T885" s="273"/>
      <c r="U885" s="273"/>
      <c r="V885" s="273"/>
      <c r="W885" s="273"/>
      <c r="X885" s="274"/>
      <c r="Y885" s="273"/>
      <c r="Z885" s="273"/>
      <c r="AA885" s="273"/>
      <c r="AB885" s="273"/>
      <c r="AC885" s="273"/>
      <c r="AD885" s="273"/>
      <c r="AE885" s="273"/>
      <c r="AF885" s="273"/>
      <c r="AG885" s="273"/>
      <c r="AH885" s="273"/>
      <c r="AI885" s="273"/>
    </row>
    <row r="886" spans="1:35" ht="14.25" customHeight="1">
      <c r="A886" s="273"/>
      <c r="B886" s="273"/>
      <c r="C886" s="273"/>
      <c r="D886" s="273"/>
      <c r="E886" s="273"/>
      <c r="F886" s="273"/>
      <c r="G886" s="273"/>
      <c r="H886" s="273"/>
      <c r="I886" s="273"/>
      <c r="J886" s="273"/>
      <c r="K886" s="273"/>
      <c r="L886" s="274"/>
      <c r="M886" s="273"/>
      <c r="N886" s="273"/>
      <c r="O886" s="273"/>
      <c r="P886" s="273"/>
      <c r="Q886" s="273"/>
      <c r="R886" s="273"/>
      <c r="S886" s="273"/>
      <c r="T886" s="273"/>
      <c r="U886" s="273"/>
      <c r="V886" s="273"/>
      <c r="W886" s="273"/>
      <c r="X886" s="274"/>
      <c r="Y886" s="273"/>
      <c r="Z886" s="273"/>
      <c r="AA886" s="273"/>
      <c r="AB886" s="273"/>
      <c r="AC886" s="273"/>
      <c r="AD886" s="273"/>
      <c r="AE886" s="273"/>
      <c r="AF886" s="273"/>
      <c r="AG886" s="273"/>
      <c r="AH886" s="273"/>
      <c r="AI886" s="273"/>
    </row>
    <row r="887" spans="1:35" ht="14.25" customHeight="1">
      <c r="A887" s="273"/>
      <c r="B887" s="273"/>
      <c r="C887" s="273"/>
      <c r="D887" s="273"/>
      <c r="E887" s="273"/>
      <c r="F887" s="273"/>
      <c r="G887" s="273"/>
      <c r="H887" s="273"/>
      <c r="I887" s="273"/>
      <c r="J887" s="273"/>
      <c r="K887" s="273"/>
      <c r="L887" s="274"/>
      <c r="M887" s="273"/>
      <c r="N887" s="273"/>
      <c r="O887" s="273"/>
      <c r="P887" s="273"/>
      <c r="Q887" s="273"/>
      <c r="R887" s="273"/>
      <c r="S887" s="273"/>
      <c r="T887" s="273"/>
      <c r="U887" s="273"/>
      <c r="V887" s="273"/>
      <c r="W887" s="273"/>
      <c r="X887" s="274"/>
      <c r="Y887" s="273"/>
      <c r="Z887" s="273"/>
      <c r="AA887" s="273"/>
      <c r="AB887" s="273"/>
      <c r="AC887" s="273"/>
      <c r="AD887" s="273"/>
      <c r="AE887" s="273"/>
      <c r="AF887" s="273"/>
      <c r="AG887" s="273"/>
      <c r="AH887" s="273"/>
      <c r="AI887" s="273"/>
    </row>
    <row r="888" spans="1:35" ht="14.25" customHeight="1">
      <c r="A888" s="273"/>
      <c r="B888" s="273"/>
      <c r="C888" s="273"/>
      <c r="D888" s="273"/>
      <c r="E888" s="273"/>
      <c r="F888" s="273"/>
      <c r="G888" s="273"/>
      <c r="H888" s="273"/>
      <c r="I888" s="273"/>
      <c r="J888" s="273"/>
      <c r="K888" s="273"/>
      <c r="L888" s="274"/>
      <c r="M888" s="273"/>
      <c r="N888" s="273"/>
      <c r="O888" s="273"/>
      <c r="P888" s="273"/>
      <c r="Q888" s="273"/>
      <c r="R888" s="273"/>
      <c r="S888" s="273"/>
      <c r="T888" s="273"/>
      <c r="U888" s="273"/>
      <c r="V888" s="273"/>
      <c r="W888" s="273"/>
      <c r="X888" s="274"/>
      <c r="Y888" s="273"/>
      <c r="Z888" s="273"/>
      <c r="AA888" s="273"/>
      <c r="AB888" s="273"/>
      <c r="AC888" s="273"/>
      <c r="AD888" s="273"/>
      <c r="AE888" s="273"/>
      <c r="AF888" s="273"/>
      <c r="AG888" s="273"/>
      <c r="AH888" s="273"/>
      <c r="AI888" s="273"/>
    </row>
    <row r="889" spans="1:35" ht="14.25" customHeight="1">
      <c r="A889" s="273"/>
      <c r="B889" s="273"/>
      <c r="C889" s="273"/>
      <c r="D889" s="273"/>
      <c r="E889" s="273"/>
      <c r="F889" s="273"/>
      <c r="G889" s="273"/>
      <c r="H889" s="273"/>
      <c r="I889" s="273"/>
      <c r="J889" s="273"/>
      <c r="K889" s="273"/>
      <c r="L889" s="274"/>
      <c r="M889" s="273"/>
      <c r="N889" s="273"/>
      <c r="O889" s="273"/>
      <c r="P889" s="273"/>
      <c r="Q889" s="273"/>
      <c r="R889" s="273"/>
      <c r="S889" s="273"/>
      <c r="T889" s="273"/>
      <c r="U889" s="273"/>
      <c r="V889" s="273"/>
      <c r="W889" s="273"/>
      <c r="X889" s="274"/>
      <c r="Y889" s="273"/>
      <c r="Z889" s="273"/>
      <c r="AA889" s="273"/>
      <c r="AB889" s="273"/>
      <c r="AC889" s="273"/>
      <c r="AD889" s="273"/>
      <c r="AE889" s="273"/>
      <c r="AF889" s="273"/>
      <c r="AG889" s="273"/>
      <c r="AH889" s="273"/>
      <c r="AI889" s="273"/>
    </row>
    <row r="890" spans="1:35" ht="14.25" customHeight="1">
      <c r="A890" s="273"/>
      <c r="B890" s="273"/>
      <c r="C890" s="273"/>
      <c r="D890" s="273"/>
      <c r="E890" s="273"/>
      <c r="F890" s="273"/>
      <c r="G890" s="273"/>
      <c r="H890" s="273"/>
      <c r="I890" s="273"/>
      <c r="J890" s="273"/>
      <c r="K890" s="273"/>
      <c r="L890" s="274"/>
      <c r="M890" s="273"/>
      <c r="N890" s="273"/>
      <c r="O890" s="273"/>
      <c r="P890" s="273"/>
      <c r="Q890" s="273"/>
      <c r="R890" s="273"/>
      <c r="S890" s="273"/>
      <c r="T890" s="273"/>
      <c r="U890" s="273"/>
      <c r="V890" s="273"/>
      <c r="W890" s="273"/>
      <c r="X890" s="274"/>
      <c r="Y890" s="273"/>
      <c r="Z890" s="273"/>
      <c r="AA890" s="273"/>
      <c r="AB890" s="273"/>
      <c r="AC890" s="273"/>
      <c r="AD890" s="273"/>
      <c r="AE890" s="273"/>
      <c r="AF890" s="273"/>
      <c r="AG890" s="273"/>
      <c r="AH890" s="273"/>
      <c r="AI890" s="273"/>
    </row>
    <row r="891" spans="1:35" ht="14.25" customHeight="1">
      <c r="A891" s="273"/>
      <c r="B891" s="273"/>
      <c r="C891" s="273"/>
      <c r="D891" s="273"/>
      <c r="E891" s="273"/>
      <c r="F891" s="273"/>
      <c r="G891" s="273"/>
      <c r="H891" s="273"/>
      <c r="I891" s="273"/>
      <c r="J891" s="273"/>
      <c r="K891" s="273"/>
      <c r="L891" s="274"/>
      <c r="M891" s="273"/>
      <c r="N891" s="273"/>
      <c r="O891" s="273"/>
      <c r="P891" s="273"/>
      <c r="Q891" s="273"/>
      <c r="R891" s="273"/>
      <c r="S891" s="273"/>
      <c r="T891" s="273"/>
      <c r="U891" s="273"/>
      <c r="V891" s="273"/>
      <c r="W891" s="273"/>
      <c r="X891" s="274"/>
      <c r="Y891" s="273"/>
      <c r="Z891" s="273"/>
      <c r="AA891" s="273"/>
      <c r="AB891" s="273"/>
      <c r="AC891" s="273"/>
      <c r="AD891" s="273"/>
      <c r="AE891" s="273"/>
      <c r="AF891" s="273"/>
      <c r="AG891" s="273"/>
      <c r="AH891" s="273"/>
      <c r="AI891" s="273"/>
    </row>
    <row r="892" spans="1:35" ht="14.25" customHeight="1">
      <c r="A892" s="273"/>
      <c r="B892" s="273"/>
      <c r="C892" s="273"/>
      <c r="D892" s="273"/>
      <c r="E892" s="273"/>
      <c r="F892" s="273"/>
      <c r="G892" s="273"/>
      <c r="H892" s="273"/>
      <c r="I892" s="273"/>
      <c r="J892" s="273"/>
      <c r="K892" s="273"/>
      <c r="L892" s="274"/>
      <c r="M892" s="273"/>
      <c r="N892" s="273"/>
      <c r="O892" s="273"/>
      <c r="P892" s="273"/>
      <c r="Q892" s="273"/>
      <c r="R892" s="273"/>
      <c r="S892" s="273"/>
      <c r="T892" s="273"/>
      <c r="U892" s="273"/>
      <c r="V892" s="273"/>
      <c r="W892" s="273"/>
      <c r="X892" s="274"/>
      <c r="Y892" s="273"/>
      <c r="Z892" s="273"/>
      <c r="AA892" s="273"/>
      <c r="AB892" s="273"/>
      <c r="AC892" s="273"/>
      <c r="AD892" s="273"/>
      <c r="AE892" s="273"/>
      <c r="AF892" s="273"/>
      <c r="AG892" s="273"/>
      <c r="AH892" s="273"/>
      <c r="AI892" s="273"/>
    </row>
    <row r="893" spans="1:35" ht="14.25" customHeight="1">
      <c r="A893" s="273"/>
      <c r="B893" s="273"/>
      <c r="C893" s="273"/>
      <c r="D893" s="273"/>
      <c r="E893" s="273"/>
      <c r="F893" s="273"/>
      <c r="G893" s="273"/>
      <c r="H893" s="273"/>
      <c r="I893" s="273"/>
      <c r="J893" s="273"/>
      <c r="K893" s="273"/>
      <c r="L893" s="274"/>
      <c r="M893" s="273"/>
      <c r="N893" s="273"/>
      <c r="O893" s="273"/>
      <c r="P893" s="273"/>
      <c r="Q893" s="273"/>
      <c r="R893" s="273"/>
      <c r="S893" s="273"/>
      <c r="T893" s="273"/>
      <c r="U893" s="273"/>
      <c r="V893" s="273"/>
      <c r="W893" s="273"/>
      <c r="X893" s="274"/>
      <c r="Y893" s="273"/>
      <c r="Z893" s="273"/>
      <c r="AA893" s="273"/>
      <c r="AB893" s="273"/>
      <c r="AC893" s="273"/>
      <c r="AD893" s="273"/>
      <c r="AE893" s="273"/>
      <c r="AF893" s="273"/>
      <c r="AG893" s="273"/>
      <c r="AH893" s="273"/>
      <c r="AI893" s="273"/>
    </row>
    <row r="894" spans="1:35" ht="14.25" customHeight="1">
      <c r="A894" s="273"/>
      <c r="B894" s="273"/>
      <c r="C894" s="273"/>
      <c r="D894" s="273"/>
      <c r="E894" s="273"/>
      <c r="F894" s="273"/>
      <c r="G894" s="273"/>
      <c r="H894" s="273"/>
      <c r="I894" s="273"/>
      <c r="J894" s="273"/>
      <c r="K894" s="273"/>
      <c r="L894" s="274"/>
      <c r="M894" s="273"/>
      <c r="N894" s="273"/>
      <c r="O894" s="273"/>
      <c r="P894" s="273"/>
      <c r="Q894" s="273"/>
      <c r="R894" s="273"/>
      <c r="S894" s="273"/>
      <c r="T894" s="273"/>
      <c r="U894" s="273"/>
      <c r="V894" s="273"/>
      <c r="W894" s="273"/>
      <c r="X894" s="274"/>
      <c r="Y894" s="273"/>
      <c r="Z894" s="273"/>
      <c r="AA894" s="273"/>
      <c r="AB894" s="273"/>
      <c r="AC894" s="273"/>
      <c r="AD894" s="273"/>
      <c r="AE894" s="273"/>
      <c r="AF894" s="273"/>
      <c r="AG894" s="273"/>
      <c r="AH894" s="273"/>
      <c r="AI894" s="273"/>
    </row>
    <row r="895" spans="1:35" ht="14.25" customHeight="1">
      <c r="A895" s="273"/>
      <c r="B895" s="273"/>
      <c r="C895" s="273"/>
      <c r="D895" s="273"/>
      <c r="E895" s="273"/>
      <c r="F895" s="273"/>
      <c r="G895" s="273"/>
      <c r="H895" s="273"/>
      <c r="I895" s="273"/>
      <c r="J895" s="273"/>
      <c r="K895" s="273"/>
      <c r="L895" s="274"/>
      <c r="M895" s="273"/>
      <c r="N895" s="273"/>
      <c r="O895" s="273"/>
      <c r="P895" s="273"/>
      <c r="Q895" s="273"/>
      <c r="R895" s="273"/>
      <c r="S895" s="273"/>
      <c r="T895" s="273"/>
      <c r="U895" s="273"/>
      <c r="V895" s="273"/>
      <c r="W895" s="273"/>
      <c r="X895" s="274"/>
      <c r="Y895" s="273"/>
      <c r="Z895" s="273"/>
      <c r="AA895" s="273"/>
      <c r="AB895" s="273"/>
      <c r="AC895" s="273"/>
      <c r="AD895" s="273"/>
      <c r="AE895" s="273"/>
      <c r="AF895" s="273"/>
      <c r="AG895" s="273"/>
      <c r="AH895" s="273"/>
      <c r="AI895" s="273"/>
    </row>
    <row r="896" spans="1:35" ht="14.25" customHeight="1">
      <c r="A896" s="273"/>
      <c r="B896" s="273"/>
      <c r="C896" s="273"/>
      <c r="D896" s="273"/>
      <c r="E896" s="273"/>
      <c r="F896" s="273"/>
      <c r="G896" s="273"/>
      <c r="H896" s="273"/>
      <c r="I896" s="273"/>
      <c r="J896" s="273"/>
      <c r="K896" s="273"/>
      <c r="L896" s="274"/>
      <c r="M896" s="273"/>
      <c r="N896" s="273"/>
      <c r="O896" s="273"/>
      <c r="P896" s="273"/>
      <c r="Q896" s="273"/>
      <c r="R896" s="273"/>
      <c r="S896" s="273"/>
      <c r="T896" s="273"/>
      <c r="U896" s="273"/>
      <c r="V896" s="273"/>
      <c r="W896" s="273"/>
      <c r="X896" s="274"/>
      <c r="Y896" s="273"/>
      <c r="Z896" s="273"/>
      <c r="AA896" s="273"/>
      <c r="AB896" s="273"/>
      <c r="AC896" s="273"/>
      <c r="AD896" s="273"/>
      <c r="AE896" s="273"/>
      <c r="AF896" s="273"/>
      <c r="AG896" s="273"/>
      <c r="AH896" s="273"/>
      <c r="AI896" s="273"/>
    </row>
    <row r="897" spans="1:35" ht="14.25" customHeight="1">
      <c r="A897" s="273"/>
      <c r="B897" s="273"/>
      <c r="C897" s="273"/>
      <c r="D897" s="273"/>
      <c r="E897" s="273"/>
      <c r="F897" s="273"/>
      <c r="G897" s="273"/>
      <c r="H897" s="273"/>
      <c r="I897" s="273"/>
      <c r="J897" s="273"/>
      <c r="K897" s="273"/>
      <c r="L897" s="274"/>
      <c r="M897" s="273"/>
      <c r="N897" s="273"/>
      <c r="O897" s="273"/>
      <c r="P897" s="273"/>
      <c r="Q897" s="273"/>
      <c r="R897" s="273"/>
      <c r="S897" s="273"/>
      <c r="T897" s="273"/>
      <c r="U897" s="273"/>
      <c r="V897" s="273"/>
      <c r="W897" s="273"/>
      <c r="X897" s="274"/>
      <c r="Y897" s="273"/>
      <c r="Z897" s="273"/>
      <c r="AA897" s="273"/>
      <c r="AB897" s="273"/>
      <c r="AC897" s="273"/>
      <c r="AD897" s="273"/>
      <c r="AE897" s="273"/>
      <c r="AF897" s="273"/>
      <c r="AG897" s="273"/>
      <c r="AH897" s="273"/>
      <c r="AI897" s="273"/>
    </row>
    <row r="898" spans="1:35" ht="14.25" customHeight="1">
      <c r="A898" s="273"/>
      <c r="B898" s="273"/>
      <c r="C898" s="273"/>
      <c r="D898" s="273"/>
      <c r="E898" s="273"/>
      <c r="F898" s="273"/>
      <c r="G898" s="273"/>
      <c r="H898" s="273"/>
      <c r="I898" s="273"/>
      <c r="J898" s="273"/>
      <c r="K898" s="273"/>
      <c r="L898" s="274"/>
      <c r="M898" s="273"/>
      <c r="N898" s="273"/>
      <c r="O898" s="273"/>
      <c r="P898" s="273"/>
      <c r="Q898" s="273"/>
      <c r="R898" s="273"/>
      <c r="S898" s="273"/>
      <c r="T898" s="273"/>
      <c r="U898" s="273"/>
      <c r="V898" s="273"/>
      <c r="W898" s="273"/>
      <c r="X898" s="274"/>
      <c r="Y898" s="273"/>
      <c r="Z898" s="273"/>
      <c r="AA898" s="273"/>
      <c r="AB898" s="273"/>
      <c r="AC898" s="273"/>
      <c r="AD898" s="273"/>
      <c r="AE898" s="273"/>
      <c r="AF898" s="273"/>
      <c r="AG898" s="273"/>
      <c r="AH898" s="273"/>
      <c r="AI898" s="273"/>
    </row>
    <row r="899" spans="1:35" ht="14.25" customHeight="1">
      <c r="A899" s="273"/>
      <c r="B899" s="273"/>
      <c r="C899" s="273"/>
      <c r="D899" s="273"/>
      <c r="E899" s="273"/>
      <c r="F899" s="273"/>
      <c r="G899" s="273"/>
      <c r="H899" s="273"/>
      <c r="I899" s="273"/>
      <c r="J899" s="273"/>
      <c r="K899" s="273"/>
      <c r="L899" s="274"/>
      <c r="M899" s="273"/>
      <c r="N899" s="273"/>
      <c r="O899" s="273"/>
      <c r="P899" s="273"/>
      <c r="Q899" s="273"/>
      <c r="R899" s="273"/>
      <c r="S899" s="273"/>
      <c r="T899" s="273"/>
      <c r="U899" s="273"/>
      <c r="V899" s="273"/>
      <c r="W899" s="273"/>
      <c r="X899" s="274"/>
      <c r="Y899" s="273"/>
      <c r="Z899" s="273"/>
      <c r="AA899" s="273"/>
      <c r="AB899" s="273"/>
      <c r="AC899" s="273"/>
      <c r="AD899" s="273"/>
      <c r="AE899" s="273"/>
      <c r="AF899" s="273"/>
      <c r="AG899" s="273"/>
      <c r="AH899" s="273"/>
      <c r="AI899" s="273"/>
    </row>
    <row r="900" spans="1:35" ht="14.25" customHeight="1">
      <c r="A900" s="273"/>
      <c r="B900" s="273"/>
      <c r="C900" s="273"/>
      <c r="D900" s="273"/>
      <c r="E900" s="273"/>
      <c r="F900" s="273"/>
      <c r="G900" s="273"/>
      <c r="H900" s="273"/>
      <c r="I900" s="273"/>
      <c r="J900" s="273"/>
      <c r="K900" s="273"/>
      <c r="L900" s="274"/>
      <c r="M900" s="273"/>
      <c r="N900" s="273"/>
      <c r="O900" s="273"/>
      <c r="P900" s="273"/>
      <c r="Q900" s="273"/>
      <c r="R900" s="273"/>
      <c r="S900" s="273"/>
      <c r="T900" s="273"/>
      <c r="U900" s="273"/>
      <c r="V900" s="273"/>
      <c r="W900" s="273"/>
      <c r="X900" s="274"/>
      <c r="Y900" s="273"/>
      <c r="Z900" s="273"/>
      <c r="AA900" s="273"/>
      <c r="AB900" s="273"/>
      <c r="AC900" s="273"/>
      <c r="AD900" s="273"/>
      <c r="AE900" s="273"/>
      <c r="AF900" s="273"/>
      <c r="AG900" s="273"/>
      <c r="AH900" s="273"/>
      <c r="AI900" s="273"/>
    </row>
    <row r="901" spans="1:35" ht="14.25" customHeight="1">
      <c r="A901" s="273"/>
      <c r="B901" s="273"/>
      <c r="C901" s="273"/>
      <c r="D901" s="273"/>
      <c r="E901" s="273"/>
      <c r="F901" s="273"/>
      <c r="G901" s="273"/>
      <c r="H901" s="273"/>
      <c r="I901" s="273"/>
      <c r="J901" s="273"/>
      <c r="K901" s="273"/>
      <c r="L901" s="274"/>
      <c r="M901" s="273"/>
      <c r="N901" s="273"/>
      <c r="O901" s="273"/>
      <c r="P901" s="273"/>
      <c r="Q901" s="273"/>
      <c r="R901" s="273"/>
      <c r="S901" s="273"/>
      <c r="T901" s="273"/>
      <c r="U901" s="273"/>
      <c r="V901" s="273"/>
      <c r="W901" s="273"/>
      <c r="X901" s="274"/>
      <c r="Y901" s="273"/>
      <c r="Z901" s="273"/>
      <c r="AA901" s="273"/>
      <c r="AB901" s="273"/>
      <c r="AC901" s="273"/>
      <c r="AD901" s="273"/>
      <c r="AE901" s="273"/>
      <c r="AF901" s="273"/>
      <c r="AG901" s="273"/>
      <c r="AH901" s="273"/>
      <c r="AI901" s="273"/>
    </row>
    <row r="902" spans="1:35" ht="14.25" customHeight="1">
      <c r="A902" s="273"/>
      <c r="B902" s="273"/>
      <c r="C902" s="273"/>
      <c r="D902" s="273"/>
      <c r="E902" s="273"/>
      <c r="F902" s="273"/>
      <c r="G902" s="273"/>
      <c r="H902" s="273"/>
      <c r="I902" s="273"/>
      <c r="J902" s="273"/>
      <c r="K902" s="273"/>
      <c r="L902" s="274"/>
      <c r="M902" s="273"/>
      <c r="N902" s="273"/>
      <c r="O902" s="273"/>
      <c r="P902" s="273"/>
      <c r="Q902" s="273"/>
      <c r="R902" s="273"/>
      <c r="S902" s="273"/>
      <c r="T902" s="273"/>
      <c r="U902" s="273"/>
      <c r="V902" s="273"/>
      <c r="W902" s="273"/>
      <c r="X902" s="274"/>
      <c r="Y902" s="273"/>
      <c r="Z902" s="273"/>
      <c r="AA902" s="273"/>
      <c r="AB902" s="273"/>
      <c r="AC902" s="273"/>
      <c r="AD902" s="273"/>
      <c r="AE902" s="273"/>
      <c r="AF902" s="273"/>
      <c r="AG902" s="273"/>
      <c r="AH902" s="273"/>
      <c r="AI902" s="273"/>
    </row>
    <row r="903" spans="1:35" ht="14.25" customHeight="1">
      <c r="A903" s="273"/>
      <c r="B903" s="273"/>
      <c r="C903" s="273"/>
      <c r="D903" s="273"/>
      <c r="E903" s="273"/>
      <c r="F903" s="273"/>
      <c r="G903" s="273"/>
      <c r="H903" s="273"/>
      <c r="I903" s="273"/>
      <c r="J903" s="273"/>
      <c r="K903" s="273"/>
      <c r="L903" s="274"/>
      <c r="M903" s="273"/>
      <c r="N903" s="273"/>
      <c r="O903" s="273"/>
      <c r="P903" s="273"/>
      <c r="Q903" s="273"/>
      <c r="R903" s="273"/>
      <c r="S903" s="273"/>
      <c r="T903" s="273"/>
      <c r="U903" s="273"/>
      <c r="V903" s="273"/>
      <c r="W903" s="273"/>
      <c r="X903" s="274"/>
      <c r="Y903" s="273"/>
      <c r="Z903" s="273"/>
      <c r="AA903" s="273"/>
      <c r="AB903" s="273"/>
      <c r="AC903" s="273"/>
      <c r="AD903" s="273"/>
      <c r="AE903" s="273"/>
      <c r="AF903" s="273"/>
      <c r="AG903" s="273"/>
      <c r="AH903" s="273"/>
      <c r="AI903" s="273"/>
    </row>
    <row r="904" spans="1:35" ht="14.25" customHeight="1">
      <c r="A904" s="273"/>
      <c r="B904" s="273"/>
      <c r="C904" s="273"/>
      <c r="D904" s="273"/>
      <c r="E904" s="273"/>
      <c r="F904" s="273"/>
      <c r="G904" s="273"/>
      <c r="H904" s="273"/>
      <c r="I904" s="273"/>
      <c r="J904" s="273"/>
      <c r="K904" s="273"/>
      <c r="L904" s="274"/>
      <c r="M904" s="273"/>
      <c r="N904" s="273"/>
      <c r="O904" s="273"/>
      <c r="P904" s="273"/>
      <c r="Q904" s="273"/>
      <c r="R904" s="273"/>
      <c r="S904" s="273"/>
      <c r="T904" s="273"/>
      <c r="U904" s="273"/>
      <c r="V904" s="273"/>
      <c r="W904" s="273"/>
      <c r="X904" s="274"/>
      <c r="Y904" s="273"/>
      <c r="Z904" s="273"/>
      <c r="AA904" s="273"/>
      <c r="AB904" s="273"/>
      <c r="AC904" s="273"/>
      <c r="AD904" s="273"/>
      <c r="AE904" s="273"/>
      <c r="AF904" s="273"/>
      <c r="AG904" s="273"/>
      <c r="AH904" s="273"/>
      <c r="AI904" s="273"/>
    </row>
    <row r="905" spans="1:35" ht="14.25" customHeight="1">
      <c r="A905" s="273"/>
      <c r="B905" s="273"/>
      <c r="C905" s="273"/>
      <c r="D905" s="273"/>
      <c r="E905" s="273"/>
      <c r="F905" s="273"/>
      <c r="G905" s="273"/>
      <c r="H905" s="273"/>
      <c r="I905" s="273"/>
      <c r="J905" s="273"/>
      <c r="K905" s="273"/>
      <c r="L905" s="274"/>
      <c r="M905" s="273"/>
      <c r="N905" s="273"/>
      <c r="O905" s="273"/>
      <c r="P905" s="273"/>
      <c r="Q905" s="273"/>
      <c r="R905" s="273"/>
      <c r="S905" s="273"/>
      <c r="T905" s="273"/>
      <c r="U905" s="273"/>
      <c r="V905" s="273"/>
      <c r="W905" s="273"/>
      <c r="X905" s="274"/>
      <c r="Y905" s="273"/>
      <c r="Z905" s="273"/>
      <c r="AA905" s="273"/>
      <c r="AB905" s="273"/>
      <c r="AC905" s="273"/>
      <c r="AD905" s="273"/>
      <c r="AE905" s="273"/>
      <c r="AF905" s="273"/>
      <c r="AG905" s="273"/>
      <c r="AH905" s="273"/>
      <c r="AI905" s="273"/>
    </row>
    <row r="906" spans="1:35" ht="14.25" customHeight="1">
      <c r="A906" s="273"/>
      <c r="B906" s="273"/>
      <c r="C906" s="273"/>
      <c r="D906" s="273"/>
      <c r="E906" s="273"/>
      <c r="F906" s="273"/>
      <c r="G906" s="273"/>
      <c r="H906" s="273"/>
      <c r="I906" s="273"/>
      <c r="J906" s="273"/>
      <c r="K906" s="273"/>
      <c r="L906" s="274"/>
      <c r="M906" s="273"/>
      <c r="N906" s="273"/>
      <c r="O906" s="273"/>
      <c r="P906" s="273"/>
      <c r="Q906" s="273"/>
      <c r="R906" s="273"/>
      <c r="S906" s="273"/>
      <c r="T906" s="273"/>
      <c r="U906" s="273"/>
      <c r="V906" s="273"/>
      <c r="W906" s="273"/>
      <c r="X906" s="274"/>
      <c r="Y906" s="273"/>
      <c r="Z906" s="273"/>
      <c r="AA906" s="273"/>
      <c r="AB906" s="273"/>
      <c r="AC906" s="273"/>
      <c r="AD906" s="273"/>
      <c r="AE906" s="273"/>
      <c r="AF906" s="273"/>
      <c r="AG906" s="273"/>
      <c r="AH906" s="273"/>
      <c r="AI906" s="273"/>
    </row>
    <row r="907" spans="1:35" ht="14.25" customHeight="1">
      <c r="A907" s="273"/>
      <c r="B907" s="273"/>
      <c r="C907" s="273"/>
      <c r="D907" s="273"/>
      <c r="E907" s="273"/>
      <c r="F907" s="273"/>
      <c r="G907" s="273"/>
      <c r="H907" s="273"/>
      <c r="I907" s="273"/>
      <c r="J907" s="273"/>
      <c r="K907" s="273"/>
      <c r="L907" s="274"/>
      <c r="M907" s="273"/>
      <c r="N907" s="273"/>
      <c r="O907" s="273"/>
      <c r="P907" s="273"/>
      <c r="Q907" s="273"/>
      <c r="R907" s="273"/>
      <c r="S907" s="273"/>
      <c r="T907" s="273"/>
      <c r="U907" s="273"/>
      <c r="V907" s="273"/>
      <c r="W907" s="273"/>
      <c r="X907" s="274"/>
      <c r="Y907" s="273"/>
      <c r="Z907" s="273"/>
      <c r="AA907" s="273"/>
      <c r="AB907" s="273"/>
      <c r="AC907" s="273"/>
      <c r="AD907" s="273"/>
      <c r="AE907" s="273"/>
      <c r="AF907" s="273"/>
      <c r="AG907" s="273"/>
      <c r="AH907" s="273"/>
      <c r="AI907" s="273"/>
    </row>
    <row r="908" spans="1:35" ht="14.25" customHeight="1">
      <c r="A908" s="273"/>
      <c r="B908" s="273"/>
      <c r="C908" s="273"/>
      <c r="D908" s="273"/>
      <c r="E908" s="273"/>
      <c r="F908" s="273"/>
      <c r="G908" s="273"/>
      <c r="H908" s="273"/>
      <c r="I908" s="273"/>
      <c r="J908" s="273"/>
      <c r="K908" s="273"/>
      <c r="L908" s="274"/>
      <c r="M908" s="273"/>
      <c r="N908" s="273"/>
      <c r="O908" s="273"/>
      <c r="P908" s="273"/>
      <c r="Q908" s="273"/>
      <c r="R908" s="273"/>
      <c r="S908" s="273"/>
      <c r="T908" s="273"/>
      <c r="U908" s="273"/>
      <c r="V908" s="273"/>
      <c r="W908" s="273"/>
      <c r="X908" s="274"/>
      <c r="Y908" s="273"/>
      <c r="Z908" s="273"/>
      <c r="AA908" s="273"/>
      <c r="AB908" s="273"/>
      <c r="AC908" s="273"/>
      <c r="AD908" s="273"/>
      <c r="AE908" s="273"/>
      <c r="AF908" s="273"/>
      <c r="AG908" s="273"/>
      <c r="AH908" s="273"/>
      <c r="AI908" s="273"/>
    </row>
    <row r="909" spans="1:35" ht="14.25" customHeight="1">
      <c r="A909" s="273"/>
      <c r="B909" s="273"/>
      <c r="C909" s="273"/>
      <c r="D909" s="273"/>
      <c r="E909" s="273"/>
      <c r="F909" s="273"/>
      <c r="G909" s="273"/>
      <c r="H909" s="273"/>
      <c r="I909" s="273"/>
      <c r="J909" s="273"/>
      <c r="K909" s="273"/>
      <c r="L909" s="274"/>
      <c r="M909" s="273"/>
      <c r="N909" s="273"/>
      <c r="O909" s="273"/>
      <c r="P909" s="273"/>
      <c r="Q909" s="273"/>
      <c r="R909" s="273"/>
      <c r="S909" s="273"/>
      <c r="T909" s="273"/>
      <c r="U909" s="273"/>
      <c r="V909" s="273"/>
      <c r="W909" s="273"/>
      <c r="X909" s="274"/>
      <c r="Y909" s="273"/>
      <c r="Z909" s="273"/>
      <c r="AA909" s="273"/>
      <c r="AB909" s="273"/>
      <c r="AC909" s="273"/>
      <c r="AD909" s="273"/>
      <c r="AE909" s="273"/>
      <c r="AF909" s="273"/>
      <c r="AG909" s="273"/>
      <c r="AH909" s="273"/>
      <c r="AI909" s="273"/>
    </row>
    <row r="910" spans="1:35" ht="14.25" customHeight="1">
      <c r="A910" s="273"/>
      <c r="B910" s="273"/>
      <c r="C910" s="273"/>
      <c r="D910" s="273"/>
      <c r="E910" s="273"/>
      <c r="F910" s="273"/>
      <c r="G910" s="273"/>
      <c r="H910" s="273"/>
      <c r="I910" s="273"/>
      <c r="J910" s="273"/>
      <c r="K910" s="273"/>
      <c r="L910" s="274"/>
      <c r="M910" s="273"/>
      <c r="N910" s="273"/>
      <c r="O910" s="273"/>
      <c r="P910" s="273"/>
      <c r="Q910" s="273"/>
      <c r="R910" s="273"/>
      <c r="S910" s="273"/>
      <c r="T910" s="273"/>
      <c r="U910" s="273"/>
      <c r="V910" s="273"/>
      <c r="W910" s="273"/>
      <c r="X910" s="274"/>
      <c r="Y910" s="273"/>
      <c r="Z910" s="273"/>
      <c r="AA910" s="273"/>
      <c r="AB910" s="273"/>
      <c r="AC910" s="273"/>
      <c r="AD910" s="273"/>
      <c r="AE910" s="273"/>
      <c r="AF910" s="273"/>
      <c r="AG910" s="273"/>
      <c r="AH910" s="273"/>
      <c r="AI910" s="273"/>
    </row>
    <row r="911" spans="1:35" ht="14.25" customHeight="1">
      <c r="A911" s="273"/>
      <c r="B911" s="273"/>
      <c r="C911" s="273"/>
      <c r="D911" s="273"/>
      <c r="E911" s="273"/>
      <c r="F911" s="273"/>
      <c r="G911" s="273"/>
      <c r="H911" s="273"/>
      <c r="I911" s="273"/>
      <c r="J911" s="273"/>
      <c r="K911" s="273"/>
      <c r="L911" s="274"/>
      <c r="M911" s="273"/>
      <c r="N911" s="273"/>
      <c r="O911" s="273"/>
      <c r="P911" s="273"/>
      <c r="Q911" s="273"/>
      <c r="R911" s="273"/>
      <c r="S911" s="273"/>
      <c r="T911" s="273"/>
      <c r="U911" s="273"/>
      <c r="V911" s="273"/>
      <c r="W911" s="273"/>
      <c r="X911" s="274"/>
      <c r="Y911" s="273"/>
      <c r="Z911" s="273"/>
      <c r="AA911" s="273"/>
      <c r="AB911" s="273"/>
      <c r="AC911" s="273"/>
      <c r="AD911" s="273"/>
      <c r="AE911" s="273"/>
      <c r="AF911" s="273"/>
      <c r="AG911" s="273"/>
      <c r="AH911" s="273"/>
      <c r="AI911" s="273"/>
    </row>
    <row r="912" spans="1:35" ht="14.25" customHeight="1">
      <c r="A912" s="273"/>
      <c r="B912" s="273"/>
      <c r="C912" s="273"/>
      <c r="D912" s="273"/>
      <c r="E912" s="273"/>
      <c r="F912" s="273"/>
      <c r="G912" s="273"/>
      <c r="H912" s="273"/>
      <c r="I912" s="273"/>
      <c r="J912" s="273"/>
      <c r="K912" s="273"/>
      <c r="L912" s="274"/>
      <c r="M912" s="273"/>
      <c r="N912" s="273"/>
      <c r="O912" s="273"/>
      <c r="P912" s="273"/>
      <c r="Q912" s="273"/>
      <c r="R912" s="273"/>
      <c r="S912" s="273"/>
      <c r="T912" s="273"/>
      <c r="U912" s="273"/>
      <c r="V912" s="273"/>
      <c r="W912" s="273"/>
      <c r="X912" s="274"/>
      <c r="Y912" s="273"/>
      <c r="Z912" s="273"/>
      <c r="AA912" s="273"/>
      <c r="AB912" s="273"/>
      <c r="AC912" s="273"/>
      <c r="AD912" s="273"/>
      <c r="AE912" s="273"/>
      <c r="AF912" s="273"/>
      <c r="AG912" s="273"/>
      <c r="AH912" s="273"/>
      <c r="AI912" s="273"/>
    </row>
    <row r="913" spans="1:35" ht="14.25" customHeight="1">
      <c r="A913" s="273"/>
      <c r="B913" s="273"/>
      <c r="C913" s="273"/>
      <c r="D913" s="273"/>
      <c r="E913" s="273"/>
      <c r="F913" s="273"/>
      <c r="G913" s="273"/>
      <c r="H913" s="273"/>
      <c r="I913" s="273"/>
      <c r="J913" s="273"/>
      <c r="K913" s="273"/>
      <c r="L913" s="274"/>
      <c r="M913" s="273"/>
      <c r="N913" s="273"/>
      <c r="O913" s="273"/>
      <c r="P913" s="273"/>
      <c r="Q913" s="273"/>
      <c r="R913" s="273"/>
      <c r="S913" s="273"/>
      <c r="T913" s="273"/>
      <c r="U913" s="273"/>
      <c r="V913" s="273"/>
      <c r="W913" s="273"/>
      <c r="X913" s="274"/>
      <c r="Y913" s="273"/>
      <c r="Z913" s="273"/>
      <c r="AA913" s="273"/>
      <c r="AB913" s="273"/>
      <c r="AC913" s="273"/>
      <c r="AD913" s="273"/>
      <c r="AE913" s="273"/>
      <c r="AF913" s="273"/>
      <c r="AG913" s="273"/>
      <c r="AH913" s="273"/>
      <c r="AI913" s="273"/>
    </row>
    <row r="914" spans="1:35" ht="14.25" customHeight="1">
      <c r="A914" s="273"/>
      <c r="B914" s="273"/>
      <c r="C914" s="273"/>
      <c r="D914" s="273"/>
      <c r="E914" s="273"/>
      <c r="F914" s="273"/>
      <c r="G914" s="273"/>
      <c r="H914" s="273"/>
      <c r="I914" s="273"/>
      <c r="J914" s="273"/>
      <c r="K914" s="273"/>
      <c r="L914" s="274"/>
      <c r="M914" s="273"/>
      <c r="N914" s="273"/>
      <c r="O914" s="273"/>
      <c r="P914" s="273"/>
      <c r="Q914" s="273"/>
      <c r="R914" s="273"/>
      <c r="S914" s="273"/>
      <c r="T914" s="273"/>
      <c r="U914" s="273"/>
      <c r="V914" s="273"/>
      <c r="W914" s="273"/>
      <c r="X914" s="274"/>
      <c r="Y914" s="273"/>
      <c r="Z914" s="273"/>
      <c r="AA914" s="273"/>
      <c r="AB914" s="273"/>
      <c r="AC914" s="273"/>
      <c r="AD914" s="273"/>
      <c r="AE914" s="273"/>
      <c r="AF914" s="273"/>
      <c r="AG914" s="273"/>
      <c r="AH914" s="273"/>
      <c r="AI914" s="273"/>
    </row>
    <row r="915" spans="1:35" ht="14.25" customHeight="1">
      <c r="A915" s="273"/>
      <c r="B915" s="273"/>
      <c r="C915" s="273"/>
      <c r="D915" s="273"/>
      <c r="E915" s="273"/>
      <c r="F915" s="273"/>
      <c r="G915" s="273"/>
      <c r="H915" s="273"/>
      <c r="I915" s="273"/>
      <c r="J915" s="273"/>
      <c r="K915" s="273"/>
      <c r="L915" s="274"/>
      <c r="M915" s="273"/>
      <c r="N915" s="273"/>
      <c r="O915" s="273"/>
      <c r="P915" s="273"/>
      <c r="Q915" s="273"/>
      <c r="R915" s="273"/>
      <c r="S915" s="273"/>
      <c r="T915" s="273"/>
      <c r="U915" s="273"/>
      <c r="V915" s="273"/>
      <c r="W915" s="273"/>
      <c r="X915" s="274"/>
      <c r="Y915" s="273"/>
      <c r="Z915" s="273"/>
      <c r="AA915" s="273"/>
      <c r="AB915" s="273"/>
      <c r="AC915" s="273"/>
      <c r="AD915" s="273"/>
      <c r="AE915" s="273"/>
      <c r="AF915" s="273"/>
      <c r="AG915" s="273"/>
      <c r="AH915" s="273"/>
      <c r="AI915" s="273"/>
    </row>
    <row r="916" spans="1:35" ht="14.25" customHeight="1">
      <c r="A916" s="273"/>
      <c r="B916" s="273"/>
      <c r="C916" s="273"/>
      <c r="D916" s="273"/>
      <c r="E916" s="273"/>
      <c r="F916" s="273"/>
      <c r="G916" s="273"/>
      <c r="H916" s="273"/>
      <c r="I916" s="273"/>
      <c r="J916" s="273"/>
      <c r="K916" s="273"/>
      <c r="L916" s="274"/>
      <c r="M916" s="273"/>
      <c r="N916" s="273"/>
      <c r="O916" s="273"/>
      <c r="P916" s="273"/>
      <c r="Q916" s="273"/>
      <c r="R916" s="273"/>
      <c r="S916" s="273"/>
      <c r="T916" s="273"/>
      <c r="U916" s="273"/>
      <c r="V916" s="273"/>
      <c r="W916" s="273"/>
      <c r="X916" s="274"/>
      <c r="Y916" s="273"/>
      <c r="Z916" s="273"/>
      <c r="AA916" s="273"/>
      <c r="AB916" s="273"/>
      <c r="AC916" s="273"/>
      <c r="AD916" s="273"/>
      <c r="AE916" s="273"/>
      <c r="AF916" s="273"/>
      <c r="AG916" s="273"/>
      <c r="AH916" s="273"/>
      <c r="AI916" s="273"/>
    </row>
    <row r="917" spans="1:35" ht="14.25" customHeight="1">
      <c r="A917" s="273"/>
      <c r="B917" s="273"/>
      <c r="C917" s="273"/>
      <c r="D917" s="273"/>
      <c r="E917" s="273"/>
      <c r="F917" s="273"/>
      <c r="G917" s="273"/>
      <c r="H917" s="273"/>
      <c r="I917" s="273"/>
      <c r="J917" s="273"/>
      <c r="K917" s="273"/>
      <c r="L917" s="274"/>
      <c r="M917" s="273"/>
      <c r="N917" s="273"/>
      <c r="O917" s="273"/>
      <c r="P917" s="273"/>
      <c r="Q917" s="273"/>
      <c r="R917" s="273"/>
      <c r="S917" s="273"/>
      <c r="T917" s="273"/>
      <c r="U917" s="273"/>
      <c r="V917" s="273"/>
      <c r="W917" s="273"/>
      <c r="X917" s="274"/>
      <c r="Y917" s="273"/>
      <c r="Z917" s="273"/>
      <c r="AA917" s="273"/>
      <c r="AB917" s="273"/>
      <c r="AC917" s="273"/>
      <c r="AD917" s="273"/>
      <c r="AE917" s="273"/>
      <c r="AF917" s="273"/>
      <c r="AG917" s="273"/>
      <c r="AH917" s="273"/>
      <c r="AI917" s="273"/>
    </row>
    <row r="918" spans="1:35" ht="14.25" customHeight="1">
      <c r="A918" s="273"/>
      <c r="B918" s="273"/>
      <c r="C918" s="273"/>
      <c r="D918" s="273"/>
      <c r="E918" s="273"/>
      <c r="F918" s="273"/>
      <c r="G918" s="273"/>
      <c r="H918" s="273"/>
      <c r="I918" s="273"/>
      <c r="J918" s="273"/>
      <c r="K918" s="273"/>
      <c r="L918" s="274"/>
      <c r="M918" s="273"/>
      <c r="N918" s="273"/>
      <c r="O918" s="273"/>
      <c r="P918" s="273"/>
      <c r="Q918" s="273"/>
      <c r="R918" s="273"/>
      <c r="S918" s="273"/>
      <c r="T918" s="273"/>
      <c r="U918" s="273"/>
      <c r="V918" s="273"/>
      <c r="W918" s="273"/>
      <c r="X918" s="274"/>
      <c r="Y918" s="273"/>
      <c r="Z918" s="273"/>
      <c r="AA918" s="273"/>
      <c r="AB918" s="273"/>
      <c r="AC918" s="273"/>
      <c r="AD918" s="273"/>
      <c r="AE918" s="273"/>
      <c r="AF918" s="273"/>
      <c r="AG918" s="273"/>
      <c r="AH918" s="273"/>
      <c r="AI918" s="273"/>
    </row>
    <row r="919" spans="1:35" ht="14.25" customHeight="1">
      <c r="A919" s="273"/>
      <c r="B919" s="273"/>
      <c r="C919" s="273"/>
      <c r="D919" s="273"/>
      <c r="E919" s="273"/>
      <c r="F919" s="273"/>
      <c r="G919" s="273"/>
      <c r="H919" s="273"/>
      <c r="I919" s="273"/>
      <c r="J919" s="273"/>
      <c r="K919" s="273"/>
      <c r="L919" s="274"/>
      <c r="M919" s="273"/>
      <c r="N919" s="273"/>
      <c r="O919" s="273"/>
      <c r="P919" s="273"/>
      <c r="Q919" s="273"/>
      <c r="R919" s="273"/>
      <c r="S919" s="273"/>
      <c r="T919" s="273"/>
      <c r="U919" s="273"/>
      <c r="V919" s="273"/>
      <c r="W919" s="273"/>
      <c r="X919" s="274"/>
      <c r="Y919" s="273"/>
      <c r="Z919" s="273"/>
      <c r="AA919" s="273"/>
      <c r="AB919" s="273"/>
      <c r="AC919" s="273"/>
      <c r="AD919" s="273"/>
      <c r="AE919" s="273"/>
      <c r="AF919" s="273"/>
      <c r="AG919" s="273"/>
      <c r="AH919" s="273"/>
      <c r="AI919" s="273"/>
    </row>
    <row r="920" spans="1:35" ht="14.25" customHeight="1">
      <c r="A920" s="273"/>
      <c r="B920" s="273"/>
      <c r="C920" s="273"/>
      <c r="D920" s="273"/>
      <c r="E920" s="273"/>
      <c r="F920" s="273"/>
      <c r="G920" s="273"/>
      <c r="H920" s="273"/>
      <c r="I920" s="273"/>
      <c r="J920" s="273"/>
      <c r="K920" s="273"/>
      <c r="L920" s="274"/>
      <c r="M920" s="273"/>
      <c r="N920" s="273"/>
      <c r="O920" s="273"/>
      <c r="P920" s="273"/>
      <c r="Q920" s="273"/>
      <c r="R920" s="273"/>
      <c r="S920" s="273"/>
      <c r="T920" s="273"/>
      <c r="U920" s="273"/>
      <c r="V920" s="273"/>
      <c r="W920" s="273"/>
      <c r="X920" s="274"/>
      <c r="Y920" s="273"/>
      <c r="Z920" s="273"/>
      <c r="AA920" s="273"/>
      <c r="AB920" s="273"/>
      <c r="AC920" s="273"/>
      <c r="AD920" s="273"/>
      <c r="AE920" s="273"/>
      <c r="AF920" s="273"/>
      <c r="AG920" s="273"/>
      <c r="AH920" s="273"/>
      <c r="AI920" s="273"/>
    </row>
    <row r="921" spans="1:35" ht="14.25" customHeight="1">
      <c r="A921" s="273"/>
      <c r="B921" s="273"/>
      <c r="C921" s="273"/>
      <c r="D921" s="273"/>
      <c r="E921" s="273"/>
      <c r="F921" s="273"/>
      <c r="G921" s="273"/>
      <c r="H921" s="273"/>
      <c r="I921" s="273"/>
      <c r="J921" s="273"/>
      <c r="K921" s="273"/>
      <c r="L921" s="274"/>
      <c r="M921" s="273"/>
      <c r="N921" s="273"/>
      <c r="O921" s="273"/>
      <c r="P921" s="273"/>
      <c r="Q921" s="273"/>
      <c r="R921" s="273"/>
      <c r="S921" s="273"/>
      <c r="T921" s="273"/>
      <c r="U921" s="273"/>
      <c r="V921" s="273"/>
      <c r="W921" s="273"/>
      <c r="X921" s="274"/>
      <c r="Y921" s="273"/>
      <c r="Z921" s="273"/>
      <c r="AA921" s="273"/>
      <c r="AB921" s="273"/>
      <c r="AC921" s="273"/>
      <c r="AD921" s="273"/>
      <c r="AE921" s="273"/>
      <c r="AF921" s="273"/>
      <c r="AG921" s="273"/>
      <c r="AH921" s="273"/>
      <c r="AI921" s="273"/>
    </row>
    <row r="922" spans="1:35" ht="14.25" customHeight="1">
      <c r="A922" s="273"/>
      <c r="B922" s="273"/>
      <c r="C922" s="273"/>
      <c r="D922" s="273"/>
      <c r="E922" s="273"/>
      <c r="F922" s="273"/>
      <c r="G922" s="273"/>
      <c r="H922" s="273"/>
      <c r="I922" s="273"/>
      <c r="J922" s="273"/>
      <c r="K922" s="273"/>
      <c r="L922" s="274"/>
      <c r="M922" s="273"/>
      <c r="N922" s="273"/>
      <c r="O922" s="273"/>
      <c r="P922" s="273"/>
      <c r="Q922" s="273"/>
      <c r="R922" s="273"/>
      <c r="S922" s="273"/>
      <c r="T922" s="273"/>
      <c r="U922" s="273"/>
      <c r="V922" s="273"/>
      <c r="W922" s="273"/>
      <c r="X922" s="274"/>
      <c r="Y922" s="273"/>
      <c r="Z922" s="273"/>
      <c r="AA922" s="273"/>
      <c r="AB922" s="273"/>
      <c r="AC922" s="273"/>
      <c r="AD922" s="273"/>
      <c r="AE922" s="273"/>
      <c r="AF922" s="273"/>
      <c r="AG922" s="273"/>
      <c r="AH922" s="273"/>
      <c r="AI922" s="273"/>
    </row>
    <row r="923" spans="1:35" ht="14.25" customHeight="1">
      <c r="A923" s="273"/>
      <c r="B923" s="273"/>
      <c r="C923" s="273"/>
      <c r="D923" s="273"/>
      <c r="E923" s="273"/>
      <c r="F923" s="273"/>
      <c r="G923" s="273"/>
      <c r="H923" s="273"/>
      <c r="I923" s="273"/>
      <c r="J923" s="273"/>
      <c r="K923" s="273"/>
      <c r="L923" s="274"/>
      <c r="M923" s="273"/>
      <c r="N923" s="273"/>
      <c r="O923" s="273"/>
      <c r="P923" s="273"/>
      <c r="Q923" s="273"/>
      <c r="R923" s="273"/>
      <c r="S923" s="273"/>
      <c r="T923" s="273"/>
      <c r="U923" s="273"/>
      <c r="V923" s="273"/>
      <c r="W923" s="273"/>
      <c r="X923" s="274"/>
      <c r="Y923" s="273"/>
      <c r="Z923" s="273"/>
      <c r="AA923" s="273"/>
      <c r="AB923" s="273"/>
      <c r="AC923" s="273"/>
      <c r="AD923" s="273"/>
      <c r="AE923" s="273"/>
      <c r="AF923" s="273"/>
      <c r="AG923" s="273"/>
      <c r="AH923" s="273"/>
      <c r="AI923" s="273"/>
    </row>
    <row r="924" spans="1:35" ht="14.25" customHeight="1">
      <c r="A924" s="273"/>
      <c r="B924" s="273"/>
      <c r="C924" s="273"/>
      <c r="D924" s="273"/>
      <c r="E924" s="273"/>
      <c r="F924" s="273"/>
      <c r="G924" s="273"/>
      <c r="H924" s="273"/>
      <c r="I924" s="273"/>
      <c r="J924" s="273"/>
      <c r="K924" s="273"/>
      <c r="L924" s="274"/>
      <c r="M924" s="273"/>
      <c r="N924" s="273"/>
      <c r="O924" s="273"/>
      <c r="P924" s="273"/>
      <c r="Q924" s="273"/>
      <c r="R924" s="273"/>
      <c r="S924" s="273"/>
      <c r="T924" s="273"/>
      <c r="U924" s="273"/>
      <c r="V924" s="273"/>
      <c r="W924" s="273"/>
      <c r="X924" s="274"/>
      <c r="Y924" s="273"/>
      <c r="Z924" s="273"/>
      <c r="AA924" s="273"/>
      <c r="AB924" s="273"/>
      <c r="AC924" s="273"/>
      <c r="AD924" s="273"/>
      <c r="AE924" s="273"/>
      <c r="AF924" s="273"/>
      <c r="AG924" s="273"/>
      <c r="AH924" s="273"/>
      <c r="AI924" s="273"/>
    </row>
    <row r="925" spans="1:35" ht="14.25" customHeight="1">
      <c r="A925" s="273"/>
      <c r="B925" s="273"/>
      <c r="C925" s="273"/>
      <c r="D925" s="273"/>
      <c r="E925" s="273"/>
      <c r="F925" s="273"/>
      <c r="G925" s="273"/>
      <c r="H925" s="273"/>
      <c r="I925" s="273"/>
      <c r="J925" s="273"/>
      <c r="K925" s="273"/>
      <c r="L925" s="274"/>
      <c r="M925" s="273"/>
      <c r="N925" s="273"/>
      <c r="O925" s="273"/>
      <c r="P925" s="273"/>
      <c r="Q925" s="273"/>
      <c r="R925" s="273"/>
      <c r="S925" s="273"/>
      <c r="T925" s="273"/>
      <c r="U925" s="273"/>
      <c r="V925" s="273"/>
      <c r="W925" s="273"/>
      <c r="X925" s="274"/>
      <c r="Y925" s="273"/>
      <c r="Z925" s="273"/>
      <c r="AA925" s="273"/>
      <c r="AB925" s="273"/>
      <c r="AC925" s="273"/>
      <c r="AD925" s="273"/>
      <c r="AE925" s="273"/>
      <c r="AF925" s="273"/>
      <c r="AG925" s="273"/>
      <c r="AH925" s="273"/>
      <c r="AI925" s="273"/>
    </row>
    <row r="926" spans="1:35" ht="14.25" customHeight="1">
      <c r="A926" s="273"/>
      <c r="B926" s="273"/>
      <c r="C926" s="273"/>
      <c r="D926" s="273"/>
      <c r="E926" s="273"/>
      <c r="F926" s="273"/>
      <c r="G926" s="273"/>
      <c r="H926" s="273"/>
      <c r="I926" s="273"/>
      <c r="J926" s="273"/>
      <c r="K926" s="273"/>
      <c r="L926" s="274"/>
      <c r="M926" s="273"/>
      <c r="N926" s="273"/>
      <c r="O926" s="273"/>
      <c r="P926" s="273"/>
      <c r="Q926" s="273"/>
      <c r="R926" s="273"/>
      <c r="S926" s="273"/>
      <c r="T926" s="273"/>
      <c r="U926" s="273"/>
      <c r="V926" s="273"/>
      <c r="W926" s="273"/>
      <c r="X926" s="274"/>
      <c r="Y926" s="273"/>
      <c r="Z926" s="273"/>
      <c r="AA926" s="273"/>
      <c r="AB926" s="273"/>
      <c r="AC926" s="273"/>
      <c r="AD926" s="273"/>
      <c r="AE926" s="273"/>
      <c r="AF926" s="273"/>
      <c r="AG926" s="273"/>
      <c r="AH926" s="273"/>
      <c r="AI926" s="273"/>
    </row>
    <row r="927" spans="1:35" ht="14.25" customHeight="1">
      <c r="A927" s="273"/>
      <c r="B927" s="273"/>
      <c r="C927" s="273"/>
      <c r="D927" s="273"/>
      <c r="E927" s="273"/>
      <c r="F927" s="273"/>
      <c r="G927" s="273"/>
      <c r="H927" s="273"/>
      <c r="I927" s="273"/>
      <c r="J927" s="273"/>
      <c r="K927" s="273"/>
      <c r="L927" s="274"/>
      <c r="M927" s="273"/>
      <c r="N927" s="273"/>
      <c r="O927" s="273"/>
      <c r="P927" s="273"/>
      <c r="Q927" s="273"/>
      <c r="R927" s="273"/>
      <c r="S927" s="273"/>
      <c r="T927" s="273"/>
      <c r="U927" s="273"/>
      <c r="V927" s="273"/>
      <c r="W927" s="273"/>
      <c r="X927" s="274"/>
      <c r="Y927" s="273"/>
      <c r="Z927" s="273"/>
      <c r="AA927" s="273"/>
      <c r="AB927" s="273"/>
      <c r="AC927" s="273"/>
      <c r="AD927" s="273"/>
      <c r="AE927" s="273"/>
      <c r="AF927" s="273"/>
      <c r="AG927" s="273"/>
      <c r="AH927" s="273"/>
      <c r="AI927" s="273"/>
    </row>
    <row r="928" spans="1:35" ht="14.25" customHeight="1">
      <c r="A928" s="273"/>
      <c r="B928" s="273"/>
      <c r="C928" s="273"/>
      <c r="D928" s="273"/>
      <c r="E928" s="273"/>
      <c r="F928" s="273"/>
      <c r="G928" s="273"/>
      <c r="H928" s="273"/>
      <c r="I928" s="273"/>
      <c r="J928" s="273"/>
      <c r="K928" s="273"/>
      <c r="L928" s="274"/>
      <c r="M928" s="273"/>
      <c r="N928" s="273"/>
      <c r="O928" s="273"/>
      <c r="P928" s="273"/>
      <c r="Q928" s="273"/>
      <c r="R928" s="273"/>
      <c r="S928" s="273"/>
      <c r="T928" s="273"/>
      <c r="U928" s="273"/>
      <c r="V928" s="273"/>
      <c r="W928" s="273"/>
      <c r="X928" s="274"/>
      <c r="Y928" s="273"/>
      <c r="Z928" s="273"/>
      <c r="AA928" s="273"/>
      <c r="AB928" s="273"/>
      <c r="AC928" s="273"/>
      <c r="AD928" s="273"/>
      <c r="AE928" s="273"/>
      <c r="AF928" s="273"/>
      <c r="AG928" s="273"/>
      <c r="AH928" s="273"/>
      <c r="AI928" s="273"/>
    </row>
    <row r="929" spans="1:35" ht="14.25" customHeight="1">
      <c r="A929" s="273"/>
      <c r="B929" s="273"/>
      <c r="C929" s="273"/>
      <c r="D929" s="273"/>
      <c r="E929" s="273"/>
      <c r="F929" s="273"/>
      <c r="G929" s="273"/>
      <c r="H929" s="273"/>
      <c r="I929" s="273"/>
      <c r="J929" s="273"/>
      <c r="K929" s="273"/>
      <c r="L929" s="274"/>
      <c r="M929" s="273"/>
      <c r="N929" s="273"/>
      <c r="O929" s="273"/>
      <c r="P929" s="273"/>
      <c r="Q929" s="273"/>
      <c r="R929" s="273"/>
      <c r="S929" s="273"/>
      <c r="T929" s="273"/>
      <c r="U929" s="273"/>
      <c r="V929" s="273"/>
      <c r="W929" s="273"/>
      <c r="X929" s="274"/>
      <c r="Y929" s="273"/>
      <c r="Z929" s="273"/>
      <c r="AA929" s="273"/>
      <c r="AB929" s="273"/>
      <c r="AC929" s="273"/>
      <c r="AD929" s="273"/>
      <c r="AE929" s="273"/>
      <c r="AF929" s="273"/>
      <c r="AG929" s="273"/>
      <c r="AH929" s="273"/>
      <c r="AI929" s="273"/>
    </row>
    <row r="930" spans="1:35" ht="14.25" customHeight="1">
      <c r="A930" s="273"/>
      <c r="B930" s="273"/>
      <c r="C930" s="273"/>
      <c r="D930" s="273"/>
      <c r="E930" s="273"/>
      <c r="F930" s="273"/>
      <c r="G930" s="273"/>
      <c r="H930" s="273"/>
      <c r="I930" s="273"/>
      <c r="J930" s="273"/>
      <c r="K930" s="273"/>
      <c r="L930" s="274"/>
      <c r="M930" s="273"/>
      <c r="N930" s="273"/>
      <c r="O930" s="273"/>
      <c r="P930" s="273"/>
      <c r="Q930" s="273"/>
      <c r="R930" s="273"/>
      <c r="S930" s="273"/>
      <c r="T930" s="273"/>
      <c r="U930" s="273"/>
      <c r="V930" s="273"/>
      <c r="W930" s="273"/>
      <c r="X930" s="274"/>
      <c r="Y930" s="273"/>
      <c r="Z930" s="273"/>
      <c r="AA930" s="273"/>
      <c r="AB930" s="273"/>
      <c r="AC930" s="273"/>
      <c r="AD930" s="273"/>
      <c r="AE930" s="273"/>
      <c r="AF930" s="273"/>
      <c r="AG930" s="273"/>
      <c r="AH930" s="273"/>
      <c r="AI930" s="273"/>
    </row>
    <row r="931" spans="1:35" ht="14.25" customHeight="1">
      <c r="A931" s="273"/>
      <c r="B931" s="273"/>
      <c r="C931" s="273"/>
      <c r="D931" s="273"/>
      <c r="E931" s="273"/>
      <c r="F931" s="273"/>
      <c r="G931" s="273"/>
      <c r="H931" s="273"/>
      <c r="I931" s="273"/>
      <c r="J931" s="273"/>
      <c r="K931" s="273"/>
      <c r="L931" s="274"/>
      <c r="M931" s="273"/>
      <c r="N931" s="273"/>
      <c r="O931" s="273"/>
      <c r="P931" s="273"/>
      <c r="Q931" s="273"/>
      <c r="R931" s="273"/>
      <c r="S931" s="273"/>
      <c r="T931" s="273"/>
      <c r="U931" s="273"/>
      <c r="V931" s="273"/>
      <c r="W931" s="273"/>
      <c r="X931" s="274"/>
      <c r="Y931" s="273"/>
      <c r="Z931" s="273"/>
      <c r="AA931" s="273"/>
      <c r="AB931" s="273"/>
      <c r="AC931" s="273"/>
      <c r="AD931" s="273"/>
      <c r="AE931" s="273"/>
      <c r="AF931" s="273"/>
      <c r="AG931" s="273"/>
      <c r="AH931" s="273"/>
      <c r="AI931" s="273"/>
    </row>
    <row r="932" spans="1:35" ht="14.25" customHeight="1">
      <c r="A932" s="273"/>
      <c r="B932" s="273"/>
      <c r="C932" s="273"/>
      <c r="D932" s="273"/>
      <c r="E932" s="273"/>
      <c r="F932" s="273"/>
      <c r="G932" s="273"/>
      <c r="H932" s="273"/>
      <c r="I932" s="273"/>
      <c r="J932" s="273"/>
      <c r="K932" s="273"/>
      <c r="L932" s="274"/>
      <c r="M932" s="273"/>
      <c r="N932" s="273"/>
      <c r="O932" s="273"/>
      <c r="P932" s="273"/>
      <c r="Q932" s="273"/>
      <c r="R932" s="273"/>
      <c r="S932" s="273"/>
      <c r="T932" s="273"/>
      <c r="U932" s="273"/>
      <c r="V932" s="273"/>
      <c r="W932" s="273"/>
      <c r="X932" s="274"/>
      <c r="Y932" s="273"/>
      <c r="Z932" s="273"/>
      <c r="AA932" s="273"/>
      <c r="AB932" s="273"/>
      <c r="AC932" s="273"/>
      <c r="AD932" s="273"/>
      <c r="AE932" s="273"/>
      <c r="AF932" s="273"/>
      <c r="AG932" s="273"/>
      <c r="AH932" s="273"/>
      <c r="AI932" s="273"/>
    </row>
    <row r="933" spans="1:35" ht="14.25" customHeight="1">
      <c r="A933" s="273"/>
      <c r="B933" s="273"/>
      <c r="C933" s="273"/>
      <c r="D933" s="273"/>
      <c r="E933" s="273"/>
      <c r="F933" s="273"/>
      <c r="G933" s="273"/>
      <c r="H933" s="273"/>
      <c r="I933" s="273"/>
      <c r="J933" s="273"/>
      <c r="K933" s="273"/>
      <c r="L933" s="274"/>
      <c r="M933" s="273"/>
      <c r="N933" s="273"/>
      <c r="O933" s="273"/>
      <c r="P933" s="273"/>
      <c r="Q933" s="273"/>
      <c r="R933" s="273"/>
      <c r="S933" s="273"/>
      <c r="T933" s="273"/>
      <c r="U933" s="273"/>
      <c r="V933" s="273"/>
      <c r="W933" s="273"/>
      <c r="X933" s="274"/>
      <c r="Y933" s="273"/>
      <c r="Z933" s="273"/>
      <c r="AA933" s="273"/>
      <c r="AB933" s="273"/>
      <c r="AC933" s="273"/>
      <c r="AD933" s="273"/>
      <c r="AE933" s="273"/>
      <c r="AF933" s="273"/>
      <c r="AG933" s="273"/>
      <c r="AH933" s="273"/>
      <c r="AI933" s="273"/>
    </row>
    <row r="934" spans="1:35" ht="14.25" customHeight="1">
      <c r="A934" s="273"/>
      <c r="B934" s="273"/>
      <c r="C934" s="273"/>
      <c r="D934" s="273"/>
      <c r="E934" s="273"/>
      <c r="F934" s="273"/>
      <c r="G934" s="273"/>
      <c r="H934" s="273"/>
      <c r="I934" s="273"/>
      <c r="J934" s="273"/>
      <c r="K934" s="273"/>
      <c r="L934" s="274"/>
      <c r="M934" s="273"/>
      <c r="N934" s="273"/>
      <c r="O934" s="273"/>
      <c r="P934" s="273"/>
      <c r="Q934" s="273"/>
      <c r="R934" s="273"/>
      <c r="S934" s="273"/>
      <c r="T934" s="273"/>
      <c r="U934" s="273"/>
      <c r="V934" s="273"/>
      <c r="W934" s="273"/>
      <c r="X934" s="274"/>
      <c r="Y934" s="273"/>
      <c r="Z934" s="273"/>
      <c r="AA934" s="273"/>
      <c r="AB934" s="273"/>
      <c r="AC934" s="273"/>
      <c r="AD934" s="273"/>
      <c r="AE934" s="273"/>
      <c r="AF934" s="273"/>
      <c r="AG934" s="273"/>
      <c r="AH934" s="273"/>
      <c r="AI934" s="273"/>
    </row>
    <row r="935" spans="1:35" ht="14.25" customHeight="1">
      <c r="A935" s="273"/>
      <c r="B935" s="273"/>
      <c r="C935" s="273"/>
      <c r="D935" s="273"/>
      <c r="E935" s="273"/>
      <c r="F935" s="273"/>
      <c r="G935" s="273"/>
      <c r="H935" s="273"/>
      <c r="I935" s="273"/>
      <c r="J935" s="273"/>
      <c r="K935" s="273"/>
      <c r="L935" s="274"/>
      <c r="M935" s="273"/>
      <c r="N935" s="273"/>
      <c r="O935" s="273"/>
      <c r="P935" s="273"/>
      <c r="Q935" s="273"/>
      <c r="R935" s="273"/>
      <c r="S935" s="273"/>
      <c r="T935" s="273"/>
      <c r="U935" s="273"/>
      <c r="V935" s="273"/>
      <c r="W935" s="273"/>
      <c r="X935" s="274"/>
      <c r="Y935" s="273"/>
      <c r="Z935" s="273"/>
      <c r="AA935" s="273"/>
      <c r="AB935" s="273"/>
      <c r="AC935" s="273"/>
      <c r="AD935" s="273"/>
      <c r="AE935" s="273"/>
      <c r="AF935" s="273"/>
      <c r="AG935" s="273"/>
      <c r="AH935" s="273"/>
      <c r="AI935" s="273"/>
    </row>
    <row r="936" spans="1:35" ht="14.25" customHeight="1">
      <c r="A936" s="273"/>
      <c r="B936" s="273"/>
      <c r="C936" s="273"/>
      <c r="D936" s="273"/>
      <c r="E936" s="273"/>
      <c r="F936" s="273"/>
      <c r="G936" s="273"/>
      <c r="H936" s="273"/>
      <c r="I936" s="273"/>
      <c r="J936" s="273"/>
      <c r="K936" s="273"/>
      <c r="L936" s="274"/>
      <c r="M936" s="273"/>
      <c r="N936" s="273"/>
      <c r="O936" s="273"/>
      <c r="P936" s="273"/>
      <c r="Q936" s="273"/>
      <c r="R936" s="273"/>
      <c r="S936" s="273"/>
      <c r="T936" s="273"/>
      <c r="U936" s="273"/>
      <c r="V936" s="273"/>
      <c r="W936" s="273"/>
      <c r="X936" s="274"/>
      <c r="Y936" s="273"/>
      <c r="Z936" s="273"/>
      <c r="AA936" s="273"/>
      <c r="AB936" s="273"/>
      <c r="AC936" s="273"/>
      <c r="AD936" s="273"/>
      <c r="AE936" s="273"/>
      <c r="AF936" s="273"/>
      <c r="AG936" s="273"/>
      <c r="AH936" s="273"/>
      <c r="AI936" s="273"/>
    </row>
    <row r="937" spans="1:35" ht="14.25" customHeight="1">
      <c r="A937" s="273"/>
      <c r="B937" s="273"/>
      <c r="C937" s="273"/>
      <c r="D937" s="273"/>
      <c r="E937" s="273"/>
      <c r="F937" s="273"/>
      <c r="G937" s="273"/>
      <c r="H937" s="273"/>
      <c r="I937" s="273"/>
      <c r="J937" s="273"/>
      <c r="K937" s="273"/>
      <c r="L937" s="274"/>
      <c r="M937" s="273"/>
      <c r="N937" s="273"/>
      <c r="O937" s="273"/>
      <c r="P937" s="273"/>
      <c r="Q937" s="273"/>
      <c r="R937" s="273"/>
      <c r="S937" s="273"/>
      <c r="T937" s="273"/>
      <c r="U937" s="273"/>
      <c r="V937" s="273"/>
      <c r="W937" s="273"/>
      <c r="X937" s="274"/>
      <c r="Y937" s="273"/>
      <c r="Z937" s="273"/>
      <c r="AA937" s="273"/>
      <c r="AB937" s="273"/>
      <c r="AC937" s="273"/>
      <c r="AD937" s="273"/>
      <c r="AE937" s="273"/>
      <c r="AF937" s="273"/>
      <c r="AG937" s="273"/>
      <c r="AH937" s="273"/>
      <c r="AI937" s="273"/>
    </row>
    <row r="938" spans="1:35" ht="14.25" customHeight="1">
      <c r="A938" s="273"/>
      <c r="B938" s="273"/>
      <c r="C938" s="273"/>
      <c r="D938" s="273"/>
      <c r="E938" s="273"/>
      <c r="F938" s="273"/>
      <c r="G938" s="273"/>
      <c r="H938" s="273"/>
      <c r="I938" s="273"/>
      <c r="J938" s="273"/>
      <c r="K938" s="273"/>
      <c r="L938" s="274"/>
      <c r="M938" s="273"/>
      <c r="N938" s="273"/>
      <c r="O938" s="273"/>
      <c r="P938" s="273"/>
      <c r="Q938" s="273"/>
      <c r="R938" s="273"/>
      <c r="S938" s="273"/>
      <c r="T938" s="273"/>
      <c r="U938" s="273"/>
      <c r="V938" s="273"/>
      <c r="W938" s="273"/>
      <c r="X938" s="274"/>
      <c r="Y938" s="273"/>
      <c r="Z938" s="273"/>
      <c r="AA938" s="273"/>
      <c r="AB938" s="273"/>
      <c r="AC938" s="273"/>
      <c r="AD938" s="273"/>
      <c r="AE938" s="273"/>
      <c r="AF938" s="273"/>
      <c r="AG938" s="273"/>
      <c r="AH938" s="273"/>
      <c r="AI938" s="273"/>
    </row>
    <row r="939" spans="1:35" ht="14.25" customHeight="1">
      <c r="A939" s="273"/>
      <c r="B939" s="273"/>
      <c r="C939" s="273"/>
      <c r="D939" s="273"/>
      <c r="E939" s="273"/>
      <c r="F939" s="273"/>
      <c r="G939" s="273"/>
      <c r="H939" s="273"/>
      <c r="I939" s="273"/>
      <c r="J939" s="273"/>
      <c r="K939" s="273"/>
      <c r="L939" s="274"/>
      <c r="M939" s="273"/>
      <c r="N939" s="273"/>
      <c r="O939" s="273"/>
      <c r="P939" s="273"/>
      <c r="Q939" s="273"/>
      <c r="R939" s="273"/>
      <c r="S939" s="273"/>
      <c r="T939" s="273"/>
      <c r="U939" s="273"/>
      <c r="V939" s="273"/>
      <c r="W939" s="273"/>
      <c r="X939" s="274"/>
      <c r="Y939" s="273"/>
      <c r="Z939" s="273"/>
      <c r="AA939" s="273"/>
      <c r="AB939" s="273"/>
      <c r="AC939" s="273"/>
      <c r="AD939" s="273"/>
      <c r="AE939" s="273"/>
      <c r="AF939" s="273"/>
      <c r="AG939" s="273"/>
      <c r="AH939" s="273"/>
      <c r="AI939" s="273"/>
    </row>
    <row r="940" spans="1:35" ht="14.25" customHeight="1">
      <c r="A940" s="273"/>
      <c r="B940" s="273"/>
      <c r="C940" s="273"/>
      <c r="D940" s="273"/>
      <c r="E940" s="273"/>
      <c r="F940" s="273"/>
      <c r="G940" s="273"/>
      <c r="H940" s="273"/>
      <c r="I940" s="273"/>
      <c r="J940" s="273"/>
      <c r="K940" s="273"/>
      <c r="L940" s="274"/>
      <c r="M940" s="273"/>
      <c r="N940" s="273"/>
      <c r="O940" s="273"/>
      <c r="P940" s="273"/>
      <c r="Q940" s="273"/>
      <c r="R940" s="273"/>
      <c r="S940" s="273"/>
      <c r="T940" s="273"/>
      <c r="U940" s="273"/>
      <c r="V940" s="273"/>
      <c r="W940" s="273"/>
      <c r="X940" s="274"/>
      <c r="Y940" s="273"/>
      <c r="Z940" s="273"/>
      <c r="AA940" s="273"/>
      <c r="AB940" s="273"/>
      <c r="AC940" s="273"/>
      <c r="AD940" s="273"/>
      <c r="AE940" s="273"/>
      <c r="AF940" s="273"/>
      <c r="AG940" s="273"/>
      <c r="AH940" s="273"/>
      <c r="AI940" s="273"/>
    </row>
    <row r="941" spans="1:35" ht="14.25" customHeight="1">
      <c r="A941" s="273"/>
      <c r="B941" s="273"/>
      <c r="C941" s="273"/>
      <c r="D941" s="273"/>
      <c r="E941" s="273"/>
      <c r="F941" s="273"/>
      <c r="G941" s="273"/>
      <c r="H941" s="273"/>
      <c r="I941" s="273"/>
      <c r="J941" s="273"/>
      <c r="K941" s="273"/>
      <c r="L941" s="274"/>
      <c r="M941" s="273"/>
      <c r="N941" s="273"/>
      <c r="O941" s="273"/>
      <c r="P941" s="273"/>
      <c r="Q941" s="273"/>
      <c r="R941" s="273"/>
      <c r="S941" s="273"/>
      <c r="T941" s="273"/>
      <c r="U941" s="273"/>
      <c r="V941" s="273"/>
      <c r="W941" s="273"/>
      <c r="X941" s="274"/>
      <c r="Y941" s="273"/>
      <c r="Z941" s="273"/>
      <c r="AA941" s="273"/>
      <c r="AB941" s="273"/>
      <c r="AC941" s="273"/>
      <c r="AD941" s="273"/>
      <c r="AE941" s="273"/>
      <c r="AF941" s="273"/>
      <c r="AG941" s="273"/>
      <c r="AH941" s="273"/>
      <c r="AI941" s="273"/>
    </row>
    <row r="942" spans="1:35" ht="14.25" customHeight="1">
      <c r="A942" s="273"/>
      <c r="B942" s="273"/>
      <c r="C942" s="273"/>
      <c r="D942" s="273"/>
      <c r="E942" s="273"/>
      <c r="F942" s="273"/>
      <c r="G942" s="273"/>
      <c r="H942" s="273"/>
      <c r="I942" s="273"/>
      <c r="J942" s="273"/>
      <c r="K942" s="273"/>
      <c r="L942" s="274"/>
      <c r="M942" s="273"/>
      <c r="N942" s="273"/>
      <c r="O942" s="273"/>
      <c r="P942" s="273"/>
      <c r="Q942" s="273"/>
      <c r="R942" s="273"/>
      <c r="S942" s="273"/>
      <c r="T942" s="273"/>
      <c r="U942" s="273"/>
      <c r="V942" s="273"/>
      <c r="W942" s="273"/>
      <c r="X942" s="274"/>
      <c r="Y942" s="273"/>
      <c r="Z942" s="273"/>
      <c r="AA942" s="273"/>
      <c r="AB942" s="273"/>
      <c r="AC942" s="273"/>
      <c r="AD942" s="273"/>
      <c r="AE942" s="273"/>
      <c r="AF942" s="273"/>
      <c r="AG942" s="273"/>
      <c r="AH942" s="273"/>
      <c r="AI942" s="273"/>
    </row>
    <row r="943" spans="1:35" ht="14.25" customHeight="1">
      <c r="A943" s="273"/>
      <c r="B943" s="273"/>
      <c r="C943" s="273"/>
      <c r="D943" s="273"/>
      <c r="E943" s="273"/>
      <c r="F943" s="273"/>
      <c r="G943" s="273"/>
      <c r="H943" s="273"/>
      <c r="I943" s="273"/>
      <c r="J943" s="273"/>
      <c r="K943" s="273"/>
      <c r="L943" s="274"/>
      <c r="M943" s="273"/>
      <c r="N943" s="273"/>
      <c r="O943" s="273"/>
      <c r="P943" s="273"/>
      <c r="Q943" s="273"/>
      <c r="R943" s="273"/>
      <c r="S943" s="273"/>
      <c r="T943" s="273"/>
      <c r="U943" s="273"/>
      <c r="V943" s="273"/>
      <c r="W943" s="273"/>
      <c r="X943" s="274"/>
      <c r="Y943" s="273"/>
      <c r="Z943" s="273"/>
      <c r="AA943" s="273"/>
      <c r="AB943" s="273"/>
      <c r="AC943" s="273"/>
      <c r="AD943" s="273"/>
      <c r="AE943" s="273"/>
      <c r="AF943" s="273"/>
      <c r="AG943" s="273"/>
      <c r="AH943" s="273"/>
      <c r="AI943" s="273"/>
    </row>
    <row r="944" spans="1:35" ht="14.25" customHeight="1">
      <c r="A944" s="273"/>
      <c r="B944" s="273"/>
      <c r="C944" s="273"/>
      <c r="D944" s="273"/>
      <c r="E944" s="273"/>
      <c r="F944" s="273"/>
      <c r="G944" s="273"/>
      <c r="H944" s="273"/>
      <c r="I944" s="273"/>
      <c r="J944" s="273"/>
      <c r="K944" s="273"/>
      <c r="L944" s="274"/>
      <c r="M944" s="273"/>
      <c r="N944" s="273"/>
      <c r="O944" s="273"/>
      <c r="P944" s="273"/>
      <c r="Q944" s="273"/>
      <c r="R944" s="273"/>
      <c r="S944" s="273"/>
      <c r="T944" s="273"/>
      <c r="U944" s="273"/>
      <c r="V944" s="273"/>
      <c r="W944" s="273"/>
      <c r="X944" s="274"/>
      <c r="Y944" s="273"/>
      <c r="Z944" s="273"/>
      <c r="AA944" s="273"/>
      <c r="AB944" s="273"/>
      <c r="AC944" s="273"/>
      <c r="AD944" s="273"/>
      <c r="AE944" s="273"/>
      <c r="AF944" s="273"/>
      <c r="AG944" s="273"/>
      <c r="AH944" s="273"/>
      <c r="AI944" s="273"/>
    </row>
    <row r="945" spans="1:35" ht="14.25" customHeight="1">
      <c r="A945" s="273"/>
      <c r="B945" s="273"/>
      <c r="C945" s="273"/>
      <c r="D945" s="273"/>
      <c r="E945" s="273"/>
      <c r="F945" s="273"/>
      <c r="G945" s="273"/>
      <c r="H945" s="273"/>
      <c r="I945" s="273"/>
      <c r="J945" s="273"/>
      <c r="K945" s="273"/>
      <c r="L945" s="274"/>
      <c r="M945" s="273"/>
      <c r="N945" s="273"/>
      <c r="O945" s="273"/>
      <c r="P945" s="273"/>
      <c r="Q945" s="273"/>
      <c r="R945" s="273"/>
      <c r="S945" s="273"/>
      <c r="T945" s="273"/>
      <c r="U945" s="273"/>
      <c r="V945" s="273"/>
      <c r="W945" s="273"/>
      <c r="X945" s="274"/>
      <c r="Y945" s="273"/>
      <c r="Z945" s="273"/>
      <c r="AA945" s="273"/>
      <c r="AB945" s="273"/>
      <c r="AC945" s="273"/>
      <c r="AD945" s="273"/>
      <c r="AE945" s="273"/>
      <c r="AF945" s="273"/>
      <c r="AG945" s="273"/>
      <c r="AH945" s="273"/>
      <c r="AI945" s="273"/>
    </row>
    <row r="946" spans="1:35" ht="14.25" customHeight="1">
      <c r="A946" s="273"/>
      <c r="B946" s="273"/>
      <c r="C946" s="273"/>
      <c r="D946" s="273"/>
      <c r="E946" s="273"/>
      <c r="F946" s="273"/>
      <c r="G946" s="273"/>
      <c r="H946" s="273"/>
      <c r="I946" s="273"/>
      <c r="J946" s="273"/>
      <c r="K946" s="273"/>
      <c r="L946" s="274"/>
      <c r="M946" s="273"/>
      <c r="N946" s="273"/>
      <c r="O946" s="273"/>
      <c r="P946" s="273"/>
      <c r="Q946" s="273"/>
      <c r="R946" s="273"/>
      <c r="S946" s="273"/>
      <c r="T946" s="273"/>
      <c r="U946" s="273"/>
      <c r="V946" s="273"/>
      <c r="W946" s="273"/>
      <c r="X946" s="274"/>
      <c r="Y946" s="273"/>
      <c r="Z946" s="273"/>
      <c r="AA946" s="273"/>
      <c r="AB946" s="273"/>
      <c r="AC946" s="273"/>
      <c r="AD946" s="273"/>
      <c r="AE946" s="273"/>
      <c r="AF946" s="273"/>
      <c r="AG946" s="273"/>
      <c r="AH946" s="273"/>
      <c r="AI946" s="273"/>
    </row>
    <row r="947" spans="1:35" ht="14.25" customHeight="1">
      <c r="A947" s="273"/>
      <c r="B947" s="273"/>
      <c r="C947" s="273"/>
      <c r="D947" s="273"/>
      <c r="E947" s="273"/>
      <c r="F947" s="273"/>
      <c r="G947" s="273"/>
      <c r="H947" s="273"/>
      <c r="I947" s="273"/>
      <c r="J947" s="273"/>
      <c r="K947" s="273"/>
      <c r="L947" s="274"/>
      <c r="M947" s="273"/>
      <c r="N947" s="273"/>
      <c r="O947" s="273"/>
      <c r="P947" s="273"/>
      <c r="Q947" s="273"/>
      <c r="R947" s="273"/>
      <c r="S947" s="273"/>
      <c r="T947" s="273"/>
      <c r="U947" s="273"/>
      <c r="V947" s="273"/>
      <c r="W947" s="273"/>
      <c r="X947" s="274"/>
      <c r="Y947" s="273"/>
      <c r="Z947" s="273"/>
      <c r="AA947" s="273"/>
      <c r="AB947" s="273"/>
      <c r="AC947" s="273"/>
      <c r="AD947" s="273"/>
      <c r="AE947" s="273"/>
      <c r="AF947" s="273"/>
      <c r="AG947" s="273"/>
      <c r="AH947" s="273"/>
      <c r="AI947" s="273"/>
    </row>
    <row r="948" spans="1:35" ht="14.25" customHeight="1">
      <c r="A948" s="273"/>
      <c r="B948" s="273"/>
      <c r="C948" s="273"/>
      <c r="D948" s="273"/>
      <c r="E948" s="273"/>
      <c r="F948" s="273"/>
      <c r="G948" s="273"/>
      <c r="H948" s="273"/>
      <c r="I948" s="273"/>
      <c r="J948" s="273"/>
      <c r="K948" s="273"/>
      <c r="L948" s="274"/>
      <c r="M948" s="273"/>
      <c r="N948" s="273"/>
      <c r="O948" s="273"/>
      <c r="P948" s="273"/>
      <c r="Q948" s="273"/>
      <c r="R948" s="273"/>
      <c r="S948" s="273"/>
      <c r="T948" s="273"/>
      <c r="U948" s="273"/>
      <c r="V948" s="273"/>
      <c r="W948" s="273"/>
      <c r="X948" s="274"/>
      <c r="Y948" s="273"/>
      <c r="Z948" s="273"/>
      <c r="AA948" s="273"/>
      <c r="AB948" s="273"/>
      <c r="AC948" s="273"/>
      <c r="AD948" s="273"/>
      <c r="AE948" s="273"/>
      <c r="AF948" s="273"/>
      <c r="AG948" s="273"/>
      <c r="AH948" s="273"/>
      <c r="AI948" s="273"/>
    </row>
    <row r="949" spans="1:35" ht="14.25" customHeight="1">
      <c r="A949" s="273"/>
      <c r="B949" s="273"/>
      <c r="C949" s="273"/>
      <c r="D949" s="273"/>
      <c r="E949" s="273"/>
      <c r="F949" s="273"/>
      <c r="G949" s="273"/>
      <c r="H949" s="273"/>
      <c r="I949" s="273"/>
      <c r="J949" s="273"/>
      <c r="K949" s="273"/>
      <c r="L949" s="274"/>
      <c r="M949" s="273"/>
      <c r="N949" s="273"/>
      <c r="O949" s="273"/>
      <c r="P949" s="273"/>
      <c r="Q949" s="273"/>
      <c r="R949" s="273"/>
      <c r="S949" s="273"/>
      <c r="T949" s="273"/>
      <c r="U949" s="273"/>
      <c r="V949" s="273"/>
      <c r="W949" s="273"/>
      <c r="X949" s="274"/>
      <c r="Y949" s="273"/>
      <c r="Z949" s="273"/>
      <c r="AA949" s="273"/>
      <c r="AB949" s="273"/>
      <c r="AC949" s="273"/>
      <c r="AD949" s="273"/>
      <c r="AE949" s="273"/>
      <c r="AF949" s="273"/>
      <c r="AG949" s="273"/>
      <c r="AH949" s="273"/>
      <c r="AI949" s="273"/>
    </row>
    <row r="950" spans="1:35" ht="14.25" customHeight="1">
      <c r="A950" s="273"/>
      <c r="B950" s="273"/>
      <c r="C950" s="273"/>
      <c r="D950" s="273"/>
      <c r="E950" s="273"/>
      <c r="F950" s="273"/>
      <c r="G950" s="273"/>
      <c r="H950" s="273"/>
      <c r="I950" s="273"/>
      <c r="J950" s="273"/>
      <c r="K950" s="273"/>
      <c r="L950" s="274"/>
      <c r="M950" s="273"/>
      <c r="N950" s="273"/>
      <c r="O950" s="273"/>
      <c r="P950" s="273"/>
      <c r="Q950" s="273"/>
      <c r="R950" s="273"/>
      <c r="S950" s="273"/>
      <c r="T950" s="273"/>
      <c r="U950" s="273"/>
      <c r="V950" s="273"/>
      <c r="W950" s="273"/>
      <c r="X950" s="274"/>
      <c r="Y950" s="273"/>
      <c r="Z950" s="273"/>
      <c r="AA950" s="273"/>
      <c r="AB950" s="273"/>
      <c r="AC950" s="273"/>
      <c r="AD950" s="273"/>
      <c r="AE950" s="273"/>
      <c r="AF950" s="273"/>
      <c r="AG950" s="273"/>
      <c r="AH950" s="273"/>
      <c r="AI950" s="273"/>
    </row>
    <row r="951" spans="1:35" ht="14.25" customHeight="1">
      <c r="A951" s="273"/>
      <c r="B951" s="273"/>
      <c r="C951" s="273"/>
      <c r="D951" s="273"/>
      <c r="E951" s="273"/>
      <c r="F951" s="273"/>
      <c r="G951" s="273"/>
      <c r="H951" s="273"/>
      <c r="I951" s="273"/>
      <c r="J951" s="273"/>
      <c r="K951" s="273"/>
      <c r="L951" s="274"/>
      <c r="M951" s="273"/>
      <c r="N951" s="273"/>
      <c r="O951" s="273"/>
      <c r="P951" s="273"/>
      <c r="Q951" s="273"/>
      <c r="R951" s="273"/>
      <c r="S951" s="273"/>
      <c r="T951" s="273"/>
      <c r="U951" s="273"/>
      <c r="V951" s="273"/>
      <c r="W951" s="273"/>
      <c r="X951" s="274"/>
      <c r="Y951" s="273"/>
      <c r="Z951" s="273"/>
      <c r="AA951" s="273"/>
      <c r="AB951" s="273"/>
      <c r="AC951" s="273"/>
      <c r="AD951" s="273"/>
      <c r="AE951" s="273"/>
      <c r="AF951" s="273"/>
      <c r="AG951" s="273"/>
      <c r="AH951" s="273"/>
      <c r="AI951" s="273"/>
    </row>
    <row r="952" spans="1:35" ht="14.25" customHeight="1">
      <c r="A952" s="273"/>
      <c r="B952" s="273"/>
      <c r="C952" s="273"/>
      <c r="D952" s="273"/>
      <c r="E952" s="273"/>
      <c r="F952" s="273"/>
      <c r="G952" s="273"/>
      <c r="H952" s="273"/>
      <c r="I952" s="273"/>
      <c r="J952" s="273"/>
      <c r="K952" s="273"/>
      <c r="L952" s="274"/>
      <c r="M952" s="273"/>
      <c r="N952" s="273"/>
      <c r="O952" s="273"/>
      <c r="P952" s="273"/>
      <c r="Q952" s="273"/>
      <c r="R952" s="273"/>
      <c r="S952" s="273"/>
      <c r="T952" s="273"/>
      <c r="U952" s="273"/>
      <c r="V952" s="273"/>
      <c r="W952" s="273"/>
      <c r="X952" s="274"/>
      <c r="Y952" s="273"/>
      <c r="Z952" s="273"/>
      <c r="AA952" s="273"/>
      <c r="AB952" s="273"/>
      <c r="AC952" s="273"/>
      <c r="AD952" s="273"/>
      <c r="AE952" s="273"/>
      <c r="AF952" s="273"/>
      <c r="AG952" s="273"/>
      <c r="AH952" s="273"/>
      <c r="AI952" s="273"/>
    </row>
    <row r="953" spans="1:35" ht="14.25" customHeight="1">
      <c r="A953" s="273"/>
      <c r="B953" s="273"/>
      <c r="C953" s="273"/>
      <c r="D953" s="273"/>
      <c r="E953" s="273"/>
      <c r="F953" s="273"/>
      <c r="G953" s="273"/>
      <c r="H953" s="273"/>
      <c r="I953" s="273"/>
      <c r="J953" s="273"/>
      <c r="K953" s="273"/>
      <c r="L953" s="274"/>
      <c r="M953" s="273"/>
      <c r="N953" s="273"/>
      <c r="O953" s="273"/>
      <c r="P953" s="273"/>
      <c r="Q953" s="273"/>
      <c r="R953" s="273"/>
      <c r="S953" s="273"/>
      <c r="T953" s="273"/>
      <c r="U953" s="273"/>
      <c r="V953" s="273"/>
      <c r="W953" s="273"/>
      <c r="X953" s="274"/>
      <c r="Y953" s="273"/>
      <c r="Z953" s="273"/>
      <c r="AA953" s="273"/>
      <c r="AB953" s="273"/>
      <c r="AC953" s="273"/>
      <c r="AD953" s="273"/>
      <c r="AE953" s="273"/>
      <c r="AF953" s="273"/>
      <c r="AG953" s="273"/>
      <c r="AH953" s="273"/>
      <c r="AI953" s="273"/>
    </row>
    <row r="954" spans="1:35" ht="14.25" customHeight="1">
      <c r="A954" s="273"/>
      <c r="B954" s="273"/>
      <c r="C954" s="273"/>
      <c r="D954" s="273"/>
      <c r="E954" s="273"/>
      <c r="F954" s="273"/>
      <c r="G954" s="273"/>
      <c r="H954" s="273"/>
      <c r="I954" s="273"/>
      <c r="J954" s="273"/>
      <c r="K954" s="273"/>
      <c r="L954" s="274"/>
      <c r="M954" s="273"/>
      <c r="N954" s="273"/>
      <c r="O954" s="273"/>
      <c r="P954" s="273"/>
      <c r="Q954" s="273"/>
      <c r="R954" s="273"/>
      <c r="S954" s="273"/>
      <c r="T954" s="273"/>
      <c r="U954" s="273"/>
      <c r="V954" s="273"/>
      <c r="W954" s="273"/>
      <c r="X954" s="274"/>
      <c r="Y954" s="273"/>
      <c r="Z954" s="273"/>
      <c r="AA954" s="273"/>
      <c r="AB954" s="273"/>
      <c r="AC954" s="273"/>
      <c r="AD954" s="273"/>
      <c r="AE954" s="273"/>
      <c r="AF954" s="273"/>
      <c r="AG954" s="273"/>
      <c r="AH954" s="273"/>
      <c r="AI954" s="273"/>
    </row>
    <row r="955" spans="1:35" ht="14.25" customHeight="1">
      <c r="A955" s="273"/>
      <c r="B955" s="273"/>
      <c r="C955" s="273"/>
      <c r="D955" s="273"/>
      <c r="E955" s="273"/>
      <c r="F955" s="273"/>
      <c r="G955" s="273"/>
      <c r="H955" s="273"/>
      <c r="I955" s="273"/>
      <c r="J955" s="273"/>
      <c r="K955" s="273"/>
      <c r="L955" s="274"/>
      <c r="M955" s="273"/>
      <c r="N955" s="273"/>
      <c r="O955" s="273"/>
      <c r="P955" s="273"/>
      <c r="Q955" s="273"/>
      <c r="R955" s="273"/>
      <c r="S955" s="273"/>
      <c r="T955" s="273"/>
      <c r="U955" s="273"/>
      <c r="V955" s="273"/>
      <c r="W955" s="273"/>
      <c r="X955" s="274"/>
      <c r="Y955" s="273"/>
      <c r="Z955" s="273"/>
      <c r="AA955" s="273"/>
      <c r="AB955" s="273"/>
      <c r="AC955" s="273"/>
      <c r="AD955" s="273"/>
      <c r="AE955" s="273"/>
      <c r="AF955" s="273"/>
      <c r="AG955" s="273"/>
      <c r="AH955" s="273"/>
      <c r="AI955" s="273"/>
    </row>
    <row r="956" spans="1:35" ht="14.25" customHeight="1">
      <c r="A956" s="273"/>
      <c r="B956" s="273"/>
      <c r="C956" s="273"/>
      <c r="D956" s="273"/>
      <c r="E956" s="273"/>
      <c r="F956" s="273"/>
      <c r="G956" s="273"/>
      <c r="H956" s="273"/>
      <c r="I956" s="273"/>
      <c r="J956" s="273"/>
      <c r="K956" s="273"/>
      <c r="L956" s="274"/>
      <c r="M956" s="273"/>
      <c r="N956" s="273"/>
      <c r="O956" s="273"/>
      <c r="P956" s="273"/>
      <c r="Q956" s="273"/>
      <c r="R956" s="273"/>
      <c r="S956" s="273"/>
      <c r="T956" s="273"/>
      <c r="U956" s="273"/>
      <c r="V956" s="273"/>
      <c r="W956" s="273"/>
      <c r="X956" s="274"/>
      <c r="Y956" s="273"/>
      <c r="Z956" s="273"/>
      <c r="AA956" s="273"/>
      <c r="AB956" s="273"/>
      <c r="AC956" s="273"/>
      <c r="AD956" s="273"/>
      <c r="AE956" s="273"/>
      <c r="AF956" s="273"/>
      <c r="AG956" s="273"/>
      <c r="AH956" s="273"/>
      <c r="AI956" s="273"/>
    </row>
    <row r="957" spans="1:35" ht="14.25" customHeight="1">
      <c r="A957" s="273"/>
      <c r="B957" s="273"/>
      <c r="C957" s="273"/>
      <c r="D957" s="273"/>
      <c r="E957" s="273"/>
      <c r="F957" s="273"/>
      <c r="G957" s="273"/>
      <c r="H957" s="273"/>
      <c r="I957" s="273"/>
      <c r="J957" s="273"/>
      <c r="K957" s="273"/>
      <c r="L957" s="274"/>
      <c r="M957" s="273"/>
      <c r="N957" s="273"/>
      <c r="O957" s="273"/>
      <c r="P957" s="273"/>
      <c r="Q957" s="273"/>
      <c r="R957" s="273"/>
      <c r="S957" s="273"/>
      <c r="T957" s="273"/>
      <c r="U957" s="273"/>
      <c r="V957" s="273"/>
      <c r="W957" s="273"/>
      <c r="X957" s="274"/>
      <c r="Y957" s="273"/>
      <c r="Z957" s="273"/>
      <c r="AA957" s="273"/>
      <c r="AB957" s="273"/>
      <c r="AC957" s="273"/>
      <c r="AD957" s="273"/>
      <c r="AE957" s="273"/>
      <c r="AF957" s="273"/>
      <c r="AG957" s="273"/>
      <c r="AH957" s="273"/>
      <c r="AI957" s="273"/>
    </row>
    <row r="958" spans="1:35" ht="14.25" customHeight="1">
      <c r="A958" s="273"/>
      <c r="B958" s="273"/>
      <c r="C958" s="273"/>
      <c r="D958" s="273"/>
      <c r="E958" s="273"/>
      <c r="F958" s="273"/>
      <c r="G958" s="273"/>
      <c r="H958" s="273"/>
      <c r="I958" s="273"/>
      <c r="J958" s="273"/>
      <c r="K958" s="273"/>
      <c r="L958" s="274"/>
      <c r="M958" s="273"/>
      <c r="N958" s="273"/>
      <c r="O958" s="273"/>
      <c r="P958" s="273"/>
      <c r="Q958" s="273"/>
      <c r="R958" s="273"/>
      <c r="S958" s="273"/>
      <c r="T958" s="273"/>
      <c r="U958" s="273"/>
      <c r="V958" s="273"/>
      <c r="W958" s="273"/>
      <c r="X958" s="274"/>
      <c r="Y958" s="273"/>
      <c r="Z958" s="273"/>
      <c r="AA958" s="273"/>
      <c r="AB958" s="273"/>
      <c r="AC958" s="273"/>
      <c r="AD958" s="273"/>
      <c r="AE958" s="273"/>
      <c r="AF958" s="273"/>
      <c r="AG958" s="273"/>
      <c r="AH958" s="273"/>
      <c r="AI958" s="273"/>
    </row>
    <row r="959" spans="1:35" ht="14.25" customHeight="1">
      <c r="A959" s="273"/>
      <c r="B959" s="273"/>
      <c r="C959" s="273"/>
      <c r="D959" s="273"/>
      <c r="E959" s="273"/>
      <c r="F959" s="273"/>
      <c r="G959" s="273"/>
      <c r="H959" s="273"/>
      <c r="I959" s="273"/>
      <c r="J959" s="273"/>
      <c r="K959" s="273"/>
      <c r="L959" s="274"/>
      <c r="M959" s="273"/>
      <c r="N959" s="273"/>
      <c r="O959" s="273"/>
      <c r="P959" s="273"/>
      <c r="Q959" s="273"/>
      <c r="R959" s="273"/>
      <c r="S959" s="273"/>
      <c r="T959" s="273"/>
      <c r="U959" s="273"/>
      <c r="V959" s="273"/>
      <c r="W959" s="273"/>
      <c r="X959" s="274"/>
      <c r="Y959" s="273"/>
      <c r="Z959" s="273"/>
      <c r="AA959" s="273"/>
      <c r="AB959" s="273"/>
      <c r="AC959" s="273"/>
      <c r="AD959" s="273"/>
      <c r="AE959" s="273"/>
      <c r="AF959" s="273"/>
      <c r="AG959" s="273"/>
      <c r="AH959" s="273"/>
      <c r="AI959" s="273"/>
    </row>
    <row r="960" spans="1:35" ht="14.25" customHeight="1">
      <c r="A960" s="273"/>
      <c r="B960" s="273"/>
      <c r="C960" s="273"/>
      <c r="D960" s="273"/>
      <c r="E960" s="273"/>
      <c r="F960" s="273"/>
      <c r="G960" s="273"/>
      <c r="H960" s="273"/>
      <c r="I960" s="273"/>
      <c r="J960" s="273"/>
      <c r="K960" s="273"/>
      <c r="L960" s="274"/>
      <c r="M960" s="273"/>
      <c r="N960" s="273"/>
      <c r="O960" s="273"/>
      <c r="P960" s="273"/>
      <c r="Q960" s="273"/>
      <c r="R960" s="273"/>
      <c r="S960" s="273"/>
      <c r="T960" s="273"/>
      <c r="U960" s="273"/>
      <c r="V960" s="273"/>
      <c r="W960" s="273"/>
      <c r="X960" s="274"/>
      <c r="Y960" s="273"/>
      <c r="Z960" s="273"/>
      <c r="AA960" s="273"/>
      <c r="AB960" s="273"/>
      <c r="AC960" s="273"/>
      <c r="AD960" s="273"/>
      <c r="AE960" s="273"/>
      <c r="AF960" s="273"/>
      <c r="AG960" s="273"/>
      <c r="AH960" s="273"/>
      <c r="AI960" s="273"/>
    </row>
    <row r="961" spans="1:35" ht="14.25" customHeight="1">
      <c r="A961" s="273"/>
      <c r="B961" s="273"/>
      <c r="C961" s="273"/>
      <c r="D961" s="273"/>
      <c r="E961" s="273"/>
      <c r="F961" s="273"/>
      <c r="G961" s="273"/>
      <c r="H961" s="273"/>
      <c r="I961" s="273"/>
      <c r="J961" s="273"/>
      <c r="K961" s="273"/>
      <c r="L961" s="274"/>
      <c r="M961" s="273"/>
      <c r="N961" s="273"/>
      <c r="O961" s="273"/>
      <c r="P961" s="273"/>
      <c r="Q961" s="273"/>
      <c r="R961" s="273"/>
      <c r="S961" s="273"/>
      <c r="T961" s="273"/>
      <c r="U961" s="273"/>
      <c r="V961" s="273"/>
      <c r="W961" s="273"/>
      <c r="X961" s="274"/>
      <c r="Y961" s="273"/>
      <c r="Z961" s="273"/>
      <c r="AA961" s="273"/>
      <c r="AB961" s="273"/>
      <c r="AC961" s="273"/>
      <c r="AD961" s="273"/>
      <c r="AE961" s="273"/>
      <c r="AF961" s="273"/>
      <c r="AG961" s="273"/>
      <c r="AH961" s="273"/>
      <c r="AI961" s="273"/>
    </row>
    <row r="962" spans="1:35" ht="14.25" customHeight="1">
      <c r="A962" s="273"/>
      <c r="B962" s="273"/>
      <c r="C962" s="273"/>
      <c r="D962" s="273"/>
      <c r="E962" s="273"/>
      <c r="F962" s="273"/>
      <c r="G962" s="273"/>
      <c r="H962" s="273"/>
      <c r="I962" s="273"/>
      <c r="J962" s="273"/>
      <c r="K962" s="273"/>
      <c r="L962" s="274"/>
      <c r="M962" s="273"/>
      <c r="N962" s="273"/>
      <c r="O962" s="273"/>
      <c r="P962" s="273"/>
      <c r="Q962" s="273"/>
      <c r="R962" s="273"/>
      <c r="S962" s="273"/>
      <c r="T962" s="273"/>
      <c r="U962" s="273"/>
      <c r="V962" s="273"/>
      <c r="W962" s="273"/>
      <c r="X962" s="274"/>
      <c r="Y962" s="273"/>
      <c r="Z962" s="273"/>
      <c r="AA962" s="273"/>
      <c r="AB962" s="273"/>
      <c r="AC962" s="273"/>
      <c r="AD962" s="273"/>
      <c r="AE962" s="273"/>
      <c r="AF962" s="273"/>
      <c r="AG962" s="273"/>
      <c r="AH962" s="273"/>
      <c r="AI962" s="273"/>
    </row>
    <row r="963" spans="1:35" ht="14.25" customHeight="1">
      <c r="A963" s="273"/>
      <c r="B963" s="273"/>
      <c r="C963" s="273"/>
      <c r="D963" s="273"/>
      <c r="E963" s="273"/>
      <c r="F963" s="273"/>
      <c r="G963" s="273"/>
      <c r="H963" s="273"/>
      <c r="I963" s="273"/>
      <c r="J963" s="273"/>
      <c r="K963" s="273"/>
      <c r="L963" s="274"/>
      <c r="M963" s="273"/>
      <c r="N963" s="273"/>
      <c r="O963" s="273"/>
      <c r="P963" s="273"/>
      <c r="Q963" s="273"/>
      <c r="R963" s="273"/>
      <c r="S963" s="273"/>
      <c r="T963" s="273"/>
      <c r="U963" s="273"/>
      <c r="V963" s="273"/>
      <c r="W963" s="273"/>
      <c r="X963" s="274"/>
      <c r="Y963" s="273"/>
      <c r="Z963" s="273"/>
      <c r="AA963" s="273"/>
      <c r="AB963" s="273"/>
      <c r="AC963" s="273"/>
      <c r="AD963" s="273"/>
      <c r="AE963" s="273"/>
      <c r="AF963" s="273"/>
      <c r="AG963" s="273"/>
      <c r="AH963" s="273"/>
      <c r="AI963" s="273"/>
    </row>
    <row r="964" spans="1:35" ht="14.25" customHeight="1">
      <c r="A964" s="273"/>
      <c r="B964" s="273"/>
      <c r="C964" s="273"/>
      <c r="D964" s="273"/>
      <c r="E964" s="273"/>
      <c r="F964" s="273"/>
      <c r="G964" s="273"/>
      <c r="H964" s="273"/>
      <c r="I964" s="273"/>
      <c r="J964" s="273"/>
      <c r="K964" s="273"/>
      <c r="L964" s="274"/>
      <c r="M964" s="273"/>
      <c r="N964" s="273"/>
      <c r="O964" s="273"/>
      <c r="P964" s="273"/>
      <c r="Q964" s="273"/>
      <c r="R964" s="273"/>
      <c r="S964" s="273"/>
      <c r="T964" s="273"/>
      <c r="U964" s="273"/>
      <c r="V964" s="273"/>
      <c r="W964" s="273"/>
      <c r="X964" s="274"/>
      <c r="Y964" s="273"/>
      <c r="Z964" s="273"/>
      <c r="AA964" s="273"/>
      <c r="AB964" s="273"/>
      <c r="AC964" s="273"/>
      <c r="AD964" s="273"/>
      <c r="AE964" s="273"/>
      <c r="AF964" s="273"/>
      <c r="AG964" s="273"/>
      <c r="AH964" s="273"/>
      <c r="AI964" s="273"/>
    </row>
    <row r="965" spans="1:35" ht="14.25" customHeight="1">
      <c r="A965" s="273"/>
      <c r="B965" s="273"/>
      <c r="C965" s="273"/>
      <c r="D965" s="273"/>
      <c r="E965" s="273"/>
      <c r="F965" s="273"/>
      <c r="G965" s="273"/>
      <c r="H965" s="273"/>
      <c r="I965" s="273"/>
      <c r="J965" s="273"/>
      <c r="K965" s="273"/>
      <c r="L965" s="274"/>
      <c r="M965" s="273"/>
      <c r="N965" s="273"/>
      <c r="O965" s="273"/>
      <c r="P965" s="273"/>
      <c r="Q965" s="273"/>
      <c r="R965" s="273"/>
      <c r="S965" s="273"/>
      <c r="T965" s="273"/>
      <c r="U965" s="273"/>
      <c r="V965" s="273"/>
      <c r="W965" s="273"/>
      <c r="X965" s="274"/>
      <c r="Y965" s="273"/>
      <c r="Z965" s="273"/>
      <c r="AA965" s="273"/>
      <c r="AB965" s="273"/>
      <c r="AC965" s="273"/>
      <c r="AD965" s="273"/>
      <c r="AE965" s="273"/>
      <c r="AF965" s="273"/>
      <c r="AG965" s="273"/>
      <c r="AH965" s="273"/>
      <c r="AI965" s="273"/>
    </row>
    <row r="966" spans="1:35" ht="14.25" customHeight="1">
      <c r="A966" s="273"/>
      <c r="B966" s="273"/>
      <c r="C966" s="273"/>
      <c r="D966" s="273"/>
      <c r="E966" s="273"/>
      <c r="F966" s="273"/>
      <c r="G966" s="273"/>
      <c r="H966" s="273"/>
      <c r="I966" s="273"/>
      <c r="J966" s="273"/>
      <c r="K966" s="273"/>
      <c r="L966" s="274"/>
      <c r="M966" s="273"/>
      <c r="N966" s="273"/>
      <c r="O966" s="273"/>
      <c r="P966" s="273"/>
      <c r="Q966" s="273"/>
      <c r="R966" s="273"/>
      <c r="S966" s="273"/>
      <c r="T966" s="273"/>
      <c r="U966" s="273"/>
      <c r="V966" s="273"/>
      <c r="W966" s="273"/>
      <c r="X966" s="274"/>
      <c r="Y966" s="273"/>
      <c r="Z966" s="273"/>
      <c r="AA966" s="273"/>
      <c r="AB966" s="273"/>
      <c r="AC966" s="273"/>
      <c r="AD966" s="273"/>
      <c r="AE966" s="273"/>
      <c r="AF966" s="273"/>
      <c r="AG966" s="273"/>
      <c r="AH966" s="273"/>
      <c r="AI966" s="273"/>
    </row>
    <row r="967" spans="1:35" ht="14.25" customHeight="1">
      <c r="A967" s="273"/>
      <c r="B967" s="273"/>
      <c r="C967" s="273"/>
      <c r="D967" s="273"/>
      <c r="E967" s="273"/>
      <c r="F967" s="273"/>
      <c r="G967" s="273"/>
      <c r="H967" s="273"/>
      <c r="I967" s="273"/>
      <c r="J967" s="273"/>
      <c r="K967" s="273"/>
      <c r="L967" s="274"/>
      <c r="M967" s="273"/>
      <c r="N967" s="273"/>
      <c r="O967" s="273"/>
      <c r="P967" s="273"/>
      <c r="Q967" s="273"/>
      <c r="R967" s="273"/>
      <c r="S967" s="273"/>
      <c r="T967" s="273"/>
      <c r="U967" s="273"/>
      <c r="V967" s="273"/>
      <c r="W967" s="273"/>
      <c r="X967" s="274"/>
      <c r="Y967" s="273"/>
      <c r="Z967" s="273"/>
      <c r="AA967" s="273"/>
      <c r="AB967" s="273"/>
      <c r="AC967" s="273"/>
      <c r="AD967" s="273"/>
      <c r="AE967" s="273"/>
      <c r="AF967" s="273"/>
      <c r="AG967" s="273"/>
      <c r="AH967" s="273"/>
      <c r="AI967" s="273"/>
    </row>
    <row r="968" spans="1:35" ht="14.25" customHeight="1">
      <c r="A968" s="273"/>
      <c r="B968" s="273"/>
      <c r="C968" s="273"/>
      <c r="D968" s="273"/>
      <c r="E968" s="273"/>
      <c r="F968" s="273"/>
      <c r="G968" s="273"/>
      <c r="H968" s="273"/>
      <c r="I968" s="273"/>
      <c r="J968" s="273"/>
      <c r="K968" s="273"/>
      <c r="L968" s="274"/>
      <c r="M968" s="273"/>
      <c r="N968" s="273"/>
      <c r="O968" s="273"/>
      <c r="P968" s="273"/>
      <c r="Q968" s="273"/>
      <c r="R968" s="273"/>
      <c r="S968" s="273"/>
      <c r="T968" s="273"/>
      <c r="U968" s="273"/>
      <c r="V968" s="273"/>
      <c r="W968" s="273"/>
      <c r="X968" s="274"/>
      <c r="Y968" s="273"/>
      <c r="Z968" s="273"/>
      <c r="AA968" s="273"/>
      <c r="AB968" s="273"/>
      <c r="AC968" s="273"/>
      <c r="AD968" s="273"/>
      <c r="AE968" s="273"/>
      <c r="AF968" s="273"/>
      <c r="AG968" s="273"/>
      <c r="AH968" s="273"/>
      <c r="AI968" s="273"/>
    </row>
    <row r="969" spans="1:35" ht="14.25" customHeight="1">
      <c r="A969" s="273"/>
      <c r="B969" s="273"/>
      <c r="C969" s="273"/>
      <c r="D969" s="273"/>
      <c r="E969" s="273"/>
      <c r="F969" s="273"/>
      <c r="G969" s="273"/>
      <c r="H969" s="273"/>
      <c r="I969" s="273"/>
      <c r="J969" s="273"/>
      <c r="K969" s="273"/>
      <c r="L969" s="274"/>
      <c r="M969" s="273"/>
      <c r="N969" s="273"/>
      <c r="O969" s="273"/>
      <c r="P969" s="273"/>
      <c r="Q969" s="273"/>
      <c r="R969" s="273"/>
      <c r="S969" s="273"/>
      <c r="T969" s="273"/>
      <c r="U969" s="273"/>
      <c r="V969" s="273"/>
      <c r="W969" s="273"/>
      <c r="X969" s="274"/>
      <c r="Y969" s="273"/>
      <c r="Z969" s="273"/>
      <c r="AA969" s="273"/>
      <c r="AB969" s="273"/>
      <c r="AC969" s="273"/>
      <c r="AD969" s="273"/>
      <c r="AE969" s="273"/>
      <c r="AF969" s="273"/>
      <c r="AG969" s="273"/>
      <c r="AH969" s="273"/>
      <c r="AI969" s="273"/>
    </row>
    <row r="970" spans="1:35" ht="14.25" customHeight="1">
      <c r="A970" s="273"/>
      <c r="B970" s="273"/>
      <c r="C970" s="273"/>
      <c r="D970" s="273"/>
      <c r="E970" s="273"/>
      <c r="F970" s="273"/>
      <c r="G970" s="273"/>
      <c r="H970" s="273"/>
      <c r="I970" s="273"/>
      <c r="J970" s="273"/>
      <c r="K970" s="273"/>
      <c r="L970" s="274"/>
      <c r="M970" s="273"/>
      <c r="N970" s="273"/>
      <c r="O970" s="273"/>
      <c r="P970" s="273"/>
      <c r="Q970" s="273"/>
      <c r="R970" s="273"/>
      <c r="S970" s="273"/>
      <c r="T970" s="273"/>
      <c r="U970" s="273"/>
      <c r="V970" s="273"/>
      <c r="W970" s="273"/>
      <c r="X970" s="274"/>
      <c r="Y970" s="273"/>
      <c r="Z970" s="273"/>
      <c r="AA970" s="273"/>
      <c r="AB970" s="273"/>
      <c r="AC970" s="273"/>
      <c r="AD970" s="273"/>
      <c r="AE970" s="273"/>
      <c r="AF970" s="273"/>
      <c r="AG970" s="273"/>
      <c r="AH970" s="273"/>
      <c r="AI970" s="273"/>
    </row>
    <row r="971" spans="1:35" ht="14.25" customHeight="1">
      <c r="A971" s="273"/>
      <c r="B971" s="273"/>
      <c r="C971" s="273"/>
      <c r="D971" s="273"/>
      <c r="E971" s="273"/>
      <c r="F971" s="273"/>
      <c r="G971" s="273"/>
      <c r="H971" s="273"/>
      <c r="I971" s="273"/>
      <c r="J971" s="273"/>
      <c r="K971" s="273"/>
      <c r="L971" s="274"/>
      <c r="M971" s="273"/>
      <c r="N971" s="273"/>
      <c r="O971" s="273"/>
      <c r="P971" s="273"/>
      <c r="Q971" s="273"/>
      <c r="R971" s="273"/>
      <c r="S971" s="273"/>
      <c r="T971" s="273"/>
      <c r="U971" s="273"/>
      <c r="V971" s="273"/>
      <c r="W971" s="273"/>
      <c r="X971" s="274"/>
      <c r="Y971" s="273"/>
      <c r="Z971" s="273"/>
      <c r="AA971" s="273"/>
      <c r="AB971" s="273"/>
      <c r="AC971" s="273"/>
      <c r="AD971" s="273"/>
      <c r="AE971" s="273"/>
      <c r="AF971" s="273"/>
      <c r="AG971" s="273"/>
      <c r="AH971" s="273"/>
      <c r="AI971" s="273"/>
    </row>
    <row r="972" spans="1:35" ht="14.25" customHeight="1">
      <c r="A972" s="273"/>
      <c r="B972" s="273"/>
      <c r="C972" s="273"/>
      <c r="D972" s="273"/>
      <c r="E972" s="273"/>
      <c r="F972" s="273"/>
      <c r="G972" s="273"/>
      <c r="H972" s="273"/>
      <c r="I972" s="273"/>
      <c r="J972" s="273"/>
      <c r="K972" s="273"/>
      <c r="L972" s="274"/>
      <c r="M972" s="273"/>
      <c r="N972" s="273"/>
      <c r="O972" s="273"/>
      <c r="P972" s="273"/>
      <c r="Q972" s="273"/>
      <c r="R972" s="273"/>
      <c r="S972" s="273"/>
      <c r="T972" s="273"/>
      <c r="U972" s="273"/>
      <c r="V972" s="273"/>
      <c r="W972" s="273"/>
      <c r="X972" s="274"/>
      <c r="Y972" s="273"/>
      <c r="Z972" s="273"/>
      <c r="AA972" s="273"/>
      <c r="AB972" s="273"/>
      <c r="AC972" s="273"/>
      <c r="AD972" s="273"/>
      <c r="AE972" s="273"/>
      <c r="AF972" s="273"/>
      <c r="AG972" s="273"/>
      <c r="AH972" s="273"/>
      <c r="AI972" s="273"/>
    </row>
    <row r="973" spans="1:35" ht="14.25" customHeight="1">
      <c r="A973" s="273"/>
      <c r="B973" s="273"/>
      <c r="C973" s="273"/>
      <c r="D973" s="273"/>
      <c r="E973" s="273"/>
      <c r="F973" s="273"/>
      <c r="G973" s="273"/>
      <c r="H973" s="273"/>
      <c r="I973" s="273"/>
      <c r="J973" s="273"/>
      <c r="K973" s="273"/>
      <c r="L973" s="274"/>
      <c r="M973" s="273"/>
      <c r="N973" s="273"/>
      <c r="O973" s="273"/>
      <c r="P973" s="273"/>
      <c r="Q973" s="273"/>
      <c r="R973" s="273"/>
      <c r="S973" s="273"/>
      <c r="T973" s="273"/>
      <c r="U973" s="273"/>
      <c r="V973" s="273"/>
      <c r="W973" s="273"/>
      <c r="X973" s="274"/>
      <c r="Y973" s="273"/>
      <c r="Z973" s="273"/>
      <c r="AA973" s="273"/>
      <c r="AB973" s="273"/>
      <c r="AC973" s="273"/>
      <c r="AD973" s="273"/>
      <c r="AE973" s="273"/>
      <c r="AF973" s="273"/>
      <c r="AG973" s="273"/>
      <c r="AH973" s="273"/>
      <c r="AI973" s="273"/>
    </row>
    <row r="974" spans="1:35" ht="14.25" customHeight="1">
      <c r="A974" s="273"/>
      <c r="B974" s="273"/>
      <c r="C974" s="273"/>
      <c r="D974" s="273"/>
      <c r="E974" s="273"/>
      <c r="F974" s="273"/>
      <c r="G974" s="273"/>
      <c r="H974" s="273"/>
      <c r="I974" s="273"/>
      <c r="J974" s="273"/>
      <c r="K974" s="273"/>
      <c r="L974" s="274"/>
      <c r="M974" s="273"/>
      <c r="N974" s="273"/>
      <c r="O974" s="273"/>
      <c r="P974" s="273"/>
      <c r="Q974" s="273"/>
      <c r="R974" s="273"/>
      <c r="S974" s="273"/>
      <c r="T974" s="273"/>
      <c r="U974" s="273"/>
      <c r="V974" s="273"/>
      <c r="W974" s="273"/>
      <c r="X974" s="274"/>
      <c r="Y974" s="273"/>
      <c r="Z974" s="273"/>
      <c r="AA974" s="273"/>
      <c r="AB974" s="273"/>
      <c r="AC974" s="273"/>
      <c r="AD974" s="273"/>
      <c r="AE974" s="273"/>
      <c r="AF974" s="273"/>
      <c r="AG974" s="273"/>
      <c r="AH974" s="273"/>
      <c r="AI974" s="273"/>
    </row>
    <row r="975" spans="1:35" ht="14.25" customHeight="1">
      <c r="A975" s="273"/>
      <c r="B975" s="273"/>
      <c r="C975" s="273"/>
      <c r="D975" s="273"/>
      <c r="E975" s="273"/>
      <c r="F975" s="273"/>
      <c r="G975" s="273"/>
      <c r="H975" s="273"/>
      <c r="I975" s="273"/>
      <c r="J975" s="273"/>
      <c r="K975" s="273"/>
      <c r="L975" s="274"/>
      <c r="M975" s="273"/>
      <c r="N975" s="273"/>
      <c r="O975" s="273"/>
      <c r="P975" s="273"/>
      <c r="Q975" s="273"/>
      <c r="R975" s="273"/>
      <c r="S975" s="273"/>
      <c r="T975" s="273"/>
      <c r="U975" s="273"/>
      <c r="V975" s="273"/>
      <c r="W975" s="273"/>
      <c r="X975" s="274"/>
      <c r="Y975" s="273"/>
      <c r="Z975" s="273"/>
      <c r="AA975" s="273"/>
      <c r="AB975" s="273"/>
      <c r="AC975" s="273"/>
      <c r="AD975" s="273"/>
      <c r="AE975" s="273"/>
      <c r="AF975" s="273"/>
      <c r="AG975" s="273"/>
      <c r="AH975" s="273"/>
      <c r="AI975" s="273"/>
    </row>
    <row r="976" spans="1:35" ht="14.25" customHeight="1">
      <c r="A976" s="273"/>
      <c r="B976" s="273"/>
      <c r="C976" s="273"/>
      <c r="D976" s="273"/>
      <c r="E976" s="273"/>
      <c r="F976" s="273"/>
      <c r="G976" s="273"/>
      <c r="H976" s="273"/>
      <c r="I976" s="273"/>
      <c r="J976" s="273"/>
      <c r="K976" s="273"/>
      <c r="L976" s="274"/>
      <c r="M976" s="273"/>
      <c r="N976" s="273"/>
      <c r="O976" s="273"/>
      <c r="P976" s="273"/>
      <c r="Q976" s="273"/>
      <c r="R976" s="273"/>
      <c r="S976" s="273"/>
      <c r="T976" s="273"/>
      <c r="U976" s="273"/>
      <c r="V976" s="273"/>
      <c r="W976" s="273"/>
      <c r="X976" s="274"/>
      <c r="Y976" s="273"/>
      <c r="Z976" s="273"/>
      <c r="AA976" s="273"/>
      <c r="AB976" s="273"/>
      <c r="AC976" s="273"/>
      <c r="AD976" s="273"/>
      <c r="AE976" s="273"/>
      <c r="AF976" s="273"/>
      <c r="AG976" s="273"/>
      <c r="AH976" s="273"/>
      <c r="AI976" s="273"/>
    </row>
    <row r="977" spans="1:35" ht="14.25" customHeight="1">
      <c r="A977" s="273"/>
      <c r="B977" s="273"/>
      <c r="C977" s="273"/>
      <c r="D977" s="273"/>
      <c r="E977" s="273"/>
      <c r="F977" s="273"/>
      <c r="G977" s="273"/>
      <c r="H977" s="273"/>
      <c r="I977" s="273"/>
      <c r="J977" s="273"/>
      <c r="K977" s="273"/>
      <c r="L977" s="274"/>
      <c r="M977" s="273"/>
      <c r="N977" s="273"/>
      <c r="O977" s="273"/>
      <c r="P977" s="273"/>
      <c r="Q977" s="273"/>
      <c r="R977" s="273"/>
      <c r="S977" s="273"/>
      <c r="T977" s="273"/>
      <c r="U977" s="273"/>
      <c r="V977" s="273"/>
      <c r="W977" s="273"/>
      <c r="X977" s="274"/>
      <c r="Y977" s="273"/>
      <c r="Z977" s="273"/>
      <c r="AA977" s="273"/>
      <c r="AB977" s="273"/>
      <c r="AC977" s="273"/>
      <c r="AD977" s="273"/>
      <c r="AE977" s="273"/>
      <c r="AF977" s="273"/>
      <c r="AG977" s="273"/>
      <c r="AH977" s="273"/>
      <c r="AI977" s="273"/>
    </row>
    <row r="978" spans="1:35" ht="14.25" customHeight="1">
      <c r="A978" s="273"/>
      <c r="B978" s="273"/>
      <c r="C978" s="273"/>
      <c r="D978" s="273"/>
      <c r="E978" s="273"/>
      <c r="F978" s="273"/>
      <c r="G978" s="273"/>
      <c r="H978" s="273"/>
      <c r="I978" s="273"/>
      <c r="J978" s="273"/>
      <c r="K978" s="273"/>
      <c r="L978" s="274"/>
      <c r="M978" s="273"/>
      <c r="N978" s="273"/>
      <c r="O978" s="273"/>
      <c r="P978" s="273"/>
      <c r="Q978" s="273"/>
      <c r="R978" s="273"/>
      <c r="S978" s="273"/>
      <c r="T978" s="273"/>
      <c r="U978" s="273"/>
      <c r="V978" s="273"/>
      <c r="W978" s="273"/>
      <c r="X978" s="274"/>
      <c r="Y978" s="273"/>
      <c r="Z978" s="273"/>
      <c r="AA978" s="273"/>
      <c r="AB978" s="273"/>
      <c r="AC978" s="273"/>
      <c r="AD978" s="273"/>
      <c r="AE978" s="273"/>
      <c r="AF978" s="273"/>
      <c r="AG978" s="273"/>
      <c r="AH978" s="273"/>
      <c r="AI978" s="273"/>
    </row>
    <row r="979" spans="1:35" ht="14.25" customHeight="1">
      <c r="A979" s="273"/>
      <c r="B979" s="273"/>
      <c r="C979" s="273"/>
      <c r="D979" s="273"/>
      <c r="E979" s="273"/>
      <c r="F979" s="273"/>
      <c r="G979" s="273"/>
      <c r="H979" s="273"/>
      <c r="I979" s="273"/>
      <c r="J979" s="273"/>
      <c r="K979" s="273"/>
      <c r="L979" s="274"/>
      <c r="M979" s="273"/>
      <c r="N979" s="273"/>
      <c r="O979" s="273"/>
      <c r="P979" s="273"/>
      <c r="Q979" s="273"/>
      <c r="R979" s="273"/>
      <c r="S979" s="273"/>
      <c r="T979" s="273"/>
      <c r="U979" s="273"/>
      <c r="V979" s="273"/>
      <c r="W979" s="273"/>
      <c r="X979" s="274"/>
      <c r="Y979" s="273"/>
      <c r="Z979" s="273"/>
      <c r="AA979" s="273"/>
      <c r="AB979" s="273"/>
      <c r="AC979" s="273"/>
      <c r="AD979" s="273"/>
      <c r="AE979" s="273"/>
      <c r="AF979" s="273"/>
      <c r="AG979" s="273"/>
      <c r="AH979" s="273"/>
      <c r="AI979" s="273"/>
    </row>
    <row r="980" spans="1:35" ht="14.25" customHeight="1">
      <c r="A980" s="273"/>
      <c r="B980" s="273"/>
      <c r="C980" s="273"/>
      <c r="D980" s="273"/>
      <c r="E980" s="273"/>
      <c r="F980" s="273"/>
      <c r="G980" s="273"/>
      <c r="H980" s="273"/>
      <c r="I980" s="273"/>
      <c r="J980" s="273"/>
      <c r="K980" s="273"/>
      <c r="L980" s="274"/>
      <c r="M980" s="273"/>
      <c r="N980" s="273"/>
      <c r="O980" s="273"/>
      <c r="P980" s="273"/>
      <c r="Q980" s="273"/>
      <c r="R980" s="273"/>
      <c r="S980" s="273"/>
      <c r="T980" s="273"/>
      <c r="U980" s="273"/>
      <c r="V980" s="273"/>
      <c r="W980" s="273"/>
      <c r="X980" s="274"/>
      <c r="Y980" s="273"/>
      <c r="Z980" s="273"/>
      <c r="AA980" s="273"/>
      <c r="AB980" s="273"/>
      <c r="AC980" s="273"/>
      <c r="AD980" s="273"/>
      <c r="AE980" s="273"/>
      <c r="AF980" s="273"/>
      <c r="AG980" s="273"/>
      <c r="AH980" s="273"/>
      <c r="AI980" s="273"/>
    </row>
    <row r="981" spans="1:35" ht="14.25" customHeight="1">
      <c r="A981" s="273"/>
      <c r="B981" s="273"/>
      <c r="C981" s="273"/>
      <c r="D981" s="273"/>
      <c r="E981" s="273"/>
      <c r="F981" s="273"/>
      <c r="G981" s="273"/>
      <c r="H981" s="273"/>
      <c r="I981" s="273"/>
      <c r="J981" s="273"/>
      <c r="K981" s="273"/>
      <c r="L981" s="274"/>
      <c r="M981" s="273"/>
      <c r="N981" s="273"/>
      <c r="O981" s="273"/>
      <c r="P981" s="273"/>
      <c r="Q981" s="273"/>
      <c r="R981" s="273"/>
      <c r="S981" s="273"/>
      <c r="T981" s="273"/>
      <c r="U981" s="273"/>
      <c r="V981" s="273"/>
      <c r="W981" s="273"/>
      <c r="X981" s="274"/>
      <c r="Y981" s="273"/>
      <c r="Z981" s="273"/>
      <c r="AA981" s="273"/>
      <c r="AB981" s="273"/>
      <c r="AC981" s="273"/>
      <c r="AD981" s="273"/>
      <c r="AE981" s="273"/>
      <c r="AF981" s="273"/>
      <c r="AG981" s="273"/>
      <c r="AH981" s="273"/>
      <c r="AI981" s="273"/>
    </row>
    <row r="982" spans="1:35" ht="14.25" customHeight="1">
      <c r="A982" s="273"/>
      <c r="B982" s="273"/>
      <c r="C982" s="273"/>
      <c r="D982" s="273"/>
      <c r="E982" s="273"/>
      <c r="F982" s="273"/>
      <c r="G982" s="273"/>
      <c r="H982" s="273"/>
      <c r="I982" s="273"/>
      <c r="J982" s="273"/>
      <c r="K982" s="273"/>
      <c r="L982" s="274"/>
      <c r="M982" s="273"/>
      <c r="N982" s="273"/>
      <c r="O982" s="273"/>
      <c r="P982" s="273"/>
      <c r="Q982" s="273"/>
      <c r="R982" s="273"/>
      <c r="S982" s="273"/>
      <c r="T982" s="273"/>
      <c r="U982" s="273"/>
      <c r="V982" s="273"/>
      <c r="W982" s="273"/>
      <c r="X982" s="274"/>
      <c r="Y982" s="273"/>
      <c r="Z982" s="273"/>
      <c r="AA982" s="273"/>
      <c r="AB982" s="273"/>
      <c r="AC982" s="273"/>
      <c r="AD982" s="273"/>
      <c r="AE982" s="273"/>
      <c r="AF982" s="273"/>
      <c r="AG982" s="273"/>
      <c r="AH982" s="273"/>
      <c r="AI982" s="273"/>
    </row>
    <row r="983" spans="1:35" ht="14.25" customHeight="1">
      <c r="A983" s="273"/>
      <c r="B983" s="273"/>
      <c r="C983" s="273"/>
      <c r="D983" s="273"/>
      <c r="E983" s="273"/>
      <c r="F983" s="273"/>
      <c r="G983" s="273"/>
      <c r="H983" s="273"/>
      <c r="I983" s="273"/>
      <c r="J983" s="273"/>
      <c r="K983" s="273"/>
      <c r="L983" s="274"/>
      <c r="M983" s="273"/>
      <c r="N983" s="273"/>
      <c r="O983" s="273"/>
      <c r="P983" s="273"/>
      <c r="Q983" s="273"/>
      <c r="R983" s="273"/>
      <c r="S983" s="273"/>
      <c r="T983" s="273"/>
      <c r="U983" s="273"/>
      <c r="V983" s="273"/>
      <c r="W983" s="273"/>
      <c r="X983" s="274"/>
      <c r="Y983" s="273"/>
      <c r="Z983" s="273"/>
      <c r="AA983" s="273"/>
      <c r="AB983" s="273"/>
      <c r="AC983" s="273"/>
      <c r="AD983" s="273"/>
      <c r="AE983" s="273"/>
      <c r="AF983" s="273"/>
      <c r="AG983" s="273"/>
      <c r="AH983" s="273"/>
      <c r="AI983" s="273"/>
    </row>
    <row r="984" spans="1:35" ht="14.25" customHeight="1">
      <c r="A984" s="273"/>
      <c r="B984" s="273"/>
      <c r="C984" s="273"/>
      <c r="D984" s="273"/>
      <c r="E984" s="273"/>
      <c r="F984" s="273"/>
      <c r="G984" s="273"/>
      <c r="H984" s="273"/>
      <c r="I984" s="273"/>
      <c r="J984" s="273"/>
      <c r="K984" s="273"/>
      <c r="L984" s="274"/>
      <c r="M984" s="273"/>
      <c r="N984" s="273"/>
      <c r="O984" s="273"/>
      <c r="P984" s="273"/>
      <c r="Q984" s="273"/>
      <c r="R984" s="273"/>
      <c r="S984" s="273"/>
      <c r="T984" s="273"/>
      <c r="U984" s="273"/>
      <c r="V984" s="273"/>
      <c r="W984" s="273"/>
      <c r="X984" s="274"/>
      <c r="Y984" s="273"/>
      <c r="Z984" s="273"/>
      <c r="AA984" s="273"/>
      <c r="AB984" s="273"/>
      <c r="AC984" s="273"/>
      <c r="AD984" s="273"/>
      <c r="AE984" s="273"/>
      <c r="AF984" s="273"/>
      <c r="AG984" s="273"/>
      <c r="AH984" s="273"/>
      <c r="AI984" s="273"/>
    </row>
    <row r="985" spans="1:35" ht="14.25" customHeight="1">
      <c r="A985" s="273"/>
      <c r="B985" s="273"/>
      <c r="C985" s="273"/>
      <c r="D985" s="273"/>
      <c r="E985" s="273"/>
      <c r="F985" s="273"/>
      <c r="G985" s="273"/>
      <c r="H985" s="273"/>
      <c r="I985" s="273"/>
      <c r="J985" s="273"/>
      <c r="K985" s="273"/>
      <c r="L985" s="274"/>
      <c r="M985" s="273"/>
      <c r="N985" s="273"/>
      <c r="O985" s="273"/>
      <c r="P985" s="273"/>
      <c r="Q985" s="273"/>
      <c r="R985" s="273"/>
      <c r="S985" s="273"/>
      <c r="T985" s="273"/>
      <c r="U985" s="273"/>
      <c r="V985" s="273"/>
      <c r="W985" s="273"/>
      <c r="X985" s="274"/>
      <c r="Y985" s="273"/>
      <c r="Z985" s="273"/>
      <c r="AA985" s="273"/>
      <c r="AB985" s="273"/>
      <c r="AC985" s="273"/>
      <c r="AD985" s="273"/>
      <c r="AE985" s="273"/>
      <c r="AF985" s="273"/>
      <c r="AG985" s="273"/>
      <c r="AH985" s="273"/>
      <c r="AI985" s="273"/>
    </row>
    <row r="986" spans="1:35" ht="14.25" customHeight="1">
      <c r="A986" s="273"/>
      <c r="B986" s="273"/>
      <c r="C986" s="273"/>
      <c r="D986" s="273"/>
      <c r="E986" s="273"/>
      <c r="F986" s="273"/>
      <c r="G986" s="273"/>
      <c r="H986" s="273"/>
      <c r="I986" s="273"/>
      <c r="J986" s="273"/>
      <c r="K986" s="273"/>
      <c r="L986" s="274"/>
      <c r="M986" s="273"/>
      <c r="N986" s="273"/>
      <c r="O986" s="273"/>
      <c r="P986" s="273"/>
      <c r="Q986" s="273"/>
      <c r="R986" s="273"/>
      <c r="S986" s="273"/>
      <c r="T986" s="273"/>
      <c r="U986" s="273"/>
      <c r="V986" s="273"/>
      <c r="W986" s="273"/>
      <c r="X986" s="274"/>
      <c r="Y986" s="273"/>
      <c r="Z986" s="273"/>
      <c r="AA986" s="273"/>
      <c r="AB986" s="273"/>
      <c r="AC986" s="273"/>
      <c r="AD986" s="273"/>
      <c r="AE986" s="273"/>
      <c r="AF986" s="273"/>
      <c r="AG986" s="273"/>
      <c r="AH986" s="273"/>
      <c r="AI986" s="273"/>
    </row>
    <row r="987" spans="1:35" ht="14.25" customHeight="1">
      <c r="A987" s="273"/>
      <c r="B987" s="273"/>
      <c r="C987" s="273"/>
      <c r="D987" s="273"/>
      <c r="E987" s="273"/>
      <c r="F987" s="273"/>
      <c r="G987" s="273"/>
      <c r="H987" s="273"/>
      <c r="I987" s="273"/>
      <c r="J987" s="273"/>
      <c r="K987" s="273"/>
      <c r="L987" s="274"/>
      <c r="M987" s="273"/>
      <c r="N987" s="273"/>
      <c r="O987" s="273"/>
      <c r="P987" s="273"/>
      <c r="Q987" s="273"/>
      <c r="R987" s="273"/>
      <c r="S987" s="273"/>
      <c r="T987" s="273"/>
      <c r="U987" s="273"/>
      <c r="V987" s="273"/>
      <c r="W987" s="273"/>
      <c r="X987" s="274"/>
      <c r="Y987" s="273"/>
      <c r="Z987" s="273"/>
      <c r="AA987" s="273"/>
      <c r="AB987" s="273"/>
      <c r="AC987" s="273"/>
      <c r="AD987" s="273"/>
      <c r="AE987" s="273"/>
      <c r="AF987" s="273"/>
      <c r="AG987" s="273"/>
      <c r="AH987" s="273"/>
      <c r="AI987" s="273"/>
    </row>
    <row r="988" spans="1:35" ht="14.25" customHeight="1">
      <c r="A988" s="273"/>
      <c r="B988" s="273"/>
      <c r="C988" s="273"/>
      <c r="D988" s="273"/>
      <c r="E988" s="273"/>
      <c r="F988" s="273"/>
      <c r="G988" s="273"/>
      <c r="H988" s="273"/>
      <c r="I988" s="273"/>
      <c r="J988" s="273"/>
      <c r="K988" s="273"/>
      <c r="L988" s="274"/>
      <c r="M988" s="273"/>
      <c r="N988" s="273"/>
      <c r="O988" s="273"/>
      <c r="P988" s="273"/>
      <c r="Q988" s="273"/>
      <c r="R988" s="273"/>
      <c r="S988" s="273"/>
      <c r="T988" s="273"/>
      <c r="U988" s="273"/>
      <c r="V988" s="273"/>
      <c r="W988" s="273"/>
      <c r="X988" s="274"/>
      <c r="Y988" s="273"/>
      <c r="Z988" s="273"/>
      <c r="AA988" s="273"/>
      <c r="AB988" s="273"/>
      <c r="AC988" s="273"/>
      <c r="AD988" s="273"/>
      <c r="AE988" s="273"/>
      <c r="AF988" s="273"/>
      <c r="AG988" s="273"/>
      <c r="AH988" s="273"/>
      <c r="AI988" s="273"/>
    </row>
    <row r="989" spans="1:35" ht="14.25" customHeight="1">
      <c r="A989" s="273"/>
      <c r="B989" s="273"/>
      <c r="C989" s="273"/>
      <c r="D989" s="273"/>
      <c r="E989" s="273"/>
      <c r="F989" s="273"/>
      <c r="G989" s="273"/>
      <c r="H989" s="273"/>
      <c r="I989" s="273"/>
      <c r="J989" s="273"/>
      <c r="K989" s="273"/>
      <c r="L989" s="274"/>
      <c r="M989" s="273"/>
      <c r="N989" s="273"/>
      <c r="O989" s="273"/>
      <c r="P989" s="273"/>
      <c r="Q989" s="273"/>
      <c r="R989" s="273"/>
      <c r="S989" s="273"/>
      <c r="T989" s="273"/>
      <c r="U989" s="273"/>
      <c r="V989" s="273"/>
      <c r="W989" s="273"/>
      <c r="X989" s="274"/>
      <c r="Y989" s="273"/>
      <c r="Z989" s="273"/>
      <c r="AA989" s="273"/>
      <c r="AB989" s="273"/>
      <c r="AC989" s="273"/>
      <c r="AD989" s="273"/>
      <c r="AE989" s="273"/>
      <c r="AF989" s="273"/>
      <c r="AG989" s="273"/>
      <c r="AH989" s="273"/>
      <c r="AI989" s="273"/>
    </row>
    <row r="990" spans="1:35" ht="14.25" customHeight="1">
      <c r="A990" s="273"/>
      <c r="B990" s="273"/>
      <c r="C990" s="273"/>
      <c r="D990" s="273"/>
      <c r="E990" s="273"/>
      <c r="F990" s="273"/>
      <c r="G990" s="273"/>
      <c r="H990" s="273"/>
      <c r="I990" s="273"/>
      <c r="J990" s="273"/>
      <c r="K990" s="273"/>
      <c r="L990" s="274"/>
      <c r="M990" s="273"/>
      <c r="N990" s="273"/>
      <c r="O990" s="273"/>
      <c r="P990" s="273"/>
      <c r="Q990" s="273"/>
      <c r="R990" s="273"/>
      <c r="S990" s="273"/>
      <c r="T990" s="273"/>
      <c r="U990" s="273"/>
      <c r="V990" s="273"/>
      <c r="W990" s="273"/>
      <c r="X990" s="274"/>
      <c r="Y990" s="273"/>
      <c r="Z990" s="273"/>
      <c r="AA990" s="273"/>
      <c r="AB990" s="273"/>
      <c r="AC990" s="273"/>
      <c r="AD990" s="273"/>
      <c r="AE990" s="273"/>
      <c r="AF990" s="273"/>
      <c r="AG990" s="273"/>
      <c r="AH990" s="273"/>
      <c r="AI990" s="273"/>
    </row>
    <row r="991" spans="1:35" ht="14.25" customHeight="1">
      <c r="A991" s="273"/>
      <c r="B991" s="273"/>
      <c r="C991" s="273"/>
      <c r="D991" s="273"/>
      <c r="E991" s="273"/>
      <c r="F991" s="273"/>
      <c r="G991" s="273"/>
      <c r="H991" s="273"/>
      <c r="I991" s="273"/>
      <c r="J991" s="273"/>
      <c r="K991" s="273"/>
      <c r="L991" s="274"/>
      <c r="M991" s="273"/>
      <c r="N991" s="273"/>
      <c r="O991" s="273"/>
      <c r="P991" s="273"/>
      <c r="Q991" s="273"/>
      <c r="R991" s="273"/>
      <c r="S991" s="273"/>
      <c r="T991" s="273"/>
      <c r="U991" s="273"/>
      <c r="V991" s="273"/>
      <c r="W991" s="273"/>
      <c r="X991" s="274"/>
      <c r="Y991" s="273"/>
      <c r="Z991" s="273"/>
      <c r="AA991" s="273"/>
      <c r="AB991" s="273"/>
      <c r="AC991" s="273"/>
      <c r="AD991" s="273"/>
      <c r="AE991" s="273"/>
      <c r="AF991" s="273"/>
      <c r="AG991" s="273"/>
      <c r="AH991" s="273"/>
      <c r="AI991" s="273"/>
    </row>
    <row r="992" spans="1:35" ht="14.25" customHeight="1">
      <c r="A992" s="273"/>
      <c r="B992" s="273"/>
      <c r="C992" s="273"/>
      <c r="D992" s="273"/>
      <c r="E992" s="273"/>
      <c r="F992" s="273"/>
      <c r="G992" s="273"/>
      <c r="H992" s="273"/>
      <c r="I992" s="273"/>
      <c r="J992" s="273"/>
      <c r="K992" s="273"/>
      <c r="L992" s="274"/>
      <c r="M992" s="273"/>
      <c r="N992" s="273"/>
      <c r="O992" s="273"/>
      <c r="P992" s="273"/>
      <c r="Q992" s="273"/>
      <c r="R992" s="273"/>
      <c r="S992" s="273"/>
      <c r="T992" s="273"/>
      <c r="U992" s="273"/>
      <c r="V992" s="273"/>
      <c r="W992" s="273"/>
      <c r="X992" s="274"/>
      <c r="Y992" s="273"/>
      <c r="Z992" s="273"/>
      <c r="AA992" s="273"/>
      <c r="AB992" s="273"/>
      <c r="AC992" s="273"/>
      <c r="AD992" s="273"/>
      <c r="AE992" s="273"/>
      <c r="AF992" s="273"/>
      <c r="AG992" s="273"/>
      <c r="AH992" s="273"/>
      <c r="AI992" s="273"/>
    </row>
    <row r="993" spans="1:35" ht="14.25" customHeight="1">
      <c r="A993" s="273"/>
      <c r="B993" s="273"/>
      <c r="C993" s="273"/>
      <c r="D993" s="273"/>
      <c r="E993" s="273"/>
      <c r="F993" s="273"/>
      <c r="G993" s="273"/>
      <c r="H993" s="273"/>
      <c r="I993" s="273"/>
      <c r="J993" s="273"/>
      <c r="K993" s="273"/>
      <c r="L993" s="274"/>
      <c r="M993" s="273"/>
      <c r="N993" s="273"/>
      <c r="O993" s="273"/>
      <c r="P993" s="273"/>
      <c r="Q993" s="273"/>
      <c r="R993" s="273"/>
      <c r="S993" s="273"/>
      <c r="T993" s="273"/>
      <c r="U993" s="273"/>
      <c r="V993" s="273"/>
      <c r="W993" s="273"/>
      <c r="X993" s="274"/>
      <c r="Y993" s="273"/>
      <c r="Z993" s="273"/>
      <c r="AA993" s="273"/>
      <c r="AB993" s="273"/>
      <c r="AC993" s="273"/>
      <c r="AD993" s="273"/>
      <c r="AE993" s="273"/>
      <c r="AF993" s="273"/>
      <c r="AG993" s="273"/>
      <c r="AH993" s="273"/>
      <c r="AI993" s="273"/>
    </row>
    <row r="994" spans="1:35" ht="14.25" customHeight="1">
      <c r="A994" s="273"/>
      <c r="B994" s="273"/>
      <c r="C994" s="273"/>
      <c r="D994" s="273"/>
      <c r="E994" s="273"/>
      <c r="F994" s="273"/>
      <c r="G994" s="273"/>
      <c r="H994" s="273"/>
      <c r="I994" s="273"/>
      <c r="J994" s="273"/>
      <c r="K994" s="273"/>
      <c r="L994" s="274"/>
      <c r="M994" s="273"/>
      <c r="N994" s="273"/>
      <c r="O994" s="273"/>
      <c r="P994" s="273"/>
      <c r="Q994" s="273"/>
      <c r="R994" s="273"/>
      <c r="S994" s="273"/>
      <c r="T994" s="273"/>
      <c r="U994" s="273"/>
      <c r="V994" s="273"/>
      <c r="W994" s="273"/>
      <c r="X994" s="274"/>
      <c r="Y994" s="273"/>
      <c r="Z994" s="273"/>
      <c r="AA994" s="273"/>
      <c r="AB994" s="273"/>
      <c r="AC994" s="273"/>
      <c r="AD994" s="273"/>
      <c r="AE994" s="273"/>
      <c r="AF994" s="273"/>
      <c r="AG994" s="273"/>
      <c r="AH994" s="273"/>
      <c r="AI994" s="273"/>
    </row>
    <row r="995" spans="1:35" ht="14.25" customHeight="1">
      <c r="A995" s="273"/>
      <c r="B995" s="273"/>
      <c r="C995" s="273"/>
      <c r="D995" s="273"/>
      <c r="E995" s="273"/>
      <c r="F995" s="273"/>
      <c r="G995" s="273"/>
      <c r="H995" s="273"/>
      <c r="I995" s="273"/>
      <c r="J995" s="273"/>
      <c r="K995" s="273"/>
      <c r="L995" s="274"/>
      <c r="M995" s="273"/>
      <c r="N995" s="273"/>
      <c r="O995" s="273"/>
      <c r="P995" s="273"/>
      <c r="Q995" s="273"/>
      <c r="R995" s="273"/>
      <c r="S995" s="273"/>
      <c r="T995" s="273"/>
      <c r="U995" s="273"/>
      <c r="V995" s="273"/>
      <c r="W995" s="273"/>
      <c r="X995" s="274"/>
      <c r="Y995" s="273"/>
      <c r="Z995" s="273"/>
      <c r="AA995" s="273"/>
      <c r="AB995" s="273"/>
      <c r="AC995" s="273"/>
      <c r="AD995" s="273"/>
      <c r="AE995" s="273"/>
      <c r="AF995" s="273"/>
      <c r="AG995" s="273"/>
      <c r="AH995" s="273"/>
      <c r="AI995" s="273"/>
    </row>
    <row r="996" spans="1:35" ht="14.25" customHeight="1">
      <c r="A996" s="273"/>
      <c r="B996" s="273"/>
      <c r="C996" s="273"/>
      <c r="D996" s="273"/>
      <c r="E996" s="273"/>
      <c r="F996" s="273"/>
      <c r="G996" s="273"/>
      <c r="H996" s="273"/>
      <c r="I996" s="273"/>
      <c r="J996" s="273"/>
      <c r="K996" s="273"/>
      <c r="L996" s="274"/>
      <c r="M996" s="273"/>
      <c r="N996" s="273"/>
      <c r="O996" s="273"/>
      <c r="P996" s="273"/>
      <c r="Q996" s="273"/>
      <c r="R996" s="273"/>
      <c r="S996" s="273"/>
      <c r="T996" s="273"/>
      <c r="U996" s="273"/>
      <c r="V996" s="273"/>
      <c r="W996" s="273"/>
      <c r="X996" s="274"/>
      <c r="Y996" s="273"/>
      <c r="Z996" s="273"/>
      <c r="AA996" s="273"/>
      <c r="AB996" s="273"/>
      <c r="AC996" s="273"/>
      <c r="AD996" s="273"/>
      <c r="AE996" s="273"/>
      <c r="AF996" s="273"/>
      <c r="AG996" s="273"/>
      <c r="AH996" s="273"/>
      <c r="AI996" s="273"/>
    </row>
    <row r="997" spans="1:35" ht="14.25" customHeight="1">
      <c r="A997" s="273"/>
      <c r="B997" s="273"/>
      <c r="C997" s="273"/>
      <c r="D997" s="273"/>
      <c r="E997" s="273"/>
      <c r="F997" s="273"/>
      <c r="G997" s="273"/>
      <c r="H997" s="273"/>
      <c r="I997" s="273"/>
      <c r="J997" s="273"/>
      <c r="K997" s="273"/>
      <c r="L997" s="274"/>
      <c r="M997" s="273"/>
      <c r="N997" s="273"/>
      <c r="O997" s="273"/>
      <c r="P997" s="273"/>
      <c r="Q997" s="273"/>
      <c r="R997" s="273"/>
      <c r="S997" s="273"/>
      <c r="T997" s="273"/>
      <c r="U997" s="273"/>
      <c r="V997" s="273"/>
      <c r="W997" s="273"/>
      <c r="X997" s="274"/>
      <c r="Y997" s="273"/>
      <c r="Z997" s="273"/>
      <c r="AA997" s="273"/>
      <c r="AB997" s="273"/>
      <c r="AC997" s="273"/>
      <c r="AD997" s="273"/>
      <c r="AE997" s="273"/>
      <c r="AF997" s="273"/>
      <c r="AG997" s="273"/>
      <c r="AH997" s="273"/>
      <c r="AI997" s="273"/>
    </row>
    <row r="998" spans="1:35" ht="14.25" customHeight="1">
      <c r="A998" s="273"/>
      <c r="B998" s="273"/>
      <c r="C998" s="273"/>
      <c r="D998" s="273"/>
      <c r="E998" s="273"/>
      <c r="F998" s="273"/>
      <c r="G998" s="273"/>
      <c r="H998" s="273"/>
      <c r="I998" s="273"/>
      <c r="J998" s="273"/>
      <c r="K998" s="273"/>
      <c r="L998" s="274"/>
      <c r="M998" s="273"/>
      <c r="N998" s="273"/>
      <c r="O998" s="273"/>
      <c r="P998" s="273"/>
      <c r="Q998" s="273"/>
      <c r="R998" s="273"/>
      <c r="S998" s="273"/>
      <c r="T998" s="273"/>
      <c r="U998" s="273"/>
      <c r="V998" s="273"/>
      <c r="W998" s="273"/>
      <c r="X998" s="274"/>
      <c r="Y998" s="273"/>
      <c r="Z998" s="273"/>
      <c r="AA998" s="273"/>
      <c r="AB998" s="273"/>
      <c r="AC998" s="273"/>
      <c r="AD998" s="273"/>
      <c r="AE998" s="273"/>
      <c r="AF998" s="273"/>
      <c r="AG998" s="273"/>
      <c r="AH998" s="273"/>
      <c r="AI998" s="273"/>
    </row>
    <row r="999" spans="1:35" ht="14.25" customHeight="1">
      <c r="A999" s="273"/>
      <c r="B999" s="273"/>
      <c r="C999" s="273"/>
      <c r="D999" s="273"/>
      <c r="E999" s="273"/>
      <c r="F999" s="273"/>
      <c r="G999" s="273"/>
      <c r="H999" s="273"/>
      <c r="I999" s="273"/>
      <c r="J999" s="273"/>
      <c r="K999" s="273"/>
      <c r="L999" s="274"/>
      <c r="M999" s="273"/>
      <c r="N999" s="273"/>
      <c r="O999" s="273"/>
      <c r="P999" s="273"/>
      <c r="Q999" s="273"/>
      <c r="R999" s="273"/>
      <c r="S999" s="273"/>
      <c r="T999" s="273"/>
      <c r="U999" s="273"/>
      <c r="V999" s="273"/>
      <c r="W999" s="273"/>
      <c r="X999" s="274"/>
      <c r="Y999" s="273"/>
      <c r="Z999" s="273"/>
      <c r="AA999" s="273"/>
      <c r="AB999" s="273"/>
      <c r="AC999" s="273"/>
      <c r="AD999" s="273"/>
      <c r="AE999" s="273"/>
      <c r="AF999" s="273"/>
      <c r="AG999" s="273"/>
      <c r="AH999" s="273"/>
      <c r="AI999" s="273"/>
    </row>
    <row r="1000" spans="1:35" ht="14.25" customHeight="1">
      <c r="A1000" s="273"/>
      <c r="B1000" s="273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4"/>
      <c r="M1000" s="273"/>
      <c r="N1000" s="273"/>
      <c r="O1000" s="273"/>
      <c r="P1000" s="273"/>
      <c r="Q1000" s="273"/>
      <c r="R1000" s="273"/>
      <c r="S1000" s="273"/>
      <c r="T1000" s="273"/>
      <c r="U1000" s="273"/>
      <c r="V1000" s="273"/>
      <c r="W1000" s="273"/>
      <c r="X1000" s="274"/>
      <c r="Y1000" s="273"/>
      <c r="Z1000" s="273"/>
      <c r="AA1000" s="273"/>
      <c r="AB1000" s="273"/>
      <c r="AC1000" s="273"/>
      <c r="AD1000" s="273"/>
      <c r="AE1000" s="273"/>
      <c r="AF1000" s="273"/>
      <c r="AG1000" s="273"/>
      <c r="AH1000" s="273"/>
      <c r="AI1000" s="273"/>
    </row>
    <row r="1001" spans="1:35" ht="14.25" customHeight="1">
      <c r="A1001" s="273"/>
      <c r="B1001" s="273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4"/>
      <c r="M1001" s="273"/>
      <c r="N1001" s="273"/>
      <c r="O1001" s="273"/>
      <c r="P1001" s="273"/>
      <c r="Q1001" s="273"/>
      <c r="R1001" s="273"/>
      <c r="S1001" s="273"/>
      <c r="T1001" s="273"/>
      <c r="U1001" s="273"/>
      <c r="V1001" s="273"/>
      <c r="W1001" s="273"/>
      <c r="X1001" s="274"/>
      <c r="Y1001" s="273"/>
      <c r="Z1001" s="273"/>
      <c r="AA1001" s="273"/>
      <c r="AB1001" s="273"/>
      <c r="AC1001" s="273"/>
      <c r="AD1001" s="273"/>
      <c r="AE1001" s="273"/>
      <c r="AF1001" s="273"/>
      <c r="AG1001" s="273"/>
      <c r="AH1001" s="273"/>
      <c r="AI1001" s="273"/>
    </row>
    <row r="1002" spans="1:35" ht="14.25" customHeight="1">
      <c r="A1002" s="273"/>
      <c r="B1002" s="273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4"/>
      <c r="M1002" s="273"/>
      <c r="N1002" s="273"/>
      <c r="O1002" s="273"/>
      <c r="P1002" s="273"/>
      <c r="Q1002" s="273"/>
      <c r="R1002" s="273"/>
      <c r="S1002" s="273"/>
      <c r="T1002" s="273"/>
      <c r="U1002" s="273"/>
      <c r="V1002" s="273"/>
      <c r="W1002" s="273"/>
      <c r="X1002" s="274"/>
      <c r="Y1002" s="273"/>
      <c r="Z1002" s="273"/>
      <c r="AA1002" s="273"/>
      <c r="AB1002" s="273"/>
      <c r="AC1002" s="273"/>
      <c r="AD1002" s="273"/>
      <c r="AE1002" s="273"/>
      <c r="AF1002" s="273"/>
      <c r="AG1002" s="273"/>
      <c r="AH1002" s="273"/>
      <c r="AI1002" s="273"/>
    </row>
    <row r="1003" spans="1:35" ht="14.25" customHeight="1">
      <c r="A1003" s="273"/>
      <c r="B1003" s="273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4"/>
      <c r="M1003" s="273"/>
      <c r="N1003" s="273"/>
      <c r="O1003" s="273"/>
      <c r="P1003" s="273"/>
      <c r="Q1003" s="273"/>
      <c r="R1003" s="273"/>
      <c r="S1003" s="273"/>
      <c r="T1003" s="273"/>
      <c r="U1003" s="273"/>
      <c r="V1003" s="273"/>
      <c r="W1003" s="273"/>
      <c r="X1003" s="274"/>
      <c r="Y1003" s="273"/>
      <c r="Z1003" s="273"/>
      <c r="AA1003" s="273"/>
      <c r="AB1003" s="273"/>
      <c r="AC1003" s="273"/>
      <c r="AD1003" s="273"/>
      <c r="AE1003" s="273"/>
      <c r="AF1003" s="273"/>
      <c r="AG1003" s="273"/>
      <c r="AH1003" s="273"/>
      <c r="AI1003" s="273"/>
    </row>
    <row r="1004" spans="1:35" ht="14.25" customHeight="1">
      <c r="A1004" s="273"/>
      <c r="B1004" s="273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4"/>
      <c r="M1004" s="273"/>
      <c r="N1004" s="273"/>
      <c r="O1004" s="273"/>
      <c r="P1004" s="273"/>
      <c r="Q1004" s="273"/>
      <c r="R1004" s="273"/>
      <c r="S1004" s="273"/>
      <c r="T1004" s="273"/>
      <c r="U1004" s="273"/>
      <c r="V1004" s="273"/>
      <c r="W1004" s="273"/>
      <c r="X1004" s="274"/>
      <c r="Y1004" s="273"/>
      <c r="Z1004" s="273"/>
      <c r="AA1004" s="273"/>
      <c r="AB1004" s="273"/>
      <c r="AC1004" s="273"/>
      <c r="AD1004" s="273"/>
      <c r="AE1004" s="273"/>
      <c r="AF1004" s="273"/>
      <c r="AG1004" s="273"/>
      <c r="AH1004" s="273"/>
      <c r="AI1004" s="273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93404"/>
  </sheetPr>
  <dimension ref="A1:AD1000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4" sqref="S4"/>
    </sheetView>
  </sheetViews>
  <sheetFormatPr defaultColWidth="14.42578125" defaultRowHeight="15" customHeight="1"/>
  <cols>
    <col min="1" max="1" width="96.140625" customWidth="1"/>
    <col min="2" max="17" width="11.7109375" customWidth="1"/>
    <col min="18" max="18" width="18.28515625" bestFit="1" customWidth="1"/>
    <col min="19" max="19" width="79.5703125" customWidth="1"/>
    <col min="20" max="20" width="24.42578125" customWidth="1"/>
    <col min="21" max="30" width="8.85546875" customWidth="1"/>
  </cols>
  <sheetData>
    <row r="1" spans="1:30">
      <c r="A1" s="433" t="s">
        <v>299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3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51" t="s">
        <v>300</v>
      </c>
      <c r="B3" s="51">
        <v>2008</v>
      </c>
      <c r="C3" s="51">
        <v>2009</v>
      </c>
      <c r="D3" s="51">
        <v>2010</v>
      </c>
      <c r="E3" s="51">
        <v>2011</v>
      </c>
      <c r="F3" s="51">
        <v>2012</v>
      </c>
      <c r="G3" s="51">
        <v>2013</v>
      </c>
      <c r="H3" s="51">
        <v>2014</v>
      </c>
      <c r="I3" s="51">
        <v>2015</v>
      </c>
      <c r="J3" s="51">
        <v>2016</v>
      </c>
      <c r="K3" s="145">
        <v>2017</v>
      </c>
      <c r="L3" s="145">
        <v>2018</v>
      </c>
      <c r="M3" s="145">
        <v>2019</v>
      </c>
      <c r="N3" s="145">
        <v>2020</v>
      </c>
      <c r="O3" s="145">
        <v>2021</v>
      </c>
      <c r="P3" s="145">
        <v>2022</v>
      </c>
      <c r="Q3" s="145">
        <v>2023</v>
      </c>
      <c r="R3" s="28" t="s">
        <v>301</v>
      </c>
      <c r="S3" s="146" t="s">
        <v>302</v>
      </c>
      <c r="T3" s="79" t="s">
        <v>23</v>
      </c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>
      <c r="A4" s="34" t="s">
        <v>303</v>
      </c>
      <c r="B4" s="36"/>
      <c r="C4" s="36"/>
      <c r="D4" s="36"/>
      <c r="E4" s="36"/>
      <c r="F4" s="36"/>
      <c r="G4" s="36"/>
      <c r="H4" s="36"/>
      <c r="I4" s="36"/>
      <c r="J4" s="36"/>
      <c r="K4" s="147">
        <v>1297</v>
      </c>
      <c r="L4" s="147">
        <v>1550</v>
      </c>
      <c r="M4" s="147">
        <v>2216</v>
      </c>
      <c r="N4" s="147">
        <f>M4+658</f>
        <v>2874</v>
      </c>
      <c r="O4" s="147">
        <f>N4+1357</f>
        <v>4231</v>
      </c>
      <c r="P4" s="147">
        <v>8424</v>
      </c>
      <c r="Q4" s="147">
        <v>9092</v>
      </c>
      <c r="R4" s="87" t="s">
        <v>68</v>
      </c>
      <c r="S4" s="290" t="s">
        <v>513</v>
      </c>
      <c r="T4" s="34" t="s">
        <v>511</v>
      </c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>
      <c r="A5" s="35" t="s">
        <v>305</v>
      </c>
      <c r="B5" s="36"/>
      <c r="C5" s="36"/>
      <c r="D5" s="36"/>
      <c r="E5" s="36"/>
      <c r="F5" s="36"/>
      <c r="G5" s="36"/>
      <c r="H5" s="36"/>
      <c r="I5" s="36"/>
      <c r="J5" s="36"/>
      <c r="K5" s="147">
        <v>53</v>
      </c>
      <c r="L5" s="147">
        <v>46</v>
      </c>
      <c r="M5" s="147">
        <v>58</v>
      </c>
      <c r="N5" s="147">
        <v>52</v>
      </c>
      <c r="O5" s="148"/>
      <c r="P5" s="147">
        <v>238</v>
      </c>
      <c r="Q5" s="147">
        <f>35+18+42+10+12+17+27+41+9+9+6+51</f>
        <v>277</v>
      </c>
      <c r="R5" s="87" t="s">
        <v>68</v>
      </c>
      <c r="S5" s="290" t="s">
        <v>513</v>
      </c>
      <c r="T5" s="34" t="s">
        <v>511</v>
      </c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>
      <c r="A6" s="35" t="s">
        <v>306</v>
      </c>
      <c r="B6" s="36"/>
      <c r="C6" s="36"/>
      <c r="D6" s="36"/>
      <c r="E6" s="36"/>
      <c r="F6" s="36"/>
      <c r="G6" s="36"/>
      <c r="H6" s="36"/>
      <c r="I6" s="36"/>
      <c r="J6" s="36"/>
      <c r="K6" s="147">
        <v>57</v>
      </c>
      <c r="L6" s="147">
        <v>106</v>
      </c>
      <c r="M6" s="147">
        <v>116</v>
      </c>
      <c r="N6" s="147">
        <v>74</v>
      </c>
      <c r="O6" s="148"/>
      <c r="P6" s="147">
        <v>562</v>
      </c>
      <c r="Q6" s="147">
        <f>67+79+28+107+31+41+107+279+9</f>
        <v>748</v>
      </c>
      <c r="R6" s="87" t="s">
        <v>68</v>
      </c>
      <c r="S6" s="290" t="s">
        <v>513</v>
      </c>
      <c r="T6" s="34" t="s">
        <v>511</v>
      </c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>
      <c r="A7" s="35" t="s">
        <v>307</v>
      </c>
      <c r="B7" s="36"/>
      <c r="C7" s="36"/>
      <c r="D7" s="36"/>
      <c r="E7" s="36"/>
      <c r="F7" s="36"/>
      <c r="G7" s="36"/>
      <c r="H7" s="36"/>
      <c r="I7" s="36"/>
      <c r="J7" s="36"/>
      <c r="K7" s="147">
        <v>148</v>
      </c>
      <c r="L7" s="147">
        <v>176</v>
      </c>
      <c r="M7" s="147">
        <v>341</v>
      </c>
      <c r="N7" s="147">
        <v>212</v>
      </c>
      <c r="O7" s="148"/>
      <c r="P7" s="147">
        <v>821</v>
      </c>
      <c r="Q7" s="147">
        <v>927</v>
      </c>
      <c r="R7" s="87" t="s">
        <v>68</v>
      </c>
      <c r="S7" s="290" t="s">
        <v>513</v>
      </c>
      <c r="T7" s="34" t="s">
        <v>511</v>
      </c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>
      <c r="A8" s="35" t="s">
        <v>308</v>
      </c>
      <c r="B8" s="36"/>
      <c r="C8" s="36"/>
      <c r="D8" s="36"/>
      <c r="E8" s="36"/>
      <c r="F8" s="36"/>
      <c r="G8" s="36"/>
      <c r="H8" s="36"/>
      <c r="I8" s="36"/>
      <c r="J8" s="36"/>
      <c r="K8" s="147">
        <v>85</v>
      </c>
      <c r="L8" s="147">
        <v>106</v>
      </c>
      <c r="M8" s="147">
        <v>60</v>
      </c>
      <c r="N8" s="147">
        <v>95</v>
      </c>
      <c r="O8" s="148"/>
      <c r="P8" s="147">
        <v>378</v>
      </c>
      <c r="Q8" s="147">
        <f>120+19+219+22+33</f>
        <v>413</v>
      </c>
      <c r="R8" s="87" t="s">
        <v>68</v>
      </c>
      <c r="S8" s="290" t="s">
        <v>513</v>
      </c>
      <c r="T8" s="34" t="s">
        <v>511</v>
      </c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>
      <c r="A9" s="35" t="s">
        <v>309</v>
      </c>
      <c r="B9" s="36"/>
      <c r="C9" s="36"/>
      <c r="D9" s="36"/>
      <c r="E9" s="36"/>
      <c r="F9" s="36"/>
      <c r="G9" s="36"/>
      <c r="H9" s="36"/>
      <c r="I9" s="36"/>
      <c r="J9" s="36"/>
      <c r="K9" s="147">
        <v>68</v>
      </c>
      <c r="L9" s="147">
        <v>88</v>
      </c>
      <c r="M9" s="147">
        <v>138</v>
      </c>
      <c r="N9" s="147">
        <v>351</v>
      </c>
      <c r="O9" s="148"/>
      <c r="P9" s="147">
        <v>601</v>
      </c>
      <c r="Q9" s="147">
        <f>10+42+84+361+185</f>
        <v>682</v>
      </c>
      <c r="R9" s="87" t="s">
        <v>68</v>
      </c>
      <c r="S9" s="290" t="s">
        <v>513</v>
      </c>
      <c r="T9" s="34" t="s">
        <v>511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>
      <c r="A10" s="35" t="s">
        <v>310</v>
      </c>
      <c r="B10" s="36"/>
      <c r="C10" s="36"/>
      <c r="D10" s="36"/>
      <c r="E10" s="36"/>
      <c r="F10" s="36"/>
      <c r="G10" s="36"/>
      <c r="H10" s="36"/>
      <c r="I10" s="36"/>
      <c r="J10" s="36"/>
      <c r="K10" s="147">
        <v>110</v>
      </c>
      <c r="L10" s="147">
        <v>72</v>
      </c>
      <c r="M10" s="147">
        <v>82</v>
      </c>
      <c r="N10" s="147">
        <v>48</v>
      </c>
      <c r="O10" s="148"/>
      <c r="P10" s="147">
        <v>414</v>
      </c>
      <c r="Q10" s="147">
        <f>23+3+28+6+107+29+85+38+26+2+27+64+48</f>
        <v>486</v>
      </c>
      <c r="R10" s="87" t="s">
        <v>68</v>
      </c>
      <c r="S10" s="290" t="s">
        <v>513</v>
      </c>
      <c r="T10" s="34" t="s">
        <v>511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35" t="s">
        <v>311</v>
      </c>
      <c r="B11" s="36"/>
      <c r="C11" s="36"/>
      <c r="D11" s="36"/>
      <c r="E11" s="36"/>
      <c r="F11" s="36"/>
      <c r="G11" s="36"/>
      <c r="H11" s="36"/>
      <c r="I11" s="36"/>
      <c r="J11" s="36"/>
      <c r="K11" s="147">
        <v>218</v>
      </c>
      <c r="L11" s="147">
        <v>207</v>
      </c>
      <c r="M11" s="147">
        <v>404</v>
      </c>
      <c r="N11" s="147">
        <v>375</v>
      </c>
      <c r="O11" s="148"/>
      <c r="P11" s="147">
        <v>1130</v>
      </c>
      <c r="Q11" s="147">
        <f>15+65+7+17+29+42+258+67+83+21+167+498</f>
        <v>1269</v>
      </c>
      <c r="R11" s="87" t="s">
        <v>68</v>
      </c>
      <c r="S11" s="290" t="s">
        <v>513</v>
      </c>
      <c r="T11" s="34" t="s">
        <v>511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35" t="s">
        <v>312</v>
      </c>
      <c r="B12" s="36"/>
      <c r="C12" s="36"/>
      <c r="D12" s="36"/>
      <c r="E12" s="36"/>
      <c r="F12" s="36"/>
      <c r="G12" s="36"/>
      <c r="H12" s="36"/>
      <c r="I12" s="36"/>
      <c r="J12" s="36"/>
      <c r="K12" s="110">
        <v>157</v>
      </c>
      <c r="L12" s="111">
        <v>373</v>
      </c>
      <c r="M12" s="111">
        <v>345</v>
      </c>
      <c r="N12" s="147">
        <v>330</v>
      </c>
      <c r="O12" s="148"/>
      <c r="P12" s="147">
        <v>2074</v>
      </c>
      <c r="Q12" s="147">
        <f>5+30+613+159+662+214+190+72+263+345+429+15+233</f>
        <v>3230</v>
      </c>
      <c r="R12" s="87" t="s">
        <v>68</v>
      </c>
      <c r="S12" s="290" t="s">
        <v>513</v>
      </c>
      <c r="T12" s="34" t="s">
        <v>511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>
      <c r="A13" s="35" t="s">
        <v>313</v>
      </c>
      <c r="B13" s="36"/>
      <c r="C13" s="36"/>
      <c r="D13" s="36"/>
      <c r="E13" s="36"/>
      <c r="F13" s="36"/>
      <c r="G13" s="36"/>
      <c r="H13" s="36"/>
      <c r="I13" s="36"/>
      <c r="J13" s="36"/>
      <c r="K13" s="110">
        <v>63</v>
      </c>
      <c r="L13" s="111">
        <v>43</v>
      </c>
      <c r="M13" s="111">
        <v>114</v>
      </c>
      <c r="N13" s="147">
        <v>84</v>
      </c>
      <c r="O13" s="148"/>
      <c r="P13" s="147">
        <v>223</v>
      </c>
      <c r="Q13" s="147">
        <f>126+3+27+30+21+3+2+51</f>
        <v>263</v>
      </c>
      <c r="R13" s="87" t="s">
        <v>68</v>
      </c>
      <c r="S13" s="290" t="s">
        <v>513</v>
      </c>
      <c r="T13" s="34" t="s">
        <v>511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>
      <c r="A14" s="35" t="s">
        <v>314</v>
      </c>
      <c r="B14" s="36"/>
      <c r="C14" s="36"/>
      <c r="D14" s="36"/>
      <c r="E14" s="36"/>
      <c r="F14" s="36"/>
      <c r="G14" s="36"/>
      <c r="H14" s="36"/>
      <c r="I14" s="36"/>
      <c r="J14" s="36"/>
      <c r="K14" s="110">
        <v>9</v>
      </c>
      <c r="L14" s="111">
        <v>21</v>
      </c>
      <c r="M14" s="111">
        <v>16</v>
      </c>
      <c r="N14" s="147">
        <v>20</v>
      </c>
      <c r="O14" s="148"/>
      <c r="P14" s="147">
        <v>103</v>
      </c>
      <c r="Q14" s="147">
        <f>4+7+5+2+81+1+13+1</f>
        <v>114</v>
      </c>
      <c r="R14" s="87" t="s">
        <v>68</v>
      </c>
      <c r="S14" s="290" t="s">
        <v>513</v>
      </c>
      <c r="T14" s="34" t="s">
        <v>511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35" t="s">
        <v>315</v>
      </c>
      <c r="B15" s="36"/>
      <c r="C15" s="36"/>
      <c r="D15" s="36"/>
      <c r="E15" s="36"/>
      <c r="F15" s="36"/>
      <c r="G15" s="36"/>
      <c r="H15" s="36"/>
      <c r="I15" s="36"/>
      <c r="J15" s="36"/>
      <c r="K15" s="110">
        <v>164</v>
      </c>
      <c r="L15" s="111">
        <v>121</v>
      </c>
      <c r="M15" s="111">
        <v>113</v>
      </c>
      <c r="N15" s="147">
        <v>62</v>
      </c>
      <c r="O15" s="148"/>
      <c r="P15" s="147">
        <v>783</v>
      </c>
      <c r="Q15" s="147">
        <f>90+34+3+50+8+8+36+2+38+48+55+58+4+22+252+22+74+3+39+6+54+3+17+2</f>
        <v>928</v>
      </c>
      <c r="R15" s="87" t="s">
        <v>68</v>
      </c>
      <c r="S15" s="290" t="s">
        <v>513</v>
      </c>
      <c r="T15" s="34" t="s">
        <v>511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35" t="s">
        <v>316</v>
      </c>
      <c r="B16" s="36"/>
      <c r="C16" s="36"/>
      <c r="D16" s="36"/>
      <c r="E16" s="36"/>
      <c r="F16" s="36"/>
      <c r="G16" s="36"/>
      <c r="H16" s="36"/>
      <c r="I16" s="36"/>
      <c r="J16" s="36"/>
      <c r="K16" s="110">
        <v>160</v>
      </c>
      <c r="L16" s="111">
        <v>186</v>
      </c>
      <c r="M16" s="111">
        <v>423</v>
      </c>
      <c r="N16" s="147">
        <v>209</v>
      </c>
      <c r="O16" s="148"/>
      <c r="P16" s="147">
        <v>1041</v>
      </c>
      <c r="Q16" s="147">
        <f>1035+7</f>
        <v>1042</v>
      </c>
      <c r="R16" s="87" t="s">
        <v>68</v>
      </c>
      <c r="S16" s="290" t="s">
        <v>513</v>
      </c>
      <c r="T16" s="34" t="s">
        <v>511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>
      <c r="A17" s="35" t="s">
        <v>317</v>
      </c>
      <c r="B17" s="36"/>
      <c r="C17" s="36"/>
      <c r="D17" s="36"/>
      <c r="E17" s="36"/>
      <c r="F17" s="36"/>
      <c r="G17" s="36"/>
      <c r="H17" s="36"/>
      <c r="I17" s="36"/>
      <c r="J17" s="36"/>
      <c r="K17" s="110">
        <v>1</v>
      </c>
      <c r="L17" s="111">
        <v>0</v>
      </c>
      <c r="M17" s="111">
        <v>0</v>
      </c>
      <c r="N17" s="147">
        <v>0</v>
      </c>
      <c r="O17" s="148"/>
      <c r="P17" s="147">
        <v>20</v>
      </c>
      <c r="Q17" s="147">
        <f>1+10+20</f>
        <v>31</v>
      </c>
      <c r="R17" s="87" t="s">
        <v>68</v>
      </c>
      <c r="S17" s="290" t="s">
        <v>513</v>
      </c>
      <c r="T17" s="34" t="s">
        <v>511</v>
      </c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>
      <c r="A18" s="35" t="s">
        <v>318</v>
      </c>
      <c r="B18" s="36"/>
      <c r="C18" s="36"/>
      <c r="D18" s="36"/>
      <c r="E18" s="36"/>
      <c r="F18" s="36"/>
      <c r="G18" s="36"/>
      <c r="H18" s="36"/>
      <c r="I18" s="36"/>
      <c r="J18" s="36"/>
      <c r="K18" s="110">
        <v>4</v>
      </c>
      <c r="L18" s="111">
        <v>5</v>
      </c>
      <c r="M18" s="111">
        <v>6</v>
      </c>
      <c r="N18" s="147">
        <v>2</v>
      </c>
      <c r="O18" s="148"/>
      <c r="P18" s="147">
        <v>36</v>
      </c>
      <c r="Q18" s="147">
        <f>1+12+6+17+22+1</f>
        <v>59</v>
      </c>
      <c r="R18" s="87" t="s">
        <v>68</v>
      </c>
      <c r="S18" s="290" t="s">
        <v>513</v>
      </c>
      <c r="T18" s="34" t="s">
        <v>511</v>
      </c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>
      <c r="A19" s="26" t="s">
        <v>319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>
      <c r="A20" s="26" t="s">
        <v>320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15.75" customHeight="1">
      <c r="A21" s="2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5.75" customHeight="1">
      <c r="A22" s="2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2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2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2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2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26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26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6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26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6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6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6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6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6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S4" r:id="rId1" xr:uid="{00000000-0004-0000-0A00-000000000000}"/>
    <hyperlink ref="S5" r:id="rId2" xr:uid="{FDEA6B65-3EDB-4F68-A90F-B55323C7A454}"/>
    <hyperlink ref="S6" r:id="rId3" xr:uid="{EF8DC561-EBA3-4EDE-A3B2-37CD1CE61043}"/>
    <hyperlink ref="S7" r:id="rId4" xr:uid="{B649C899-D48C-4280-AC8D-D9EB8B8F044B}"/>
    <hyperlink ref="S8" r:id="rId5" xr:uid="{15FB83D3-8A85-4AB4-BDBC-256FAD160950}"/>
    <hyperlink ref="S9" r:id="rId6" xr:uid="{889F7365-EDED-4790-9397-CDFAE33C8749}"/>
    <hyperlink ref="S10" r:id="rId7" xr:uid="{DD0056C1-7418-4B3B-8C3B-1154A6F0F615}"/>
    <hyperlink ref="S11" r:id="rId8" xr:uid="{ED2BC455-F574-44D4-A4F1-5D954ACD13ED}"/>
    <hyperlink ref="S12" r:id="rId9" xr:uid="{72CCC882-4D58-4120-A4A3-F6136E18FA6B}"/>
    <hyperlink ref="S13" r:id="rId10" xr:uid="{2AB6A7CE-F24E-46B8-B026-A59238EF6B54}"/>
    <hyperlink ref="S14" r:id="rId11" xr:uid="{72535477-0628-4354-AEAA-7600BCACEA39}"/>
    <hyperlink ref="S15" r:id="rId12" xr:uid="{75AF9691-4235-46FE-A8E6-688B6090B195}"/>
    <hyperlink ref="S16" r:id="rId13" xr:uid="{10BBBA1E-96BA-4D0C-82F5-1AAA46ABE042}"/>
    <hyperlink ref="S17" r:id="rId14" xr:uid="{30CE71B8-0EB9-4799-AF32-AD4E968D8116}"/>
    <hyperlink ref="S18" r:id="rId15" xr:uid="{717B59BF-94CE-43F2-9EF9-E37EC94C17A0}"/>
  </hyperlinks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93404"/>
  </sheetPr>
  <dimension ref="A1:AE999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T61" sqref="T61"/>
    </sheetView>
  </sheetViews>
  <sheetFormatPr defaultColWidth="14.42578125" defaultRowHeight="15" customHeight="1"/>
  <cols>
    <col min="1" max="1" width="87.5703125" customWidth="1"/>
    <col min="2" max="17" width="11.7109375" customWidth="1"/>
    <col min="18" max="18" width="15.7109375" customWidth="1"/>
    <col min="19" max="19" width="41.42578125" customWidth="1"/>
    <col min="20" max="20" width="140.140625" customWidth="1"/>
    <col min="21" max="21" width="27.28515625" customWidth="1"/>
    <col min="22" max="31" width="8.85546875" customWidth="1"/>
  </cols>
  <sheetData>
    <row r="1" spans="1:31">
      <c r="A1" s="433" t="s">
        <v>321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</row>
    <row r="2" spans="1:31">
      <c r="A2" s="431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</row>
    <row r="3" spans="1:31">
      <c r="A3" s="28" t="s">
        <v>322</v>
      </c>
      <c r="B3" s="28">
        <v>2008</v>
      </c>
      <c r="C3" s="28">
        <v>2009</v>
      </c>
      <c r="D3" s="28">
        <v>2010</v>
      </c>
      <c r="E3" s="28">
        <v>2011</v>
      </c>
      <c r="F3" s="28">
        <v>2012</v>
      </c>
      <c r="G3" s="28">
        <v>2013</v>
      </c>
      <c r="H3" s="28">
        <v>2014</v>
      </c>
      <c r="I3" s="28">
        <v>2015</v>
      </c>
      <c r="J3" s="28">
        <v>2016</v>
      </c>
      <c r="K3" s="28">
        <v>2017</v>
      </c>
      <c r="L3" s="28">
        <v>2018</v>
      </c>
      <c r="M3" s="28">
        <v>2019</v>
      </c>
      <c r="N3" s="28">
        <v>2020</v>
      </c>
      <c r="O3" s="28">
        <v>2021</v>
      </c>
      <c r="P3" s="28">
        <v>2022</v>
      </c>
      <c r="Q3" s="28">
        <v>2023</v>
      </c>
      <c r="R3" s="28"/>
      <c r="S3" s="28" t="s">
        <v>301</v>
      </c>
      <c r="T3" s="29" t="s">
        <v>302</v>
      </c>
      <c r="U3" s="29" t="s">
        <v>23</v>
      </c>
      <c r="V3" s="30"/>
      <c r="W3" s="30"/>
      <c r="X3" s="30"/>
      <c r="Y3" s="30"/>
      <c r="Z3" s="30"/>
      <c r="AA3" s="30"/>
      <c r="AB3" s="30"/>
      <c r="AC3" s="30"/>
      <c r="AD3" s="30"/>
      <c r="AE3" s="30"/>
    </row>
    <row r="4" spans="1:31" ht="30">
      <c r="A4" s="35" t="s">
        <v>323</v>
      </c>
      <c r="B4" s="68">
        <v>56</v>
      </c>
      <c r="C4" s="68">
        <v>60.4</v>
      </c>
      <c r="D4" s="68">
        <v>61.8</v>
      </c>
      <c r="E4" s="68">
        <v>62.9</v>
      </c>
      <c r="F4" s="68">
        <v>67.5</v>
      </c>
      <c r="G4" s="68">
        <v>69</v>
      </c>
      <c r="H4" s="68">
        <v>67.099999999999994</v>
      </c>
      <c r="I4" s="68">
        <v>78.3</v>
      </c>
      <c r="J4" s="68">
        <v>79.8</v>
      </c>
      <c r="K4" s="68">
        <v>77.2</v>
      </c>
      <c r="L4" s="68">
        <v>80.8</v>
      </c>
      <c r="M4" s="68">
        <v>84.8</v>
      </c>
      <c r="N4" s="68">
        <v>80.2</v>
      </c>
      <c r="O4" s="68">
        <v>79.099999999999994</v>
      </c>
      <c r="P4" s="68">
        <v>90.4</v>
      </c>
      <c r="Q4" s="68">
        <v>93.65</v>
      </c>
      <c r="R4" s="68"/>
      <c r="S4" s="34" t="s">
        <v>324</v>
      </c>
      <c r="T4" s="149" t="s">
        <v>325</v>
      </c>
      <c r="U4" s="34" t="s">
        <v>511</v>
      </c>
      <c r="V4" s="26"/>
      <c r="W4" s="26"/>
      <c r="X4" s="26"/>
      <c r="Y4" s="26"/>
      <c r="Z4" s="26"/>
      <c r="AA4" s="26"/>
      <c r="AB4" s="26"/>
      <c r="AC4" s="26"/>
      <c r="AD4" s="26"/>
      <c r="AE4" s="26"/>
    </row>
    <row r="5" spans="1:31">
      <c r="A5" s="35" t="s">
        <v>326</v>
      </c>
      <c r="B5" s="52">
        <v>0.4</v>
      </c>
      <c r="C5" s="52">
        <v>0.4</v>
      </c>
      <c r="D5" s="52">
        <v>0.4</v>
      </c>
      <c r="E5" s="52">
        <v>0.4</v>
      </c>
      <c r="F5" s="52">
        <v>0.4</v>
      </c>
      <c r="G5" s="32">
        <v>0.4</v>
      </c>
      <c r="H5" s="32">
        <v>0.4</v>
      </c>
      <c r="I5" s="32">
        <v>0.4</v>
      </c>
      <c r="J5" s="32">
        <v>0.4</v>
      </c>
      <c r="K5" s="32">
        <v>0.4</v>
      </c>
      <c r="L5" s="32">
        <v>0.4</v>
      </c>
      <c r="M5" s="32">
        <v>0.4</v>
      </c>
      <c r="N5" s="32">
        <v>0.4</v>
      </c>
      <c r="O5" s="59">
        <v>0.32500000000000001</v>
      </c>
      <c r="P5" s="59">
        <v>0.35</v>
      </c>
      <c r="Q5" s="59">
        <v>0.32500000000000001</v>
      </c>
      <c r="R5" s="59"/>
      <c r="S5" s="34" t="s">
        <v>324</v>
      </c>
      <c r="T5" s="55" t="s">
        <v>327</v>
      </c>
      <c r="U5" s="34" t="s">
        <v>511</v>
      </c>
      <c r="V5" s="26"/>
      <c r="W5" s="26"/>
      <c r="X5" s="26"/>
      <c r="Y5" s="26"/>
      <c r="Z5" s="26"/>
      <c r="AA5" s="26"/>
      <c r="AB5" s="26"/>
      <c r="AC5" s="26"/>
      <c r="AD5" s="26"/>
      <c r="AE5" s="26"/>
    </row>
    <row r="6" spans="1:31">
      <c r="A6" s="35" t="s">
        <v>328</v>
      </c>
      <c r="B6" s="68">
        <v>198.9</v>
      </c>
      <c r="C6" s="68">
        <v>167.8</v>
      </c>
      <c r="D6" s="68">
        <v>186.6</v>
      </c>
      <c r="E6" s="68">
        <v>201</v>
      </c>
      <c r="F6" s="68">
        <v>216.5</v>
      </c>
      <c r="G6" s="68">
        <v>224.5</v>
      </c>
      <c r="H6" s="68">
        <v>231.2</v>
      </c>
      <c r="I6" s="68">
        <v>233.541</v>
      </c>
      <c r="J6" s="68">
        <v>230.78899999999999</v>
      </c>
      <c r="K6" s="68">
        <v>236.375</v>
      </c>
      <c r="L6" s="68">
        <v>250.67400000000001</v>
      </c>
      <c r="M6" s="68">
        <v>245.614</v>
      </c>
      <c r="N6" s="68">
        <v>237.93700000000001</v>
      </c>
      <c r="O6" s="68">
        <v>236.17500000000001</v>
      </c>
      <c r="P6" s="68">
        <v>227.77500000000001</v>
      </c>
      <c r="Q6" s="68">
        <v>298.625</v>
      </c>
      <c r="R6" s="68"/>
      <c r="S6" s="34" t="s">
        <v>324</v>
      </c>
      <c r="T6" s="55" t="s">
        <v>327</v>
      </c>
      <c r="U6" s="34" t="s">
        <v>511</v>
      </c>
      <c r="V6" s="26"/>
      <c r="W6" s="26"/>
      <c r="X6" s="26"/>
      <c r="Y6" s="26"/>
      <c r="Z6" s="26"/>
      <c r="AA6" s="26"/>
      <c r="AB6" s="26"/>
      <c r="AC6" s="26"/>
      <c r="AD6" s="26"/>
      <c r="AE6" s="26"/>
    </row>
    <row r="7" spans="1:31">
      <c r="A7" s="35" t="s">
        <v>329</v>
      </c>
      <c r="B7" s="68">
        <v>40</v>
      </c>
      <c r="C7" s="68">
        <v>34.5</v>
      </c>
      <c r="D7" s="68">
        <v>36.1</v>
      </c>
      <c r="E7" s="68">
        <v>37.728999999999999</v>
      </c>
      <c r="F7" s="68">
        <v>39</v>
      </c>
      <c r="G7" s="68">
        <v>40</v>
      </c>
      <c r="H7" s="68">
        <v>42.1</v>
      </c>
      <c r="I7" s="68">
        <v>43.6</v>
      </c>
      <c r="J7" s="68">
        <v>44.9</v>
      </c>
      <c r="K7" s="68">
        <v>47.2</v>
      </c>
      <c r="L7" s="68">
        <v>49.308999999999997</v>
      </c>
      <c r="M7" s="68">
        <v>50.633000000000003</v>
      </c>
      <c r="N7" s="68">
        <v>50.572000000000003</v>
      </c>
      <c r="O7" s="68">
        <v>54.512</v>
      </c>
      <c r="P7" s="68">
        <v>58.826000000000001</v>
      </c>
      <c r="Q7" s="67"/>
      <c r="R7" s="67"/>
      <c r="S7" s="34" t="s">
        <v>324</v>
      </c>
      <c r="T7" s="94" t="s">
        <v>330</v>
      </c>
      <c r="U7" s="34" t="s">
        <v>511</v>
      </c>
      <c r="V7" s="26"/>
      <c r="W7" s="26"/>
      <c r="X7" s="26"/>
      <c r="Y7" s="26"/>
      <c r="Z7" s="26"/>
      <c r="AA7" s="26"/>
      <c r="AB7" s="26"/>
      <c r="AC7" s="26"/>
      <c r="AD7" s="26"/>
      <c r="AE7" s="26"/>
    </row>
    <row r="8" spans="1:31">
      <c r="A8" s="35" t="s">
        <v>331</v>
      </c>
      <c r="B8" s="52">
        <v>1.7</v>
      </c>
      <c r="C8" s="52">
        <v>1.4</v>
      </c>
      <c r="D8" s="52">
        <v>1.4</v>
      </c>
      <c r="E8" s="52">
        <v>1.8</v>
      </c>
      <c r="F8" s="52">
        <v>1.5</v>
      </c>
      <c r="G8" s="52">
        <v>1.9</v>
      </c>
      <c r="H8" s="52">
        <v>1.8</v>
      </c>
      <c r="I8" s="52">
        <v>1.8</v>
      </c>
      <c r="J8" s="52">
        <v>1.7</v>
      </c>
      <c r="K8" s="32">
        <v>2</v>
      </c>
      <c r="L8" s="32">
        <v>2.2000000000000002</v>
      </c>
      <c r="M8" s="32">
        <v>2.4</v>
      </c>
      <c r="N8" s="32">
        <v>-0.4</v>
      </c>
      <c r="O8" s="32">
        <v>1.2</v>
      </c>
      <c r="P8" s="32">
        <v>2.4</v>
      </c>
      <c r="Q8" s="67"/>
      <c r="R8" s="67"/>
      <c r="S8" s="34" t="s">
        <v>324</v>
      </c>
      <c r="T8" s="55" t="s">
        <v>327</v>
      </c>
      <c r="U8" s="34" t="s">
        <v>511</v>
      </c>
      <c r="V8" s="26"/>
      <c r="W8" s="26"/>
      <c r="X8" s="26"/>
      <c r="Y8" s="26"/>
      <c r="Z8" s="26"/>
      <c r="AA8" s="26"/>
      <c r="AB8" s="26"/>
      <c r="AC8" s="26"/>
      <c r="AD8" s="26"/>
      <c r="AE8" s="26"/>
    </row>
    <row r="9" spans="1:31">
      <c r="A9" s="35" t="s">
        <v>332</v>
      </c>
      <c r="B9" s="68">
        <v>14.4</v>
      </c>
      <c r="C9" s="68">
        <v>24.5</v>
      </c>
      <c r="D9" s="68">
        <v>24.2</v>
      </c>
      <c r="E9" s="68">
        <v>23.4</v>
      </c>
      <c r="F9" s="68">
        <v>26.9</v>
      </c>
      <c r="G9" s="68">
        <v>27.1</v>
      </c>
      <c r="H9" s="68">
        <v>23.2</v>
      </c>
      <c r="I9" s="68">
        <v>32.9</v>
      </c>
      <c r="J9" s="68">
        <v>33.1</v>
      </c>
      <c r="K9" s="32">
        <v>28.1</v>
      </c>
      <c r="L9" s="32">
        <v>29.3</v>
      </c>
      <c r="M9" s="32">
        <v>31.7</v>
      </c>
      <c r="N9" s="32">
        <v>30.1</v>
      </c>
      <c r="O9" s="32">
        <v>23.5</v>
      </c>
      <c r="P9" s="32">
        <v>29.2</v>
      </c>
      <c r="Q9" s="67"/>
      <c r="R9" s="67"/>
      <c r="S9" s="34" t="s">
        <v>324</v>
      </c>
      <c r="T9" s="55" t="s">
        <v>327</v>
      </c>
      <c r="U9" s="34" t="s">
        <v>511</v>
      </c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spans="1:31">
      <c r="A10" s="35" t="s">
        <v>333</v>
      </c>
      <c r="B10" s="68">
        <v>727</v>
      </c>
      <c r="C10" s="68">
        <v>627</v>
      </c>
      <c r="D10" s="68">
        <v>624</v>
      </c>
      <c r="E10" s="68">
        <v>634</v>
      </c>
      <c r="F10" s="68">
        <v>646</v>
      </c>
      <c r="G10" s="68">
        <v>658</v>
      </c>
      <c r="H10" s="68">
        <v>674</v>
      </c>
      <c r="I10" s="68">
        <v>688</v>
      </c>
      <c r="J10" s="68">
        <v>702</v>
      </c>
      <c r="K10" s="68">
        <v>715</v>
      </c>
      <c r="L10" s="68">
        <v>730</v>
      </c>
      <c r="M10" s="150">
        <v>731</v>
      </c>
      <c r="N10" s="150">
        <v>693</v>
      </c>
      <c r="O10" s="150">
        <v>722</v>
      </c>
      <c r="P10" s="150">
        <v>748</v>
      </c>
      <c r="Q10" s="67"/>
      <c r="R10" s="361"/>
      <c r="S10" s="76" t="s">
        <v>324</v>
      </c>
      <c r="T10" s="94" t="s">
        <v>334</v>
      </c>
      <c r="U10" s="34" t="s">
        <v>511</v>
      </c>
      <c r="V10" s="26"/>
      <c r="W10" s="26"/>
      <c r="X10" s="26"/>
      <c r="Y10" s="26"/>
      <c r="Z10" s="26"/>
      <c r="AA10" s="26"/>
      <c r="AB10" s="26"/>
      <c r="AC10" s="26"/>
      <c r="AD10" s="26"/>
      <c r="AE10" s="26"/>
    </row>
    <row r="11" spans="1:31">
      <c r="A11" s="41" t="s">
        <v>335</v>
      </c>
      <c r="B11" s="68">
        <v>245</v>
      </c>
      <c r="C11" s="68">
        <v>250</v>
      </c>
      <c r="D11" s="68">
        <v>265</v>
      </c>
      <c r="E11" s="68">
        <v>279</v>
      </c>
      <c r="F11" s="68">
        <v>288</v>
      </c>
      <c r="G11" s="150">
        <v>299</v>
      </c>
      <c r="H11" s="150">
        <v>311</v>
      </c>
      <c r="I11" s="150">
        <v>322</v>
      </c>
      <c r="J11" s="74">
        <v>335</v>
      </c>
      <c r="K11" s="74">
        <v>348</v>
      </c>
      <c r="L11" s="151">
        <v>365.5</v>
      </c>
      <c r="M11" s="151">
        <v>374.8</v>
      </c>
      <c r="N11" s="151">
        <v>380.4</v>
      </c>
      <c r="O11" s="151">
        <v>394</v>
      </c>
      <c r="P11" s="151">
        <v>400.3</v>
      </c>
      <c r="Q11" s="67"/>
      <c r="R11" s="361"/>
      <c r="S11" s="76" t="s">
        <v>336</v>
      </c>
      <c r="T11" s="152" t="s">
        <v>337</v>
      </c>
      <c r="U11" s="34" t="s">
        <v>511</v>
      </c>
      <c r="V11" s="26"/>
      <c r="W11" s="26"/>
      <c r="X11" s="26"/>
      <c r="Y11" s="26"/>
      <c r="Z11" s="26"/>
      <c r="AA11" s="26"/>
      <c r="AB11" s="26"/>
      <c r="AC11" s="26"/>
      <c r="AD11" s="26"/>
      <c r="AE11" s="26"/>
    </row>
    <row r="12" spans="1:3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246"/>
      <c r="R12" s="246"/>
      <c r="S12" s="49"/>
      <c r="T12" s="49"/>
      <c r="U12" s="130"/>
      <c r="V12" s="26"/>
      <c r="W12" s="26"/>
      <c r="X12" s="26"/>
      <c r="Y12" s="26"/>
      <c r="Z12" s="26"/>
      <c r="AA12" s="26"/>
      <c r="AB12" s="26"/>
      <c r="AC12" s="26"/>
      <c r="AD12" s="26"/>
      <c r="AE12" s="26"/>
    </row>
    <row r="13" spans="1:31">
      <c r="A13" s="51" t="s">
        <v>338</v>
      </c>
      <c r="B13" s="51">
        <v>2008</v>
      </c>
      <c r="C13" s="51">
        <v>2009</v>
      </c>
      <c r="D13" s="51">
        <v>2010</v>
      </c>
      <c r="E13" s="51">
        <v>2011</v>
      </c>
      <c r="F13" s="51">
        <v>2012</v>
      </c>
      <c r="G13" s="51">
        <v>2013</v>
      </c>
      <c r="H13" s="51">
        <v>2014</v>
      </c>
      <c r="I13" s="51">
        <v>2015</v>
      </c>
      <c r="J13" s="51">
        <v>2016</v>
      </c>
      <c r="K13" s="28">
        <v>2017</v>
      </c>
      <c r="L13" s="28">
        <v>2018</v>
      </c>
      <c r="M13" s="28">
        <v>2019</v>
      </c>
      <c r="N13" s="28">
        <v>2020</v>
      </c>
      <c r="O13" s="28">
        <v>2021</v>
      </c>
      <c r="P13" s="28">
        <v>2022</v>
      </c>
      <c r="Q13" s="28">
        <v>2023</v>
      </c>
      <c r="R13" s="28"/>
      <c r="S13" s="28" t="s">
        <v>301</v>
      </c>
      <c r="T13" s="29" t="s">
        <v>302</v>
      </c>
      <c r="U13" s="29" t="s">
        <v>23</v>
      </c>
      <c r="V13" s="30"/>
      <c r="W13" s="30"/>
      <c r="X13" s="30"/>
      <c r="Y13" s="30"/>
      <c r="Z13" s="30"/>
      <c r="AA13" s="30"/>
      <c r="AB13" s="30"/>
      <c r="AC13" s="30"/>
      <c r="AD13" s="30"/>
      <c r="AE13" s="30"/>
    </row>
    <row r="14" spans="1:31" ht="45">
      <c r="A14" s="153" t="s">
        <v>339</v>
      </c>
      <c r="B14" s="69">
        <v>0.17799999999999999</v>
      </c>
      <c r="C14" s="69">
        <v>0.29499999999999998</v>
      </c>
      <c r="D14" s="69">
        <v>0.34200000000000003</v>
      </c>
      <c r="E14" s="69">
        <v>0.48599999999999999</v>
      </c>
      <c r="F14" s="69">
        <v>0.57099999999999995</v>
      </c>
      <c r="G14" s="69">
        <v>0.59099999999999997</v>
      </c>
      <c r="H14" s="69">
        <v>0.66300000000000003</v>
      </c>
      <c r="I14" s="69">
        <v>0.45900000000000002</v>
      </c>
      <c r="J14" s="69">
        <v>0.86199999999999999</v>
      </c>
      <c r="K14" s="69">
        <v>0.88</v>
      </c>
      <c r="L14" s="69">
        <v>1.077</v>
      </c>
      <c r="M14" s="69">
        <v>1.1739999999999999</v>
      </c>
      <c r="N14" s="154">
        <v>1.2390000000000001</v>
      </c>
      <c r="O14" s="154">
        <v>1.05</v>
      </c>
      <c r="P14" s="154">
        <v>1.1419999999999999</v>
      </c>
      <c r="Q14" s="154">
        <v>1.13578</v>
      </c>
      <c r="R14" s="154"/>
      <c r="S14" s="155" t="s">
        <v>340</v>
      </c>
      <c r="T14" s="156" t="s">
        <v>341</v>
      </c>
      <c r="U14" s="34" t="s">
        <v>511</v>
      </c>
      <c r="V14" s="26"/>
      <c r="W14" s="26"/>
      <c r="X14" s="26"/>
      <c r="Y14" s="26"/>
      <c r="Z14" s="26"/>
      <c r="AA14" s="26"/>
      <c r="AB14" s="26"/>
      <c r="AC14" s="26"/>
      <c r="AD14" s="26"/>
      <c r="AE14" s="26"/>
    </row>
    <row r="15" spans="1:31" ht="45">
      <c r="A15" s="153" t="s">
        <v>342</v>
      </c>
      <c r="B15" s="69">
        <v>6.0000000000000001E-3</v>
      </c>
      <c r="C15" s="69">
        <v>2.3E-2</v>
      </c>
      <c r="D15" s="69">
        <v>0.67400000000000004</v>
      </c>
      <c r="E15" s="69">
        <v>0.67500000000000004</v>
      </c>
      <c r="F15" s="69">
        <v>0.92100000000000004</v>
      </c>
      <c r="G15" s="69">
        <v>0.99</v>
      </c>
      <c r="H15" s="69">
        <v>1.034</v>
      </c>
      <c r="I15" s="69">
        <v>1.177</v>
      </c>
      <c r="J15" s="69">
        <v>1.177</v>
      </c>
      <c r="K15" s="69">
        <v>1.1739999999999999</v>
      </c>
      <c r="L15" s="69">
        <v>0.93400000000000005</v>
      </c>
      <c r="M15" s="69">
        <v>0.94099999999999995</v>
      </c>
      <c r="N15" s="154">
        <v>0.84799999999999998</v>
      </c>
      <c r="O15" s="154">
        <v>0.74199999999999999</v>
      </c>
      <c r="P15" s="154">
        <v>1.075</v>
      </c>
      <c r="Q15" s="154">
        <v>1.0442199999999999</v>
      </c>
      <c r="R15" s="154"/>
      <c r="S15" s="155" t="s">
        <v>340</v>
      </c>
      <c r="T15" s="55" t="s">
        <v>343</v>
      </c>
      <c r="U15" s="34" t="s">
        <v>511</v>
      </c>
      <c r="V15" s="26"/>
      <c r="W15" s="26"/>
      <c r="X15" s="26"/>
      <c r="Y15" s="26"/>
      <c r="Z15" s="26"/>
      <c r="AA15" s="26"/>
      <c r="AB15" s="26"/>
      <c r="AC15" s="26"/>
      <c r="AD15" s="26"/>
      <c r="AE15" s="26"/>
    </row>
    <row r="16" spans="1:31" ht="45">
      <c r="A16" s="34" t="s">
        <v>344</v>
      </c>
      <c r="B16" s="69">
        <f t="shared" ref="B16:Q16" si="0">+B15+B14</f>
        <v>0.184</v>
      </c>
      <c r="C16" s="69">
        <f t="shared" si="0"/>
        <v>0.318</v>
      </c>
      <c r="D16" s="69">
        <f t="shared" si="0"/>
        <v>1.016</v>
      </c>
      <c r="E16" s="69">
        <f t="shared" si="0"/>
        <v>1.161</v>
      </c>
      <c r="F16" s="69">
        <f t="shared" si="0"/>
        <v>1.492</v>
      </c>
      <c r="G16" s="69">
        <f t="shared" si="0"/>
        <v>1.581</v>
      </c>
      <c r="H16" s="69">
        <f t="shared" si="0"/>
        <v>1.6970000000000001</v>
      </c>
      <c r="I16" s="69">
        <f t="shared" si="0"/>
        <v>1.6360000000000001</v>
      </c>
      <c r="J16" s="69">
        <f t="shared" si="0"/>
        <v>2.0390000000000001</v>
      </c>
      <c r="K16" s="69">
        <f t="shared" si="0"/>
        <v>2.0539999999999998</v>
      </c>
      <c r="L16" s="69">
        <f t="shared" si="0"/>
        <v>2.0110000000000001</v>
      </c>
      <c r="M16" s="69">
        <f t="shared" si="0"/>
        <v>2.1149999999999998</v>
      </c>
      <c r="N16" s="69">
        <f t="shared" si="0"/>
        <v>2.0870000000000002</v>
      </c>
      <c r="O16" s="316">
        <f t="shared" si="0"/>
        <v>1.792</v>
      </c>
      <c r="P16" s="316">
        <f t="shared" si="0"/>
        <v>2.2169999999999996</v>
      </c>
      <c r="Q16" s="316">
        <f t="shared" si="0"/>
        <v>2.1799999999999997</v>
      </c>
      <c r="R16" s="154"/>
      <c r="S16" s="155" t="s">
        <v>340</v>
      </c>
      <c r="T16" s="190" t="s">
        <v>345</v>
      </c>
      <c r="U16" s="34" t="s">
        <v>511</v>
      </c>
      <c r="V16" s="26"/>
      <c r="W16" s="26"/>
      <c r="X16" s="26"/>
      <c r="Y16" s="26"/>
      <c r="Z16" s="26"/>
      <c r="AA16" s="26"/>
      <c r="AB16" s="26"/>
      <c r="AC16" s="26"/>
      <c r="AD16" s="26"/>
      <c r="AE16" s="26"/>
    </row>
    <row r="17" spans="1:31" ht="75">
      <c r="A17" s="325" t="s">
        <v>525</v>
      </c>
      <c r="B17" s="157"/>
      <c r="C17" s="36"/>
      <c r="D17" s="36"/>
      <c r="E17" s="157"/>
      <c r="F17" s="36"/>
      <c r="G17" s="67"/>
      <c r="H17" s="67"/>
      <c r="I17" s="67"/>
      <c r="J17" s="67"/>
      <c r="K17" s="68">
        <v>58</v>
      </c>
      <c r="L17" s="68">
        <v>57.742470950912974</v>
      </c>
      <c r="M17" s="68">
        <v>53</v>
      </c>
      <c r="N17" s="314">
        <v>47.287372660506989</v>
      </c>
      <c r="O17" s="319">
        <v>64.636871508379798</v>
      </c>
      <c r="P17" s="319">
        <v>48.274774774774698</v>
      </c>
      <c r="Q17" s="319">
        <v>42.844000000000001</v>
      </c>
      <c r="R17" s="362"/>
      <c r="S17" s="155" t="s">
        <v>340</v>
      </c>
      <c r="T17" s="77" t="s">
        <v>346</v>
      </c>
      <c r="U17" s="34" t="s">
        <v>511</v>
      </c>
      <c r="V17" s="26"/>
      <c r="W17" s="26"/>
      <c r="X17" s="26"/>
      <c r="Y17" s="26"/>
      <c r="Z17" s="26"/>
      <c r="AA17" s="26"/>
      <c r="AB17" s="26"/>
      <c r="AC17" s="26"/>
      <c r="AD17" s="26"/>
      <c r="AE17" s="26"/>
    </row>
    <row r="18" spans="1:31" ht="75">
      <c r="A18" s="325" t="s">
        <v>526</v>
      </c>
      <c r="B18" s="36"/>
      <c r="C18" s="36"/>
      <c r="D18" s="36"/>
      <c r="E18" s="36"/>
      <c r="F18" s="36"/>
      <c r="G18" s="67"/>
      <c r="H18" s="67"/>
      <c r="I18" s="67"/>
      <c r="J18" s="67"/>
      <c r="K18" s="68">
        <v>11</v>
      </c>
      <c r="L18" s="68">
        <v>11.335072326298317</v>
      </c>
      <c r="M18" s="68">
        <v>11</v>
      </c>
      <c r="N18" s="315">
        <v>11.419095001184553</v>
      </c>
      <c r="O18" s="319">
        <v>13.5754189944134</v>
      </c>
      <c r="P18" s="319">
        <v>14.815315315299999</v>
      </c>
      <c r="Q18" s="319">
        <v>20.71559633</v>
      </c>
      <c r="R18" s="362"/>
      <c r="S18" s="155" t="s">
        <v>340</v>
      </c>
      <c r="T18" s="77" t="s">
        <v>347</v>
      </c>
      <c r="U18" s="34" t="s">
        <v>511</v>
      </c>
      <c r="V18" s="26"/>
      <c r="W18" s="26"/>
      <c r="X18" s="26"/>
      <c r="Y18" s="26"/>
      <c r="Z18" s="26"/>
      <c r="AA18" s="26"/>
      <c r="AB18" s="26"/>
      <c r="AC18" s="26"/>
      <c r="AD18" s="26"/>
      <c r="AE18" s="26"/>
    </row>
    <row r="19" spans="1:31" ht="75">
      <c r="A19" s="325" t="s">
        <v>527</v>
      </c>
      <c r="B19" s="36"/>
      <c r="C19" s="36"/>
      <c r="D19" s="36"/>
      <c r="E19" s="36"/>
      <c r="F19" s="36"/>
      <c r="G19" s="67"/>
      <c r="H19" s="67"/>
      <c r="I19" s="67"/>
      <c r="J19" s="67"/>
      <c r="K19" s="68">
        <v>7</v>
      </c>
      <c r="L19" s="68">
        <v>6.805786103865306</v>
      </c>
      <c r="M19" s="68">
        <v>8</v>
      </c>
      <c r="N19" s="315">
        <v>12.248282397536128</v>
      </c>
      <c r="O19" s="319">
        <v>15.055865921000001</v>
      </c>
      <c r="P19" s="319">
        <v>14.0720727072</v>
      </c>
      <c r="Q19" s="319">
        <v>13.366974770000001</v>
      </c>
      <c r="R19" s="362"/>
      <c r="S19" s="155" t="s">
        <v>340</v>
      </c>
      <c r="T19" s="77" t="s">
        <v>348</v>
      </c>
      <c r="U19" s="34" t="s">
        <v>511</v>
      </c>
      <c r="V19" s="26"/>
      <c r="W19" s="26"/>
      <c r="X19" s="26"/>
      <c r="Y19" s="26"/>
      <c r="Z19" s="26"/>
      <c r="AA19" s="26"/>
      <c r="AB19" s="26"/>
      <c r="AC19" s="26"/>
      <c r="AD19" s="26"/>
      <c r="AE19" s="26"/>
    </row>
    <row r="20" spans="1:31" ht="60">
      <c r="A20" s="325" t="s">
        <v>528</v>
      </c>
      <c r="B20" s="36"/>
      <c r="C20" s="36"/>
      <c r="D20" s="36"/>
      <c r="E20" s="36"/>
      <c r="F20" s="36"/>
      <c r="G20" s="67"/>
      <c r="H20" s="67"/>
      <c r="I20" s="67"/>
      <c r="J20" s="67"/>
      <c r="K20" s="68">
        <v>5</v>
      </c>
      <c r="L20" s="68">
        <v>5.6675361631491583</v>
      </c>
      <c r="M20" s="68">
        <v>8</v>
      </c>
      <c r="N20" s="315">
        <v>7.7469793887704332</v>
      </c>
      <c r="O20" s="319">
        <v>11.899441340782101</v>
      </c>
      <c r="P20" s="319">
        <v>4.3873873870000004</v>
      </c>
      <c r="Q20" s="319">
        <v>4.5366972477000003</v>
      </c>
      <c r="R20" s="362"/>
      <c r="S20" s="155" t="s">
        <v>340</v>
      </c>
      <c r="T20" s="77" t="s">
        <v>349</v>
      </c>
      <c r="U20" s="34" t="s">
        <v>511</v>
      </c>
      <c r="V20" s="26"/>
      <c r="W20" s="26"/>
      <c r="X20" s="26"/>
      <c r="Y20" s="26"/>
      <c r="Z20" s="26"/>
      <c r="AA20" s="26"/>
      <c r="AB20" s="26"/>
      <c r="AC20" s="26"/>
      <c r="AD20" s="26"/>
      <c r="AE20" s="26"/>
    </row>
    <row r="21" spans="1:31" ht="60">
      <c r="A21" s="325" t="s">
        <v>529</v>
      </c>
      <c r="B21" s="36"/>
      <c r="C21" s="36"/>
      <c r="D21" s="36"/>
      <c r="E21" s="36"/>
      <c r="F21" s="36"/>
      <c r="G21" s="67"/>
      <c r="H21" s="67"/>
      <c r="I21" s="67"/>
      <c r="J21" s="67"/>
      <c r="K21" s="68">
        <v>7</v>
      </c>
      <c r="L21" s="68">
        <v>7.3511975337917947</v>
      </c>
      <c r="M21" s="68">
        <v>7</v>
      </c>
      <c r="N21" s="315">
        <v>5.7332385690594645</v>
      </c>
      <c r="O21" s="319">
        <v>6.5921787709497197</v>
      </c>
      <c r="P21" s="319">
        <v>7.1621621621599996</v>
      </c>
      <c r="Q21" s="319">
        <v>9.7285321099999997</v>
      </c>
      <c r="R21" s="362"/>
      <c r="S21" s="155" t="s">
        <v>340</v>
      </c>
      <c r="T21" s="77" t="s">
        <v>350</v>
      </c>
      <c r="U21" s="34" t="s">
        <v>511</v>
      </c>
      <c r="V21" s="26"/>
      <c r="W21" s="26"/>
      <c r="X21" s="26"/>
      <c r="Y21" s="26"/>
      <c r="Z21" s="26"/>
      <c r="AA21" s="26"/>
      <c r="AB21" s="26"/>
      <c r="AC21" s="26"/>
      <c r="AD21" s="26"/>
      <c r="AE21" s="26"/>
    </row>
    <row r="22" spans="1:31" ht="60">
      <c r="A22" s="325" t="s">
        <v>530</v>
      </c>
      <c r="B22" s="36"/>
      <c r="C22" s="36"/>
      <c r="D22" s="36"/>
      <c r="E22" s="36"/>
      <c r="F22" s="36"/>
      <c r="G22" s="67"/>
      <c r="H22" s="67"/>
      <c r="I22" s="67"/>
      <c r="J22" s="67"/>
      <c r="K22" s="68">
        <v>4</v>
      </c>
      <c r="L22" s="68">
        <v>3.6281716860327244</v>
      </c>
      <c r="M22" s="68">
        <v>4</v>
      </c>
      <c r="N22" s="314">
        <v>3.5299692016109927</v>
      </c>
      <c r="O22" s="319">
        <v>4.3016759776536304</v>
      </c>
      <c r="P22" s="319">
        <v>0.94144144144099995</v>
      </c>
      <c r="Q22" s="319">
        <v>0.63761467889907997</v>
      </c>
      <c r="R22" s="362"/>
      <c r="S22" s="155" t="s">
        <v>340</v>
      </c>
      <c r="T22" s="364" t="s">
        <v>550</v>
      </c>
      <c r="U22" s="34" t="s">
        <v>511</v>
      </c>
      <c r="V22" s="26"/>
      <c r="W22" s="26"/>
      <c r="X22" s="26"/>
      <c r="Y22" s="26"/>
      <c r="Z22" s="26"/>
      <c r="AA22" s="26"/>
      <c r="AB22" s="26"/>
      <c r="AC22" s="26"/>
      <c r="AD22" s="26"/>
      <c r="AE22" s="26"/>
    </row>
    <row r="23" spans="1:31" ht="60">
      <c r="A23" s="325" t="s">
        <v>531</v>
      </c>
      <c r="B23" s="36"/>
      <c r="C23" s="36"/>
      <c r="D23" s="36"/>
      <c r="E23" s="36"/>
      <c r="F23" s="36"/>
      <c r="G23" s="67"/>
      <c r="H23" s="67"/>
      <c r="I23" s="67"/>
      <c r="J23" s="67"/>
      <c r="K23" s="68">
        <v>2</v>
      </c>
      <c r="L23" s="68">
        <v>1.6125207493478777</v>
      </c>
      <c r="M23" s="68">
        <v>2</v>
      </c>
      <c r="N23" s="314">
        <v>3</v>
      </c>
      <c r="O23" s="319">
        <v>3.5195530726256998</v>
      </c>
      <c r="P23" s="319">
        <v>2.5990990990989999</v>
      </c>
      <c r="Q23" s="319">
        <v>3.53669724770642</v>
      </c>
      <c r="R23" s="362"/>
      <c r="S23" s="155" t="s">
        <v>340</v>
      </c>
      <c r="T23" s="77" t="s">
        <v>351</v>
      </c>
      <c r="U23" s="34" t="s">
        <v>511</v>
      </c>
      <c r="V23" s="26"/>
      <c r="W23" s="26"/>
      <c r="X23" s="26"/>
      <c r="Y23" s="26"/>
      <c r="Z23" s="26"/>
      <c r="AA23" s="26"/>
      <c r="AB23" s="26"/>
      <c r="AC23" s="26"/>
      <c r="AD23" s="26"/>
      <c r="AE23" s="26"/>
    </row>
    <row r="24" spans="1:31" ht="60">
      <c r="A24" s="325" t="s">
        <v>532</v>
      </c>
      <c r="B24" s="36"/>
      <c r="C24" s="36"/>
      <c r="D24" s="36"/>
      <c r="E24" s="36"/>
      <c r="F24" s="36"/>
      <c r="G24" s="67"/>
      <c r="H24" s="67"/>
      <c r="I24" s="67"/>
      <c r="J24" s="67"/>
      <c r="K24" s="68">
        <v>6</v>
      </c>
      <c r="L24" s="68">
        <v>5.8572444866018492</v>
      </c>
      <c r="M24" s="68">
        <v>7</v>
      </c>
      <c r="N24" s="314">
        <v>5</v>
      </c>
      <c r="O24" s="319">
        <v>10.083798882681499</v>
      </c>
      <c r="P24" s="319">
        <v>6.0045045045045002</v>
      </c>
      <c r="Q24" s="319">
        <v>3.4036599999999999</v>
      </c>
      <c r="R24" s="362"/>
      <c r="S24" s="155" t="s">
        <v>340</v>
      </c>
      <c r="T24" s="77" t="s">
        <v>352</v>
      </c>
      <c r="U24" s="34" t="s">
        <v>511</v>
      </c>
      <c r="V24" s="26"/>
      <c r="W24" s="26"/>
      <c r="X24" s="26"/>
      <c r="Y24" s="26"/>
      <c r="Z24" s="26"/>
      <c r="AA24" s="26"/>
      <c r="AB24" s="26"/>
      <c r="AC24" s="26"/>
      <c r="AD24" s="26"/>
      <c r="AE24" s="26"/>
    </row>
    <row r="25" spans="1:31" ht="15.75" customHeight="1">
      <c r="A25" s="35" t="s">
        <v>353</v>
      </c>
      <c r="B25" s="158">
        <f t="shared" ref="B25:O25" si="1">+B16/B11*100</f>
        <v>7.5102040816326529E-2</v>
      </c>
      <c r="C25" s="158">
        <f t="shared" si="1"/>
        <v>0.12720000000000001</v>
      </c>
      <c r="D25" s="158">
        <f t="shared" si="1"/>
        <v>0.38339622641509435</v>
      </c>
      <c r="E25" s="158">
        <f t="shared" si="1"/>
        <v>0.41612903225806452</v>
      </c>
      <c r="F25" s="158">
        <f t="shared" si="1"/>
        <v>0.51805555555555549</v>
      </c>
      <c r="G25" s="158">
        <f t="shared" si="1"/>
        <v>0.52876254180602011</v>
      </c>
      <c r="H25" s="158">
        <f t="shared" si="1"/>
        <v>0.54565916398713832</v>
      </c>
      <c r="I25" s="158">
        <f t="shared" si="1"/>
        <v>0.50807453416149073</v>
      </c>
      <c r="J25" s="158">
        <f t="shared" si="1"/>
        <v>0.60865671641791042</v>
      </c>
      <c r="K25" s="158">
        <f t="shared" si="1"/>
        <v>0.5902298850574712</v>
      </c>
      <c r="L25" s="158">
        <f t="shared" si="1"/>
        <v>0.55020519835841319</v>
      </c>
      <c r="M25" s="158">
        <f t="shared" si="1"/>
        <v>0.56430096051227319</v>
      </c>
      <c r="N25" s="158">
        <f t="shared" si="1"/>
        <v>0.54863301787592023</v>
      </c>
      <c r="O25" s="317">
        <f t="shared" si="1"/>
        <v>0.45482233502538072</v>
      </c>
      <c r="P25" s="317">
        <f>+P16/P11*100</f>
        <v>0.55383462403197592</v>
      </c>
      <c r="Q25" s="318"/>
      <c r="R25" s="318"/>
      <c r="S25" s="34" t="s">
        <v>136</v>
      </c>
      <c r="T25" s="34"/>
      <c r="U25" s="34"/>
      <c r="V25" s="26"/>
      <c r="W25" s="26"/>
      <c r="X25" s="26"/>
      <c r="Y25" s="26"/>
      <c r="Z25" s="26"/>
      <c r="AA25" s="26"/>
      <c r="AB25" s="26"/>
      <c r="AC25" s="26"/>
      <c r="AD25" s="26"/>
      <c r="AE25" s="26"/>
    </row>
    <row r="26" spans="1:31" ht="15.75" customHeight="1">
      <c r="A26" s="35" t="s">
        <v>354</v>
      </c>
      <c r="B26" s="36"/>
      <c r="C26" s="36"/>
      <c r="D26" s="36"/>
      <c r="E26" s="36"/>
      <c r="F26" s="36"/>
      <c r="G26" s="159">
        <v>0.55400000000000005</v>
      </c>
      <c r="H26" s="159">
        <v>0.68300000000000005</v>
      </c>
      <c r="I26" s="159">
        <v>0.749</v>
      </c>
      <c r="J26" s="159">
        <v>0.751</v>
      </c>
      <c r="K26" s="159">
        <v>0.89800000000000002</v>
      </c>
      <c r="L26" s="159">
        <v>0.81</v>
      </c>
      <c r="M26" s="159">
        <v>0.79</v>
      </c>
      <c r="N26" s="67"/>
      <c r="O26" s="67"/>
      <c r="P26" s="67"/>
      <c r="Q26" s="67"/>
      <c r="R26" s="67"/>
      <c r="S26" s="34" t="s">
        <v>355</v>
      </c>
      <c r="T26" s="94" t="s">
        <v>356</v>
      </c>
      <c r="U26" s="34" t="s">
        <v>304</v>
      </c>
      <c r="V26" s="26"/>
      <c r="W26" s="26"/>
      <c r="X26" s="26"/>
      <c r="Y26" s="26"/>
      <c r="Z26" s="26"/>
      <c r="AA26" s="26"/>
      <c r="AB26" s="26"/>
      <c r="AC26" s="26"/>
      <c r="AD26" s="26"/>
      <c r="AE26" s="26"/>
    </row>
    <row r="27" spans="1:31" ht="15.75" customHeight="1">
      <c r="A27" s="35" t="s">
        <v>357</v>
      </c>
      <c r="B27" s="36"/>
      <c r="C27" s="36"/>
      <c r="D27" s="36"/>
      <c r="E27" s="36"/>
      <c r="F27" s="36"/>
      <c r="G27" s="69">
        <v>3.9571428571428577E-2</v>
      </c>
      <c r="H27" s="69">
        <v>4.8785714285714293E-2</v>
      </c>
      <c r="I27" s="69">
        <v>5.3499999999999999E-2</v>
      </c>
      <c r="J27" s="69">
        <v>5.3642857142857138E-2</v>
      </c>
      <c r="K27" s="69">
        <v>6.414285714285714E-2</v>
      </c>
      <c r="L27" s="69">
        <v>5.7857142857142864E-2</v>
      </c>
      <c r="M27" s="69">
        <v>0.02</v>
      </c>
      <c r="N27" s="67"/>
      <c r="O27" s="67"/>
      <c r="P27" s="67"/>
      <c r="Q27" s="67"/>
      <c r="R27" s="67"/>
      <c r="S27" s="34" t="s">
        <v>355</v>
      </c>
      <c r="T27" s="94" t="s">
        <v>356</v>
      </c>
      <c r="U27" s="34" t="s">
        <v>304</v>
      </c>
      <c r="V27" s="26"/>
      <c r="W27" s="26"/>
      <c r="X27" s="26"/>
      <c r="Y27" s="26"/>
      <c r="Z27" s="26"/>
      <c r="AA27" s="26"/>
      <c r="AB27" s="26"/>
      <c r="AC27" s="26"/>
      <c r="AD27" s="26"/>
      <c r="AE27" s="26"/>
    </row>
    <row r="28" spans="1:31" ht="15.75" customHeight="1">
      <c r="A28" s="45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160"/>
      <c r="M28" s="160"/>
      <c r="N28" s="160"/>
      <c r="O28" s="160"/>
      <c r="P28" s="160"/>
      <c r="Q28" s="247"/>
      <c r="R28" s="247"/>
      <c r="S28" s="49"/>
      <c r="T28" s="49"/>
      <c r="U28" s="130"/>
      <c r="V28" s="26"/>
      <c r="W28" s="26"/>
      <c r="X28" s="26"/>
      <c r="Y28" s="26"/>
      <c r="Z28" s="26"/>
      <c r="AA28" s="26"/>
      <c r="AB28" s="26"/>
      <c r="AC28" s="26"/>
      <c r="AD28" s="26"/>
      <c r="AE28" s="26"/>
    </row>
    <row r="29" spans="1:31" ht="15.75" customHeight="1">
      <c r="A29" s="201" t="s">
        <v>358</v>
      </c>
      <c r="B29" s="201">
        <v>2008</v>
      </c>
      <c r="C29" s="201">
        <v>2009</v>
      </c>
      <c r="D29" s="201">
        <v>2010</v>
      </c>
      <c r="E29" s="201">
        <v>2011</v>
      </c>
      <c r="F29" s="201">
        <v>2012</v>
      </c>
      <c r="G29" s="201">
        <v>2013</v>
      </c>
      <c r="H29" s="201">
        <v>2014</v>
      </c>
      <c r="I29" s="201">
        <v>2015</v>
      </c>
      <c r="J29" s="201">
        <v>2016</v>
      </c>
      <c r="K29" s="202">
        <v>2017</v>
      </c>
      <c r="L29" s="202">
        <v>2018</v>
      </c>
      <c r="M29" s="202">
        <v>2019</v>
      </c>
      <c r="N29" s="202">
        <v>2020</v>
      </c>
      <c r="O29" s="202">
        <v>2021</v>
      </c>
      <c r="P29" s="202">
        <v>2022</v>
      </c>
      <c r="Q29" s="202">
        <v>2023</v>
      </c>
      <c r="R29" s="202"/>
      <c r="S29" s="28" t="s">
        <v>301</v>
      </c>
      <c r="T29" s="29" t="s">
        <v>302</v>
      </c>
      <c r="U29" s="29" t="s">
        <v>23</v>
      </c>
      <c r="V29" s="30"/>
      <c r="W29" s="30"/>
      <c r="X29" s="30"/>
      <c r="Y29" s="30"/>
      <c r="Z29" s="30"/>
      <c r="AA29" s="30"/>
      <c r="AB29" s="30"/>
      <c r="AC29" s="30"/>
      <c r="AD29" s="30"/>
      <c r="AE29" s="30"/>
    </row>
    <row r="30" spans="1:31">
      <c r="A30" s="204" t="s">
        <v>359</v>
      </c>
      <c r="B30" s="261"/>
      <c r="C30" s="261"/>
      <c r="D30" s="261"/>
      <c r="E30" s="261"/>
      <c r="F30" s="261"/>
      <c r="G30" s="261"/>
      <c r="H30" s="213">
        <v>1.7</v>
      </c>
      <c r="I30" s="261"/>
      <c r="J30" s="261"/>
      <c r="K30" s="213">
        <v>2.0499999999999998</v>
      </c>
      <c r="L30" s="213">
        <v>2.0099999999999998</v>
      </c>
      <c r="M30" s="213">
        <v>2.11</v>
      </c>
      <c r="N30" s="321">
        <f t="shared" ref="N30:P30" si="2">N16</f>
        <v>2.0870000000000002</v>
      </c>
      <c r="O30" s="321">
        <f t="shared" si="2"/>
        <v>1.792</v>
      </c>
      <c r="P30" s="321">
        <f t="shared" si="2"/>
        <v>2.2169999999999996</v>
      </c>
      <c r="Q30" s="213">
        <v>2.1800000000000002</v>
      </c>
      <c r="R30" s="363"/>
      <c r="S30" s="155" t="s">
        <v>360</v>
      </c>
      <c r="T30" s="55" t="s">
        <v>514</v>
      </c>
      <c r="U30" s="34" t="s">
        <v>511</v>
      </c>
      <c r="V30" s="26"/>
      <c r="W30" s="26"/>
      <c r="X30" s="26"/>
      <c r="Y30" s="26"/>
      <c r="Z30" s="26"/>
      <c r="AA30" s="26"/>
      <c r="AB30" s="26"/>
      <c r="AC30" s="26"/>
      <c r="AD30" s="26"/>
      <c r="AE30" s="26"/>
    </row>
    <row r="31" spans="1:31">
      <c r="A31" s="204" t="s">
        <v>361</v>
      </c>
      <c r="B31" s="261"/>
      <c r="C31" s="261"/>
      <c r="D31" s="261"/>
      <c r="E31" s="261"/>
      <c r="F31" s="261"/>
      <c r="G31" s="261"/>
      <c r="H31" s="213">
        <v>10</v>
      </c>
      <c r="I31" s="261"/>
      <c r="J31" s="261"/>
      <c r="K31" s="213">
        <v>18.8</v>
      </c>
      <c r="L31" s="213">
        <v>18.2</v>
      </c>
      <c r="M31" s="213">
        <v>21.3</v>
      </c>
      <c r="N31" s="283">
        <v>18.7</v>
      </c>
      <c r="O31" s="213">
        <v>16.399999999999999</v>
      </c>
      <c r="P31" s="213">
        <v>17.899999999999999</v>
      </c>
      <c r="Q31" s="213">
        <v>10.6</v>
      </c>
      <c r="R31" s="363" t="s">
        <v>547</v>
      </c>
      <c r="S31" s="155" t="s">
        <v>360</v>
      </c>
      <c r="T31" s="55" t="s">
        <v>514</v>
      </c>
      <c r="U31" s="34" t="s">
        <v>511</v>
      </c>
      <c r="V31" s="26"/>
      <c r="W31" s="26"/>
      <c r="X31" s="26"/>
      <c r="Y31" s="26"/>
      <c r="Z31" s="26"/>
      <c r="AA31" s="26"/>
      <c r="AB31" s="26"/>
      <c r="AC31" s="26"/>
      <c r="AD31" s="26"/>
      <c r="AE31" s="26"/>
    </row>
    <row r="32" spans="1:31">
      <c r="A32" s="204" t="s">
        <v>362</v>
      </c>
      <c r="B32" s="261"/>
      <c r="C32" s="261"/>
      <c r="D32" s="261"/>
      <c r="E32" s="261"/>
      <c r="F32" s="261"/>
      <c r="G32" s="261"/>
      <c r="H32" s="213">
        <v>12.2</v>
      </c>
      <c r="I32" s="261"/>
      <c r="J32" s="261"/>
      <c r="K32" s="213">
        <v>10.3</v>
      </c>
      <c r="L32" s="213">
        <v>10.3</v>
      </c>
      <c r="M32" s="213">
        <v>13.9</v>
      </c>
      <c r="N32" s="283">
        <v>18.7</v>
      </c>
      <c r="O32" s="213">
        <v>18.899999999999999</v>
      </c>
      <c r="P32" s="213">
        <v>20.7</v>
      </c>
      <c r="Q32" s="213">
        <v>31</v>
      </c>
      <c r="R32" s="363" t="s">
        <v>547</v>
      </c>
      <c r="S32" s="155" t="s">
        <v>360</v>
      </c>
      <c r="T32" s="55" t="s">
        <v>514</v>
      </c>
      <c r="U32" s="34" t="s">
        <v>511</v>
      </c>
      <c r="V32" s="26"/>
      <c r="W32" s="26"/>
      <c r="X32" s="26"/>
      <c r="Y32" s="26"/>
      <c r="Z32" s="26"/>
      <c r="AA32" s="26"/>
      <c r="AB32" s="26"/>
      <c r="AC32" s="26"/>
      <c r="AD32" s="26"/>
      <c r="AE32" s="26"/>
    </row>
    <row r="33" spans="1:31">
      <c r="A33" s="204" t="s">
        <v>363</v>
      </c>
      <c r="B33" s="261"/>
      <c r="C33" s="261"/>
      <c r="D33" s="261"/>
      <c r="E33" s="261"/>
      <c r="F33" s="261"/>
      <c r="G33" s="261"/>
      <c r="H33" s="213">
        <v>13</v>
      </c>
      <c r="I33" s="261"/>
      <c r="J33" s="261"/>
      <c r="K33" s="213">
        <v>5</v>
      </c>
      <c r="L33" s="213">
        <v>7.2</v>
      </c>
      <c r="M33" s="213">
        <v>13.4</v>
      </c>
      <c r="N33" s="283">
        <v>13.5</v>
      </c>
      <c r="O33" s="213">
        <v>19.2</v>
      </c>
      <c r="P33" s="213">
        <v>4.5</v>
      </c>
      <c r="Q33" s="213">
        <v>4.5999999999999996</v>
      </c>
      <c r="R33" s="363" t="s">
        <v>547</v>
      </c>
      <c r="S33" s="155" t="s">
        <v>360</v>
      </c>
      <c r="T33" s="55" t="s">
        <v>514</v>
      </c>
      <c r="U33" s="34" t="s">
        <v>511</v>
      </c>
      <c r="V33" s="26"/>
      <c r="W33" s="26"/>
      <c r="X33" s="26"/>
      <c r="Y33" s="26"/>
      <c r="Z33" s="26"/>
      <c r="AA33" s="26"/>
      <c r="AB33" s="26"/>
      <c r="AC33" s="26"/>
      <c r="AD33" s="26"/>
      <c r="AE33" s="26"/>
    </row>
    <row r="34" spans="1:31">
      <c r="A34" s="204" t="s">
        <v>364</v>
      </c>
      <c r="B34" s="261"/>
      <c r="C34" s="261"/>
      <c r="D34" s="261"/>
      <c r="E34" s="261"/>
      <c r="F34" s="261"/>
      <c r="G34" s="261"/>
      <c r="H34" s="213">
        <v>11.8</v>
      </c>
      <c r="I34" s="261"/>
      <c r="J34" s="261"/>
      <c r="K34" s="213">
        <v>9.6999999999999993</v>
      </c>
      <c r="L34" s="213">
        <v>9.5</v>
      </c>
      <c r="M34" s="213">
        <v>11.8</v>
      </c>
      <c r="N34" s="283">
        <v>10.5</v>
      </c>
      <c r="O34" s="213">
        <v>9.5</v>
      </c>
      <c r="P34" s="213">
        <v>14.8</v>
      </c>
      <c r="Q34" s="213">
        <v>12.3</v>
      </c>
      <c r="R34" s="363" t="s">
        <v>548</v>
      </c>
      <c r="S34" s="155" t="s">
        <v>360</v>
      </c>
      <c r="T34" s="55" t="s">
        <v>514</v>
      </c>
      <c r="U34" s="34" t="s">
        <v>511</v>
      </c>
      <c r="V34" s="26"/>
      <c r="W34" s="26"/>
      <c r="X34" s="26"/>
      <c r="Y34" s="26"/>
      <c r="Z34" s="26"/>
      <c r="AA34" s="26"/>
      <c r="AB34" s="26"/>
      <c r="AC34" s="26"/>
      <c r="AD34" s="26"/>
      <c r="AE34" s="26"/>
    </row>
    <row r="35" spans="1:31">
      <c r="A35" s="204" t="s">
        <v>365</v>
      </c>
      <c r="B35" s="261"/>
      <c r="C35" s="261"/>
      <c r="D35" s="261"/>
      <c r="E35" s="261"/>
      <c r="F35" s="261"/>
      <c r="G35" s="261"/>
      <c r="H35" s="213">
        <v>5.5</v>
      </c>
      <c r="I35" s="261"/>
      <c r="J35" s="261"/>
      <c r="K35" s="213">
        <v>11.9</v>
      </c>
      <c r="L35" s="213">
        <v>11.6</v>
      </c>
      <c r="M35" s="213">
        <v>11.6</v>
      </c>
      <c r="N35" s="283">
        <v>11.9</v>
      </c>
      <c r="O35" s="213">
        <v>9.1</v>
      </c>
      <c r="P35" s="213">
        <v>11.1</v>
      </c>
      <c r="Q35" s="213">
        <v>18.3</v>
      </c>
      <c r="R35" s="363" t="s">
        <v>548</v>
      </c>
      <c r="S35" s="155" t="s">
        <v>360</v>
      </c>
      <c r="T35" s="55" t="s">
        <v>514</v>
      </c>
      <c r="U35" s="34" t="s">
        <v>511</v>
      </c>
      <c r="V35" s="26"/>
      <c r="W35" s="26"/>
      <c r="X35" s="26"/>
      <c r="Y35" s="26"/>
      <c r="Z35" s="26"/>
      <c r="AA35" s="26"/>
      <c r="AB35" s="26"/>
      <c r="AC35" s="26"/>
      <c r="AD35" s="26"/>
      <c r="AE35" s="26"/>
    </row>
    <row r="36" spans="1:31">
      <c r="A36" s="204" t="s">
        <v>366</v>
      </c>
      <c r="B36" s="261"/>
      <c r="C36" s="261"/>
      <c r="D36" s="261"/>
      <c r="E36" s="261"/>
      <c r="F36" s="261"/>
      <c r="G36" s="261"/>
      <c r="H36" s="213">
        <v>35.4</v>
      </c>
      <c r="I36" s="261"/>
      <c r="J36" s="261"/>
      <c r="K36" s="213">
        <v>26.3</v>
      </c>
      <c r="L36" s="213">
        <v>26.6</v>
      </c>
      <c r="M36" s="213">
        <v>9.8000000000000007</v>
      </c>
      <c r="N36" s="283">
        <v>7.8</v>
      </c>
      <c r="O36" s="213">
        <v>6.2</v>
      </c>
      <c r="P36" s="213">
        <v>4.2</v>
      </c>
      <c r="Q36" s="213">
        <v>2.2000000000000002</v>
      </c>
      <c r="R36" s="363" t="s">
        <v>548</v>
      </c>
      <c r="S36" s="155" t="s">
        <v>360</v>
      </c>
      <c r="T36" s="55" t="s">
        <v>514</v>
      </c>
      <c r="U36" s="34" t="s">
        <v>511</v>
      </c>
      <c r="V36" s="26"/>
      <c r="W36" s="26"/>
      <c r="X36" s="26"/>
      <c r="Y36" s="26"/>
      <c r="Z36" s="26"/>
      <c r="AA36" s="26"/>
      <c r="AB36" s="26"/>
      <c r="AC36" s="26"/>
      <c r="AD36" s="26"/>
      <c r="AE36" s="26"/>
    </row>
    <row r="37" spans="1:31">
      <c r="A37" s="204" t="s">
        <v>367</v>
      </c>
      <c r="B37" s="261"/>
      <c r="C37" s="261"/>
      <c r="D37" s="261"/>
      <c r="E37" s="261"/>
      <c r="F37" s="261"/>
      <c r="G37" s="261"/>
      <c r="H37" s="213">
        <v>7.1</v>
      </c>
      <c r="I37" s="261"/>
      <c r="J37" s="261"/>
      <c r="K37" s="261"/>
      <c r="L37" s="213">
        <v>9.1999999999999993</v>
      </c>
      <c r="M37" s="213">
        <v>9.1999999999999993</v>
      </c>
      <c r="N37" s="283">
        <v>9.1999999999999993</v>
      </c>
      <c r="O37" s="213">
        <v>8.1</v>
      </c>
      <c r="P37" s="213">
        <v>13.3</v>
      </c>
      <c r="Q37" s="213">
        <v>13.5</v>
      </c>
      <c r="R37" s="363" t="s">
        <v>548</v>
      </c>
      <c r="S37" s="155" t="s">
        <v>360</v>
      </c>
      <c r="T37" s="55" t="s">
        <v>514</v>
      </c>
      <c r="U37" s="34" t="s">
        <v>511</v>
      </c>
      <c r="V37" s="26"/>
      <c r="W37" s="26"/>
      <c r="X37" s="26"/>
      <c r="Y37" s="26"/>
      <c r="Z37" s="26"/>
      <c r="AA37" s="26"/>
      <c r="AB37" s="26"/>
      <c r="AC37" s="26"/>
      <c r="AD37" s="26"/>
      <c r="AE37" s="26"/>
    </row>
    <row r="38" spans="1:31">
      <c r="A38" s="204" t="s">
        <v>368</v>
      </c>
      <c r="B38" s="261"/>
      <c r="C38" s="261"/>
      <c r="D38" s="261"/>
      <c r="E38" s="261"/>
      <c r="F38" s="261"/>
      <c r="G38" s="261"/>
      <c r="H38" s="213">
        <v>1.6</v>
      </c>
      <c r="I38" s="261"/>
      <c r="J38" s="261"/>
      <c r="K38" s="213">
        <v>4.9000000000000004</v>
      </c>
      <c r="L38" s="213">
        <v>4.5999999999999996</v>
      </c>
      <c r="M38" s="213">
        <v>4.3</v>
      </c>
      <c r="N38" s="283">
        <v>4.0999999999999996</v>
      </c>
      <c r="O38" s="213">
        <v>3.5</v>
      </c>
      <c r="P38" s="213">
        <v>0.9</v>
      </c>
      <c r="Q38" s="213">
        <v>0.9</v>
      </c>
      <c r="R38" s="363" t="s">
        <v>547</v>
      </c>
      <c r="S38" s="155" t="s">
        <v>360</v>
      </c>
      <c r="T38" s="55" t="s">
        <v>514</v>
      </c>
      <c r="U38" s="34" t="s">
        <v>511</v>
      </c>
      <c r="V38" s="26"/>
      <c r="W38" s="26"/>
      <c r="X38" s="26"/>
      <c r="Y38" s="26"/>
      <c r="Z38" s="26"/>
      <c r="AA38" s="26"/>
      <c r="AB38" s="26"/>
      <c r="AC38" s="26"/>
      <c r="AD38" s="26"/>
      <c r="AE38" s="26"/>
    </row>
    <row r="39" spans="1:31">
      <c r="A39" s="204" t="s">
        <v>369</v>
      </c>
      <c r="B39" s="261"/>
      <c r="C39" s="261"/>
      <c r="D39" s="261"/>
      <c r="E39" s="261"/>
      <c r="F39" s="261"/>
      <c r="G39" s="261"/>
      <c r="H39" s="213">
        <v>1.4</v>
      </c>
      <c r="I39" s="261"/>
      <c r="J39" s="261"/>
      <c r="K39" s="213">
        <v>10.7</v>
      </c>
      <c r="L39" s="213">
        <v>1.4</v>
      </c>
      <c r="M39" s="213">
        <v>2.6</v>
      </c>
      <c r="N39" s="283">
        <v>2.5</v>
      </c>
      <c r="O39" s="213">
        <v>1</v>
      </c>
      <c r="P39" s="213">
        <v>1.1000000000000001</v>
      </c>
      <c r="Q39" s="213">
        <v>1.1000000000000001</v>
      </c>
      <c r="R39" s="363" t="s">
        <v>548</v>
      </c>
      <c r="S39" s="320" t="s">
        <v>360</v>
      </c>
      <c r="T39" s="55" t="s">
        <v>514</v>
      </c>
      <c r="U39" s="34" t="s">
        <v>511</v>
      </c>
      <c r="V39" s="26"/>
      <c r="W39" s="26"/>
      <c r="X39" s="26"/>
      <c r="Y39" s="26"/>
      <c r="Z39" s="26"/>
      <c r="AA39" s="26"/>
      <c r="AB39" s="26"/>
      <c r="AC39" s="26"/>
      <c r="AD39" s="26"/>
      <c r="AE39" s="26"/>
    </row>
    <row r="40" spans="1:31">
      <c r="A40" s="204" t="s">
        <v>370</v>
      </c>
      <c r="B40" s="261"/>
      <c r="C40" s="261"/>
      <c r="D40" s="261"/>
      <c r="E40" s="261"/>
      <c r="F40" s="261"/>
      <c r="G40" s="261"/>
      <c r="H40" s="213">
        <v>2</v>
      </c>
      <c r="I40" s="261"/>
      <c r="J40" s="261"/>
      <c r="K40" s="213">
        <v>2.4</v>
      </c>
      <c r="L40" s="213">
        <v>1.4</v>
      </c>
      <c r="M40" s="213">
        <v>1.2</v>
      </c>
      <c r="N40" s="283">
        <v>1.7</v>
      </c>
      <c r="O40" s="213">
        <v>1.8</v>
      </c>
      <c r="P40" s="213">
        <v>3.9</v>
      </c>
      <c r="Q40" s="213">
        <v>4.8</v>
      </c>
      <c r="R40" s="363" t="s">
        <v>547</v>
      </c>
      <c r="S40" s="155" t="s">
        <v>360</v>
      </c>
      <c r="T40" s="55" t="s">
        <v>514</v>
      </c>
      <c r="U40" s="34" t="s">
        <v>511</v>
      </c>
      <c r="V40" s="26"/>
      <c r="W40" s="26"/>
      <c r="X40" s="26"/>
      <c r="Y40" s="26"/>
      <c r="Z40" s="26"/>
      <c r="AA40" s="26"/>
      <c r="AB40" s="26"/>
      <c r="AC40" s="26"/>
      <c r="AD40" s="26"/>
      <c r="AE40" s="26"/>
    </row>
    <row r="41" spans="1:31">
      <c r="A41" s="322" t="s">
        <v>371</v>
      </c>
      <c r="B41" s="323"/>
      <c r="C41" s="323"/>
      <c r="D41" s="323"/>
      <c r="E41" s="323"/>
      <c r="F41" s="261"/>
      <c r="G41" s="261"/>
      <c r="H41" s="213">
        <v>0</v>
      </c>
      <c r="I41" s="323"/>
      <c r="J41" s="261"/>
      <c r="K41" s="213">
        <v>0</v>
      </c>
      <c r="L41" s="213">
        <v>0</v>
      </c>
      <c r="M41" s="213">
        <v>0.9</v>
      </c>
      <c r="N41" s="283">
        <v>1.4</v>
      </c>
      <c r="O41" s="213">
        <v>1.9</v>
      </c>
      <c r="P41" s="213">
        <v>3.9</v>
      </c>
      <c r="Q41" s="213">
        <v>0.5</v>
      </c>
      <c r="R41" s="363" t="s">
        <v>548</v>
      </c>
      <c r="S41" s="320" t="s">
        <v>360</v>
      </c>
      <c r="T41" s="55" t="s">
        <v>514</v>
      </c>
      <c r="U41" s="34" t="s">
        <v>511</v>
      </c>
      <c r="V41" s="26"/>
      <c r="W41" s="26"/>
      <c r="X41" s="26"/>
      <c r="Y41" s="26"/>
      <c r="Z41" s="26"/>
      <c r="AA41" s="26"/>
      <c r="AB41" s="26"/>
      <c r="AC41" s="26"/>
      <c r="AD41" s="26"/>
      <c r="AE41" s="26"/>
    </row>
    <row r="42" spans="1:31" ht="15.75" customHeight="1">
      <c r="A42" s="26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>
        <f>SUM(Q31:Q41)</f>
        <v>99.8</v>
      </c>
      <c r="R42" s="30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spans="1:31" ht="15.75" customHeight="1">
      <c r="A43" s="26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</row>
    <row r="44" spans="1:31" ht="15.75" customHeight="1">
      <c r="A44" s="26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</row>
    <row r="45" spans="1:31" ht="15.75" customHeight="1">
      <c r="A45" s="26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</row>
    <row r="46" spans="1:31" ht="15.75" customHeight="1">
      <c r="A46" s="26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</row>
    <row r="47" spans="1:31" ht="15.75" customHeight="1">
      <c r="A47" s="26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</row>
    <row r="48" spans="1:31" ht="15.75" customHeight="1">
      <c r="A48" s="26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</row>
    <row r="49" spans="1:31" ht="15.75" customHeight="1">
      <c r="A49" s="26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</row>
    <row r="50" spans="1:31" ht="15.75" customHeight="1">
      <c r="A50" s="26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</row>
    <row r="51" spans="1:31" ht="15.75" customHeight="1">
      <c r="A51" s="2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</row>
    <row r="52" spans="1:31" ht="15.75" customHeight="1">
      <c r="A52" s="26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</row>
    <row r="53" spans="1:31" ht="15.75" customHeight="1">
      <c r="A53" s="26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</row>
    <row r="54" spans="1:31" ht="15.75" customHeight="1">
      <c r="A54" s="26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</row>
    <row r="55" spans="1:31" ht="15.75" customHeight="1">
      <c r="A55" s="26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</row>
    <row r="56" spans="1:31" ht="15.75" customHeight="1">
      <c r="A56" s="26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</row>
    <row r="57" spans="1:31" ht="15.75" customHeight="1">
      <c r="A57" s="26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</row>
    <row r="58" spans="1:31" ht="15.75" customHeight="1">
      <c r="A58" s="26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</row>
    <row r="59" spans="1:31" ht="15.75" customHeight="1">
      <c r="A59" s="26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</row>
    <row r="60" spans="1:31" ht="15.75" customHeight="1">
      <c r="A60" s="26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</row>
    <row r="61" spans="1:31" ht="15.75" customHeight="1">
      <c r="A61" s="26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</row>
    <row r="62" spans="1:31" ht="15.75" customHeight="1">
      <c r="A62" s="26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 spans="1:31" ht="15.75" customHeight="1">
      <c r="A63" s="26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</row>
    <row r="64" spans="1:31" ht="15.75" customHeight="1">
      <c r="A64" s="26"/>
      <c r="B64" s="30"/>
      <c r="C64" s="324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</row>
    <row r="65" spans="1:31" ht="15.75" customHeight="1">
      <c r="A65" s="26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</row>
    <row r="66" spans="1:31" ht="15.75" customHeight="1">
      <c r="A66" s="26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</row>
    <row r="67" spans="1:31" ht="15.75" customHeight="1">
      <c r="A67" s="26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</row>
    <row r="68" spans="1:31" ht="15.75" customHeight="1">
      <c r="A68" s="26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</row>
    <row r="69" spans="1:31" ht="15.75" customHeight="1">
      <c r="A69" s="26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</row>
    <row r="70" spans="1:31" ht="15.75" customHeight="1">
      <c r="A70" s="26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</row>
    <row r="71" spans="1:31" ht="15.75" customHeight="1">
      <c r="A71" s="26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</row>
    <row r="72" spans="1:31" ht="15.75" customHeight="1">
      <c r="A72" s="26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</row>
    <row r="73" spans="1:31" ht="15.75" customHeight="1">
      <c r="A73" s="26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</row>
    <row r="74" spans="1:31" ht="15.75" customHeight="1">
      <c r="A74" s="26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</row>
    <row r="75" spans="1:31" ht="15.75" customHeight="1">
      <c r="A75" s="26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</row>
    <row r="76" spans="1:31" ht="15.75" customHeight="1">
      <c r="A76" s="26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</row>
    <row r="77" spans="1:31" ht="15.75" customHeight="1">
      <c r="A77" s="26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</row>
    <row r="78" spans="1:31" ht="15.75" customHeight="1">
      <c r="A78" s="26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</row>
    <row r="79" spans="1:31" ht="15.75" customHeight="1">
      <c r="A79" s="26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</row>
    <row r="80" spans="1:31" ht="15.75" customHeight="1">
      <c r="A80" s="26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</row>
    <row r="81" spans="1:31" ht="15.75" customHeight="1">
      <c r="A81" s="26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</row>
    <row r="82" spans="1:31" ht="15.75" customHeight="1">
      <c r="A82" s="2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</row>
    <row r="83" spans="1:31" ht="15.75" customHeight="1">
      <c r="A83" s="26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</row>
    <row r="84" spans="1:31" ht="15.75" customHeight="1">
      <c r="A84" s="26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</row>
    <row r="85" spans="1:31" ht="15.75" customHeight="1">
      <c r="A85" s="2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</row>
    <row r="86" spans="1:31" ht="15.75" customHeight="1">
      <c r="A86" s="26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</row>
    <row r="87" spans="1:31" ht="15.75" customHeight="1">
      <c r="A87" s="2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</row>
    <row r="88" spans="1:31" ht="15.75" customHeight="1">
      <c r="A88" s="26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</row>
    <row r="89" spans="1:31" ht="15.75" customHeight="1">
      <c r="A89" s="26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</row>
    <row r="90" spans="1:31" ht="15.75" customHeight="1">
      <c r="A90" s="26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</row>
    <row r="91" spans="1:31" ht="15.75" customHeight="1">
      <c r="A91" s="2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</row>
    <row r="92" spans="1:31" ht="15.75" customHeight="1">
      <c r="A92" s="26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</row>
    <row r="93" spans="1:31" ht="15.75" customHeight="1">
      <c r="A93" s="26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</row>
    <row r="94" spans="1:31" ht="15.75" customHeight="1">
      <c r="A94" s="2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</row>
    <row r="95" spans="1:31" ht="15.75" customHeight="1">
      <c r="A95" s="26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</row>
    <row r="96" spans="1:31" ht="15.75" customHeight="1">
      <c r="A96" s="2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</row>
    <row r="97" spans="1:31" ht="15.75" customHeight="1">
      <c r="A97" s="26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</row>
    <row r="98" spans="1:31" ht="15.75" customHeight="1">
      <c r="A98" s="2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</row>
    <row r="99" spans="1:31" ht="15.75" customHeight="1">
      <c r="A99" s="26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</row>
    <row r="100" spans="1:31" ht="15.75" customHeight="1">
      <c r="A100" s="2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</row>
    <row r="101" spans="1:31" ht="15.75" customHeight="1">
      <c r="A101" s="26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</row>
    <row r="102" spans="1:31" ht="15.75" customHeight="1">
      <c r="A102" s="26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</row>
    <row r="103" spans="1:31" ht="15.75" customHeight="1">
      <c r="A103" s="26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</row>
    <row r="104" spans="1:31" ht="15.75" customHeight="1">
      <c r="A104" s="26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</row>
    <row r="105" spans="1:31" ht="15.75" customHeight="1">
      <c r="A105" s="26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</row>
    <row r="106" spans="1:31" ht="15.75" customHeight="1">
      <c r="A106" s="26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</row>
    <row r="107" spans="1:31" ht="15.75" customHeight="1">
      <c r="A107" s="26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</row>
    <row r="108" spans="1:31" ht="15.75" customHeight="1">
      <c r="A108" s="26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</row>
    <row r="109" spans="1:31" ht="15.75" customHeight="1">
      <c r="A109" s="26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</row>
    <row r="110" spans="1:31" ht="15.75" customHeight="1">
      <c r="A110" s="26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</row>
    <row r="111" spans="1:31" ht="15.75" customHeight="1">
      <c r="A111" s="26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</row>
    <row r="112" spans="1:31" ht="15.75" customHeight="1">
      <c r="A112" s="26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</row>
    <row r="113" spans="1:31" ht="15.75" customHeight="1">
      <c r="A113" s="26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</row>
    <row r="114" spans="1:31" ht="15.75" customHeight="1">
      <c r="A114" s="26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</row>
    <row r="115" spans="1:31" ht="15.75" customHeight="1">
      <c r="A115" s="26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</row>
    <row r="116" spans="1:31" ht="15.75" customHeight="1">
      <c r="A116" s="26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</row>
    <row r="117" spans="1:31" ht="15.75" customHeight="1">
      <c r="A117" s="26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</row>
    <row r="118" spans="1:31" ht="15.75" customHeight="1">
      <c r="A118" s="26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</row>
    <row r="119" spans="1:31" ht="15.75" customHeight="1">
      <c r="A119" s="26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</row>
    <row r="120" spans="1:31" ht="15.75" customHeight="1">
      <c r="A120" s="26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</row>
    <row r="121" spans="1:31" ht="15.75" customHeight="1">
      <c r="A121" s="26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</row>
    <row r="122" spans="1:31" ht="15.75" customHeight="1">
      <c r="A122" s="26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</row>
    <row r="123" spans="1:31" ht="15.75" customHeight="1">
      <c r="A123" s="26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</row>
    <row r="124" spans="1:31" ht="15.75" customHeight="1">
      <c r="A124" s="26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</row>
    <row r="125" spans="1:31" ht="15.75" customHeight="1">
      <c r="A125" s="26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</row>
    <row r="126" spans="1:31" ht="15.75" customHeight="1">
      <c r="A126" s="26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</row>
    <row r="127" spans="1:31" ht="15.75" customHeight="1">
      <c r="A127" s="26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</row>
    <row r="128" spans="1:31" ht="15.75" customHeight="1">
      <c r="A128" s="26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</row>
    <row r="129" spans="1:31" ht="15.75" customHeight="1">
      <c r="A129" s="26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</row>
    <row r="130" spans="1:31" ht="15.75" customHeight="1">
      <c r="A130" s="26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</row>
    <row r="131" spans="1:31" ht="15.75" customHeight="1">
      <c r="A131" s="26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</row>
    <row r="132" spans="1:31" ht="15.75" customHeight="1">
      <c r="A132" s="26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</row>
    <row r="133" spans="1:31" ht="15.75" customHeight="1">
      <c r="A133" s="26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</row>
    <row r="134" spans="1:31" ht="15.75" customHeight="1">
      <c r="A134" s="26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</row>
    <row r="135" spans="1:31" ht="15.75" customHeight="1">
      <c r="A135" s="26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</row>
    <row r="136" spans="1:31" ht="15.75" customHeight="1">
      <c r="A136" s="26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</row>
    <row r="137" spans="1:31" ht="15.75" customHeight="1">
      <c r="A137" s="26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</row>
    <row r="138" spans="1:31" ht="15.75" customHeight="1">
      <c r="A138" s="26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</row>
    <row r="139" spans="1:31" ht="15.75" customHeight="1">
      <c r="A139" s="26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</row>
    <row r="140" spans="1:31" ht="15.75" customHeight="1">
      <c r="A140" s="26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</row>
    <row r="141" spans="1:31" ht="15.75" customHeight="1">
      <c r="A141" s="26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</row>
    <row r="142" spans="1:31" ht="15.75" customHeight="1">
      <c r="A142" s="26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</row>
    <row r="143" spans="1:31" ht="15.75" customHeight="1">
      <c r="A143" s="26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</row>
    <row r="144" spans="1:31" ht="15.75" customHeight="1">
      <c r="A144" s="26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</row>
    <row r="145" spans="1:31" ht="15.75" customHeight="1">
      <c r="A145" s="2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</row>
    <row r="146" spans="1:31" ht="15.75" customHeight="1">
      <c r="A146" s="2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</row>
    <row r="147" spans="1:31" ht="15.75" customHeight="1">
      <c r="A147" s="26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</row>
    <row r="148" spans="1:31" ht="15.75" customHeight="1">
      <c r="A148" s="26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</row>
    <row r="149" spans="1:31" ht="15.75" customHeight="1">
      <c r="A149" s="26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</row>
    <row r="150" spans="1:31" ht="15.75" customHeight="1">
      <c r="A150" s="26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</row>
    <row r="151" spans="1:31" ht="15.75" customHeight="1">
      <c r="A151" s="26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</row>
    <row r="152" spans="1:31" ht="15.75" customHeight="1">
      <c r="A152" s="26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</row>
    <row r="153" spans="1:31" ht="15.75" customHeight="1">
      <c r="A153" s="26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</row>
    <row r="154" spans="1:31" ht="15.75" customHeight="1">
      <c r="A154" s="26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</row>
    <row r="155" spans="1:31" ht="15.75" customHeight="1">
      <c r="A155" s="26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</row>
    <row r="156" spans="1:31" ht="15.75" customHeight="1">
      <c r="A156" s="26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</row>
    <row r="157" spans="1:31" ht="15.75" customHeight="1">
      <c r="A157" s="26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</row>
    <row r="158" spans="1:31" ht="15.75" customHeight="1">
      <c r="A158" s="26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</row>
    <row r="159" spans="1:31" ht="15.75" customHeight="1">
      <c r="A159" s="26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</row>
    <row r="160" spans="1:31" ht="15.75" customHeight="1">
      <c r="A160" s="26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</row>
    <row r="161" spans="1:31" ht="15.75" customHeight="1">
      <c r="A161" s="26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</row>
    <row r="162" spans="1:31" ht="15.75" customHeight="1">
      <c r="A162" s="26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</row>
    <row r="163" spans="1:31" ht="15.75" customHeight="1">
      <c r="A163" s="26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</row>
    <row r="164" spans="1:31" ht="15.75" customHeight="1">
      <c r="A164" s="26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</row>
    <row r="165" spans="1:31" ht="15.75" customHeight="1">
      <c r="A165" s="26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</row>
    <row r="166" spans="1:31" ht="15.75" customHeight="1">
      <c r="A166" s="26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</row>
    <row r="167" spans="1:31" ht="15.75" customHeight="1">
      <c r="A167" s="26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</row>
    <row r="168" spans="1:31" ht="15.75" customHeight="1">
      <c r="A168" s="2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</row>
    <row r="169" spans="1:31" ht="15.75" customHeight="1">
      <c r="A169" s="26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</row>
    <row r="170" spans="1:31" ht="15.75" customHeight="1">
      <c r="A170" s="2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</row>
    <row r="171" spans="1:31" ht="15.75" customHeight="1">
      <c r="A171" s="26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</row>
    <row r="172" spans="1:31" ht="15.75" customHeight="1">
      <c r="A172" s="26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</row>
    <row r="173" spans="1:31" ht="15.75" customHeight="1">
      <c r="A173" s="26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</row>
    <row r="174" spans="1:31" ht="15.75" customHeight="1">
      <c r="A174" s="26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</row>
    <row r="175" spans="1:31" ht="15.75" customHeight="1">
      <c r="A175" s="26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</row>
    <row r="176" spans="1:31" ht="15.75" customHeight="1">
      <c r="A176" s="26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</row>
    <row r="177" spans="1:31" ht="15.75" customHeight="1">
      <c r="A177" s="26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</row>
    <row r="178" spans="1:31" ht="15.75" customHeight="1">
      <c r="A178" s="26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</row>
    <row r="179" spans="1:31" ht="15.75" customHeight="1">
      <c r="A179" s="26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</row>
    <row r="180" spans="1:31" ht="15.75" customHeight="1">
      <c r="A180" s="26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</row>
    <row r="181" spans="1:31" ht="15.75" customHeight="1">
      <c r="A181" s="26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</row>
    <row r="182" spans="1:31" ht="15.75" customHeight="1">
      <c r="A182" s="26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</row>
    <row r="183" spans="1:31" ht="15.75" customHeight="1">
      <c r="A183" s="26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</row>
    <row r="184" spans="1:31" ht="15.75" customHeight="1">
      <c r="A184" s="26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</row>
    <row r="185" spans="1:31" ht="15.75" customHeight="1">
      <c r="A185" s="26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</row>
    <row r="186" spans="1:31" ht="15.75" customHeight="1">
      <c r="A186" s="26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</row>
    <row r="187" spans="1:31" ht="15.75" customHeight="1">
      <c r="A187" s="26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</row>
    <row r="188" spans="1:31" ht="15.75" customHeight="1">
      <c r="A188" s="26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</row>
    <row r="189" spans="1:31" ht="15.75" customHeight="1">
      <c r="A189" s="26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</row>
    <row r="190" spans="1:31" ht="15.75" customHeight="1">
      <c r="A190" s="26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</row>
    <row r="191" spans="1:31" ht="15.75" customHeight="1">
      <c r="A191" s="26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</row>
    <row r="192" spans="1:31" ht="15.75" customHeight="1">
      <c r="A192" s="26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</row>
    <row r="193" spans="1:31" ht="15.75" customHeight="1">
      <c r="A193" s="26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</row>
    <row r="194" spans="1:31" ht="15.75" customHeight="1">
      <c r="A194" s="26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</row>
    <row r="195" spans="1:31" ht="15.75" customHeight="1">
      <c r="A195" s="26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</row>
    <row r="196" spans="1:31" ht="15.75" customHeight="1">
      <c r="A196" s="26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</row>
    <row r="197" spans="1:31" ht="15.75" customHeight="1">
      <c r="A197" s="26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</row>
    <row r="198" spans="1:31" ht="15.75" customHeight="1">
      <c r="A198" s="26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</row>
    <row r="199" spans="1:31" ht="15.75" customHeight="1">
      <c r="A199" s="26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</row>
    <row r="200" spans="1:31" ht="15.75" customHeight="1">
      <c r="A200" s="26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</row>
    <row r="201" spans="1:31" ht="15.75" customHeight="1">
      <c r="A201" s="26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</row>
    <row r="202" spans="1:31" ht="15.75" customHeight="1">
      <c r="A202" s="26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</row>
    <row r="203" spans="1:31" ht="15.75" customHeight="1">
      <c r="A203" s="26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</row>
    <row r="204" spans="1:31" ht="15.75" customHeight="1">
      <c r="A204" s="26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</row>
    <row r="205" spans="1:31" ht="15.75" customHeight="1">
      <c r="A205" s="26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</row>
    <row r="206" spans="1:31" ht="15.75" customHeight="1">
      <c r="A206" s="26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</row>
    <row r="207" spans="1:31" ht="15.75" customHeight="1">
      <c r="A207" s="26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</row>
    <row r="208" spans="1:31" ht="15.75" customHeight="1">
      <c r="A208" s="26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</row>
    <row r="209" spans="1:31" ht="15.75" customHeight="1">
      <c r="A209" s="26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</row>
    <row r="210" spans="1:31" ht="15.75" customHeight="1">
      <c r="A210" s="26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</row>
    <row r="211" spans="1:31" ht="15.75" customHeight="1">
      <c r="A211" s="26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</row>
    <row r="212" spans="1:31" ht="15.75" customHeight="1">
      <c r="A212" s="26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</row>
    <row r="213" spans="1:31" ht="15.75" customHeight="1">
      <c r="A213" s="26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</row>
    <row r="214" spans="1:31" ht="15.75" customHeight="1">
      <c r="A214" s="26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</row>
    <row r="215" spans="1:31" ht="15.75" customHeight="1">
      <c r="A215" s="26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</row>
    <row r="216" spans="1:31" ht="15.75" customHeight="1">
      <c r="A216" s="26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</row>
    <row r="217" spans="1:31" ht="15.75" customHeight="1">
      <c r="A217" s="26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</row>
    <row r="218" spans="1:31" ht="15.75" customHeight="1">
      <c r="A218" s="26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</row>
    <row r="219" spans="1:31" ht="15.75" customHeight="1">
      <c r="A219" s="26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</row>
    <row r="220" spans="1:31" ht="15.75" customHeight="1">
      <c r="A220" s="26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</row>
    <row r="221" spans="1:31" ht="15.75" customHeight="1">
      <c r="A221" s="26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</row>
    <row r="222" spans="1:31" ht="15.75" customHeight="1">
      <c r="A222" s="26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</row>
    <row r="223" spans="1:31" ht="15.75" customHeight="1">
      <c r="A223" s="26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</row>
    <row r="224" spans="1:31" ht="15.75" customHeight="1">
      <c r="A224" s="26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</row>
    <row r="225" spans="1:31" ht="15.75" customHeight="1">
      <c r="A225" s="26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</row>
    <row r="226" spans="1:31" ht="15.75" customHeight="1">
      <c r="A226" s="26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</row>
    <row r="227" spans="1:31" ht="15.75" customHeight="1">
      <c r="A227" s="26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</row>
    <row r="228" spans="1:31" ht="15.75" customHeight="1">
      <c r="A228" s="26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</row>
    <row r="229" spans="1:31" ht="15.75" customHeight="1">
      <c r="A229" s="26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</row>
    <row r="230" spans="1:31" ht="15.75" customHeight="1">
      <c r="A230" s="26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</row>
    <row r="231" spans="1:31" ht="15.75" customHeight="1">
      <c r="A231" s="26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</row>
    <row r="232" spans="1:31" ht="15.75" customHeight="1">
      <c r="A232" s="26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</row>
    <row r="233" spans="1:31" ht="15.75" customHeight="1">
      <c r="A233" s="26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</row>
    <row r="234" spans="1:31" ht="15.75" customHeight="1">
      <c r="A234" s="26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</row>
    <row r="235" spans="1:31" ht="15.75" customHeight="1">
      <c r="A235" s="26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</row>
    <row r="236" spans="1:31" ht="15.75" customHeight="1">
      <c r="A236" s="26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</row>
    <row r="237" spans="1:31" ht="15.75" customHeight="1">
      <c r="A237" s="26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</row>
    <row r="238" spans="1:31" ht="15.75" customHeight="1">
      <c r="A238" s="26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</row>
    <row r="239" spans="1:31" ht="15.75" customHeight="1">
      <c r="A239" s="26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</row>
    <row r="240" spans="1:31" ht="15.75" customHeight="1">
      <c r="A240" s="26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</row>
    <row r="241" spans="1:31" ht="15.75" customHeight="1">
      <c r="A241" s="26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</row>
    <row r="242" spans="1:31" ht="15.75" customHeight="1">
      <c r="A242" s="26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</row>
    <row r="243" spans="1:31" ht="15.75" customHeight="1">
      <c r="A243" s="26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</row>
    <row r="244" spans="1:31" ht="15.75" customHeight="1">
      <c r="A244" s="26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</row>
    <row r="245" spans="1:31" ht="15.75" customHeight="1">
      <c r="A245" s="26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</row>
    <row r="246" spans="1:31" ht="15.75" customHeight="1">
      <c r="A246" s="26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</row>
    <row r="247" spans="1:31" ht="15.75" customHeight="1">
      <c r="A247" s="26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</row>
    <row r="248" spans="1:31" ht="15.75" customHeight="1">
      <c r="A248" s="26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</row>
    <row r="249" spans="1:31" ht="15.75" customHeight="1">
      <c r="A249" s="26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</row>
    <row r="250" spans="1:31" ht="15.75" customHeight="1">
      <c r="A250" s="26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</row>
    <row r="251" spans="1:31" ht="15.75" customHeight="1">
      <c r="A251" s="26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</row>
    <row r="252" spans="1:31" ht="15.75" customHeight="1">
      <c r="A252" s="26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</row>
    <row r="253" spans="1:31" ht="15.75" customHeight="1">
      <c r="A253" s="26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</row>
    <row r="254" spans="1:31" ht="15.75" customHeight="1">
      <c r="A254" s="26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</row>
    <row r="255" spans="1:31" ht="15.75" customHeight="1">
      <c r="A255" s="26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</row>
    <row r="256" spans="1:31" ht="15.75" customHeight="1">
      <c r="A256" s="26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</row>
    <row r="257" spans="1:31" ht="15.75" customHeight="1">
      <c r="A257" s="26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</row>
    <row r="258" spans="1:31" ht="15.75" customHeight="1">
      <c r="A258" s="26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</row>
    <row r="259" spans="1:31" ht="15.75" customHeight="1">
      <c r="A259" s="26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</row>
    <row r="260" spans="1:31" ht="15.75" customHeight="1">
      <c r="A260" s="26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</row>
    <row r="261" spans="1:31" ht="15.75" customHeight="1">
      <c r="A261" s="26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</row>
    <row r="262" spans="1:31" ht="15.75" customHeight="1">
      <c r="A262" s="26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</row>
    <row r="263" spans="1:31" ht="15.75" customHeight="1">
      <c r="A263" s="26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</row>
    <row r="264" spans="1:31" ht="15.75" customHeight="1">
      <c r="A264" s="26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</row>
    <row r="265" spans="1:31" ht="15.75" customHeight="1">
      <c r="A265" s="26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</row>
    <row r="266" spans="1:31" ht="15.75" customHeight="1">
      <c r="A266" s="26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</row>
    <row r="267" spans="1:31" ht="15.75" customHeight="1">
      <c r="A267" s="26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</row>
    <row r="268" spans="1:31" ht="15.75" customHeight="1">
      <c r="A268" s="26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</row>
    <row r="269" spans="1:31" ht="15.75" customHeight="1">
      <c r="A269" s="26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</row>
    <row r="270" spans="1:31" ht="15.75" customHeight="1">
      <c r="A270" s="26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</row>
    <row r="271" spans="1:31" ht="15.75" customHeight="1">
      <c r="A271" s="26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</row>
    <row r="272" spans="1:31" ht="15.75" customHeight="1">
      <c r="A272" s="26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</row>
    <row r="273" spans="1:31" ht="15.75" customHeight="1">
      <c r="A273" s="26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</row>
    <row r="274" spans="1:31" ht="15.75" customHeight="1">
      <c r="A274" s="26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</row>
    <row r="275" spans="1:31" ht="15.75" customHeight="1">
      <c r="A275" s="26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</row>
    <row r="276" spans="1:31" ht="15.75" customHeight="1">
      <c r="A276" s="26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</row>
    <row r="277" spans="1:31" ht="15.75" customHeight="1">
      <c r="A277" s="26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</row>
    <row r="278" spans="1:31" ht="15.75" customHeight="1">
      <c r="A278" s="26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</row>
    <row r="279" spans="1:31" ht="15.75" customHeight="1">
      <c r="A279" s="26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</row>
    <row r="280" spans="1:31" ht="15.75" customHeight="1">
      <c r="A280" s="26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</row>
    <row r="281" spans="1:31" ht="15.75" customHeight="1">
      <c r="A281" s="26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</row>
    <row r="282" spans="1:31" ht="15.75" customHeight="1">
      <c r="A282" s="26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</row>
    <row r="283" spans="1:31" ht="15.75" customHeight="1">
      <c r="A283" s="26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</row>
    <row r="284" spans="1:31" ht="15.75" customHeight="1">
      <c r="A284" s="26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</row>
    <row r="285" spans="1:31" ht="15.75" customHeight="1">
      <c r="A285" s="26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</row>
    <row r="286" spans="1:31" ht="15.75" customHeight="1">
      <c r="A286" s="26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</row>
    <row r="287" spans="1:31" ht="15.75" customHeight="1">
      <c r="A287" s="26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</row>
    <row r="288" spans="1:31" ht="15.75" customHeight="1">
      <c r="A288" s="26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</row>
    <row r="289" spans="1:31" ht="15.75" customHeight="1">
      <c r="A289" s="26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</row>
    <row r="290" spans="1:31" ht="15.75" customHeight="1">
      <c r="A290" s="26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</row>
    <row r="291" spans="1:31" ht="15.75" customHeight="1">
      <c r="A291" s="26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</row>
    <row r="292" spans="1:31" ht="15.75" customHeight="1">
      <c r="A292" s="26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</row>
    <row r="293" spans="1:31" ht="15.75" customHeight="1">
      <c r="A293" s="26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</row>
    <row r="294" spans="1:31" ht="15.75" customHeight="1">
      <c r="A294" s="26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</row>
    <row r="295" spans="1:31" ht="15.75" customHeight="1">
      <c r="A295" s="26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</row>
    <row r="296" spans="1:31" ht="15.75" customHeight="1">
      <c r="A296" s="26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</row>
    <row r="297" spans="1:31" ht="15.75" customHeight="1">
      <c r="A297" s="26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</row>
    <row r="298" spans="1:31" ht="15.75" customHeight="1">
      <c r="A298" s="26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</row>
    <row r="299" spans="1:31" ht="15.75" customHeight="1">
      <c r="A299" s="26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</row>
    <row r="300" spans="1:31" ht="15.75" customHeight="1">
      <c r="A300" s="26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</row>
    <row r="301" spans="1:31" ht="15.75" customHeight="1">
      <c r="A301" s="26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</row>
    <row r="302" spans="1:31" ht="15.75" customHeight="1">
      <c r="A302" s="26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</row>
    <row r="303" spans="1:31" ht="15.75" customHeight="1">
      <c r="A303" s="26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</row>
    <row r="304" spans="1:31" ht="15.75" customHeight="1">
      <c r="A304" s="26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</row>
    <row r="305" spans="1:31" ht="15.75" customHeight="1">
      <c r="A305" s="26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</row>
    <row r="306" spans="1:31" ht="15.75" customHeight="1">
      <c r="A306" s="26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</row>
    <row r="307" spans="1:31" ht="15.75" customHeight="1">
      <c r="A307" s="26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</row>
    <row r="308" spans="1:31" ht="15.75" customHeight="1">
      <c r="A308" s="26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</row>
    <row r="309" spans="1:31" ht="15.75" customHeight="1">
      <c r="A309" s="26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</row>
    <row r="310" spans="1:31" ht="15.75" customHeight="1">
      <c r="A310" s="26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</row>
    <row r="311" spans="1:31" ht="15.75" customHeight="1">
      <c r="A311" s="26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</row>
    <row r="312" spans="1:31" ht="15.75" customHeight="1">
      <c r="A312" s="26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</row>
    <row r="313" spans="1:31" ht="15.75" customHeight="1">
      <c r="A313" s="26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</row>
    <row r="314" spans="1:31" ht="15.75" customHeight="1">
      <c r="A314" s="26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</row>
    <row r="315" spans="1:31" ht="15.75" customHeight="1">
      <c r="A315" s="26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</row>
    <row r="316" spans="1:31" ht="15.75" customHeight="1">
      <c r="A316" s="26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</row>
    <row r="317" spans="1:31" ht="15.75" customHeight="1">
      <c r="A317" s="26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</row>
    <row r="318" spans="1:31" ht="15.75" customHeight="1">
      <c r="A318" s="26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</row>
    <row r="319" spans="1:31" ht="15.75" customHeight="1">
      <c r="A319" s="26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</row>
    <row r="320" spans="1:31" ht="15.75" customHeight="1">
      <c r="A320" s="26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</row>
    <row r="321" spans="1:31" ht="15.75" customHeight="1">
      <c r="A321" s="26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</row>
    <row r="322" spans="1:31" ht="15.75" customHeight="1">
      <c r="A322" s="26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</row>
    <row r="323" spans="1:31" ht="15.75" customHeight="1">
      <c r="A323" s="26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</row>
    <row r="324" spans="1:31" ht="15.75" customHeight="1">
      <c r="A324" s="26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</row>
    <row r="325" spans="1:31" ht="15.75" customHeight="1">
      <c r="A325" s="26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</row>
    <row r="326" spans="1:31" ht="15.75" customHeight="1">
      <c r="A326" s="26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</row>
    <row r="327" spans="1:31" ht="15.75" customHeight="1">
      <c r="A327" s="26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</row>
    <row r="328" spans="1:31" ht="15.75" customHeight="1">
      <c r="A328" s="26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</row>
    <row r="329" spans="1:31" ht="15.75" customHeight="1">
      <c r="A329" s="26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</row>
    <row r="330" spans="1:31" ht="15.75" customHeight="1">
      <c r="A330" s="26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</row>
    <row r="331" spans="1:31" ht="15.75" customHeight="1">
      <c r="A331" s="26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</row>
    <row r="332" spans="1:31" ht="15.75" customHeight="1">
      <c r="A332" s="26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</row>
    <row r="333" spans="1:31" ht="15.75" customHeight="1">
      <c r="A333" s="26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</row>
    <row r="334" spans="1:31" ht="15.75" customHeight="1">
      <c r="A334" s="26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</row>
    <row r="335" spans="1:31" ht="15.75" customHeight="1">
      <c r="A335" s="26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</row>
    <row r="336" spans="1:31" ht="15.75" customHeight="1">
      <c r="A336" s="26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</row>
    <row r="337" spans="1:31" ht="15.75" customHeight="1">
      <c r="A337" s="26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</row>
    <row r="338" spans="1:31" ht="15.75" customHeight="1">
      <c r="A338" s="26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</row>
    <row r="339" spans="1:31" ht="15.75" customHeight="1">
      <c r="A339" s="26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</row>
    <row r="340" spans="1:31" ht="15.75" customHeight="1">
      <c r="A340" s="26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</row>
    <row r="341" spans="1:31" ht="15.75" customHeight="1">
      <c r="A341" s="26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</row>
    <row r="342" spans="1:31" ht="15.75" customHeight="1">
      <c r="A342" s="26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</row>
    <row r="343" spans="1:31" ht="15.75" customHeight="1">
      <c r="A343" s="26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</row>
    <row r="344" spans="1:31" ht="15.75" customHeight="1">
      <c r="A344" s="26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</row>
    <row r="345" spans="1:31" ht="15.75" customHeight="1">
      <c r="A345" s="26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</row>
    <row r="346" spans="1:31" ht="15.75" customHeight="1">
      <c r="A346" s="26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</row>
    <row r="347" spans="1:31" ht="15.75" customHeight="1">
      <c r="A347" s="26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</row>
    <row r="348" spans="1:31" ht="15.75" customHeight="1">
      <c r="A348" s="26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</row>
    <row r="349" spans="1:31" ht="15.75" customHeight="1">
      <c r="A349" s="26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</row>
    <row r="350" spans="1:31" ht="15.75" customHeight="1">
      <c r="A350" s="26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</row>
    <row r="351" spans="1:31" ht="15.75" customHeight="1">
      <c r="A351" s="26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</row>
    <row r="352" spans="1:31" ht="15.75" customHeight="1">
      <c r="A352" s="26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</row>
    <row r="353" spans="1:31" ht="15.75" customHeight="1">
      <c r="A353" s="26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</row>
    <row r="354" spans="1:31" ht="15.75" customHeight="1">
      <c r="A354" s="26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</row>
    <row r="355" spans="1:31" ht="15.75" customHeight="1">
      <c r="A355" s="26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</row>
    <row r="356" spans="1:31" ht="15.75" customHeight="1">
      <c r="A356" s="26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</row>
    <row r="357" spans="1:31" ht="15.75" customHeight="1">
      <c r="A357" s="26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</row>
    <row r="358" spans="1:31" ht="15.75" customHeight="1">
      <c r="A358" s="26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</row>
    <row r="359" spans="1:31" ht="15.75" customHeight="1">
      <c r="A359" s="26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</row>
    <row r="360" spans="1:31" ht="15.75" customHeight="1">
      <c r="A360" s="26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</row>
    <row r="361" spans="1:31" ht="15.75" customHeight="1">
      <c r="A361" s="26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</row>
    <row r="362" spans="1:31" ht="15.75" customHeight="1">
      <c r="A362" s="26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</row>
    <row r="363" spans="1:31" ht="15.75" customHeight="1">
      <c r="A363" s="26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</row>
    <row r="364" spans="1:31" ht="15.75" customHeight="1">
      <c r="A364" s="26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</row>
    <row r="365" spans="1:31" ht="15.75" customHeight="1">
      <c r="A365" s="26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</row>
    <row r="366" spans="1:31" ht="15.75" customHeight="1">
      <c r="A366" s="26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</row>
    <row r="367" spans="1:31" ht="15.75" customHeight="1">
      <c r="A367" s="26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</row>
    <row r="368" spans="1:31" ht="15.75" customHeight="1">
      <c r="A368" s="26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</row>
    <row r="369" spans="1:31" ht="15.75" customHeight="1">
      <c r="A369" s="26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</row>
    <row r="370" spans="1:31" ht="15.75" customHeight="1">
      <c r="A370" s="26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</row>
    <row r="371" spans="1:31" ht="15.75" customHeight="1">
      <c r="A371" s="26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</row>
    <row r="372" spans="1:31" ht="15.75" customHeight="1">
      <c r="A372" s="26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</row>
    <row r="373" spans="1:31" ht="15.75" customHeight="1">
      <c r="A373" s="26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</row>
    <row r="374" spans="1:31" ht="15.75" customHeight="1">
      <c r="A374" s="26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</row>
    <row r="375" spans="1:31" ht="15.75" customHeight="1">
      <c r="A375" s="26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</row>
    <row r="376" spans="1:31" ht="15.75" customHeight="1">
      <c r="A376" s="26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</row>
    <row r="377" spans="1:31" ht="15.75" customHeight="1">
      <c r="A377" s="26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</row>
    <row r="378" spans="1:31" ht="15.75" customHeight="1">
      <c r="A378" s="26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</row>
    <row r="379" spans="1:31" ht="15.75" customHeight="1">
      <c r="A379" s="26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</row>
    <row r="380" spans="1:31" ht="15.75" customHeight="1">
      <c r="A380" s="26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</row>
    <row r="381" spans="1:31" ht="15.75" customHeight="1">
      <c r="A381" s="26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</row>
    <row r="382" spans="1:31" ht="15.75" customHeight="1">
      <c r="A382" s="26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</row>
    <row r="383" spans="1:31" ht="15.75" customHeight="1">
      <c r="A383" s="26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</row>
    <row r="384" spans="1:31" ht="15.75" customHeight="1">
      <c r="A384" s="26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</row>
    <row r="385" spans="1:31" ht="15.75" customHeight="1">
      <c r="A385" s="26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</row>
    <row r="386" spans="1:31" ht="15.75" customHeight="1">
      <c r="A386" s="26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</row>
    <row r="387" spans="1:31" ht="15.75" customHeight="1">
      <c r="A387" s="26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</row>
    <row r="388" spans="1:31" ht="15.75" customHeight="1">
      <c r="A388" s="26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</row>
    <row r="389" spans="1:31" ht="15.75" customHeight="1">
      <c r="A389" s="26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</row>
    <row r="390" spans="1:31" ht="15.75" customHeight="1">
      <c r="A390" s="26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</row>
    <row r="391" spans="1:31" ht="15.75" customHeight="1">
      <c r="A391" s="26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</row>
    <row r="392" spans="1:31" ht="15.75" customHeight="1">
      <c r="A392" s="26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</row>
    <row r="393" spans="1:31" ht="15.75" customHeight="1">
      <c r="A393" s="26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</row>
    <row r="394" spans="1:31" ht="15.75" customHeight="1">
      <c r="A394" s="26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</row>
    <row r="395" spans="1:31" ht="15.75" customHeight="1">
      <c r="A395" s="26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</row>
    <row r="396" spans="1:31" ht="15.75" customHeight="1">
      <c r="A396" s="26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</row>
    <row r="397" spans="1:31" ht="15.75" customHeight="1">
      <c r="A397" s="26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</row>
    <row r="398" spans="1:31" ht="15.75" customHeight="1">
      <c r="A398" s="26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</row>
    <row r="399" spans="1:31" ht="15.75" customHeight="1">
      <c r="A399" s="26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</row>
    <row r="400" spans="1:31" ht="15.75" customHeight="1">
      <c r="A400" s="26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</row>
    <row r="401" spans="1:31" ht="15.75" customHeight="1">
      <c r="A401" s="26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</row>
    <row r="402" spans="1:31" ht="15.75" customHeight="1">
      <c r="A402" s="26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</row>
    <row r="403" spans="1:31" ht="15.75" customHeight="1">
      <c r="A403" s="26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</row>
    <row r="404" spans="1:31" ht="15.75" customHeight="1">
      <c r="A404" s="26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</row>
    <row r="405" spans="1:31" ht="15.75" customHeight="1">
      <c r="A405" s="26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</row>
    <row r="406" spans="1:31" ht="15.75" customHeight="1">
      <c r="A406" s="26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</row>
    <row r="407" spans="1:31" ht="15.75" customHeight="1">
      <c r="A407" s="26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</row>
    <row r="408" spans="1:31" ht="15.75" customHeight="1">
      <c r="A408" s="26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</row>
    <row r="409" spans="1:31" ht="15.75" customHeight="1">
      <c r="A409" s="26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</row>
    <row r="410" spans="1:31" ht="15.75" customHeight="1">
      <c r="A410" s="26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</row>
    <row r="411" spans="1:31" ht="15.75" customHeight="1">
      <c r="A411" s="26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</row>
    <row r="412" spans="1:31" ht="15.75" customHeight="1">
      <c r="A412" s="26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</row>
    <row r="413" spans="1:31" ht="15.75" customHeight="1">
      <c r="A413" s="26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</row>
    <row r="414" spans="1:31" ht="15.75" customHeight="1">
      <c r="A414" s="26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</row>
    <row r="415" spans="1:31" ht="15.75" customHeight="1">
      <c r="A415" s="26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</row>
    <row r="416" spans="1:31" ht="15.75" customHeight="1">
      <c r="A416" s="26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</row>
    <row r="417" spans="1:31" ht="15.75" customHeight="1">
      <c r="A417" s="26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</row>
    <row r="418" spans="1:31" ht="15.75" customHeight="1">
      <c r="A418" s="26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</row>
    <row r="419" spans="1:31" ht="15.75" customHeight="1">
      <c r="A419" s="26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</row>
    <row r="420" spans="1:31" ht="15.75" customHeight="1">
      <c r="A420" s="26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</row>
    <row r="421" spans="1:31" ht="15.75" customHeight="1">
      <c r="A421" s="26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</row>
    <row r="422" spans="1:31" ht="15.75" customHeight="1">
      <c r="A422" s="26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</row>
    <row r="423" spans="1:31" ht="15.75" customHeight="1">
      <c r="A423" s="26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</row>
    <row r="424" spans="1:31" ht="15.75" customHeight="1">
      <c r="A424" s="26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</row>
    <row r="425" spans="1:31" ht="15.75" customHeight="1">
      <c r="A425" s="26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</row>
    <row r="426" spans="1:31" ht="15.75" customHeight="1">
      <c r="A426" s="26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</row>
    <row r="427" spans="1:31" ht="15.75" customHeight="1">
      <c r="A427" s="26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</row>
    <row r="428" spans="1:31" ht="15.75" customHeight="1">
      <c r="A428" s="26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</row>
    <row r="429" spans="1:31" ht="15.75" customHeight="1">
      <c r="A429" s="26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</row>
    <row r="430" spans="1:31" ht="15.75" customHeight="1">
      <c r="A430" s="26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</row>
    <row r="431" spans="1:31" ht="15.75" customHeight="1">
      <c r="A431" s="26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</row>
    <row r="432" spans="1:31" ht="15.75" customHeight="1">
      <c r="A432" s="26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</row>
    <row r="433" spans="1:31" ht="15.75" customHeight="1">
      <c r="A433" s="26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</row>
    <row r="434" spans="1:31" ht="15.75" customHeight="1">
      <c r="A434" s="26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</row>
    <row r="435" spans="1:31" ht="15.75" customHeight="1">
      <c r="A435" s="26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</row>
    <row r="436" spans="1:31" ht="15.75" customHeight="1">
      <c r="A436" s="26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</row>
    <row r="437" spans="1:31" ht="15.75" customHeight="1">
      <c r="A437" s="26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</row>
    <row r="438" spans="1:31" ht="15.75" customHeight="1">
      <c r="A438" s="26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</row>
    <row r="439" spans="1:31" ht="15.75" customHeight="1">
      <c r="A439" s="26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</row>
    <row r="440" spans="1:31" ht="15.75" customHeight="1">
      <c r="A440" s="26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</row>
    <row r="441" spans="1:31" ht="15.75" customHeight="1">
      <c r="A441" s="26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</row>
    <row r="442" spans="1:31" ht="15.75" customHeight="1">
      <c r="A442" s="26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</row>
    <row r="443" spans="1:31" ht="15.75" customHeight="1">
      <c r="A443" s="26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</row>
    <row r="444" spans="1:31" ht="15.75" customHeight="1">
      <c r="A444" s="26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</row>
    <row r="445" spans="1:31" ht="15.75" customHeight="1">
      <c r="A445" s="26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</row>
    <row r="446" spans="1:31" ht="15.75" customHeight="1">
      <c r="A446" s="26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</row>
    <row r="447" spans="1:31" ht="15.75" customHeight="1">
      <c r="A447" s="26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</row>
    <row r="448" spans="1:31" ht="15.75" customHeight="1">
      <c r="A448" s="26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</row>
    <row r="449" spans="1:31" ht="15.75" customHeight="1">
      <c r="A449" s="26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</row>
    <row r="450" spans="1:31" ht="15.75" customHeight="1">
      <c r="A450" s="26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</row>
    <row r="451" spans="1:31" ht="15.75" customHeight="1">
      <c r="A451" s="26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</row>
    <row r="452" spans="1:31" ht="15.75" customHeight="1">
      <c r="A452" s="26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</row>
    <row r="453" spans="1:31" ht="15.75" customHeight="1">
      <c r="A453" s="26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</row>
    <row r="454" spans="1:31" ht="15.75" customHeight="1">
      <c r="A454" s="26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</row>
    <row r="455" spans="1:31" ht="15.75" customHeight="1">
      <c r="A455" s="26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</row>
    <row r="456" spans="1:31" ht="15.75" customHeight="1">
      <c r="A456" s="26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</row>
    <row r="457" spans="1:31" ht="15.75" customHeight="1">
      <c r="A457" s="26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</row>
    <row r="458" spans="1:31" ht="15.75" customHeight="1">
      <c r="A458" s="26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</row>
    <row r="459" spans="1:31" ht="15.75" customHeight="1">
      <c r="A459" s="26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</row>
    <row r="460" spans="1:31" ht="15.75" customHeight="1">
      <c r="A460" s="26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</row>
    <row r="461" spans="1:31" ht="15.75" customHeight="1">
      <c r="A461" s="26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</row>
    <row r="462" spans="1:31" ht="15.75" customHeight="1">
      <c r="A462" s="26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</row>
    <row r="463" spans="1:31" ht="15.75" customHeight="1">
      <c r="A463" s="26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</row>
    <row r="464" spans="1:31" ht="15.75" customHeight="1">
      <c r="A464" s="26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</row>
    <row r="465" spans="1:31" ht="15.75" customHeight="1">
      <c r="A465" s="26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</row>
    <row r="466" spans="1:31" ht="15.75" customHeight="1">
      <c r="A466" s="26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</row>
    <row r="467" spans="1:31" ht="15.75" customHeight="1">
      <c r="A467" s="26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</row>
    <row r="468" spans="1:31" ht="15.75" customHeight="1">
      <c r="A468" s="26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</row>
    <row r="469" spans="1:31" ht="15.75" customHeight="1">
      <c r="A469" s="26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</row>
    <row r="470" spans="1:31" ht="15.75" customHeight="1">
      <c r="A470" s="26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</row>
    <row r="471" spans="1:31" ht="15.75" customHeight="1">
      <c r="A471" s="26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</row>
    <row r="472" spans="1:31" ht="15.75" customHeight="1">
      <c r="A472" s="26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</row>
    <row r="473" spans="1:31" ht="15.75" customHeight="1">
      <c r="A473" s="26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</row>
    <row r="474" spans="1:31" ht="15.75" customHeight="1">
      <c r="A474" s="26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</row>
    <row r="475" spans="1:31" ht="15.75" customHeight="1">
      <c r="A475" s="26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</row>
    <row r="476" spans="1:31" ht="15.75" customHeight="1">
      <c r="A476" s="26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</row>
    <row r="477" spans="1:31" ht="15.75" customHeight="1">
      <c r="A477" s="26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</row>
    <row r="478" spans="1:31" ht="15.75" customHeight="1">
      <c r="A478" s="26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</row>
    <row r="479" spans="1:31" ht="15.75" customHeight="1">
      <c r="A479" s="26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</row>
    <row r="480" spans="1:31" ht="15.75" customHeight="1">
      <c r="A480" s="26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</row>
    <row r="481" spans="1:31" ht="15.75" customHeight="1">
      <c r="A481" s="26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</row>
    <row r="482" spans="1:31" ht="15.75" customHeight="1">
      <c r="A482" s="26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</row>
    <row r="483" spans="1:31" ht="15.75" customHeight="1">
      <c r="A483" s="26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</row>
    <row r="484" spans="1:31" ht="15.75" customHeight="1">
      <c r="A484" s="26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</row>
    <row r="485" spans="1:31" ht="15.75" customHeight="1">
      <c r="A485" s="26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</row>
    <row r="486" spans="1:31" ht="15.75" customHeight="1">
      <c r="A486" s="26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</row>
    <row r="487" spans="1:31" ht="15.75" customHeight="1">
      <c r="A487" s="26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</row>
    <row r="488" spans="1:31" ht="15.75" customHeight="1">
      <c r="A488" s="26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</row>
    <row r="489" spans="1:31" ht="15.75" customHeight="1">
      <c r="A489" s="26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</row>
    <row r="490" spans="1:31" ht="15.75" customHeight="1">
      <c r="A490" s="26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</row>
    <row r="491" spans="1:31" ht="15.75" customHeight="1">
      <c r="A491" s="26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</row>
    <row r="492" spans="1:31" ht="15.75" customHeight="1">
      <c r="A492" s="26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</row>
    <row r="493" spans="1:31" ht="15.75" customHeight="1">
      <c r="A493" s="26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</row>
    <row r="494" spans="1:31" ht="15.75" customHeight="1">
      <c r="A494" s="26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</row>
    <row r="495" spans="1:31" ht="15.75" customHeight="1">
      <c r="A495" s="26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</row>
    <row r="496" spans="1:31" ht="15.75" customHeight="1">
      <c r="A496" s="26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</row>
    <row r="497" spans="1:31" ht="15.75" customHeight="1">
      <c r="A497" s="26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</row>
    <row r="498" spans="1:31" ht="15.75" customHeight="1">
      <c r="A498" s="26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</row>
    <row r="499" spans="1:31" ht="15.75" customHeight="1">
      <c r="A499" s="26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</row>
    <row r="500" spans="1:31" ht="15.75" customHeight="1">
      <c r="A500" s="26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</row>
    <row r="501" spans="1:31" ht="15.75" customHeight="1">
      <c r="A501" s="26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</row>
    <row r="502" spans="1:31" ht="15.75" customHeight="1">
      <c r="A502" s="26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</row>
    <row r="503" spans="1:31" ht="15.75" customHeight="1">
      <c r="A503" s="26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</row>
    <row r="504" spans="1:31" ht="15.75" customHeight="1">
      <c r="A504" s="26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</row>
    <row r="505" spans="1:31" ht="15.75" customHeight="1">
      <c r="A505" s="26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</row>
    <row r="506" spans="1:31" ht="15.75" customHeight="1">
      <c r="A506" s="26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</row>
    <row r="507" spans="1:31" ht="15.75" customHeight="1">
      <c r="A507" s="26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</row>
    <row r="508" spans="1:31" ht="15.75" customHeight="1">
      <c r="A508" s="26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</row>
    <row r="509" spans="1:31" ht="15.75" customHeight="1">
      <c r="A509" s="26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</row>
    <row r="510" spans="1:31" ht="15.75" customHeight="1">
      <c r="A510" s="26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</row>
    <row r="511" spans="1:31" ht="15.75" customHeight="1">
      <c r="A511" s="26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</row>
    <row r="512" spans="1:31" ht="15.75" customHeight="1">
      <c r="A512" s="26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</row>
    <row r="513" spans="1:31" ht="15.75" customHeight="1">
      <c r="A513" s="26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</row>
    <row r="514" spans="1:31" ht="15.75" customHeight="1">
      <c r="A514" s="26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</row>
    <row r="515" spans="1:31" ht="15.75" customHeight="1">
      <c r="A515" s="26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</row>
    <row r="516" spans="1:31" ht="15.75" customHeight="1">
      <c r="A516" s="26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</row>
    <row r="517" spans="1:31" ht="15.75" customHeight="1">
      <c r="A517" s="26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</row>
    <row r="518" spans="1:31" ht="15.75" customHeight="1">
      <c r="A518" s="26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</row>
    <row r="519" spans="1:31" ht="15.75" customHeight="1">
      <c r="A519" s="26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</row>
    <row r="520" spans="1:31" ht="15.75" customHeight="1">
      <c r="A520" s="26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</row>
    <row r="521" spans="1:31" ht="15.75" customHeight="1">
      <c r="A521" s="26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</row>
    <row r="522" spans="1:31" ht="15.75" customHeight="1">
      <c r="A522" s="26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</row>
    <row r="523" spans="1:31" ht="15.75" customHeight="1">
      <c r="A523" s="26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</row>
    <row r="524" spans="1:31" ht="15.75" customHeight="1">
      <c r="A524" s="26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</row>
    <row r="525" spans="1:31" ht="15.75" customHeight="1">
      <c r="A525" s="26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</row>
    <row r="526" spans="1:31" ht="15.75" customHeight="1">
      <c r="A526" s="26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</row>
    <row r="527" spans="1:31" ht="15.75" customHeight="1">
      <c r="A527" s="26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</row>
    <row r="528" spans="1:31" ht="15.75" customHeight="1">
      <c r="A528" s="26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</row>
    <row r="529" spans="1:31" ht="15.75" customHeight="1">
      <c r="A529" s="26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</row>
    <row r="530" spans="1:31" ht="15.75" customHeight="1">
      <c r="A530" s="26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</row>
    <row r="531" spans="1:31" ht="15.75" customHeight="1">
      <c r="A531" s="26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</row>
    <row r="532" spans="1:31" ht="15.75" customHeight="1">
      <c r="A532" s="26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</row>
    <row r="533" spans="1:31" ht="15.75" customHeight="1">
      <c r="A533" s="26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</row>
    <row r="534" spans="1:31" ht="15.75" customHeight="1">
      <c r="A534" s="26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</row>
    <row r="535" spans="1:31" ht="15.75" customHeight="1">
      <c r="A535" s="26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</row>
    <row r="536" spans="1:31" ht="15.75" customHeight="1">
      <c r="A536" s="26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</row>
    <row r="537" spans="1:31" ht="15.75" customHeight="1">
      <c r="A537" s="26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</row>
    <row r="538" spans="1:31" ht="15.75" customHeight="1">
      <c r="A538" s="26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</row>
    <row r="539" spans="1:31" ht="15.75" customHeight="1">
      <c r="A539" s="26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</row>
    <row r="540" spans="1:31" ht="15.75" customHeight="1">
      <c r="A540" s="26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</row>
    <row r="541" spans="1:31" ht="15.75" customHeight="1">
      <c r="A541" s="26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</row>
    <row r="542" spans="1:31" ht="15.75" customHeight="1">
      <c r="A542" s="26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</row>
    <row r="543" spans="1:31" ht="15.75" customHeight="1">
      <c r="A543" s="26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</row>
    <row r="544" spans="1:31" ht="15.75" customHeight="1">
      <c r="A544" s="26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</row>
    <row r="545" spans="1:31" ht="15.75" customHeight="1">
      <c r="A545" s="26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</row>
    <row r="546" spans="1:31" ht="15.75" customHeight="1">
      <c r="A546" s="26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</row>
    <row r="547" spans="1:31" ht="15.75" customHeight="1">
      <c r="A547" s="26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</row>
    <row r="548" spans="1:31" ht="15.75" customHeight="1">
      <c r="A548" s="26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</row>
    <row r="549" spans="1:31" ht="15.75" customHeight="1">
      <c r="A549" s="26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</row>
    <row r="550" spans="1:31" ht="15.75" customHeight="1">
      <c r="A550" s="26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</row>
    <row r="551" spans="1:31" ht="15.75" customHeight="1">
      <c r="A551" s="26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</row>
    <row r="552" spans="1:31" ht="15.75" customHeight="1">
      <c r="A552" s="26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</row>
    <row r="553" spans="1:31" ht="15.75" customHeight="1">
      <c r="A553" s="26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</row>
    <row r="554" spans="1:31" ht="15.75" customHeight="1">
      <c r="A554" s="26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</row>
    <row r="555" spans="1:31" ht="15.75" customHeight="1">
      <c r="A555" s="26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</row>
    <row r="556" spans="1:31" ht="15.75" customHeight="1">
      <c r="A556" s="26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</row>
    <row r="557" spans="1:31" ht="15.75" customHeight="1">
      <c r="A557" s="26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</row>
    <row r="558" spans="1:31" ht="15.75" customHeight="1">
      <c r="A558" s="26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</row>
    <row r="559" spans="1:31" ht="15.75" customHeight="1">
      <c r="A559" s="26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</row>
    <row r="560" spans="1:31" ht="15.75" customHeight="1">
      <c r="A560" s="26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</row>
    <row r="561" spans="1:31" ht="15.75" customHeight="1">
      <c r="A561" s="26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</row>
    <row r="562" spans="1:31" ht="15.75" customHeight="1">
      <c r="A562" s="26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</row>
    <row r="563" spans="1:31" ht="15.75" customHeight="1">
      <c r="A563" s="26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</row>
    <row r="564" spans="1:31" ht="15.75" customHeight="1">
      <c r="A564" s="26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</row>
    <row r="565" spans="1:31" ht="15.75" customHeight="1">
      <c r="A565" s="26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</row>
    <row r="566" spans="1:31" ht="15.75" customHeight="1">
      <c r="A566" s="26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</row>
    <row r="567" spans="1:31" ht="15.75" customHeight="1">
      <c r="A567" s="26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</row>
    <row r="568" spans="1:31" ht="15.75" customHeight="1">
      <c r="A568" s="26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</row>
    <row r="569" spans="1:31" ht="15.75" customHeight="1">
      <c r="A569" s="26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</row>
    <row r="570" spans="1:31" ht="15.75" customHeight="1">
      <c r="A570" s="26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</row>
    <row r="571" spans="1:31" ht="15.75" customHeight="1">
      <c r="A571" s="26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</row>
    <row r="572" spans="1:31" ht="15.75" customHeight="1">
      <c r="A572" s="26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</row>
    <row r="573" spans="1:31" ht="15.75" customHeight="1">
      <c r="A573" s="26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</row>
    <row r="574" spans="1:31" ht="15.75" customHeight="1">
      <c r="A574" s="26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</row>
    <row r="575" spans="1:31" ht="15.75" customHeight="1">
      <c r="A575" s="26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</row>
    <row r="576" spans="1:31" ht="15.75" customHeight="1">
      <c r="A576" s="26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</row>
    <row r="577" spans="1:31" ht="15.75" customHeight="1">
      <c r="A577" s="26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</row>
    <row r="578" spans="1:31" ht="15.75" customHeight="1">
      <c r="A578" s="26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</row>
    <row r="579" spans="1:31" ht="15.75" customHeight="1">
      <c r="A579" s="26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</row>
    <row r="580" spans="1:31" ht="15.75" customHeight="1">
      <c r="A580" s="26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</row>
    <row r="581" spans="1:31" ht="15.75" customHeight="1">
      <c r="A581" s="26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</row>
    <row r="582" spans="1:31" ht="15.75" customHeight="1">
      <c r="A582" s="26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</row>
    <row r="583" spans="1:31" ht="15.75" customHeight="1">
      <c r="A583" s="26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</row>
    <row r="584" spans="1:31" ht="15.75" customHeight="1">
      <c r="A584" s="26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</row>
    <row r="585" spans="1:31" ht="15.75" customHeight="1">
      <c r="A585" s="26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</row>
    <row r="586" spans="1:31" ht="15.75" customHeight="1">
      <c r="A586" s="26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</row>
    <row r="587" spans="1:31" ht="15.75" customHeight="1">
      <c r="A587" s="26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</row>
    <row r="588" spans="1:31" ht="15.75" customHeight="1">
      <c r="A588" s="26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</row>
    <row r="589" spans="1:31" ht="15.75" customHeight="1">
      <c r="A589" s="26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</row>
    <row r="590" spans="1:31" ht="15.75" customHeight="1">
      <c r="A590" s="26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</row>
    <row r="591" spans="1:31" ht="15.75" customHeight="1">
      <c r="A591" s="26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</row>
    <row r="592" spans="1:31" ht="15.75" customHeight="1">
      <c r="A592" s="26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</row>
    <row r="593" spans="1:31" ht="15.75" customHeight="1">
      <c r="A593" s="26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</row>
    <row r="594" spans="1:31" ht="15.75" customHeight="1">
      <c r="A594" s="26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</row>
    <row r="595" spans="1:31" ht="15.75" customHeight="1">
      <c r="A595" s="26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</row>
    <row r="596" spans="1:31" ht="15.75" customHeight="1">
      <c r="A596" s="26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</row>
    <row r="597" spans="1:31" ht="15.75" customHeight="1">
      <c r="A597" s="26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</row>
    <row r="598" spans="1:31" ht="15.75" customHeight="1">
      <c r="A598" s="26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</row>
    <row r="599" spans="1:31" ht="15.75" customHeight="1">
      <c r="A599" s="26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</row>
    <row r="600" spans="1:31" ht="15.75" customHeight="1">
      <c r="A600" s="26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</row>
    <row r="601" spans="1:31" ht="15.75" customHeight="1">
      <c r="A601" s="26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</row>
    <row r="602" spans="1:31" ht="15.75" customHeight="1">
      <c r="A602" s="26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</row>
    <row r="603" spans="1:31" ht="15.75" customHeight="1">
      <c r="A603" s="26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</row>
    <row r="604" spans="1:31" ht="15.75" customHeight="1">
      <c r="A604" s="26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</row>
    <row r="605" spans="1:31" ht="15.75" customHeight="1">
      <c r="A605" s="26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</row>
    <row r="606" spans="1:31" ht="15.75" customHeight="1">
      <c r="A606" s="26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</row>
    <row r="607" spans="1:31" ht="15.75" customHeight="1">
      <c r="A607" s="26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</row>
    <row r="608" spans="1:31" ht="15.75" customHeight="1">
      <c r="A608" s="26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</row>
    <row r="609" spans="1:31" ht="15.75" customHeight="1">
      <c r="A609" s="26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</row>
    <row r="610" spans="1:31" ht="15.75" customHeight="1">
      <c r="A610" s="26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</row>
    <row r="611" spans="1:31" ht="15.75" customHeight="1">
      <c r="A611" s="26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</row>
    <row r="612" spans="1:31" ht="15.75" customHeight="1">
      <c r="A612" s="26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</row>
    <row r="613" spans="1:31" ht="15.75" customHeight="1">
      <c r="A613" s="26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</row>
    <row r="614" spans="1:31" ht="15.75" customHeight="1">
      <c r="A614" s="26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</row>
    <row r="615" spans="1:31" ht="15.75" customHeight="1">
      <c r="A615" s="26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</row>
    <row r="616" spans="1:31" ht="15.75" customHeight="1">
      <c r="A616" s="26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</row>
    <row r="617" spans="1:31" ht="15.75" customHeight="1">
      <c r="A617" s="26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</row>
    <row r="618" spans="1:31" ht="15.75" customHeight="1">
      <c r="A618" s="26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</row>
    <row r="619" spans="1:31" ht="15.75" customHeight="1">
      <c r="A619" s="26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</row>
    <row r="620" spans="1:31" ht="15.75" customHeight="1">
      <c r="A620" s="26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</row>
    <row r="621" spans="1:31" ht="15.75" customHeight="1">
      <c r="A621" s="26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</row>
    <row r="622" spans="1:31" ht="15.75" customHeight="1">
      <c r="A622" s="26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</row>
    <row r="623" spans="1:31" ht="15.75" customHeight="1">
      <c r="A623" s="26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</row>
    <row r="624" spans="1:31" ht="15.75" customHeight="1">
      <c r="A624" s="26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</row>
    <row r="625" spans="1:31" ht="15.75" customHeight="1">
      <c r="A625" s="26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</row>
    <row r="626" spans="1:31" ht="15.75" customHeight="1">
      <c r="A626" s="26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</row>
    <row r="627" spans="1:31" ht="15.75" customHeight="1">
      <c r="A627" s="26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</row>
    <row r="628" spans="1:31" ht="15.75" customHeight="1">
      <c r="A628" s="26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</row>
    <row r="629" spans="1:31" ht="15.75" customHeight="1">
      <c r="A629" s="26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</row>
    <row r="630" spans="1:31" ht="15.75" customHeight="1">
      <c r="A630" s="26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</row>
    <row r="631" spans="1:31" ht="15.75" customHeight="1">
      <c r="A631" s="26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</row>
    <row r="632" spans="1:31" ht="15.75" customHeight="1">
      <c r="A632" s="26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</row>
    <row r="633" spans="1:31" ht="15.75" customHeight="1">
      <c r="A633" s="26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</row>
    <row r="634" spans="1:31" ht="15.75" customHeight="1">
      <c r="A634" s="26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</row>
    <row r="635" spans="1:31" ht="15.75" customHeight="1">
      <c r="A635" s="26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</row>
    <row r="636" spans="1:31" ht="15.75" customHeight="1">
      <c r="A636" s="26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</row>
    <row r="637" spans="1:31" ht="15.75" customHeight="1">
      <c r="A637" s="26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</row>
    <row r="638" spans="1:31" ht="15.75" customHeight="1">
      <c r="A638" s="26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</row>
    <row r="639" spans="1:31" ht="15.75" customHeight="1">
      <c r="A639" s="26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</row>
    <row r="640" spans="1:31" ht="15.75" customHeight="1">
      <c r="A640" s="26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</row>
    <row r="641" spans="1:31" ht="15.75" customHeight="1">
      <c r="A641" s="26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</row>
    <row r="642" spans="1:31" ht="15.75" customHeight="1">
      <c r="A642" s="26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</row>
    <row r="643" spans="1:31" ht="15.75" customHeight="1">
      <c r="A643" s="26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</row>
    <row r="644" spans="1:31" ht="15.75" customHeight="1">
      <c r="A644" s="26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</row>
    <row r="645" spans="1:31" ht="15.75" customHeight="1">
      <c r="A645" s="26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</row>
    <row r="646" spans="1:31" ht="15.75" customHeight="1">
      <c r="A646" s="26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</row>
    <row r="647" spans="1:31" ht="15.75" customHeight="1">
      <c r="A647" s="26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</row>
    <row r="648" spans="1:31" ht="15.75" customHeight="1">
      <c r="A648" s="26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</row>
    <row r="649" spans="1:31" ht="15.75" customHeight="1">
      <c r="A649" s="26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</row>
    <row r="650" spans="1:31" ht="15.75" customHeight="1">
      <c r="A650" s="26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</row>
    <row r="651" spans="1:31" ht="15.75" customHeight="1">
      <c r="A651" s="26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</row>
    <row r="652" spans="1:31" ht="15.75" customHeight="1">
      <c r="A652" s="26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</row>
    <row r="653" spans="1:31" ht="15.75" customHeight="1">
      <c r="A653" s="26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</row>
    <row r="654" spans="1:31" ht="15.75" customHeight="1">
      <c r="A654" s="26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</row>
    <row r="655" spans="1:31" ht="15.75" customHeight="1">
      <c r="A655" s="26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</row>
    <row r="656" spans="1:31" ht="15.75" customHeight="1">
      <c r="A656" s="26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</row>
    <row r="657" spans="1:31" ht="15.75" customHeight="1">
      <c r="A657" s="26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</row>
    <row r="658" spans="1:31" ht="15.75" customHeight="1">
      <c r="A658" s="26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</row>
    <row r="659" spans="1:31" ht="15.75" customHeight="1">
      <c r="A659" s="26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</row>
    <row r="660" spans="1:31" ht="15.75" customHeight="1">
      <c r="A660" s="26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</row>
    <row r="661" spans="1:31" ht="15.75" customHeight="1">
      <c r="A661" s="26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</row>
    <row r="662" spans="1:31" ht="15.75" customHeight="1">
      <c r="A662" s="26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</row>
    <row r="663" spans="1:31" ht="15.75" customHeight="1">
      <c r="A663" s="26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</row>
    <row r="664" spans="1:31" ht="15.75" customHeight="1">
      <c r="A664" s="26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</row>
    <row r="665" spans="1:31" ht="15.75" customHeight="1">
      <c r="A665" s="26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</row>
    <row r="666" spans="1:31" ht="15.75" customHeight="1">
      <c r="A666" s="26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</row>
    <row r="667" spans="1:31" ht="15.75" customHeight="1">
      <c r="A667" s="26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</row>
    <row r="668" spans="1:31" ht="15.75" customHeight="1">
      <c r="A668" s="26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</row>
    <row r="669" spans="1:31" ht="15.75" customHeight="1">
      <c r="A669" s="26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</row>
    <row r="670" spans="1:31" ht="15.75" customHeight="1">
      <c r="A670" s="26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</row>
    <row r="671" spans="1:31" ht="15.75" customHeight="1">
      <c r="A671" s="26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</row>
    <row r="672" spans="1:31" ht="15.75" customHeight="1">
      <c r="A672" s="26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</row>
    <row r="673" spans="1:31" ht="15.75" customHeight="1">
      <c r="A673" s="26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</row>
    <row r="674" spans="1:31" ht="15.75" customHeight="1">
      <c r="A674" s="26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</row>
    <row r="675" spans="1:31" ht="15.75" customHeight="1">
      <c r="A675" s="26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</row>
    <row r="676" spans="1:31" ht="15.75" customHeight="1">
      <c r="A676" s="26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</row>
    <row r="677" spans="1:31" ht="15.75" customHeight="1">
      <c r="A677" s="26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</row>
    <row r="678" spans="1:31" ht="15.75" customHeight="1">
      <c r="A678" s="26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</row>
    <row r="679" spans="1:31" ht="15.75" customHeight="1">
      <c r="A679" s="26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</row>
    <row r="680" spans="1:31" ht="15.75" customHeight="1">
      <c r="A680" s="26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</row>
    <row r="681" spans="1:31" ht="15.75" customHeight="1">
      <c r="A681" s="26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</row>
    <row r="682" spans="1:31" ht="15.75" customHeight="1">
      <c r="A682" s="26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</row>
    <row r="683" spans="1:31" ht="15.75" customHeight="1">
      <c r="A683" s="26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</row>
    <row r="684" spans="1:31" ht="15.75" customHeight="1">
      <c r="A684" s="26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</row>
    <row r="685" spans="1:31" ht="15.75" customHeight="1">
      <c r="A685" s="26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</row>
    <row r="686" spans="1:31" ht="15.75" customHeight="1">
      <c r="A686" s="26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</row>
    <row r="687" spans="1:31" ht="15.75" customHeight="1">
      <c r="A687" s="26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</row>
    <row r="688" spans="1:31" ht="15.75" customHeight="1">
      <c r="A688" s="26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</row>
    <row r="689" spans="1:31" ht="15.75" customHeight="1">
      <c r="A689" s="26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</row>
    <row r="690" spans="1:31" ht="15.75" customHeight="1">
      <c r="A690" s="26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</row>
    <row r="691" spans="1:31" ht="15.75" customHeight="1">
      <c r="A691" s="26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</row>
    <row r="692" spans="1:31" ht="15.75" customHeight="1">
      <c r="A692" s="26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</row>
    <row r="693" spans="1:31" ht="15.75" customHeight="1">
      <c r="A693" s="26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</row>
    <row r="694" spans="1:31" ht="15.75" customHeight="1">
      <c r="A694" s="26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</row>
    <row r="695" spans="1:31" ht="15.75" customHeight="1">
      <c r="A695" s="26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</row>
    <row r="696" spans="1:31" ht="15.75" customHeight="1">
      <c r="A696" s="26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</row>
    <row r="697" spans="1:31" ht="15.75" customHeight="1">
      <c r="A697" s="26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</row>
    <row r="698" spans="1:31" ht="15.75" customHeight="1">
      <c r="A698" s="26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</row>
    <row r="699" spans="1:31" ht="15.75" customHeight="1">
      <c r="A699" s="26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</row>
    <row r="700" spans="1:31" ht="15.75" customHeight="1">
      <c r="A700" s="26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</row>
    <row r="701" spans="1:31" ht="15.75" customHeight="1">
      <c r="A701" s="26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</row>
    <row r="702" spans="1:31" ht="15.75" customHeight="1">
      <c r="A702" s="26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</row>
    <row r="703" spans="1:31" ht="15.75" customHeight="1">
      <c r="A703" s="26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</row>
    <row r="704" spans="1:31" ht="15.75" customHeight="1">
      <c r="A704" s="26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</row>
    <row r="705" spans="1:31" ht="15.75" customHeight="1">
      <c r="A705" s="26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</row>
    <row r="706" spans="1:31" ht="15.75" customHeight="1">
      <c r="A706" s="26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</row>
    <row r="707" spans="1:31" ht="15.75" customHeight="1">
      <c r="A707" s="26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</row>
    <row r="708" spans="1:31" ht="15.75" customHeight="1">
      <c r="A708" s="26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</row>
    <row r="709" spans="1:31" ht="15.75" customHeight="1">
      <c r="A709" s="26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</row>
    <row r="710" spans="1:31" ht="15.75" customHeight="1">
      <c r="A710" s="26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</row>
    <row r="711" spans="1:31" ht="15.75" customHeight="1">
      <c r="A711" s="26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</row>
    <row r="712" spans="1:31" ht="15.75" customHeight="1">
      <c r="A712" s="26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</row>
    <row r="713" spans="1:31" ht="15.75" customHeight="1">
      <c r="A713" s="26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</row>
    <row r="714" spans="1:31" ht="15.75" customHeight="1">
      <c r="A714" s="26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</row>
    <row r="715" spans="1:31" ht="15.75" customHeight="1">
      <c r="A715" s="26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</row>
    <row r="716" spans="1:31" ht="15.75" customHeight="1">
      <c r="A716" s="26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</row>
    <row r="717" spans="1:31" ht="15.75" customHeight="1">
      <c r="A717" s="26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</row>
    <row r="718" spans="1:31" ht="15.75" customHeight="1">
      <c r="A718" s="26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</row>
    <row r="719" spans="1:31" ht="15.75" customHeight="1">
      <c r="A719" s="26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</row>
    <row r="720" spans="1:31" ht="15.75" customHeight="1">
      <c r="A720" s="26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</row>
    <row r="721" spans="1:31" ht="15.75" customHeight="1">
      <c r="A721" s="26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</row>
    <row r="722" spans="1:31" ht="15.75" customHeight="1">
      <c r="A722" s="26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</row>
    <row r="723" spans="1:31" ht="15.75" customHeight="1">
      <c r="A723" s="26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</row>
    <row r="724" spans="1:31" ht="15.75" customHeight="1">
      <c r="A724" s="26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</row>
    <row r="725" spans="1:31" ht="15.75" customHeight="1">
      <c r="A725" s="26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</row>
    <row r="726" spans="1:31" ht="15.75" customHeight="1">
      <c r="A726" s="26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</row>
    <row r="727" spans="1:31" ht="15.75" customHeight="1">
      <c r="A727" s="26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</row>
    <row r="728" spans="1:31" ht="15.75" customHeight="1">
      <c r="A728" s="26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</row>
    <row r="729" spans="1:31" ht="15.75" customHeight="1">
      <c r="A729" s="26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</row>
    <row r="730" spans="1:31" ht="15.75" customHeight="1">
      <c r="A730" s="26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</row>
    <row r="731" spans="1:31" ht="15.75" customHeight="1">
      <c r="A731" s="26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</row>
    <row r="732" spans="1:31" ht="15.75" customHeight="1">
      <c r="A732" s="26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</row>
    <row r="733" spans="1:31" ht="15.75" customHeight="1">
      <c r="A733" s="26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</row>
    <row r="734" spans="1:31" ht="15.75" customHeight="1">
      <c r="A734" s="26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</row>
    <row r="735" spans="1:31" ht="15.75" customHeight="1">
      <c r="A735" s="26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</row>
    <row r="736" spans="1:31" ht="15.75" customHeight="1">
      <c r="A736" s="26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</row>
    <row r="737" spans="1:31" ht="15.75" customHeight="1">
      <c r="A737" s="26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</row>
    <row r="738" spans="1:31" ht="15.75" customHeight="1">
      <c r="A738" s="26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</row>
    <row r="739" spans="1:31" ht="15.75" customHeight="1">
      <c r="A739" s="26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</row>
    <row r="740" spans="1:31" ht="15.75" customHeight="1">
      <c r="A740" s="26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</row>
    <row r="741" spans="1:31" ht="15.75" customHeight="1">
      <c r="A741" s="26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</row>
    <row r="742" spans="1:31" ht="15.75" customHeight="1">
      <c r="A742" s="26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</row>
    <row r="743" spans="1:31" ht="15.75" customHeight="1">
      <c r="A743" s="26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</row>
    <row r="744" spans="1:31" ht="15.75" customHeight="1">
      <c r="A744" s="26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</row>
    <row r="745" spans="1:31" ht="15.75" customHeight="1">
      <c r="A745" s="26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</row>
    <row r="746" spans="1:31" ht="15.75" customHeight="1">
      <c r="A746" s="26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</row>
    <row r="747" spans="1:31" ht="15.75" customHeight="1">
      <c r="A747" s="26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</row>
    <row r="748" spans="1:31" ht="15.75" customHeight="1">
      <c r="A748" s="26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</row>
    <row r="749" spans="1:31" ht="15.75" customHeight="1">
      <c r="A749" s="26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</row>
    <row r="750" spans="1:31" ht="15.75" customHeight="1">
      <c r="A750" s="26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</row>
    <row r="751" spans="1:31" ht="15.75" customHeight="1">
      <c r="A751" s="26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</row>
    <row r="752" spans="1:31" ht="15.75" customHeight="1">
      <c r="A752" s="26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</row>
    <row r="753" spans="1:31" ht="15.75" customHeight="1">
      <c r="A753" s="26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</row>
    <row r="754" spans="1:31" ht="15.75" customHeight="1">
      <c r="A754" s="26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</row>
    <row r="755" spans="1:31" ht="15.75" customHeight="1">
      <c r="A755" s="26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</row>
    <row r="756" spans="1:31" ht="15.75" customHeight="1">
      <c r="A756" s="26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</row>
    <row r="757" spans="1:31" ht="15.75" customHeight="1">
      <c r="A757" s="26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</row>
    <row r="758" spans="1:31" ht="15.75" customHeight="1">
      <c r="A758" s="26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</row>
    <row r="759" spans="1:31" ht="15.75" customHeight="1">
      <c r="A759" s="26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</row>
    <row r="760" spans="1:31" ht="15.75" customHeight="1">
      <c r="A760" s="26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</row>
    <row r="761" spans="1:31" ht="15.75" customHeight="1">
      <c r="A761" s="26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</row>
    <row r="762" spans="1:31" ht="15.75" customHeight="1">
      <c r="A762" s="26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</row>
    <row r="763" spans="1:31" ht="15.75" customHeight="1">
      <c r="A763" s="26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</row>
    <row r="764" spans="1:31" ht="15.75" customHeight="1">
      <c r="A764" s="26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</row>
    <row r="765" spans="1:31" ht="15.75" customHeight="1">
      <c r="A765" s="26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</row>
    <row r="766" spans="1:31" ht="15.75" customHeight="1">
      <c r="A766" s="26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</row>
    <row r="767" spans="1:31" ht="15.75" customHeight="1">
      <c r="A767" s="26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</row>
    <row r="768" spans="1:31" ht="15.75" customHeight="1">
      <c r="A768" s="26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</row>
    <row r="769" spans="1:31" ht="15.75" customHeight="1">
      <c r="A769" s="26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</row>
    <row r="770" spans="1:31" ht="15.75" customHeight="1">
      <c r="A770" s="26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</row>
    <row r="771" spans="1:31" ht="15.75" customHeight="1">
      <c r="A771" s="26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</row>
    <row r="772" spans="1:31" ht="15.75" customHeight="1">
      <c r="A772" s="26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</row>
    <row r="773" spans="1:31" ht="15.75" customHeight="1">
      <c r="A773" s="26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</row>
    <row r="774" spans="1:31" ht="15.75" customHeight="1">
      <c r="A774" s="26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</row>
    <row r="775" spans="1:31" ht="15.75" customHeight="1">
      <c r="A775" s="26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</row>
    <row r="776" spans="1:31" ht="15.75" customHeight="1">
      <c r="A776" s="26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</row>
    <row r="777" spans="1:31" ht="15.75" customHeight="1">
      <c r="A777" s="26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</row>
    <row r="778" spans="1:31" ht="15.75" customHeight="1">
      <c r="A778" s="26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</row>
    <row r="779" spans="1:31" ht="15.75" customHeight="1">
      <c r="A779" s="26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</row>
    <row r="780" spans="1:31" ht="15.75" customHeight="1">
      <c r="A780" s="26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</row>
    <row r="781" spans="1:31" ht="15.75" customHeight="1">
      <c r="A781" s="26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</row>
    <row r="782" spans="1:31" ht="15.75" customHeight="1">
      <c r="A782" s="26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</row>
    <row r="783" spans="1:31" ht="15.75" customHeight="1">
      <c r="A783" s="26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</row>
    <row r="784" spans="1:31" ht="15.75" customHeight="1">
      <c r="A784" s="26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</row>
    <row r="785" spans="1:31" ht="15.75" customHeight="1">
      <c r="A785" s="26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</row>
    <row r="786" spans="1:31" ht="15.75" customHeight="1">
      <c r="A786" s="26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</row>
    <row r="787" spans="1:31" ht="15.75" customHeight="1">
      <c r="A787" s="26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</row>
    <row r="788" spans="1:31" ht="15.75" customHeight="1">
      <c r="A788" s="26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</row>
    <row r="789" spans="1:31" ht="15.75" customHeight="1">
      <c r="A789" s="26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</row>
    <row r="790" spans="1:31" ht="15.75" customHeight="1">
      <c r="A790" s="26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</row>
    <row r="791" spans="1:31" ht="15.75" customHeight="1">
      <c r="A791" s="26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</row>
    <row r="792" spans="1:31" ht="15.75" customHeight="1">
      <c r="A792" s="26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</row>
    <row r="793" spans="1:31" ht="15.75" customHeight="1">
      <c r="A793" s="26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</row>
    <row r="794" spans="1:31" ht="15.75" customHeight="1">
      <c r="A794" s="26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</row>
    <row r="795" spans="1:31" ht="15.75" customHeight="1">
      <c r="A795" s="26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</row>
    <row r="796" spans="1:31" ht="15.75" customHeight="1">
      <c r="A796" s="26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</row>
    <row r="797" spans="1:31" ht="15.75" customHeight="1">
      <c r="A797" s="26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</row>
    <row r="798" spans="1:31" ht="15.75" customHeight="1">
      <c r="A798" s="26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</row>
    <row r="799" spans="1:31" ht="15.75" customHeight="1">
      <c r="A799" s="26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</row>
    <row r="800" spans="1:31" ht="15.75" customHeight="1">
      <c r="A800" s="26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</row>
    <row r="801" spans="1:31" ht="15.75" customHeight="1">
      <c r="A801" s="26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</row>
    <row r="802" spans="1:31" ht="15.75" customHeight="1">
      <c r="A802" s="26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</row>
    <row r="803" spans="1:31" ht="15.75" customHeight="1">
      <c r="A803" s="26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</row>
    <row r="804" spans="1:31" ht="15.75" customHeight="1">
      <c r="A804" s="26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</row>
    <row r="805" spans="1:31" ht="15.75" customHeight="1">
      <c r="A805" s="26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</row>
    <row r="806" spans="1:31" ht="15.75" customHeight="1">
      <c r="A806" s="26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</row>
    <row r="807" spans="1:31" ht="15.75" customHeight="1">
      <c r="A807" s="26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</row>
    <row r="808" spans="1:31" ht="15.75" customHeight="1">
      <c r="A808" s="26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</row>
    <row r="809" spans="1:31" ht="15.75" customHeight="1">
      <c r="A809" s="26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</row>
    <row r="810" spans="1:31" ht="15.75" customHeight="1">
      <c r="A810" s="26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</row>
    <row r="811" spans="1:31" ht="15.75" customHeight="1">
      <c r="A811" s="26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</row>
    <row r="812" spans="1:31" ht="15.75" customHeight="1">
      <c r="A812" s="26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</row>
    <row r="813" spans="1:31" ht="15.75" customHeight="1">
      <c r="A813" s="26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</row>
    <row r="814" spans="1:31" ht="15.75" customHeight="1">
      <c r="A814" s="26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</row>
    <row r="815" spans="1:31" ht="15.75" customHeight="1">
      <c r="A815" s="26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</row>
    <row r="816" spans="1:31" ht="15.75" customHeight="1">
      <c r="A816" s="26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</row>
    <row r="817" spans="1:31" ht="15.75" customHeight="1">
      <c r="A817" s="26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</row>
    <row r="818" spans="1:31" ht="15.75" customHeight="1">
      <c r="A818" s="26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</row>
    <row r="819" spans="1:31" ht="15.75" customHeight="1">
      <c r="A819" s="26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</row>
    <row r="820" spans="1:31" ht="15.75" customHeight="1">
      <c r="A820" s="26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</row>
    <row r="821" spans="1:31" ht="15.75" customHeight="1">
      <c r="A821" s="26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</row>
    <row r="822" spans="1:31" ht="15.75" customHeight="1">
      <c r="A822" s="26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</row>
    <row r="823" spans="1:31" ht="15.75" customHeight="1">
      <c r="A823" s="26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</row>
    <row r="824" spans="1:31" ht="15.75" customHeight="1">
      <c r="A824" s="26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</row>
    <row r="825" spans="1:31" ht="15.75" customHeight="1">
      <c r="A825" s="26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</row>
    <row r="826" spans="1:31" ht="15.75" customHeight="1">
      <c r="A826" s="26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</row>
    <row r="827" spans="1:31" ht="15.75" customHeight="1">
      <c r="A827" s="26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</row>
    <row r="828" spans="1:31" ht="15.75" customHeight="1">
      <c r="A828" s="26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</row>
    <row r="829" spans="1:31" ht="15.75" customHeight="1">
      <c r="A829" s="26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</row>
    <row r="830" spans="1:31" ht="15.75" customHeight="1">
      <c r="A830" s="26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</row>
    <row r="831" spans="1:31" ht="15.75" customHeight="1">
      <c r="A831" s="26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</row>
    <row r="832" spans="1:31" ht="15.75" customHeight="1">
      <c r="A832" s="26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</row>
    <row r="833" spans="1:31" ht="15.75" customHeight="1">
      <c r="A833" s="26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</row>
    <row r="834" spans="1:31" ht="15.75" customHeight="1">
      <c r="A834" s="26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</row>
    <row r="835" spans="1:31" ht="15.75" customHeight="1">
      <c r="A835" s="26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</row>
    <row r="836" spans="1:31" ht="15.75" customHeight="1">
      <c r="A836" s="26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</row>
    <row r="837" spans="1:31" ht="15.75" customHeight="1">
      <c r="A837" s="26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</row>
    <row r="838" spans="1:31" ht="15.75" customHeight="1">
      <c r="A838" s="26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</row>
    <row r="839" spans="1:31" ht="15.75" customHeight="1">
      <c r="A839" s="26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</row>
    <row r="840" spans="1:31" ht="15.75" customHeight="1">
      <c r="A840" s="26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</row>
    <row r="841" spans="1:31" ht="15.75" customHeight="1">
      <c r="A841" s="26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</row>
    <row r="842" spans="1:31" ht="15.75" customHeight="1">
      <c r="A842" s="26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</row>
    <row r="843" spans="1:31" ht="15.75" customHeight="1">
      <c r="A843" s="26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</row>
    <row r="844" spans="1:31" ht="15.75" customHeight="1">
      <c r="A844" s="26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</row>
    <row r="845" spans="1:31" ht="15.75" customHeight="1">
      <c r="A845" s="26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</row>
    <row r="846" spans="1:31" ht="15.75" customHeight="1">
      <c r="A846" s="26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</row>
    <row r="847" spans="1:31" ht="15.75" customHeight="1">
      <c r="A847" s="26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</row>
    <row r="848" spans="1:31" ht="15.75" customHeight="1">
      <c r="A848" s="26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</row>
    <row r="849" spans="1:31" ht="15.75" customHeight="1">
      <c r="A849" s="26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</row>
    <row r="850" spans="1:31" ht="15.75" customHeight="1">
      <c r="A850" s="26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</row>
    <row r="851" spans="1:31" ht="15.75" customHeight="1">
      <c r="A851" s="26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</row>
    <row r="852" spans="1:31" ht="15.75" customHeight="1">
      <c r="A852" s="26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</row>
    <row r="853" spans="1:31" ht="15.75" customHeight="1">
      <c r="A853" s="26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</row>
    <row r="854" spans="1:31" ht="15.75" customHeight="1">
      <c r="A854" s="26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</row>
    <row r="855" spans="1:31" ht="15.75" customHeight="1">
      <c r="A855" s="26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</row>
    <row r="856" spans="1:31" ht="15.75" customHeight="1">
      <c r="A856" s="26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</row>
    <row r="857" spans="1:31" ht="15.75" customHeight="1">
      <c r="A857" s="26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</row>
    <row r="858" spans="1:31" ht="15.75" customHeight="1">
      <c r="A858" s="26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</row>
    <row r="859" spans="1:31" ht="15.75" customHeight="1">
      <c r="A859" s="26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</row>
    <row r="860" spans="1:31" ht="15.75" customHeight="1">
      <c r="A860" s="26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</row>
    <row r="861" spans="1:31" ht="15.75" customHeight="1">
      <c r="A861" s="26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</row>
    <row r="862" spans="1:31" ht="15.75" customHeight="1">
      <c r="A862" s="26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</row>
    <row r="863" spans="1:31" ht="15.75" customHeight="1">
      <c r="A863" s="26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</row>
    <row r="864" spans="1:31" ht="15.75" customHeight="1">
      <c r="A864" s="26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</row>
    <row r="865" spans="1:31" ht="15.75" customHeight="1">
      <c r="A865" s="26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</row>
    <row r="866" spans="1:31" ht="15.75" customHeight="1">
      <c r="A866" s="26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</row>
    <row r="867" spans="1:31" ht="15.75" customHeight="1">
      <c r="A867" s="26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</row>
    <row r="868" spans="1:31" ht="15.75" customHeight="1">
      <c r="A868" s="26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</row>
    <row r="869" spans="1:31" ht="15.75" customHeight="1">
      <c r="A869" s="26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</row>
    <row r="870" spans="1:31" ht="15.75" customHeight="1">
      <c r="A870" s="26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</row>
    <row r="871" spans="1:31" ht="15.75" customHeight="1">
      <c r="A871" s="26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</row>
    <row r="872" spans="1:31" ht="15.75" customHeight="1">
      <c r="A872" s="26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</row>
    <row r="873" spans="1:31" ht="15.75" customHeight="1">
      <c r="A873" s="26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</row>
    <row r="874" spans="1:31" ht="15.75" customHeight="1">
      <c r="A874" s="26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</row>
    <row r="875" spans="1:31" ht="15.75" customHeight="1">
      <c r="A875" s="26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</row>
    <row r="876" spans="1:31" ht="15.75" customHeight="1">
      <c r="A876" s="26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</row>
    <row r="877" spans="1:31" ht="15.75" customHeight="1">
      <c r="A877" s="26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</row>
    <row r="878" spans="1:31" ht="15.75" customHeight="1">
      <c r="A878" s="26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</row>
    <row r="879" spans="1:31" ht="15.75" customHeight="1">
      <c r="A879" s="26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</row>
    <row r="880" spans="1:31" ht="15.75" customHeight="1">
      <c r="A880" s="26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</row>
    <row r="881" spans="1:31" ht="15.75" customHeight="1">
      <c r="A881" s="26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</row>
    <row r="882" spans="1:31" ht="15.75" customHeight="1">
      <c r="A882" s="26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</row>
    <row r="883" spans="1:31" ht="15.75" customHeight="1">
      <c r="A883" s="26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</row>
    <row r="884" spans="1:31" ht="15.75" customHeight="1">
      <c r="A884" s="26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</row>
    <row r="885" spans="1:31" ht="15.75" customHeight="1">
      <c r="A885" s="26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</row>
    <row r="886" spans="1:31" ht="15.75" customHeight="1">
      <c r="A886" s="26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</row>
    <row r="887" spans="1:31" ht="15.75" customHeight="1">
      <c r="A887" s="26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</row>
    <row r="888" spans="1:31" ht="15.75" customHeight="1">
      <c r="A888" s="26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</row>
    <row r="889" spans="1:31" ht="15.75" customHeight="1">
      <c r="A889" s="26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</row>
    <row r="890" spans="1:31" ht="15.75" customHeight="1">
      <c r="A890" s="26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</row>
    <row r="891" spans="1:31" ht="15.75" customHeight="1">
      <c r="A891" s="26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</row>
    <row r="892" spans="1:31" ht="15.75" customHeight="1">
      <c r="A892" s="26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</row>
    <row r="893" spans="1:31" ht="15.75" customHeight="1">
      <c r="A893" s="26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</row>
    <row r="894" spans="1:31" ht="15.75" customHeight="1">
      <c r="A894" s="26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</row>
    <row r="895" spans="1:31" ht="15.75" customHeight="1">
      <c r="A895" s="26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</row>
    <row r="896" spans="1:31" ht="15.75" customHeight="1">
      <c r="A896" s="26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</row>
    <row r="897" spans="1:31" ht="15.75" customHeight="1">
      <c r="A897" s="26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</row>
    <row r="898" spans="1:31" ht="15.75" customHeight="1">
      <c r="A898" s="26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</row>
    <row r="899" spans="1:31" ht="15.75" customHeight="1">
      <c r="A899" s="26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</row>
    <row r="900" spans="1:31" ht="15.75" customHeight="1">
      <c r="A900" s="26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</row>
    <row r="901" spans="1:31" ht="15.75" customHeight="1">
      <c r="A901" s="26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</row>
    <row r="902" spans="1:31" ht="15.75" customHeight="1">
      <c r="A902" s="26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</row>
    <row r="903" spans="1:31" ht="15.75" customHeight="1">
      <c r="A903" s="26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</row>
    <row r="904" spans="1:31" ht="15.75" customHeight="1">
      <c r="A904" s="26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</row>
    <row r="905" spans="1:31" ht="15.75" customHeight="1">
      <c r="A905" s="26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</row>
    <row r="906" spans="1:31" ht="15.75" customHeight="1">
      <c r="A906" s="26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</row>
    <row r="907" spans="1:31" ht="15.75" customHeight="1">
      <c r="A907" s="26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</row>
    <row r="908" spans="1:31" ht="15.75" customHeight="1">
      <c r="A908" s="26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</row>
    <row r="909" spans="1:31" ht="15.75" customHeight="1">
      <c r="A909" s="26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</row>
    <row r="910" spans="1:31" ht="15.75" customHeight="1">
      <c r="A910" s="26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</row>
    <row r="911" spans="1:31" ht="15.75" customHeight="1">
      <c r="A911" s="26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</row>
    <row r="912" spans="1:31" ht="15.75" customHeight="1">
      <c r="A912" s="26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</row>
    <row r="913" spans="1:31" ht="15.75" customHeight="1">
      <c r="A913" s="26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</row>
    <row r="914" spans="1:31" ht="15.75" customHeight="1">
      <c r="A914" s="26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</row>
    <row r="915" spans="1:31" ht="15.75" customHeight="1">
      <c r="A915" s="26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</row>
    <row r="916" spans="1:31" ht="15.75" customHeight="1">
      <c r="A916" s="26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</row>
    <row r="917" spans="1:31" ht="15.75" customHeight="1">
      <c r="A917" s="26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</row>
    <row r="918" spans="1:31" ht="15.75" customHeight="1">
      <c r="A918" s="26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</row>
    <row r="919" spans="1:31" ht="15.75" customHeight="1">
      <c r="A919" s="26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</row>
    <row r="920" spans="1:31" ht="15.75" customHeight="1">
      <c r="A920" s="26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</row>
    <row r="921" spans="1:31" ht="15.75" customHeight="1">
      <c r="A921" s="26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</row>
    <row r="922" spans="1:31" ht="15.75" customHeight="1">
      <c r="A922" s="26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</row>
    <row r="923" spans="1:31" ht="15.75" customHeight="1">
      <c r="A923" s="26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</row>
    <row r="924" spans="1:31" ht="15.75" customHeight="1">
      <c r="A924" s="26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</row>
    <row r="925" spans="1:31" ht="15.75" customHeight="1">
      <c r="A925" s="26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</row>
    <row r="926" spans="1:31" ht="15.75" customHeight="1">
      <c r="A926" s="26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</row>
    <row r="927" spans="1:31" ht="15.75" customHeight="1">
      <c r="A927" s="26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</row>
    <row r="928" spans="1:31" ht="15.75" customHeight="1">
      <c r="A928" s="26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</row>
    <row r="929" spans="1:31" ht="15.75" customHeight="1">
      <c r="A929" s="26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</row>
    <row r="930" spans="1:31" ht="15.75" customHeight="1">
      <c r="A930" s="26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</row>
    <row r="931" spans="1:31" ht="15.75" customHeight="1">
      <c r="A931" s="26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</row>
    <row r="932" spans="1:31" ht="15.75" customHeight="1">
      <c r="A932" s="26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</row>
    <row r="933" spans="1:31" ht="15.75" customHeight="1">
      <c r="A933" s="26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</row>
    <row r="934" spans="1:31" ht="15.75" customHeight="1">
      <c r="A934" s="26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</row>
    <row r="935" spans="1:31" ht="15.75" customHeight="1">
      <c r="A935" s="26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</row>
    <row r="936" spans="1:31" ht="15.75" customHeight="1">
      <c r="A936" s="26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</row>
    <row r="937" spans="1:31" ht="15.75" customHeight="1">
      <c r="A937" s="26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</row>
    <row r="938" spans="1:31" ht="15.75" customHeight="1">
      <c r="A938" s="26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</row>
    <row r="939" spans="1:31" ht="15.75" customHeight="1">
      <c r="A939" s="26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</row>
    <row r="940" spans="1:31" ht="15.75" customHeight="1">
      <c r="A940" s="26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</row>
    <row r="941" spans="1:31" ht="15.75" customHeight="1">
      <c r="A941" s="26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</row>
    <row r="942" spans="1:31" ht="15.75" customHeight="1">
      <c r="A942" s="26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</row>
    <row r="943" spans="1:31" ht="15.75" customHeight="1">
      <c r="A943" s="26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</row>
    <row r="944" spans="1:31" ht="15.75" customHeight="1">
      <c r="A944" s="26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</row>
    <row r="945" spans="1:31" ht="15.75" customHeight="1">
      <c r="A945" s="26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</row>
    <row r="946" spans="1:31" ht="15.75" customHeight="1">
      <c r="A946" s="26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</row>
    <row r="947" spans="1:31" ht="15.75" customHeight="1">
      <c r="A947" s="26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</row>
    <row r="948" spans="1:31" ht="15.75" customHeight="1">
      <c r="A948" s="26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</row>
    <row r="949" spans="1:31" ht="15.75" customHeight="1">
      <c r="A949" s="26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</row>
    <row r="950" spans="1:31" ht="15.75" customHeight="1">
      <c r="A950" s="26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</row>
    <row r="951" spans="1:31" ht="15.75" customHeight="1">
      <c r="A951" s="26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</row>
    <row r="952" spans="1:31" ht="15.75" customHeight="1">
      <c r="A952" s="26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</row>
    <row r="953" spans="1:31" ht="15.75" customHeight="1">
      <c r="A953" s="26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</row>
    <row r="954" spans="1:31" ht="15.75" customHeight="1">
      <c r="A954" s="26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</row>
    <row r="955" spans="1:31" ht="15.75" customHeight="1">
      <c r="A955" s="26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</row>
    <row r="956" spans="1:31" ht="15.75" customHeight="1">
      <c r="A956" s="26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</row>
    <row r="957" spans="1:31" ht="15.75" customHeight="1">
      <c r="A957" s="26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</row>
    <row r="958" spans="1:31" ht="15.75" customHeight="1">
      <c r="A958" s="26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</row>
    <row r="959" spans="1:31" ht="15.75" customHeight="1">
      <c r="A959" s="26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</row>
    <row r="960" spans="1:31" ht="15.75" customHeight="1">
      <c r="A960" s="26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</row>
    <row r="961" spans="1:31" ht="15.75" customHeight="1">
      <c r="A961" s="26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</row>
    <row r="962" spans="1:31" ht="15.75" customHeight="1">
      <c r="A962" s="26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</row>
    <row r="963" spans="1:31" ht="15.75" customHeight="1">
      <c r="A963" s="26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</row>
    <row r="964" spans="1:31" ht="15.75" customHeight="1">
      <c r="A964" s="26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</row>
    <row r="965" spans="1:31" ht="15.75" customHeight="1">
      <c r="A965" s="26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</row>
    <row r="966" spans="1:31" ht="15.75" customHeight="1">
      <c r="A966" s="26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</row>
    <row r="967" spans="1:31" ht="15.75" customHeight="1">
      <c r="A967" s="26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</row>
    <row r="968" spans="1:31" ht="15.75" customHeight="1">
      <c r="A968" s="26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</row>
    <row r="969" spans="1:31" ht="15.75" customHeight="1">
      <c r="A969" s="26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</row>
    <row r="970" spans="1:31" ht="15.75" customHeight="1">
      <c r="A970" s="26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</row>
    <row r="971" spans="1:31" ht="15.75" customHeight="1">
      <c r="A971" s="26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</row>
    <row r="972" spans="1:31" ht="15.75" customHeight="1">
      <c r="A972" s="26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</row>
    <row r="973" spans="1:31" ht="15.75" customHeight="1">
      <c r="A973" s="26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</row>
    <row r="974" spans="1:31" ht="15.75" customHeight="1">
      <c r="A974" s="26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</row>
    <row r="975" spans="1:31" ht="15.75" customHeight="1">
      <c r="A975" s="26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</row>
    <row r="976" spans="1:31" ht="15.75" customHeight="1">
      <c r="A976" s="26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</row>
    <row r="977" spans="1:31" ht="15.75" customHeight="1">
      <c r="A977" s="26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</row>
    <row r="978" spans="1:31" ht="15.75" customHeight="1">
      <c r="A978" s="26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</row>
    <row r="979" spans="1:31" ht="15.75" customHeight="1">
      <c r="A979" s="26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</row>
    <row r="980" spans="1:31" ht="15.75" customHeight="1">
      <c r="A980" s="26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</row>
    <row r="981" spans="1:31" ht="15.75" customHeight="1">
      <c r="A981" s="26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</row>
    <row r="982" spans="1:31" ht="15.75" customHeight="1">
      <c r="A982" s="26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</row>
    <row r="983" spans="1:31" ht="15.75" customHeight="1">
      <c r="A983" s="26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</row>
    <row r="984" spans="1:31" ht="15.75" customHeight="1">
      <c r="A984" s="26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</row>
    <row r="985" spans="1:31" ht="15.75" customHeight="1">
      <c r="A985" s="26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</row>
    <row r="986" spans="1:31" ht="15.75" customHeight="1">
      <c r="A986" s="26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</row>
    <row r="987" spans="1:31" ht="15.75" customHeight="1">
      <c r="A987" s="26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</row>
    <row r="988" spans="1:31" ht="15.75" customHeight="1">
      <c r="A988" s="26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</row>
    <row r="989" spans="1:31" ht="15.75" customHeight="1">
      <c r="A989" s="26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</row>
    <row r="990" spans="1:31" ht="15.75" customHeight="1">
      <c r="A990" s="26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</row>
    <row r="991" spans="1:31" ht="15.75" customHeight="1">
      <c r="A991" s="26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</row>
    <row r="992" spans="1:31" ht="15.75" customHeight="1">
      <c r="A992" s="26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</row>
    <row r="993" spans="1:31" ht="15.75" customHeight="1">
      <c r="A993" s="26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</row>
    <row r="994" spans="1:31" ht="15.75" customHeight="1">
      <c r="A994" s="26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</row>
    <row r="995" spans="1:31" ht="15.75" customHeight="1">
      <c r="A995" s="26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</row>
    <row r="996" spans="1:31" ht="15.75" customHeight="1">
      <c r="A996" s="26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</row>
    <row r="997" spans="1:31" ht="15.75" customHeight="1">
      <c r="A997" s="26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</row>
    <row r="998" spans="1:31" ht="15.75" customHeight="1">
      <c r="A998" s="26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</row>
    <row r="999" spans="1:31" ht="15.75" customHeight="1">
      <c r="A999" s="26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</row>
  </sheetData>
  <mergeCells count="1">
    <mergeCell ref="A1:A2"/>
  </mergeCells>
  <hyperlinks>
    <hyperlink ref="T4" r:id="rId1" xr:uid="{00000000-0004-0000-0B00-000000000000}"/>
    <hyperlink ref="T5" r:id="rId2" location="reqid=51&amp;step=51&amp;isuri=1&amp;5114=a&amp;5102=5" xr:uid="{00000000-0004-0000-0B00-000001000000}"/>
    <hyperlink ref="T7" r:id="rId3" xr:uid="{00000000-0004-0000-0B00-000002000000}"/>
    <hyperlink ref="T10" r:id="rId4" xr:uid="{00000000-0004-0000-0B00-000003000000}"/>
    <hyperlink ref="T11" r:id="rId5" xr:uid="{00000000-0004-0000-0B00-000004000000}"/>
    <hyperlink ref="T14" r:id="rId6" xr:uid="{00000000-0004-0000-0B00-000005000000}"/>
    <hyperlink ref="T26" r:id="rId7" xr:uid="{00000000-0004-0000-0B00-000006000000}"/>
    <hyperlink ref="T27" r:id="rId8" xr:uid="{00000000-0004-0000-0B00-000007000000}"/>
  </hyperlink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93404"/>
  </sheetPr>
  <dimension ref="A1:AD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4" sqref="E24"/>
    </sheetView>
  </sheetViews>
  <sheetFormatPr defaultColWidth="14.42578125" defaultRowHeight="15" customHeight="1"/>
  <cols>
    <col min="1" max="1" width="41.5703125" customWidth="1"/>
    <col min="2" max="17" width="11.7109375" customWidth="1"/>
    <col min="18" max="18" width="20.140625" customWidth="1"/>
    <col min="19" max="19" width="66.5703125" customWidth="1"/>
    <col min="20" max="20" width="17.7109375" customWidth="1"/>
    <col min="21" max="30" width="8.85546875" customWidth="1"/>
  </cols>
  <sheetData>
    <row r="1" spans="1:30">
      <c r="A1" s="433" t="s">
        <v>372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3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373</v>
      </c>
      <c r="B3" s="28">
        <v>2008</v>
      </c>
      <c r="C3" s="28">
        <v>2009</v>
      </c>
      <c r="D3" s="28">
        <v>2010</v>
      </c>
      <c r="E3" s="28">
        <v>2011</v>
      </c>
      <c r="F3" s="28">
        <v>2012</v>
      </c>
      <c r="G3" s="28">
        <v>2013</v>
      </c>
      <c r="H3" s="28">
        <v>2014</v>
      </c>
      <c r="I3" s="28">
        <v>2015</v>
      </c>
      <c r="J3" s="28">
        <v>2016</v>
      </c>
      <c r="K3" s="28">
        <v>2017</v>
      </c>
      <c r="L3" s="28">
        <v>2018</v>
      </c>
      <c r="M3" s="28">
        <v>2019</v>
      </c>
      <c r="N3" s="28">
        <v>2020</v>
      </c>
      <c r="O3" s="28">
        <v>2021</v>
      </c>
      <c r="P3" s="28">
        <v>2022</v>
      </c>
      <c r="Q3" s="28">
        <v>2023</v>
      </c>
      <c r="R3" s="28" t="s">
        <v>301</v>
      </c>
      <c r="S3" s="161" t="s">
        <v>302</v>
      </c>
      <c r="T3" s="161" t="s">
        <v>23</v>
      </c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ht="45">
      <c r="A4" s="34" t="s">
        <v>374</v>
      </c>
      <c r="B4" s="52">
        <v>2.93</v>
      </c>
      <c r="C4" s="52">
        <v>3.16</v>
      </c>
      <c r="D4" s="52">
        <v>3.63</v>
      </c>
      <c r="E4" s="52">
        <v>4.03</v>
      </c>
      <c r="F4" s="52">
        <v>4.49</v>
      </c>
      <c r="G4" s="162">
        <v>4.7699999999999996</v>
      </c>
      <c r="H4" s="52">
        <v>4.5999999999999996</v>
      </c>
      <c r="I4" s="52">
        <v>4.9000000000000004</v>
      </c>
      <c r="J4" s="52">
        <v>5</v>
      </c>
      <c r="K4" s="59">
        <v>5.2541000000000002</v>
      </c>
      <c r="L4" s="32">
        <v>5.5</v>
      </c>
      <c r="M4" s="32">
        <v>5.6</v>
      </c>
      <c r="N4" s="32">
        <v>5.93</v>
      </c>
      <c r="O4" s="32">
        <v>6.4</v>
      </c>
      <c r="P4" s="36"/>
      <c r="Q4" s="36"/>
      <c r="R4" s="44" t="s">
        <v>375</v>
      </c>
      <c r="S4" s="163" t="s">
        <v>376</v>
      </c>
      <c r="T4" s="34" t="s">
        <v>304</v>
      </c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ht="30">
      <c r="A5" s="35" t="s">
        <v>377</v>
      </c>
      <c r="B5" s="36"/>
      <c r="C5" s="36"/>
      <c r="D5" s="36"/>
      <c r="E5" s="52">
        <v>1.2047999999999999</v>
      </c>
      <c r="F5" s="52">
        <v>1.3472</v>
      </c>
      <c r="G5" s="52">
        <v>1.3472</v>
      </c>
      <c r="H5" s="36"/>
      <c r="I5" s="36"/>
      <c r="J5" s="32">
        <v>1.5</v>
      </c>
      <c r="K5" s="59">
        <v>1.9258999999999999</v>
      </c>
      <c r="L5" s="36"/>
      <c r="M5" s="164"/>
      <c r="N5" s="165"/>
      <c r="O5" s="165"/>
      <c r="P5" s="36"/>
      <c r="Q5" s="36"/>
      <c r="R5" s="44" t="s">
        <v>375</v>
      </c>
      <c r="S5" s="166" t="s">
        <v>378</v>
      </c>
      <c r="T5" s="166" t="s">
        <v>379</v>
      </c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 ht="30">
      <c r="A6" s="35" t="s">
        <v>380</v>
      </c>
      <c r="B6" s="36"/>
      <c r="C6" s="36"/>
      <c r="D6" s="36"/>
      <c r="E6" s="52">
        <v>1.0028999999999999</v>
      </c>
      <c r="F6" s="52">
        <v>1.1002000000000001</v>
      </c>
      <c r="G6" s="52">
        <v>1.2149000000000001</v>
      </c>
      <c r="H6" s="157"/>
      <c r="I6" s="36"/>
      <c r="J6" s="32">
        <v>1.2</v>
      </c>
      <c r="K6" s="59">
        <v>0.59619999999999995</v>
      </c>
      <c r="L6" s="36"/>
      <c r="M6" s="164"/>
      <c r="N6" s="165"/>
      <c r="O6" s="165"/>
      <c r="P6" s="36"/>
      <c r="Q6" s="36"/>
      <c r="R6" s="44" t="s">
        <v>375</v>
      </c>
      <c r="S6" s="166" t="s">
        <v>378</v>
      </c>
      <c r="T6" s="166" t="s">
        <v>379</v>
      </c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ht="30">
      <c r="A7" s="35" t="s">
        <v>381</v>
      </c>
      <c r="B7" s="36"/>
      <c r="C7" s="36"/>
      <c r="D7" s="36"/>
      <c r="E7" s="52">
        <v>0.96839999999999993</v>
      </c>
      <c r="F7" s="52">
        <v>1.1052</v>
      </c>
      <c r="G7" s="52">
        <v>1.1517999999999999</v>
      </c>
      <c r="H7" s="36"/>
      <c r="I7" s="36"/>
      <c r="J7" s="32">
        <v>1.2</v>
      </c>
      <c r="K7" s="167">
        <v>1.2983</v>
      </c>
      <c r="L7" s="36"/>
      <c r="M7" s="164"/>
      <c r="N7" s="165"/>
      <c r="O7" s="165"/>
      <c r="P7" s="36"/>
      <c r="Q7" s="36"/>
      <c r="R7" s="44" t="s">
        <v>375</v>
      </c>
      <c r="S7" s="166" t="s">
        <v>378</v>
      </c>
      <c r="T7" s="166" t="s">
        <v>379</v>
      </c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 ht="30">
      <c r="A8" s="35" t="s">
        <v>382</v>
      </c>
      <c r="B8" s="36"/>
      <c r="C8" s="36"/>
      <c r="D8" s="36"/>
      <c r="E8" s="36"/>
      <c r="F8" s="36"/>
      <c r="G8" s="36"/>
      <c r="H8" s="36"/>
      <c r="I8" s="36"/>
      <c r="J8" s="36"/>
      <c r="K8" s="167">
        <v>0.71930000000000005</v>
      </c>
      <c r="L8" s="36"/>
      <c r="M8" s="164"/>
      <c r="N8" s="165"/>
      <c r="O8" s="37">
        <v>1.3</v>
      </c>
      <c r="P8" s="36"/>
      <c r="Q8" s="36"/>
      <c r="R8" s="44" t="s">
        <v>375</v>
      </c>
      <c r="S8" s="166" t="s">
        <v>378</v>
      </c>
      <c r="T8" s="166" t="s">
        <v>379</v>
      </c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ht="30">
      <c r="A9" s="35" t="s">
        <v>383</v>
      </c>
      <c r="B9" s="36"/>
      <c r="C9" s="36"/>
      <c r="D9" s="36"/>
      <c r="E9" s="36"/>
      <c r="F9" s="36"/>
      <c r="G9" s="36"/>
      <c r="H9" s="36"/>
      <c r="I9" s="36"/>
      <c r="J9" s="36"/>
      <c r="K9" s="167">
        <v>0.71440000000000003</v>
      </c>
      <c r="L9" s="36"/>
      <c r="M9" s="164"/>
      <c r="N9" s="165"/>
      <c r="O9" s="165"/>
      <c r="P9" s="36"/>
      <c r="Q9" s="36"/>
      <c r="R9" s="44" t="s">
        <v>375</v>
      </c>
      <c r="S9" s="166" t="s">
        <v>378</v>
      </c>
      <c r="T9" s="166" t="s">
        <v>379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ht="30">
      <c r="A10" s="35" t="s">
        <v>384</v>
      </c>
      <c r="B10" s="36"/>
      <c r="C10" s="36"/>
      <c r="D10" s="36"/>
      <c r="E10" s="52">
        <v>0.83189999999999997</v>
      </c>
      <c r="F10" s="52">
        <v>0.96689999999999998</v>
      </c>
      <c r="G10" s="52">
        <v>1.0535000000000001</v>
      </c>
      <c r="H10" s="36"/>
      <c r="I10" s="36"/>
      <c r="J10" s="32">
        <v>1.1000000000000001</v>
      </c>
      <c r="K10" s="36"/>
      <c r="L10" s="36"/>
      <c r="M10" s="164"/>
      <c r="N10" s="165"/>
      <c r="O10" s="165"/>
      <c r="P10" s="36"/>
      <c r="Q10" s="36"/>
      <c r="R10" s="44" t="s">
        <v>375</v>
      </c>
      <c r="S10" s="166" t="s">
        <v>378</v>
      </c>
      <c r="T10" s="166" t="s">
        <v>379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26"/>
      <c r="B11" s="30"/>
      <c r="C11" s="30"/>
      <c r="D11" s="30"/>
      <c r="E11" s="30"/>
      <c r="F11" s="30"/>
      <c r="G11" s="30"/>
      <c r="H11" s="30"/>
      <c r="I11" s="30"/>
      <c r="J11" s="30"/>
      <c r="K11" s="26"/>
      <c r="L11" s="30"/>
      <c r="M11" s="30"/>
      <c r="N11" s="30"/>
      <c r="O11" s="30"/>
      <c r="P11" s="30"/>
      <c r="Q11" s="30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26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</row>
    <row r="13" spans="1:30">
      <c r="A13" s="26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>
      <c r="A14" s="26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>
      <c r="A15" s="26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>
      <c r="A16" s="26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>
      <c r="A17" s="26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>
      <c r="A18" s="26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>
      <c r="A19" s="26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>
      <c r="A20" s="26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15.75" customHeight="1">
      <c r="A21" s="26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</row>
    <row r="22" spans="1:30" ht="15.75" customHeight="1">
      <c r="A22" s="2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26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26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26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26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26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26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26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26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26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26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26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26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26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26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S4" r:id="rId1" xr:uid="{00000000-0004-0000-0C00-000000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93404"/>
    <outlinePr summaryBelow="0" summaryRight="0"/>
  </sheetPr>
  <dimension ref="A1:AA996"/>
  <sheetViews>
    <sheetView workbookViewId="0">
      <pane xSplit="1" topLeftCell="L1" activePane="topRight" state="frozen"/>
      <selection pane="topRight" activeCell="M29" sqref="M29"/>
    </sheetView>
  </sheetViews>
  <sheetFormatPr defaultColWidth="14.42578125" defaultRowHeight="15" customHeight="1"/>
  <cols>
    <col min="1" max="1" width="83.42578125" customWidth="1"/>
    <col min="19" max="19" width="44.7109375" customWidth="1"/>
    <col min="20" max="20" width="20.42578125" bestFit="1" customWidth="1"/>
  </cols>
  <sheetData>
    <row r="1" spans="1:27">
      <c r="A1" s="434" t="s">
        <v>385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</row>
    <row r="2" spans="1:27">
      <c r="A2" s="435"/>
      <c r="B2" s="169"/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</row>
    <row r="3" spans="1:27">
      <c r="A3" s="131" t="s">
        <v>386</v>
      </c>
      <c r="B3" s="170">
        <v>2008</v>
      </c>
      <c r="C3" s="171">
        <v>2009</v>
      </c>
      <c r="D3" s="171">
        <v>2010</v>
      </c>
      <c r="E3" s="171">
        <v>2011</v>
      </c>
      <c r="F3" s="171">
        <v>2012</v>
      </c>
      <c r="G3" s="171">
        <v>2013</v>
      </c>
      <c r="H3" s="171">
        <v>2014</v>
      </c>
      <c r="I3" s="171">
        <v>2015</v>
      </c>
      <c r="J3" s="171">
        <v>2016</v>
      </c>
      <c r="K3" s="171">
        <v>2017</v>
      </c>
      <c r="L3" s="171">
        <v>2018</v>
      </c>
      <c r="M3" s="171">
        <v>2019</v>
      </c>
      <c r="N3" s="171">
        <v>2020</v>
      </c>
      <c r="O3" s="171">
        <v>2021</v>
      </c>
      <c r="P3" s="171">
        <v>2022</v>
      </c>
      <c r="Q3" s="171">
        <v>2023</v>
      </c>
      <c r="R3" s="248" t="s">
        <v>301</v>
      </c>
      <c r="S3" s="250" t="s">
        <v>302</v>
      </c>
      <c r="T3" s="250" t="s">
        <v>23</v>
      </c>
      <c r="U3" s="168"/>
      <c r="V3" s="168"/>
      <c r="W3" s="168"/>
      <c r="X3" s="168"/>
      <c r="Y3" s="168"/>
      <c r="Z3" s="168"/>
      <c r="AA3" s="168"/>
    </row>
    <row r="4" spans="1:27">
      <c r="A4" s="42" t="s">
        <v>387</v>
      </c>
      <c r="B4" s="56">
        <v>17.8</v>
      </c>
      <c r="C4" s="172">
        <v>15.1</v>
      </c>
      <c r="D4" s="172">
        <v>15.6</v>
      </c>
      <c r="E4" s="172">
        <v>15.1</v>
      </c>
      <c r="F4" s="172">
        <v>16</v>
      </c>
      <c r="G4" s="172">
        <v>16.8</v>
      </c>
      <c r="H4" s="172">
        <v>17.8</v>
      </c>
      <c r="I4" s="172">
        <v>17.899999999999999</v>
      </c>
      <c r="J4" s="172">
        <v>18.600000000000001</v>
      </c>
      <c r="K4" s="172">
        <v>17.7</v>
      </c>
      <c r="L4" s="172">
        <v>16.7</v>
      </c>
      <c r="M4" s="172">
        <v>16.8</v>
      </c>
      <c r="N4" s="172">
        <v>15.3</v>
      </c>
      <c r="O4" s="172">
        <v>16.524999999999999</v>
      </c>
      <c r="P4" s="172">
        <v>17.425000000000001</v>
      </c>
      <c r="Q4" s="172">
        <v>17.274999999999999</v>
      </c>
      <c r="R4" s="249" t="s">
        <v>324</v>
      </c>
      <c r="S4" s="251" t="s">
        <v>388</v>
      </c>
      <c r="T4" s="252" t="s">
        <v>389</v>
      </c>
    </row>
    <row r="5" spans="1:27">
      <c r="A5" s="42" t="s">
        <v>390</v>
      </c>
      <c r="B5" s="174">
        <v>0.1</v>
      </c>
      <c r="C5" s="175">
        <v>0.1</v>
      </c>
      <c r="D5" s="175">
        <v>0.1</v>
      </c>
      <c r="E5" s="175">
        <v>0.1</v>
      </c>
      <c r="F5" s="175">
        <v>0.1</v>
      </c>
      <c r="G5" s="175">
        <v>0.1</v>
      </c>
      <c r="H5" s="175">
        <v>0.1</v>
      </c>
      <c r="I5" s="175">
        <v>0.1</v>
      </c>
      <c r="J5" s="111">
        <v>0.1</v>
      </c>
      <c r="K5" s="111">
        <v>0.1</v>
      </c>
      <c r="L5" s="111">
        <v>0.1</v>
      </c>
      <c r="M5" s="111">
        <v>0.1</v>
      </c>
      <c r="N5" s="111">
        <v>0.1</v>
      </c>
      <c r="O5" s="111">
        <v>0.1</v>
      </c>
      <c r="P5" s="111">
        <v>0.1</v>
      </c>
      <c r="Q5" s="111">
        <v>0.1</v>
      </c>
      <c r="R5" s="249" t="s">
        <v>324</v>
      </c>
      <c r="S5" s="251" t="s">
        <v>388</v>
      </c>
      <c r="T5" s="252" t="s">
        <v>389</v>
      </c>
    </row>
    <row r="6" spans="1:27">
      <c r="A6" s="42" t="s">
        <v>391</v>
      </c>
      <c r="B6" s="56">
        <v>56.5</v>
      </c>
      <c r="C6" s="172">
        <v>46.3</v>
      </c>
      <c r="D6" s="172">
        <v>49.8</v>
      </c>
      <c r="E6" s="172">
        <v>52.9</v>
      </c>
      <c r="F6" s="172">
        <v>51.7</v>
      </c>
      <c r="G6" s="172">
        <v>54</v>
      </c>
      <c r="H6" s="172">
        <v>55.8</v>
      </c>
      <c r="I6" s="172">
        <v>53.5</v>
      </c>
      <c r="J6" s="172">
        <v>52.3</v>
      </c>
      <c r="K6" s="172">
        <v>50.2</v>
      </c>
      <c r="L6" s="172">
        <v>50.6</v>
      </c>
      <c r="M6" s="172">
        <v>50.3</v>
      </c>
      <c r="N6" s="172">
        <v>47.5</v>
      </c>
      <c r="O6" s="172">
        <v>50.774999999999999</v>
      </c>
      <c r="P6" s="172">
        <v>52.5</v>
      </c>
      <c r="Q6" s="172">
        <v>49.674999999999997</v>
      </c>
      <c r="R6" s="249" t="s">
        <v>324</v>
      </c>
      <c r="S6" s="251" t="s">
        <v>388</v>
      </c>
      <c r="T6" s="252" t="s">
        <v>389</v>
      </c>
    </row>
    <row r="7" spans="1:27">
      <c r="A7" s="42" t="s">
        <v>392</v>
      </c>
      <c r="B7" s="56">
        <v>13.5</v>
      </c>
      <c r="C7" s="172">
        <v>10.9</v>
      </c>
      <c r="D7" s="172">
        <v>10.9</v>
      </c>
      <c r="E7" s="172">
        <v>11</v>
      </c>
      <c r="F7" s="172">
        <v>11.2</v>
      </c>
      <c r="G7" s="172">
        <v>11.5</v>
      </c>
      <c r="H7" s="172">
        <v>12.1</v>
      </c>
      <c r="I7" s="172">
        <v>12</v>
      </c>
      <c r="J7" s="172">
        <v>12</v>
      </c>
      <c r="K7" s="172">
        <v>12.3</v>
      </c>
      <c r="L7" s="172">
        <v>12.5</v>
      </c>
      <c r="M7" s="172">
        <v>12.4</v>
      </c>
      <c r="N7" s="172">
        <v>11.5</v>
      </c>
      <c r="O7" s="172">
        <v>12.3</v>
      </c>
      <c r="P7" s="172">
        <v>13</v>
      </c>
      <c r="Q7" s="36"/>
      <c r="R7" s="249" t="s">
        <v>324</v>
      </c>
      <c r="S7" s="251" t="s">
        <v>388</v>
      </c>
      <c r="T7" s="252" t="s">
        <v>389</v>
      </c>
    </row>
    <row r="8" spans="1:27">
      <c r="A8" s="42" t="s">
        <v>393</v>
      </c>
      <c r="B8" s="174">
        <v>0.7</v>
      </c>
      <c r="C8" s="175">
        <v>0.7</v>
      </c>
      <c r="D8" s="175">
        <v>0.6</v>
      </c>
      <c r="E8" s="175">
        <v>0.6</v>
      </c>
      <c r="F8" s="175">
        <v>0.6</v>
      </c>
      <c r="G8" s="175">
        <v>0.6</v>
      </c>
      <c r="H8" s="175">
        <v>0.6</v>
      </c>
      <c r="I8" s="175">
        <v>0.6</v>
      </c>
      <c r="J8" s="175">
        <v>0.6</v>
      </c>
      <c r="K8" s="175">
        <v>0.6</v>
      </c>
      <c r="L8" s="175">
        <v>0.6</v>
      </c>
      <c r="M8" s="175">
        <v>0.6</v>
      </c>
      <c r="N8" s="175">
        <v>-0.4</v>
      </c>
      <c r="O8" s="172">
        <v>0.2</v>
      </c>
      <c r="P8" s="172">
        <v>0.7</v>
      </c>
      <c r="Q8" s="36"/>
      <c r="R8" s="249" t="s">
        <v>324</v>
      </c>
      <c r="S8" s="251" t="s">
        <v>388</v>
      </c>
      <c r="T8" s="252" t="s">
        <v>389</v>
      </c>
    </row>
    <row r="9" spans="1:27">
      <c r="A9" s="42" t="s">
        <v>394</v>
      </c>
      <c r="B9" s="98">
        <v>3.7</v>
      </c>
      <c r="C9" s="121">
        <v>3.6</v>
      </c>
      <c r="D9" s="121">
        <v>4</v>
      </c>
      <c r="E9" s="121">
        <v>3.5</v>
      </c>
      <c r="F9" s="121">
        <v>4.2</v>
      </c>
      <c r="G9" s="121">
        <v>4.7</v>
      </c>
      <c r="H9" s="121">
        <v>5.2</v>
      </c>
      <c r="I9" s="121">
        <v>5.4</v>
      </c>
      <c r="J9" s="121">
        <v>6</v>
      </c>
      <c r="K9" s="121">
        <v>4.4000000000000004</v>
      </c>
      <c r="L9" s="121">
        <v>3.4</v>
      </c>
      <c r="M9" s="121">
        <v>3.7</v>
      </c>
      <c r="N9" s="120">
        <v>4.7</v>
      </c>
      <c r="O9" s="172">
        <v>4</v>
      </c>
      <c r="P9" s="172">
        <v>3.7</v>
      </c>
      <c r="Q9" s="36"/>
      <c r="R9" s="249" t="s">
        <v>324</v>
      </c>
      <c r="S9" s="251" t="s">
        <v>388</v>
      </c>
      <c r="T9" s="252" t="s">
        <v>389</v>
      </c>
    </row>
    <row r="10" spans="1:27">
      <c r="A10" s="42" t="s">
        <v>333</v>
      </c>
      <c r="B10" s="56">
        <v>303</v>
      </c>
      <c r="C10" s="172">
        <v>251</v>
      </c>
      <c r="D10" s="172">
        <v>240</v>
      </c>
      <c r="E10" s="172">
        <v>240</v>
      </c>
      <c r="F10" s="172">
        <v>236</v>
      </c>
      <c r="G10" s="172">
        <v>233</v>
      </c>
      <c r="H10" s="172">
        <v>235</v>
      </c>
      <c r="I10" s="172">
        <v>234</v>
      </c>
      <c r="J10" s="172">
        <v>230</v>
      </c>
      <c r="K10" s="172">
        <v>229</v>
      </c>
      <c r="L10" s="172">
        <v>228</v>
      </c>
      <c r="M10" s="172">
        <v>221</v>
      </c>
      <c r="N10" s="172">
        <v>199</v>
      </c>
      <c r="O10" s="172">
        <v>202</v>
      </c>
      <c r="P10" s="172">
        <v>203</v>
      </c>
      <c r="Q10" s="36"/>
      <c r="R10" s="249" t="s">
        <v>324</v>
      </c>
      <c r="S10" s="251" t="s">
        <v>388</v>
      </c>
      <c r="T10" s="252" t="s">
        <v>389</v>
      </c>
    </row>
    <row r="11" spans="1:27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160"/>
      <c r="M11" s="160"/>
      <c r="N11" s="160"/>
      <c r="O11" s="160"/>
      <c r="P11" s="255"/>
      <c r="Q11" s="255"/>
      <c r="R11" s="256"/>
      <c r="S11" s="257"/>
      <c r="T11" s="257"/>
    </row>
    <row r="12" spans="1:27">
      <c r="A12" s="170" t="s">
        <v>395</v>
      </c>
      <c r="B12" s="170">
        <v>2008</v>
      </c>
      <c r="C12" s="171">
        <v>2009</v>
      </c>
      <c r="D12" s="171">
        <v>2010</v>
      </c>
      <c r="E12" s="171">
        <v>2011</v>
      </c>
      <c r="F12" s="171">
        <v>2012</v>
      </c>
      <c r="G12" s="171">
        <v>2013</v>
      </c>
      <c r="H12" s="171">
        <v>2014</v>
      </c>
      <c r="I12" s="171">
        <v>2015</v>
      </c>
      <c r="J12" s="171">
        <v>2016</v>
      </c>
      <c r="K12" s="171">
        <v>2017</v>
      </c>
      <c r="L12" s="171">
        <v>2018</v>
      </c>
      <c r="M12" s="171">
        <v>2019</v>
      </c>
      <c r="N12" s="171">
        <v>2020</v>
      </c>
      <c r="O12" s="248">
        <v>2021</v>
      </c>
      <c r="P12" s="258">
        <v>2022</v>
      </c>
      <c r="Q12" s="258">
        <v>2023</v>
      </c>
      <c r="R12" s="258" t="s">
        <v>301</v>
      </c>
      <c r="S12" s="250" t="s">
        <v>302</v>
      </c>
      <c r="T12" s="250" t="s">
        <v>23</v>
      </c>
    </row>
    <row r="13" spans="1:27">
      <c r="A13" s="42" t="s">
        <v>396</v>
      </c>
      <c r="B13" s="56">
        <v>11.6</v>
      </c>
      <c r="C13" s="172">
        <v>9.9</v>
      </c>
      <c r="D13" s="172">
        <v>10.4</v>
      </c>
      <c r="E13" s="172">
        <v>10.1</v>
      </c>
      <c r="F13" s="172">
        <v>10</v>
      </c>
      <c r="G13" s="172">
        <v>10.199999999999999</v>
      </c>
      <c r="H13" s="172">
        <v>9.9</v>
      </c>
      <c r="I13" s="172">
        <v>9.6999999999999993</v>
      </c>
      <c r="J13" s="172">
        <v>9.6</v>
      </c>
      <c r="K13" s="172">
        <v>9.4</v>
      </c>
      <c r="L13" s="172">
        <v>9.3000000000000007</v>
      </c>
      <c r="M13" s="172">
        <v>9.3000000000000007</v>
      </c>
      <c r="N13" s="172">
        <v>9.8000000000000007</v>
      </c>
      <c r="O13" s="253">
        <v>10</v>
      </c>
      <c r="P13" s="259">
        <v>10.375</v>
      </c>
      <c r="Q13" s="259">
        <v>10.7</v>
      </c>
      <c r="R13" s="260" t="s">
        <v>324</v>
      </c>
      <c r="S13" s="251" t="s">
        <v>388</v>
      </c>
      <c r="T13" s="252" t="s">
        <v>389</v>
      </c>
    </row>
    <row r="14" spans="1:27">
      <c r="A14" s="42" t="s">
        <v>397</v>
      </c>
      <c r="B14" s="110">
        <v>0.1</v>
      </c>
      <c r="C14" s="111">
        <v>0.1</v>
      </c>
      <c r="D14" s="111">
        <v>0.1</v>
      </c>
      <c r="E14" s="111">
        <v>0.1</v>
      </c>
      <c r="F14" s="111">
        <v>0.1</v>
      </c>
      <c r="G14" s="111">
        <v>0.1</v>
      </c>
      <c r="H14" s="111">
        <v>0.1</v>
      </c>
      <c r="I14" s="111">
        <v>0.1</v>
      </c>
      <c r="J14" s="111">
        <v>0.1</v>
      </c>
      <c r="K14" s="111">
        <v>0</v>
      </c>
      <c r="L14" s="111">
        <v>0</v>
      </c>
      <c r="M14" s="111">
        <v>0</v>
      </c>
      <c r="N14" s="111">
        <v>0.2</v>
      </c>
      <c r="O14" s="254">
        <v>0.3</v>
      </c>
      <c r="P14" s="259">
        <v>0</v>
      </c>
      <c r="Q14" s="259">
        <v>0</v>
      </c>
      <c r="R14" s="260" t="s">
        <v>324</v>
      </c>
      <c r="S14" s="251" t="s">
        <v>388</v>
      </c>
      <c r="T14" s="252" t="s">
        <v>389</v>
      </c>
    </row>
    <row r="15" spans="1:27">
      <c r="A15" s="42" t="s">
        <v>398</v>
      </c>
      <c r="B15" s="56">
        <v>26.7</v>
      </c>
      <c r="C15" s="172">
        <v>24.4</v>
      </c>
      <c r="D15" s="172">
        <v>23.3</v>
      </c>
      <c r="E15" s="172">
        <v>24.9</v>
      </c>
      <c r="F15" s="172">
        <v>19.2</v>
      </c>
      <c r="G15" s="172">
        <v>19.600000000000001</v>
      </c>
      <c r="H15" s="172">
        <v>19.100000000000001</v>
      </c>
      <c r="I15" s="172">
        <v>18.600000000000001</v>
      </c>
      <c r="J15" s="172">
        <v>19</v>
      </c>
      <c r="K15" s="172">
        <v>17.899999999999999</v>
      </c>
      <c r="L15" s="172">
        <v>17.399999999999999</v>
      </c>
      <c r="M15" s="172">
        <v>17.2</v>
      </c>
      <c r="N15" s="172">
        <v>17.8</v>
      </c>
      <c r="O15" s="253">
        <v>18.350000000000001</v>
      </c>
      <c r="P15" s="259">
        <v>19.675000000000001</v>
      </c>
      <c r="Q15" s="259">
        <v>19.600000000000001</v>
      </c>
      <c r="R15" s="260" t="s">
        <v>324</v>
      </c>
      <c r="S15" s="251" t="s">
        <v>388</v>
      </c>
      <c r="T15" s="252" t="s">
        <v>389</v>
      </c>
    </row>
    <row r="16" spans="1:27">
      <c r="A16" s="42" t="s">
        <v>399</v>
      </c>
      <c r="B16" s="56">
        <v>10.5</v>
      </c>
      <c r="C16" s="172">
        <v>8.6</v>
      </c>
      <c r="D16" s="172">
        <v>8.4</v>
      </c>
      <c r="E16" s="172">
        <v>8.1</v>
      </c>
      <c r="F16" s="172">
        <v>8.1999999999999993</v>
      </c>
      <c r="G16" s="172">
        <v>8.1999999999999993</v>
      </c>
      <c r="H16" s="172">
        <v>8.4</v>
      </c>
      <c r="I16" s="172">
        <v>8.1999999999999993</v>
      </c>
      <c r="J16" s="172">
        <v>8.1</v>
      </c>
      <c r="K16" s="172">
        <v>7.9</v>
      </c>
      <c r="L16" s="172">
        <v>7.8</v>
      </c>
      <c r="M16" s="172">
        <v>7.7</v>
      </c>
      <c r="N16" s="172">
        <v>6.7</v>
      </c>
      <c r="O16" s="253">
        <v>7.3</v>
      </c>
      <c r="P16" s="259">
        <v>8.1</v>
      </c>
      <c r="Q16" s="323"/>
      <c r="R16" s="260" t="s">
        <v>324</v>
      </c>
      <c r="S16" s="251" t="s">
        <v>388</v>
      </c>
      <c r="T16" s="252" t="s">
        <v>389</v>
      </c>
    </row>
    <row r="17" spans="1:20">
      <c r="A17" s="42" t="s">
        <v>400</v>
      </c>
      <c r="B17" s="174">
        <v>0.3</v>
      </c>
      <c r="C17" s="175">
        <v>0.3</v>
      </c>
      <c r="D17" s="175">
        <v>0.3</v>
      </c>
      <c r="E17" s="175">
        <v>0.3</v>
      </c>
      <c r="F17" s="175">
        <v>0.3</v>
      </c>
      <c r="G17" s="175">
        <v>0.3</v>
      </c>
      <c r="H17" s="175">
        <v>0.3</v>
      </c>
      <c r="I17" s="175">
        <v>0.3</v>
      </c>
      <c r="J17" s="175">
        <v>0.3</v>
      </c>
      <c r="K17" s="175">
        <v>0.3</v>
      </c>
      <c r="L17" s="175">
        <v>0.3</v>
      </c>
      <c r="M17" s="175">
        <v>0.3</v>
      </c>
      <c r="N17" s="175">
        <v>-0.7</v>
      </c>
      <c r="O17" s="253">
        <v>-0.6</v>
      </c>
      <c r="P17" s="259">
        <v>0.4</v>
      </c>
      <c r="Q17" s="261"/>
      <c r="R17" s="260" t="s">
        <v>324</v>
      </c>
      <c r="S17" s="251" t="s">
        <v>388</v>
      </c>
      <c r="T17" s="252" t="s">
        <v>389</v>
      </c>
    </row>
    <row r="18" spans="1:20">
      <c r="A18" s="42" t="s">
        <v>401</v>
      </c>
      <c r="B18" s="174">
        <v>0.8</v>
      </c>
      <c r="C18" s="175">
        <v>1</v>
      </c>
      <c r="D18" s="175">
        <v>1.7</v>
      </c>
      <c r="E18" s="175">
        <v>1.7</v>
      </c>
      <c r="F18" s="175">
        <v>1.6</v>
      </c>
      <c r="G18" s="175">
        <v>1.7</v>
      </c>
      <c r="H18" s="175">
        <v>1.3</v>
      </c>
      <c r="I18" s="175">
        <v>1.2</v>
      </c>
      <c r="J18" s="175">
        <v>1.3</v>
      </c>
      <c r="K18" s="175">
        <v>1.3</v>
      </c>
      <c r="L18" s="175">
        <v>1.3</v>
      </c>
      <c r="M18" s="175">
        <v>1.7</v>
      </c>
      <c r="N18" s="175">
        <v>3.5</v>
      </c>
      <c r="O18" s="253">
        <v>3.3</v>
      </c>
      <c r="P18" s="259">
        <v>1.9</v>
      </c>
      <c r="Q18" s="261"/>
      <c r="R18" s="260" t="s">
        <v>324</v>
      </c>
      <c r="S18" s="251" t="s">
        <v>388</v>
      </c>
      <c r="T18" s="252" t="s">
        <v>389</v>
      </c>
    </row>
    <row r="19" spans="1:20">
      <c r="A19" s="42" t="s">
        <v>333</v>
      </c>
      <c r="B19" s="56">
        <v>233</v>
      </c>
      <c r="C19" s="172">
        <v>198</v>
      </c>
      <c r="D19" s="172">
        <v>187</v>
      </c>
      <c r="E19" s="172">
        <v>181</v>
      </c>
      <c r="F19" s="172">
        <v>178</v>
      </c>
      <c r="G19" s="172">
        <v>174</v>
      </c>
      <c r="H19" s="172">
        <v>170</v>
      </c>
      <c r="I19" s="172">
        <v>166</v>
      </c>
      <c r="J19" s="172">
        <v>159</v>
      </c>
      <c r="K19" s="172">
        <v>149</v>
      </c>
      <c r="L19" s="172">
        <v>142</v>
      </c>
      <c r="M19" s="172">
        <v>137</v>
      </c>
      <c r="N19" s="172">
        <v>114</v>
      </c>
      <c r="O19" s="253">
        <v>117</v>
      </c>
      <c r="P19" s="259">
        <v>119</v>
      </c>
      <c r="Q19" s="261"/>
      <c r="R19" s="260" t="s">
        <v>324</v>
      </c>
      <c r="S19" s="251" t="s">
        <v>388</v>
      </c>
      <c r="T19" s="252" t="s">
        <v>389</v>
      </c>
    </row>
    <row r="20" spans="1:20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160"/>
      <c r="M20" s="160"/>
      <c r="N20" s="160"/>
      <c r="O20" s="160"/>
      <c r="P20" s="255"/>
      <c r="Q20" s="255"/>
      <c r="R20" s="256"/>
      <c r="S20" s="257"/>
      <c r="T20" s="257"/>
    </row>
    <row r="21" spans="1:20">
      <c r="A21" s="328" t="s">
        <v>534</v>
      </c>
      <c r="B21" s="329">
        <v>2008</v>
      </c>
      <c r="C21" s="330">
        <v>2009</v>
      </c>
      <c r="D21" s="330">
        <v>2010</v>
      </c>
      <c r="E21" s="330">
        <v>2011</v>
      </c>
      <c r="F21" s="330">
        <v>2012</v>
      </c>
      <c r="G21" s="330">
        <v>2013</v>
      </c>
      <c r="H21" s="330">
        <v>2014</v>
      </c>
      <c r="I21" s="330">
        <v>2015</v>
      </c>
      <c r="J21" s="330">
        <v>2016</v>
      </c>
      <c r="K21" s="330">
        <v>2017</v>
      </c>
      <c r="L21" s="330">
        <v>2018</v>
      </c>
      <c r="M21" s="330">
        <v>2019</v>
      </c>
      <c r="N21" s="330">
        <v>2020</v>
      </c>
      <c r="O21" s="331">
        <v>2021</v>
      </c>
      <c r="P21" s="332">
        <v>2022</v>
      </c>
      <c r="Q21" s="332">
        <v>2023</v>
      </c>
      <c r="R21" s="332" t="s">
        <v>301</v>
      </c>
      <c r="S21" s="250" t="s">
        <v>302</v>
      </c>
      <c r="T21" s="250" t="s">
        <v>23</v>
      </c>
    </row>
    <row r="22" spans="1:20">
      <c r="A22" s="333" t="s">
        <v>536</v>
      </c>
      <c r="B22" s="334"/>
      <c r="C22" s="259">
        <v>4.0199999999999996</v>
      </c>
      <c r="D22" s="259">
        <v>4.4969999999999999</v>
      </c>
      <c r="E22" s="259">
        <v>5.01</v>
      </c>
      <c r="F22" s="259">
        <v>5.165</v>
      </c>
      <c r="G22" s="259">
        <v>5.4390000000000001</v>
      </c>
      <c r="H22" s="259">
        <v>5.6950000000000003</v>
      </c>
      <c r="I22" s="259">
        <v>5.6970000000000001</v>
      </c>
      <c r="J22" s="259">
        <v>5.3019999999999996</v>
      </c>
      <c r="K22" s="259">
        <v>5.3150000000000004</v>
      </c>
      <c r="L22" s="259">
        <v>5.6580000000000004</v>
      </c>
      <c r="M22" s="259">
        <v>5.5609999999999999</v>
      </c>
      <c r="N22" s="259">
        <v>4.3470000000000004</v>
      </c>
      <c r="O22" s="259">
        <v>5.4489999999999998</v>
      </c>
      <c r="P22" s="259">
        <v>6.4930000000000003</v>
      </c>
      <c r="Q22" s="259">
        <v>6.5739999999999998</v>
      </c>
      <c r="R22" s="335" t="s">
        <v>535</v>
      </c>
      <c r="S22" s="326" t="s">
        <v>515</v>
      </c>
      <c r="T22" s="327" t="s">
        <v>533</v>
      </c>
    </row>
    <row r="23" spans="1:20">
      <c r="A23" s="333" t="s">
        <v>537</v>
      </c>
      <c r="B23" s="334"/>
      <c r="C23" s="259">
        <v>66.884702770999994</v>
      </c>
      <c r="D23" s="259">
        <v>75.644307355999999</v>
      </c>
      <c r="E23" s="259">
        <v>82.247087323000002</v>
      </c>
      <c r="F23" s="259">
        <v>81.259191397999999</v>
      </c>
      <c r="G23" s="259">
        <v>84.386292686000004</v>
      </c>
      <c r="H23" s="259">
        <v>86.609650021999997</v>
      </c>
      <c r="I23" s="259">
        <v>89.893039897999998</v>
      </c>
      <c r="J23" s="259">
        <v>84.738049419999996</v>
      </c>
      <c r="K23" s="259">
        <v>84.343616748999992</v>
      </c>
      <c r="L23" s="259">
        <v>87.436219590999997</v>
      </c>
      <c r="M23" s="259">
        <v>88.035916168</v>
      </c>
      <c r="N23" s="259">
        <v>71.807795998999993</v>
      </c>
      <c r="O23" s="259">
        <v>86.403237399000005</v>
      </c>
      <c r="P23" s="259">
        <v>103.959902203</v>
      </c>
      <c r="Q23" s="259">
        <v>81.606597146999988</v>
      </c>
      <c r="R23" s="335" t="s">
        <v>535</v>
      </c>
      <c r="S23" s="326" t="s">
        <v>515</v>
      </c>
      <c r="T23" s="327" t="s">
        <v>533</v>
      </c>
    </row>
    <row r="24" spans="1:20">
      <c r="A24" s="333" t="s">
        <v>538</v>
      </c>
      <c r="B24" s="334"/>
      <c r="C24" s="259">
        <v>6.6854863309999999</v>
      </c>
      <c r="D24" s="259">
        <v>8.1604995020000004</v>
      </c>
      <c r="E24" s="259">
        <v>9.4658750049999991</v>
      </c>
      <c r="F24" s="259">
        <v>9.3105379500000005</v>
      </c>
      <c r="G24" s="259">
        <v>9.6473533630000006</v>
      </c>
      <c r="H24" s="259">
        <v>10.024617582000001</v>
      </c>
      <c r="I24" s="259">
        <v>9.7622466060000015</v>
      </c>
      <c r="J24" s="259">
        <v>9.115535843</v>
      </c>
      <c r="K24" s="259">
        <v>9.3394036520000014</v>
      </c>
      <c r="L24" s="259">
        <v>9.5646385340000002</v>
      </c>
      <c r="M24" s="259">
        <v>9.2583285190000009</v>
      </c>
      <c r="N24" s="354">
        <v>7.5391897559999999</v>
      </c>
      <c r="O24" s="259">
        <v>8.8510388139999989</v>
      </c>
      <c r="P24" s="259">
        <v>9.4361329129999998</v>
      </c>
      <c r="Q24" s="259">
        <v>8.4388061390000004</v>
      </c>
      <c r="R24" s="335" t="s">
        <v>535</v>
      </c>
      <c r="S24" s="326" t="s">
        <v>515</v>
      </c>
      <c r="T24" s="327" t="s">
        <v>533</v>
      </c>
    </row>
    <row r="25" spans="1:20">
      <c r="A25" s="333" t="s">
        <v>539</v>
      </c>
      <c r="B25" s="334"/>
      <c r="C25" s="259">
        <v>5.2920874639999997</v>
      </c>
      <c r="D25" s="259">
        <v>6.5358656049999997</v>
      </c>
      <c r="E25" s="259">
        <v>7.3309049999999996</v>
      </c>
      <c r="F25" s="259">
        <v>7.7750181270000001</v>
      </c>
      <c r="G25" s="259">
        <v>8.0410699470000004</v>
      </c>
      <c r="H25" s="259">
        <v>8.4601824709999995</v>
      </c>
      <c r="I25" s="259">
        <v>8.6507926550000001</v>
      </c>
      <c r="J25" s="259">
        <v>8.2525302830000005</v>
      </c>
      <c r="K25" s="259">
        <v>8.1829451810000009</v>
      </c>
      <c r="L25" s="259">
        <v>8.7653571200000009</v>
      </c>
      <c r="M25" s="259">
        <v>8.214491099</v>
      </c>
      <c r="N25" s="354">
        <v>8.2874788779999999</v>
      </c>
      <c r="O25" s="259">
        <v>9.8263711709999999</v>
      </c>
      <c r="P25" s="259">
        <v>10.257758298999999</v>
      </c>
      <c r="Q25" s="259">
        <v>8.7231181319999997</v>
      </c>
      <c r="R25" s="335" t="s">
        <v>535</v>
      </c>
      <c r="S25" s="326" t="s">
        <v>515</v>
      </c>
      <c r="T25" s="327" t="s">
        <v>533</v>
      </c>
    </row>
    <row r="26" spans="1:20">
      <c r="A26" s="168"/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</row>
    <row r="27" spans="1:20">
      <c r="A27" s="168"/>
      <c r="B27" s="168"/>
      <c r="C27" s="168"/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</row>
    <row r="28" spans="1:20">
      <c r="A28" s="168"/>
      <c r="B28" s="168"/>
      <c r="C28" s="324"/>
      <c r="D28" s="324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4"/>
      <c r="Q28" s="324"/>
      <c r="R28" s="168"/>
    </row>
    <row r="29" spans="1:20">
      <c r="A29" s="168"/>
      <c r="B29" s="168"/>
      <c r="C29" s="324"/>
      <c r="D29" s="324"/>
      <c r="E29" s="324"/>
      <c r="F29" s="324"/>
      <c r="G29" s="324"/>
      <c r="H29" s="324"/>
      <c r="I29" s="324"/>
      <c r="J29" s="324"/>
      <c r="K29" s="324"/>
      <c r="L29" s="324"/>
      <c r="M29" s="324"/>
      <c r="N29" s="324"/>
      <c r="O29" s="324"/>
      <c r="P29" s="324"/>
      <c r="Q29" s="324"/>
      <c r="R29" s="168"/>
    </row>
    <row r="30" spans="1:20">
      <c r="A30" s="168"/>
      <c r="B30" s="168"/>
      <c r="C30" s="324"/>
      <c r="D30" s="324"/>
      <c r="E30" s="324"/>
      <c r="F30" s="324"/>
      <c r="G30" s="324"/>
      <c r="H30" s="324"/>
      <c r="I30" s="324"/>
      <c r="J30" s="324"/>
      <c r="K30" s="324"/>
      <c r="L30" s="324"/>
      <c r="M30" s="324"/>
      <c r="N30" s="324"/>
      <c r="O30" s="324"/>
      <c r="P30" s="324"/>
      <c r="Q30" s="324"/>
      <c r="R30" s="168"/>
    </row>
    <row r="31" spans="1:20">
      <c r="A31" s="168"/>
      <c r="B31" s="168"/>
      <c r="C31" s="324"/>
      <c r="D31" s="324"/>
      <c r="E31" s="324"/>
      <c r="F31" s="324"/>
      <c r="G31" s="324"/>
      <c r="H31" s="324"/>
      <c r="I31" s="324"/>
      <c r="J31" s="324"/>
      <c r="K31" s="324"/>
      <c r="L31" s="324"/>
      <c r="M31" s="324"/>
      <c r="N31" s="324"/>
      <c r="O31" s="324"/>
      <c r="P31" s="324"/>
      <c r="Q31" s="324"/>
      <c r="R31" s="168"/>
    </row>
    <row r="32" spans="1:20">
      <c r="A32" s="168"/>
      <c r="B32" s="168"/>
      <c r="C32" s="16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</row>
    <row r="33" spans="1:18">
      <c r="A33" s="168"/>
      <c r="B33" s="168"/>
      <c r="C33" s="168"/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</row>
    <row r="34" spans="1:18">
      <c r="A34" s="168"/>
      <c r="B34" s="168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</row>
    <row r="35" spans="1:18">
      <c r="A35" s="168"/>
      <c r="B35" s="168"/>
      <c r="C35" s="168"/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</row>
    <row r="36" spans="1:18">
      <c r="A36" s="168"/>
      <c r="B36" s="168"/>
      <c r="C36" s="168"/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</row>
    <row r="37" spans="1:18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</row>
    <row r="38" spans="1:18">
      <c r="A38" s="168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</row>
    <row r="39" spans="1:18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</row>
    <row r="40" spans="1:18">
      <c r="A40" s="168"/>
      <c r="B40" s="168"/>
      <c r="C40" s="168"/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</row>
    <row r="41" spans="1:18">
      <c r="A41" s="168"/>
      <c r="B41" s="168"/>
      <c r="C41" s="168"/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</row>
    <row r="42" spans="1:18">
      <c r="A42" s="168"/>
      <c r="B42" s="168"/>
      <c r="C42" s="168"/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</row>
    <row r="43" spans="1:18">
      <c r="A43" s="168"/>
      <c r="B43" s="168"/>
      <c r="C43" s="168"/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</row>
    <row r="44" spans="1:18">
      <c r="A44" s="168"/>
      <c r="B44" s="168"/>
      <c r="C44" s="168"/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</row>
    <row r="45" spans="1:18">
      <c r="A45" s="168"/>
      <c r="B45" s="168"/>
      <c r="C45" s="168"/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</row>
    <row r="46" spans="1:18">
      <c r="A46" s="168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</row>
    <row r="47" spans="1:18">
      <c r="A47" s="168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</row>
    <row r="48" spans="1:18">
      <c r="A48" s="168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</row>
    <row r="49" spans="1:18">
      <c r="A49" s="168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</row>
    <row r="50" spans="1:18">
      <c r="A50" s="168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</row>
    <row r="51" spans="1:18">
      <c r="A51" s="168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</row>
    <row r="52" spans="1:18">
      <c r="A52" s="168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</row>
    <row r="53" spans="1:18">
      <c r="A53" s="168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</row>
    <row r="54" spans="1:18">
      <c r="A54" s="168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</row>
    <row r="55" spans="1:18">
      <c r="A55" s="168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</row>
    <row r="56" spans="1:18">
      <c r="A56" s="168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</row>
    <row r="57" spans="1:18">
      <c r="A57" s="168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</row>
    <row r="58" spans="1:18">
      <c r="A58" s="168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</row>
    <row r="59" spans="1:18">
      <c r="A59" s="168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</row>
    <row r="60" spans="1:18">
      <c r="A60" s="168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</row>
    <row r="61" spans="1:18">
      <c r="A61" s="168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</row>
    <row r="62" spans="1:18">
      <c r="A62" s="168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</row>
    <row r="63" spans="1:18">
      <c r="A63" s="168"/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</row>
    <row r="64" spans="1:18">
      <c r="A64" s="168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</row>
    <row r="65" spans="1:18">
      <c r="A65" s="168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</row>
    <row r="66" spans="1:18">
      <c r="A66" s="168"/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</row>
    <row r="67" spans="1:18">
      <c r="A67" s="168"/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</row>
    <row r="68" spans="1:18">
      <c r="A68" s="168"/>
      <c r="B68" s="168"/>
      <c r="C68" s="168"/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</row>
    <row r="69" spans="1:18">
      <c r="A69" s="168"/>
      <c r="B69" s="168"/>
      <c r="C69" s="168"/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</row>
    <row r="70" spans="1:18">
      <c r="A70" s="168"/>
      <c r="B70" s="168"/>
      <c r="C70" s="168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</row>
    <row r="71" spans="1:18">
      <c r="A71" s="168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</row>
    <row r="72" spans="1:18">
      <c r="A72" s="168"/>
      <c r="B72" s="168"/>
      <c r="C72" s="168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</row>
    <row r="73" spans="1:18">
      <c r="A73" s="168"/>
      <c r="B73" s="168"/>
      <c r="C73" s="168"/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</row>
    <row r="74" spans="1:18">
      <c r="A74" s="168"/>
      <c r="B74" s="168"/>
      <c r="C74" s="168"/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</row>
    <row r="75" spans="1:18">
      <c r="A75" s="168"/>
      <c r="B75" s="168"/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</row>
    <row r="76" spans="1:18">
      <c r="A76" s="168"/>
      <c r="B76" s="168"/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</row>
    <row r="77" spans="1:18">
      <c r="A77" s="168"/>
      <c r="B77" s="168"/>
      <c r="C77" s="168"/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</row>
    <row r="78" spans="1:18">
      <c r="A78" s="168"/>
      <c r="B78" s="168"/>
      <c r="C78" s="168"/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</row>
    <row r="79" spans="1:18">
      <c r="A79" s="168"/>
      <c r="B79" s="168"/>
      <c r="C79" s="168"/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</row>
    <row r="80" spans="1:18">
      <c r="A80" s="168"/>
      <c r="B80" s="168"/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</row>
    <row r="81" spans="1:18">
      <c r="A81" s="168"/>
      <c r="B81" s="168"/>
      <c r="C81" s="168"/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</row>
    <row r="82" spans="1:18">
      <c r="A82" s="168"/>
      <c r="B82" s="168"/>
      <c r="C82" s="168"/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</row>
    <row r="83" spans="1:18">
      <c r="A83" s="168"/>
      <c r="B83" s="168"/>
      <c r="C83" s="168"/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</row>
    <row r="84" spans="1:18">
      <c r="A84" s="168"/>
      <c r="B84" s="168"/>
      <c r="C84" s="168"/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</row>
    <row r="85" spans="1:18">
      <c r="A85" s="168"/>
      <c r="B85" s="168"/>
      <c r="C85" s="168"/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</row>
    <row r="86" spans="1:18">
      <c r="A86" s="168"/>
      <c r="B86" s="168"/>
      <c r="C86" s="168"/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</row>
    <row r="87" spans="1:18">
      <c r="A87" s="168"/>
      <c r="B87" s="168"/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</row>
    <row r="88" spans="1:18">
      <c r="A88" s="168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</row>
    <row r="89" spans="1:18">
      <c r="A89" s="168"/>
      <c r="B89" s="168"/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</row>
    <row r="90" spans="1:18">
      <c r="A90" s="168"/>
      <c r="B90" s="168"/>
      <c r="C90" s="168"/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</row>
    <row r="91" spans="1:18">
      <c r="A91" s="168"/>
      <c r="B91" s="168"/>
      <c r="C91" s="168"/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</row>
    <row r="92" spans="1:18">
      <c r="A92" s="168"/>
      <c r="B92" s="168"/>
      <c r="C92" s="168"/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</row>
    <row r="93" spans="1:18">
      <c r="A93" s="168"/>
      <c r="B93" s="168"/>
      <c r="C93" s="168"/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</row>
    <row r="94" spans="1:18">
      <c r="A94" s="168"/>
      <c r="B94" s="168"/>
      <c r="C94" s="168"/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</row>
    <row r="95" spans="1:18">
      <c r="A95" s="168"/>
      <c r="B95" s="168"/>
      <c r="C95" s="168"/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</row>
    <row r="96" spans="1:18">
      <c r="A96" s="168"/>
      <c r="B96" s="168"/>
      <c r="C96" s="168"/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</row>
    <row r="97" spans="1:18">
      <c r="A97" s="168"/>
      <c r="B97" s="168"/>
      <c r="C97" s="168"/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</row>
    <row r="98" spans="1:18">
      <c r="A98" s="168"/>
      <c r="B98" s="168"/>
      <c r="C98" s="168"/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</row>
    <row r="99" spans="1:18">
      <c r="A99" s="168"/>
      <c r="B99" s="168"/>
      <c r="C99" s="168"/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</row>
    <row r="100" spans="1:18">
      <c r="A100" s="168"/>
      <c r="B100" s="168"/>
      <c r="C100" s="168"/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</row>
    <row r="101" spans="1:18">
      <c r="A101" s="168"/>
      <c r="B101" s="168"/>
      <c r="C101" s="168"/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</row>
    <row r="102" spans="1:18">
      <c r="A102" s="168"/>
      <c r="B102" s="168"/>
      <c r="C102" s="168"/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</row>
    <row r="103" spans="1:18">
      <c r="A103" s="168"/>
      <c r="B103" s="168"/>
      <c r="C103" s="168"/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</row>
    <row r="104" spans="1:18">
      <c r="A104" s="168"/>
      <c r="B104" s="168"/>
      <c r="C104" s="168"/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</row>
    <row r="105" spans="1:18">
      <c r="A105" s="168"/>
      <c r="B105" s="168"/>
      <c r="C105" s="168"/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</row>
    <row r="106" spans="1:18">
      <c r="A106" s="168"/>
      <c r="B106" s="168"/>
      <c r="C106" s="168"/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</row>
    <row r="107" spans="1:18">
      <c r="A107" s="168"/>
      <c r="B107" s="168"/>
      <c r="C107" s="168"/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</row>
    <row r="108" spans="1:18">
      <c r="A108" s="168"/>
      <c r="B108" s="168"/>
      <c r="C108" s="168"/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</row>
    <row r="109" spans="1:18">
      <c r="A109" s="168"/>
      <c r="B109" s="168"/>
      <c r="C109" s="168"/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</row>
    <row r="110" spans="1:18">
      <c r="A110" s="168"/>
      <c r="B110" s="168"/>
      <c r="C110" s="168"/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</row>
    <row r="111" spans="1:18">
      <c r="A111" s="168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</row>
    <row r="112" spans="1:18">
      <c r="A112" s="168"/>
      <c r="B112" s="168"/>
      <c r="C112" s="168"/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</row>
    <row r="113" spans="1:18">
      <c r="A113" s="168"/>
      <c r="B113" s="168"/>
      <c r="C113" s="168"/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</row>
    <row r="114" spans="1:18">
      <c r="A114" s="168"/>
      <c r="B114" s="168"/>
      <c r="C114" s="168"/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</row>
    <row r="115" spans="1:18">
      <c r="A115" s="168"/>
      <c r="B115" s="168"/>
      <c r="C115" s="168"/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</row>
    <row r="116" spans="1:18">
      <c r="A116" s="168"/>
      <c r="B116" s="168"/>
      <c r="C116" s="168"/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</row>
    <row r="117" spans="1:18">
      <c r="A117" s="168"/>
      <c r="B117" s="168"/>
      <c r="C117" s="168"/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</row>
    <row r="118" spans="1:18">
      <c r="A118" s="168"/>
      <c r="B118" s="168"/>
      <c r="C118" s="168"/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</row>
    <row r="119" spans="1:18">
      <c r="A119" s="168"/>
      <c r="B119" s="168"/>
      <c r="C119" s="168"/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</row>
    <row r="120" spans="1:18">
      <c r="A120" s="168"/>
      <c r="B120" s="168"/>
      <c r="C120" s="168"/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</row>
    <row r="121" spans="1:18">
      <c r="A121" s="168"/>
      <c r="B121" s="168"/>
      <c r="C121" s="168"/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</row>
    <row r="122" spans="1:18">
      <c r="A122" s="168"/>
      <c r="B122" s="168"/>
      <c r="C122" s="168"/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</row>
    <row r="123" spans="1:18">
      <c r="A123" s="168"/>
      <c r="B123" s="168"/>
      <c r="C123" s="168"/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</row>
    <row r="124" spans="1:18">
      <c r="A124" s="168"/>
      <c r="B124" s="168"/>
      <c r="C124" s="168"/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</row>
    <row r="125" spans="1:18">
      <c r="A125" s="168"/>
      <c r="B125" s="168"/>
      <c r="C125" s="168"/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</row>
    <row r="126" spans="1:18">
      <c r="A126" s="168"/>
      <c r="B126" s="168"/>
      <c r="C126" s="168"/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</row>
    <row r="127" spans="1:18">
      <c r="A127" s="168"/>
      <c r="B127" s="168"/>
      <c r="C127" s="168"/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</row>
    <row r="128" spans="1:18">
      <c r="A128" s="168"/>
      <c r="B128" s="168"/>
      <c r="C128" s="168"/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</row>
    <row r="129" spans="1:18">
      <c r="A129" s="168"/>
      <c r="B129" s="168"/>
      <c r="C129" s="168"/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</row>
    <row r="130" spans="1:18">
      <c r="A130" s="168"/>
      <c r="B130" s="168"/>
      <c r="C130" s="168"/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</row>
    <row r="131" spans="1:18">
      <c r="A131" s="168"/>
      <c r="B131" s="168"/>
      <c r="C131" s="168"/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</row>
    <row r="132" spans="1:18">
      <c r="A132" s="168"/>
      <c r="B132" s="168"/>
      <c r="C132" s="168"/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</row>
    <row r="133" spans="1:18">
      <c r="A133" s="168"/>
      <c r="B133" s="168"/>
      <c r="C133" s="168"/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</row>
    <row r="134" spans="1:18">
      <c r="A134" s="168"/>
      <c r="B134" s="168"/>
      <c r="C134" s="168"/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</row>
    <row r="135" spans="1:18">
      <c r="A135" s="168"/>
      <c r="B135" s="168"/>
      <c r="C135" s="168"/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</row>
    <row r="136" spans="1:18">
      <c r="A136" s="168"/>
      <c r="B136" s="168"/>
      <c r="C136" s="168"/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</row>
    <row r="137" spans="1:18">
      <c r="A137" s="168"/>
      <c r="B137" s="168"/>
      <c r="C137" s="168"/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</row>
    <row r="138" spans="1:18">
      <c r="A138" s="168"/>
      <c r="B138" s="168"/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</row>
    <row r="139" spans="1:18">
      <c r="A139" s="168"/>
      <c r="B139" s="168"/>
      <c r="C139" s="168"/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</row>
    <row r="140" spans="1:18">
      <c r="A140" s="168"/>
      <c r="B140" s="168"/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</row>
    <row r="141" spans="1:18">
      <c r="A141" s="168"/>
      <c r="B141" s="168"/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</row>
    <row r="142" spans="1:18">
      <c r="A142" s="168"/>
      <c r="B142" s="168"/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</row>
    <row r="143" spans="1:18">
      <c r="A143" s="168"/>
      <c r="B143" s="168"/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</row>
    <row r="144" spans="1:18">
      <c r="A144" s="168"/>
      <c r="B144" s="168"/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</row>
    <row r="145" spans="1:18">
      <c r="A145" s="168"/>
      <c r="B145" s="168"/>
      <c r="C145" s="168"/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</row>
    <row r="146" spans="1:18">
      <c r="A146" s="168"/>
      <c r="B146" s="168"/>
      <c r="C146" s="168"/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</row>
    <row r="147" spans="1:18">
      <c r="A147" s="168"/>
      <c r="B147" s="168"/>
      <c r="C147" s="168"/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</row>
    <row r="148" spans="1:18">
      <c r="A148" s="168"/>
      <c r="B148" s="168"/>
      <c r="C148" s="168"/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</row>
    <row r="149" spans="1:18">
      <c r="A149" s="168"/>
      <c r="B149" s="168"/>
      <c r="C149" s="168"/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</row>
    <row r="150" spans="1:18">
      <c r="A150" s="168"/>
      <c r="B150" s="168"/>
      <c r="C150" s="168"/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</row>
    <row r="151" spans="1:18">
      <c r="A151" s="168"/>
      <c r="B151" s="168"/>
      <c r="C151" s="168"/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</row>
    <row r="152" spans="1:18">
      <c r="A152" s="168"/>
      <c r="B152" s="168"/>
      <c r="C152" s="168"/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</row>
    <row r="153" spans="1:18">
      <c r="A153" s="168"/>
      <c r="B153" s="168"/>
      <c r="C153" s="168"/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</row>
    <row r="154" spans="1:18">
      <c r="A154" s="168"/>
      <c r="B154" s="168"/>
      <c r="C154" s="168"/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</row>
    <row r="155" spans="1:18">
      <c r="A155" s="168"/>
      <c r="B155" s="168"/>
      <c r="C155" s="168"/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</row>
    <row r="156" spans="1:18">
      <c r="A156" s="168"/>
      <c r="B156" s="168"/>
      <c r="C156" s="168"/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</row>
    <row r="157" spans="1:18">
      <c r="A157" s="168"/>
      <c r="B157" s="168"/>
      <c r="C157" s="168"/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</row>
    <row r="158" spans="1:18">
      <c r="A158" s="168"/>
      <c r="B158" s="168"/>
      <c r="C158" s="168"/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</row>
    <row r="159" spans="1:18">
      <c r="A159" s="168"/>
      <c r="B159" s="168"/>
      <c r="C159" s="168"/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</row>
    <row r="160" spans="1:18">
      <c r="A160" s="168"/>
      <c r="B160" s="168"/>
      <c r="C160" s="168"/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</row>
    <row r="161" spans="1:18">
      <c r="A161" s="168"/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</row>
    <row r="162" spans="1:18">
      <c r="A162" s="168"/>
      <c r="B162" s="168"/>
      <c r="C162" s="168"/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</row>
    <row r="163" spans="1:18">
      <c r="A163" s="168"/>
      <c r="B163" s="168"/>
      <c r="C163" s="168"/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</row>
    <row r="164" spans="1:18">
      <c r="A164" s="168"/>
      <c r="B164" s="168"/>
      <c r="C164" s="168"/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</row>
    <row r="165" spans="1:18">
      <c r="A165" s="168"/>
      <c r="B165" s="168"/>
      <c r="C165" s="168"/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</row>
    <row r="166" spans="1:18">
      <c r="A166" s="168"/>
      <c r="B166" s="168"/>
      <c r="C166" s="16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</row>
    <row r="167" spans="1:18">
      <c r="A167" s="168"/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</row>
    <row r="168" spans="1:18">
      <c r="A168" s="168"/>
      <c r="B168" s="168"/>
      <c r="C168" s="16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</row>
    <row r="169" spans="1:18">
      <c r="A169" s="168"/>
      <c r="B169" s="168"/>
      <c r="C169" s="16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</row>
    <row r="170" spans="1:18">
      <c r="A170" s="168"/>
      <c r="B170" s="168"/>
      <c r="C170" s="16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</row>
    <row r="171" spans="1:18">
      <c r="A171" s="168"/>
      <c r="B171" s="168"/>
      <c r="C171" s="16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</row>
    <row r="172" spans="1:18">
      <c r="A172" s="168"/>
      <c r="B172" s="168"/>
      <c r="C172" s="16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</row>
    <row r="173" spans="1:18">
      <c r="A173" s="168"/>
      <c r="B173" s="168"/>
      <c r="C173" s="16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</row>
    <row r="174" spans="1:18">
      <c r="A174" s="168"/>
      <c r="B174" s="168"/>
      <c r="C174" s="16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</row>
    <row r="175" spans="1:18">
      <c r="A175" s="168"/>
      <c r="B175" s="168"/>
      <c r="C175" s="16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</row>
    <row r="176" spans="1:18">
      <c r="A176" s="168"/>
      <c r="B176" s="168"/>
      <c r="C176" s="16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</row>
    <row r="177" spans="1:18">
      <c r="A177" s="168"/>
      <c r="B177" s="168"/>
      <c r="C177" s="16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</row>
    <row r="178" spans="1:18">
      <c r="A178" s="168"/>
      <c r="B178" s="168"/>
      <c r="C178" s="16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</row>
    <row r="179" spans="1:18">
      <c r="A179" s="168"/>
      <c r="B179" s="168"/>
      <c r="C179" s="16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</row>
    <row r="180" spans="1:18">
      <c r="A180" s="168"/>
      <c r="B180" s="168"/>
      <c r="C180" s="16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</row>
    <row r="181" spans="1:18">
      <c r="A181" s="168"/>
      <c r="B181" s="168"/>
      <c r="C181" s="16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</row>
    <row r="182" spans="1:18">
      <c r="A182" s="168"/>
      <c r="B182" s="168"/>
      <c r="C182" s="16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</row>
    <row r="183" spans="1:18">
      <c r="A183" s="168"/>
      <c r="B183" s="168"/>
      <c r="C183" s="16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</row>
    <row r="184" spans="1:18">
      <c r="A184" s="168"/>
      <c r="B184" s="168"/>
      <c r="C184" s="16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</row>
    <row r="185" spans="1:18">
      <c r="A185" s="168"/>
      <c r="B185" s="168"/>
      <c r="C185" s="16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</row>
    <row r="186" spans="1:18">
      <c r="A186" s="168"/>
      <c r="B186" s="168"/>
      <c r="C186" s="16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</row>
    <row r="187" spans="1:18">
      <c r="A187" s="168"/>
      <c r="B187" s="168"/>
      <c r="C187" s="16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</row>
    <row r="188" spans="1:18">
      <c r="A188" s="168"/>
      <c r="B188" s="168"/>
      <c r="C188" s="16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</row>
    <row r="189" spans="1:18">
      <c r="A189" s="168"/>
      <c r="B189" s="168"/>
      <c r="C189" s="16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</row>
    <row r="190" spans="1:18">
      <c r="A190" s="168"/>
      <c r="B190" s="168"/>
      <c r="C190" s="16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</row>
    <row r="191" spans="1:18">
      <c r="A191" s="168"/>
      <c r="B191" s="168"/>
      <c r="C191" s="16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</row>
    <row r="192" spans="1:18">
      <c r="A192" s="168"/>
      <c r="B192" s="168"/>
      <c r="C192" s="16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</row>
    <row r="193" spans="1:18">
      <c r="A193" s="168"/>
      <c r="B193" s="168"/>
      <c r="C193" s="16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</row>
    <row r="194" spans="1:18">
      <c r="A194" s="168"/>
      <c r="B194" s="168"/>
      <c r="C194" s="16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</row>
    <row r="195" spans="1:18">
      <c r="A195" s="168"/>
      <c r="B195" s="168"/>
      <c r="C195" s="16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</row>
    <row r="196" spans="1:18">
      <c r="A196" s="168"/>
      <c r="B196" s="168"/>
      <c r="C196" s="16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</row>
    <row r="197" spans="1:18">
      <c r="A197" s="168"/>
      <c r="B197" s="168"/>
      <c r="C197" s="16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</row>
    <row r="198" spans="1:18">
      <c r="A198" s="168"/>
      <c r="B198" s="168"/>
      <c r="C198" s="16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</row>
    <row r="199" spans="1:18">
      <c r="A199" s="168"/>
      <c r="B199" s="168"/>
      <c r="C199" s="16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</row>
    <row r="200" spans="1:18">
      <c r="A200" s="168"/>
      <c r="B200" s="168"/>
      <c r="C200" s="16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</row>
    <row r="201" spans="1:18">
      <c r="A201" s="168"/>
      <c r="B201" s="168"/>
      <c r="C201" s="16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</row>
    <row r="202" spans="1:18">
      <c r="A202" s="168"/>
      <c r="B202" s="168"/>
      <c r="C202" s="16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</row>
    <row r="203" spans="1:18">
      <c r="A203" s="168"/>
      <c r="B203" s="168"/>
      <c r="C203" s="16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</row>
    <row r="204" spans="1:18">
      <c r="A204" s="168"/>
      <c r="B204" s="168"/>
      <c r="C204" s="16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</row>
    <row r="205" spans="1:18">
      <c r="A205" s="168"/>
      <c r="B205" s="168"/>
      <c r="C205" s="16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</row>
    <row r="206" spans="1:18">
      <c r="A206" s="168"/>
      <c r="B206" s="168"/>
      <c r="C206" s="16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</row>
    <row r="207" spans="1:18">
      <c r="A207" s="168"/>
      <c r="B207" s="168"/>
      <c r="C207" s="16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</row>
    <row r="208" spans="1:18">
      <c r="A208" s="168"/>
      <c r="B208" s="168"/>
      <c r="C208" s="16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</row>
    <row r="209" spans="1:18">
      <c r="A209" s="168"/>
      <c r="B209" s="168"/>
      <c r="C209" s="16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</row>
    <row r="210" spans="1:18">
      <c r="A210" s="168"/>
      <c r="B210" s="168"/>
      <c r="C210" s="16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</row>
    <row r="211" spans="1:18">
      <c r="A211" s="168"/>
      <c r="B211" s="168"/>
      <c r="C211" s="16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</row>
    <row r="212" spans="1:18">
      <c r="A212" s="168"/>
      <c r="B212" s="168"/>
      <c r="C212" s="16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</row>
    <row r="213" spans="1:18">
      <c r="A213" s="168"/>
      <c r="B213" s="168"/>
      <c r="C213" s="16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</row>
    <row r="214" spans="1:18">
      <c r="A214" s="168"/>
      <c r="B214" s="168"/>
      <c r="C214" s="16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</row>
    <row r="215" spans="1:18">
      <c r="A215" s="168"/>
      <c r="B215" s="168"/>
      <c r="C215" s="16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</row>
    <row r="216" spans="1:18">
      <c r="A216" s="168"/>
      <c r="B216" s="168"/>
      <c r="C216" s="16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</row>
    <row r="217" spans="1:18">
      <c r="A217" s="168"/>
      <c r="B217" s="168"/>
      <c r="C217" s="16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</row>
    <row r="218" spans="1:18">
      <c r="A218" s="168"/>
      <c r="B218" s="168"/>
      <c r="C218" s="16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</row>
    <row r="219" spans="1:18">
      <c r="A219" s="168"/>
      <c r="B219" s="168"/>
      <c r="C219" s="16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</row>
    <row r="220" spans="1:18">
      <c r="A220" s="168"/>
      <c r="B220" s="168"/>
      <c r="C220" s="16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</row>
    <row r="221" spans="1:18">
      <c r="A221" s="168"/>
      <c r="B221" s="168"/>
      <c r="C221" s="16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</row>
    <row r="222" spans="1:18">
      <c r="A222" s="168"/>
      <c r="B222" s="168"/>
      <c r="C222" s="16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</row>
    <row r="223" spans="1:18">
      <c r="A223" s="168"/>
      <c r="B223" s="168"/>
      <c r="C223" s="16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</row>
    <row r="224" spans="1:18">
      <c r="A224" s="168"/>
      <c r="B224" s="168"/>
      <c r="C224" s="16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</row>
    <row r="225" spans="1:18">
      <c r="A225" s="168"/>
      <c r="B225" s="168"/>
      <c r="C225" s="16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</row>
    <row r="226" spans="1:18">
      <c r="A226" s="168"/>
      <c r="B226" s="168"/>
      <c r="C226" s="16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</row>
    <row r="227" spans="1:18">
      <c r="A227" s="168"/>
      <c r="B227" s="168"/>
      <c r="C227" s="16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</row>
    <row r="228" spans="1:18">
      <c r="A228" s="168"/>
      <c r="B228" s="168"/>
      <c r="C228" s="16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</row>
    <row r="229" spans="1:18">
      <c r="A229" s="168"/>
      <c r="B229" s="168"/>
      <c r="C229" s="16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</row>
    <row r="230" spans="1:18">
      <c r="A230" s="168"/>
      <c r="B230" s="168"/>
      <c r="C230" s="16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</row>
    <row r="231" spans="1:18">
      <c r="A231" s="168"/>
      <c r="B231" s="168"/>
      <c r="C231" s="16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</row>
    <row r="232" spans="1:18">
      <c r="A232" s="168"/>
      <c r="B232" s="168"/>
      <c r="C232" s="16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</row>
    <row r="233" spans="1:18">
      <c r="A233" s="168"/>
      <c r="B233" s="168"/>
      <c r="C233" s="16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</row>
    <row r="234" spans="1:18">
      <c r="A234" s="168"/>
      <c r="B234" s="168"/>
      <c r="C234" s="16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</row>
    <row r="235" spans="1:18">
      <c r="A235" s="168"/>
      <c r="B235" s="168"/>
      <c r="C235" s="16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</row>
    <row r="236" spans="1:18">
      <c r="A236" s="168"/>
      <c r="B236" s="168"/>
      <c r="C236" s="16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</row>
    <row r="237" spans="1:18">
      <c r="A237" s="168"/>
      <c r="B237" s="168"/>
      <c r="C237" s="16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</row>
    <row r="238" spans="1:18">
      <c r="A238" s="168"/>
      <c r="B238" s="168"/>
      <c r="C238" s="16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</row>
    <row r="239" spans="1:18">
      <c r="A239" s="168"/>
      <c r="B239" s="168"/>
      <c r="C239" s="16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</row>
    <row r="240" spans="1:18">
      <c r="A240" s="168"/>
      <c r="B240" s="168"/>
      <c r="C240" s="16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</row>
    <row r="241" spans="1:18">
      <c r="A241" s="168"/>
      <c r="B241" s="168"/>
      <c r="C241" s="16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</row>
    <row r="242" spans="1:18">
      <c r="A242" s="168"/>
      <c r="B242" s="168"/>
      <c r="C242" s="16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</row>
    <row r="243" spans="1:18">
      <c r="A243" s="168"/>
      <c r="B243" s="168"/>
      <c r="C243" s="16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</row>
    <row r="244" spans="1:18">
      <c r="A244" s="168"/>
      <c r="B244" s="168"/>
      <c r="C244" s="16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</row>
    <row r="245" spans="1:18">
      <c r="A245" s="168"/>
      <c r="B245" s="168"/>
      <c r="C245" s="16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</row>
    <row r="246" spans="1:18">
      <c r="A246" s="168"/>
      <c r="B246" s="168"/>
      <c r="C246" s="16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</row>
    <row r="247" spans="1:18">
      <c r="A247" s="168"/>
      <c r="B247" s="168"/>
      <c r="C247" s="16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</row>
    <row r="248" spans="1:18">
      <c r="A248" s="168"/>
      <c r="B248" s="168"/>
      <c r="C248" s="16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</row>
    <row r="249" spans="1:18">
      <c r="A249" s="168"/>
      <c r="B249" s="168"/>
      <c r="C249" s="16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</row>
    <row r="250" spans="1:18">
      <c r="A250" s="168"/>
      <c r="B250" s="168"/>
      <c r="C250" s="16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</row>
    <row r="251" spans="1:18">
      <c r="A251" s="168"/>
      <c r="B251" s="168"/>
      <c r="C251" s="16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</row>
    <row r="252" spans="1:18">
      <c r="A252" s="168"/>
      <c r="B252" s="168"/>
      <c r="C252" s="16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</row>
    <row r="253" spans="1:18">
      <c r="A253" s="168"/>
      <c r="B253" s="168"/>
      <c r="C253" s="16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</row>
    <row r="254" spans="1:18">
      <c r="A254" s="168"/>
      <c r="B254" s="168"/>
      <c r="C254" s="16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</row>
    <row r="255" spans="1:18">
      <c r="A255" s="168"/>
      <c r="B255" s="168"/>
      <c r="C255" s="16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</row>
    <row r="256" spans="1:18">
      <c r="A256" s="168"/>
      <c r="B256" s="168"/>
      <c r="C256" s="16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</row>
    <row r="257" spans="1:18">
      <c r="A257" s="168"/>
      <c r="B257" s="168"/>
      <c r="C257" s="16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</row>
    <row r="258" spans="1:18">
      <c r="A258" s="168"/>
      <c r="B258" s="168"/>
      <c r="C258" s="16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</row>
    <row r="259" spans="1:18">
      <c r="A259" s="168"/>
      <c r="B259" s="168"/>
      <c r="C259" s="16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</row>
    <row r="260" spans="1:18">
      <c r="A260" s="168"/>
      <c r="B260" s="168"/>
      <c r="C260" s="16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</row>
    <row r="261" spans="1:18">
      <c r="A261" s="168"/>
      <c r="B261" s="168"/>
      <c r="C261" s="16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</row>
    <row r="262" spans="1:18">
      <c r="A262" s="168"/>
      <c r="B262" s="168"/>
      <c r="C262" s="16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</row>
    <row r="263" spans="1:18">
      <c r="A263" s="168"/>
      <c r="B263" s="168"/>
      <c r="C263" s="16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</row>
    <row r="264" spans="1:18">
      <c r="A264" s="168"/>
      <c r="B264" s="168"/>
      <c r="C264" s="16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</row>
    <row r="265" spans="1:18">
      <c r="A265" s="168"/>
      <c r="B265" s="168"/>
      <c r="C265" s="16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</row>
    <row r="266" spans="1:18">
      <c r="A266" s="168"/>
      <c r="B266" s="168"/>
      <c r="C266" s="16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</row>
    <row r="267" spans="1:18">
      <c r="A267" s="168"/>
      <c r="B267" s="168"/>
      <c r="C267" s="16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</row>
    <row r="268" spans="1:18">
      <c r="A268" s="168"/>
      <c r="B268" s="168"/>
      <c r="C268" s="16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</row>
    <row r="269" spans="1:18">
      <c r="A269" s="168"/>
      <c r="B269" s="168"/>
      <c r="C269" s="16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</row>
    <row r="270" spans="1:18">
      <c r="A270" s="168"/>
      <c r="B270" s="168"/>
      <c r="C270" s="16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</row>
    <row r="271" spans="1:18">
      <c r="A271" s="168"/>
      <c r="B271" s="168"/>
      <c r="C271" s="16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</row>
    <row r="272" spans="1:18">
      <c r="A272" s="168"/>
      <c r="B272" s="168"/>
      <c r="C272" s="16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</row>
    <row r="273" spans="1:18">
      <c r="A273" s="168"/>
      <c r="B273" s="168"/>
      <c r="C273" s="16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</row>
    <row r="274" spans="1:18">
      <c r="A274" s="168"/>
      <c r="B274" s="168"/>
      <c r="C274" s="16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</row>
    <row r="275" spans="1:18">
      <c r="A275" s="168"/>
      <c r="B275" s="168"/>
      <c r="C275" s="16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</row>
    <row r="276" spans="1:18">
      <c r="A276" s="168"/>
      <c r="B276" s="168"/>
      <c r="C276" s="16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</row>
    <row r="277" spans="1:18">
      <c r="A277" s="168"/>
      <c r="B277" s="168"/>
      <c r="C277" s="16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</row>
    <row r="278" spans="1:18">
      <c r="A278" s="168"/>
      <c r="B278" s="168"/>
      <c r="C278" s="16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</row>
    <row r="279" spans="1:18">
      <c r="A279" s="168"/>
      <c r="B279" s="168"/>
      <c r="C279" s="16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</row>
    <row r="280" spans="1:18">
      <c r="A280" s="168"/>
      <c r="B280" s="168"/>
      <c r="C280" s="16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</row>
    <row r="281" spans="1:18">
      <c r="A281" s="168"/>
      <c r="B281" s="168"/>
      <c r="C281" s="16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</row>
    <row r="282" spans="1:18">
      <c r="A282" s="168"/>
      <c r="B282" s="168"/>
      <c r="C282" s="16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</row>
    <row r="283" spans="1:18">
      <c r="A283" s="168"/>
      <c r="B283" s="168"/>
      <c r="C283" s="16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</row>
    <row r="284" spans="1:18">
      <c r="A284" s="168"/>
      <c r="B284" s="168"/>
      <c r="C284" s="16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</row>
    <row r="285" spans="1:18">
      <c r="A285" s="168"/>
      <c r="B285" s="168"/>
      <c r="C285" s="16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</row>
    <row r="286" spans="1:18">
      <c r="A286" s="168"/>
      <c r="B286" s="168"/>
      <c r="C286" s="16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</row>
    <row r="287" spans="1:18">
      <c r="A287" s="168"/>
      <c r="B287" s="168"/>
      <c r="C287" s="16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</row>
    <row r="288" spans="1:18">
      <c r="A288" s="168"/>
      <c r="B288" s="168"/>
      <c r="C288" s="16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</row>
    <row r="289" spans="1:18">
      <c r="A289" s="168"/>
      <c r="B289" s="168"/>
      <c r="C289" s="16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</row>
    <row r="290" spans="1:18">
      <c r="A290" s="168"/>
      <c r="B290" s="168"/>
      <c r="C290" s="16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</row>
    <row r="291" spans="1:18">
      <c r="A291" s="168"/>
      <c r="B291" s="168"/>
      <c r="C291" s="16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</row>
    <row r="292" spans="1:18">
      <c r="A292" s="168"/>
      <c r="B292" s="168"/>
      <c r="C292" s="16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</row>
    <row r="293" spans="1:18">
      <c r="A293" s="168"/>
      <c r="B293" s="168"/>
      <c r="C293" s="16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</row>
    <row r="294" spans="1:18">
      <c r="A294" s="168"/>
      <c r="B294" s="168"/>
      <c r="C294" s="16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</row>
    <row r="295" spans="1:18">
      <c r="A295" s="168"/>
      <c r="B295" s="168"/>
      <c r="C295" s="16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</row>
    <row r="296" spans="1:18">
      <c r="A296" s="168"/>
      <c r="B296" s="168"/>
      <c r="C296" s="16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</row>
    <row r="297" spans="1:18">
      <c r="A297" s="168"/>
      <c r="B297" s="168"/>
      <c r="C297" s="16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</row>
    <row r="298" spans="1:18">
      <c r="A298" s="168"/>
      <c r="B298" s="168"/>
      <c r="C298" s="16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</row>
    <row r="299" spans="1:18">
      <c r="A299" s="168"/>
      <c r="B299" s="168"/>
      <c r="C299" s="16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</row>
    <row r="300" spans="1:18">
      <c r="A300" s="168"/>
      <c r="B300" s="168"/>
      <c r="C300" s="16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</row>
    <row r="301" spans="1:18">
      <c r="A301" s="168"/>
      <c r="B301" s="168"/>
      <c r="C301" s="16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</row>
    <row r="302" spans="1:18">
      <c r="A302" s="168"/>
      <c r="B302" s="168"/>
      <c r="C302" s="16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</row>
    <row r="303" spans="1:18">
      <c r="A303" s="168"/>
      <c r="B303" s="168"/>
      <c r="C303" s="16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</row>
    <row r="304" spans="1:18">
      <c r="A304" s="168"/>
      <c r="B304" s="168"/>
      <c r="C304" s="16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</row>
    <row r="305" spans="1:18">
      <c r="A305" s="168"/>
      <c r="B305" s="168"/>
      <c r="C305" s="16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</row>
    <row r="306" spans="1:18">
      <c r="A306" s="168"/>
      <c r="B306" s="168"/>
      <c r="C306" s="16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</row>
    <row r="307" spans="1:18">
      <c r="A307" s="168"/>
      <c r="B307" s="168"/>
      <c r="C307" s="16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</row>
    <row r="308" spans="1:18">
      <c r="A308" s="168"/>
      <c r="B308" s="168"/>
      <c r="C308" s="16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</row>
    <row r="309" spans="1:18">
      <c r="A309" s="168"/>
      <c r="B309" s="168"/>
      <c r="C309" s="16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</row>
    <row r="310" spans="1:18">
      <c r="A310" s="168"/>
      <c r="B310" s="168"/>
      <c r="C310" s="16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</row>
    <row r="311" spans="1:18">
      <c r="A311" s="168"/>
      <c r="B311" s="168"/>
      <c r="C311" s="16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</row>
    <row r="312" spans="1:18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</row>
    <row r="313" spans="1:18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</row>
    <row r="314" spans="1:18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</row>
    <row r="315" spans="1:18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</row>
    <row r="316" spans="1:18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</row>
    <row r="317" spans="1:18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</row>
    <row r="318" spans="1:18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</row>
    <row r="319" spans="1:18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</row>
    <row r="320" spans="1:18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</row>
    <row r="321" spans="1:18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</row>
    <row r="322" spans="1:18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</row>
    <row r="323" spans="1:18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</row>
    <row r="324" spans="1:18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</row>
    <row r="325" spans="1:18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</row>
    <row r="326" spans="1:18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</row>
    <row r="327" spans="1:18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</row>
    <row r="328" spans="1:18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</row>
    <row r="329" spans="1:18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</row>
    <row r="330" spans="1:18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</row>
    <row r="331" spans="1:18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</row>
    <row r="332" spans="1:18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</row>
    <row r="333" spans="1:18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</row>
    <row r="334" spans="1:18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</row>
    <row r="335" spans="1:18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</row>
    <row r="336" spans="1:18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</row>
    <row r="337" spans="1:18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</row>
    <row r="338" spans="1:18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</row>
    <row r="339" spans="1:18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</row>
    <row r="340" spans="1:18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</row>
    <row r="341" spans="1:18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</row>
    <row r="342" spans="1:18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</row>
    <row r="343" spans="1:18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</row>
    <row r="344" spans="1:18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</row>
    <row r="345" spans="1:18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</row>
    <row r="346" spans="1:18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</row>
    <row r="347" spans="1:18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</row>
    <row r="348" spans="1:18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</row>
    <row r="349" spans="1:18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</row>
    <row r="350" spans="1:18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</row>
    <row r="351" spans="1:18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</row>
    <row r="352" spans="1:18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</row>
    <row r="353" spans="1:18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</row>
    <row r="354" spans="1:18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</row>
    <row r="355" spans="1:18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</row>
    <row r="356" spans="1:18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</row>
    <row r="357" spans="1:18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</row>
    <row r="358" spans="1:18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</row>
    <row r="359" spans="1:18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</row>
    <row r="360" spans="1:18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</row>
    <row r="361" spans="1:18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</row>
    <row r="362" spans="1:18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</row>
    <row r="363" spans="1:18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</row>
    <row r="364" spans="1:18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</row>
    <row r="365" spans="1:18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</row>
    <row r="366" spans="1:18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</row>
    <row r="367" spans="1:18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</row>
    <row r="368" spans="1:18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</row>
    <row r="369" spans="1:18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</row>
    <row r="370" spans="1:18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</row>
    <row r="371" spans="1:18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</row>
    <row r="372" spans="1:18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</row>
    <row r="373" spans="1:18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</row>
    <row r="374" spans="1:18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</row>
    <row r="375" spans="1:18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</row>
    <row r="376" spans="1:18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</row>
    <row r="377" spans="1:18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</row>
    <row r="378" spans="1:18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</row>
    <row r="379" spans="1:18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</row>
    <row r="380" spans="1:18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</row>
    <row r="381" spans="1:18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</row>
    <row r="382" spans="1:18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</row>
    <row r="383" spans="1:18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</row>
    <row r="384" spans="1:18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</row>
    <row r="385" spans="1:18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</row>
    <row r="386" spans="1:18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</row>
    <row r="387" spans="1:18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</row>
    <row r="388" spans="1:18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</row>
    <row r="389" spans="1:18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</row>
    <row r="390" spans="1:18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</row>
    <row r="391" spans="1:18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</row>
    <row r="392" spans="1:18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</row>
    <row r="393" spans="1:18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</row>
    <row r="394" spans="1:18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</row>
    <row r="395" spans="1:18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</row>
    <row r="396" spans="1:18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</row>
    <row r="397" spans="1:18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</row>
    <row r="398" spans="1:18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</row>
    <row r="399" spans="1:18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</row>
    <row r="400" spans="1:18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</row>
    <row r="401" spans="1:18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</row>
    <row r="402" spans="1:18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</row>
    <row r="403" spans="1:18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</row>
    <row r="404" spans="1:18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</row>
    <row r="405" spans="1:18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</row>
    <row r="406" spans="1:18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</row>
    <row r="407" spans="1:18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</row>
    <row r="408" spans="1:18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</row>
    <row r="409" spans="1:18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</row>
    <row r="410" spans="1:18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</row>
    <row r="411" spans="1:18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</row>
    <row r="412" spans="1:18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</row>
    <row r="413" spans="1:18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</row>
    <row r="414" spans="1:18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</row>
    <row r="415" spans="1:18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</row>
    <row r="416" spans="1:18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</row>
    <row r="417" spans="1:18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</row>
    <row r="418" spans="1:18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</row>
    <row r="419" spans="1:18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</row>
    <row r="420" spans="1:18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</row>
    <row r="421" spans="1:18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</row>
    <row r="422" spans="1:18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</row>
    <row r="423" spans="1:18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</row>
    <row r="424" spans="1:18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</row>
    <row r="425" spans="1:18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</row>
    <row r="426" spans="1:18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</row>
    <row r="427" spans="1:18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</row>
    <row r="428" spans="1:18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</row>
    <row r="429" spans="1:18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</row>
    <row r="430" spans="1:18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</row>
    <row r="431" spans="1:18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</row>
    <row r="432" spans="1:18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</row>
    <row r="433" spans="1:18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</row>
    <row r="434" spans="1:18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</row>
    <row r="435" spans="1:18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</row>
    <row r="436" spans="1:18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</row>
    <row r="437" spans="1:18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</row>
    <row r="438" spans="1:18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</row>
    <row r="439" spans="1:18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</row>
    <row r="440" spans="1:18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</row>
    <row r="441" spans="1:18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</row>
    <row r="442" spans="1:18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</row>
    <row r="443" spans="1:18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</row>
    <row r="444" spans="1:18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</row>
    <row r="445" spans="1:18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</row>
    <row r="446" spans="1:18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</row>
    <row r="447" spans="1:18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</row>
    <row r="448" spans="1:18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</row>
    <row r="449" spans="1:18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</row>
    <row r="450" spans="1:18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</row>
    <row r="451" spans="1:18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</row>
    <row r="452" spans="1:18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</row>
    <row r="453" spans="1:18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</row>
    <row r="454" spans="1:18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</row>
    <row r="455" spans="1:18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</row>
    <row r="456" spans="1:18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</row>
    <row r="457" spans="1:18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</row>
    <row r="458" spans="1:18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</row>
    <row r="459" spans="1:18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</row>
    <row r="460" spans="1:18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</row>
    <row r="461" spans="1:18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</row>
    <row r="462" spans="1:18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</row>
    <row r="463" spans="1:18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</row>
    <row r="464" spans="1:18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</row>
    <row r="465" spans="1:18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</row>
    <row r="466" spans="1:18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</row>
    <row r="467" spans="1:18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</row>
    <row r="468" spans="1:18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</row>
    <row r="469" spans="1:18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</row>
    <row r="470" spans="1:18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</row>
    <row r="471" spans="1:18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</row>
    <row r="472" spans="1:18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</row>
    <row r="473" spans="1:18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</row>
    <row r="474" spans="1:18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</row>
    <row r="475" spans="1:18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</row>
    <row r="476" spans="1:18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</row>
    <row r="477" spans="1:18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</row>
    <row r="478" spans="1:18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</row>
    <row r="479" spans="1:18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</row>
    <row r="480" spans="1:18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</row>
    <row r="481" spans="1:18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</row>
    <row r="482" spans="1:18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</row>
    <row r="483" spans="1:18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</row>
    <row r="484" spans="1:18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</row>
    <row r="485" spans="1:18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</row>
    <row r="486" spans="1:18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</row>
    <row r="487" spans="1:18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</row>
    <row r="488" spans="1:18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</row>
    <row r="489" spans="1:18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</row>
    <row r="490" spans="1:18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</row>
    <row r="491" spans="1:18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</row>
    <row r="492" spans="1:18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</row>
    <row r="493" spans="1:18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</row>
    <row r="494" spans="1:18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</row>
    <row r="495" spans="1:18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</row>
    <row r="496" spans="1:18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</row>
    <row r="497" spans="1:18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</row>
    <row r="498" spans="1:18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</row>
    <row r="499" spans="1:18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</row>
    <row r="500" spans="1:18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</row>
    <row r="501" spans="1:18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</row>
    <row r="502" spans="1:18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</row>
    <row r="503" spans="1:18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</row>
    <row r="504" spans="1:18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</row>
    <row r="505" spans="1:18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</row>
    <row r="506" spans="1:18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</row>
    <row r="507" spans="1:18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</row>
    <row r="508" spans="1:18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</row>
    <row r="509" spans="1:18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</row>
    <row r="510" spans="1:18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</row>
    <row r="511" spans="1:18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</row>
    <row r="512" spans="1:18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</row>
    <row r="513" spans="1:18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</row>
    <row r="514" spans="1:18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</row>
    <row r="515" spans="1:18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</row>
    <row r="516" spans="1:18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</row>
    <row r="517" spans="1:18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</row>
    <row r="518" spans="1:18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</row>
    <row r="519" spans="1:18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</row>
    <row r="520" spans="1:18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</row>
    <row r="521" spans="1:18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</row>
    <row r="522" spans="1:18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</row>
    <row r="523" spans="1:18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</row>
    <row r="524" spans="1:18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</row>
    <row r="525" spans="1:18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</row>
    <row r="526" spans="1:18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</row>
    <row r="527" spans="1:18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</row>
    <row r="528" spans="1:18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</row>
    <row r="529" spans="1:18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</row>
    <row r="530" spans="1:18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</row>
    <row r="531" spans="1:18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</row>
    <row r="532" spans="1:18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</row>
    <row r="533" spans="1:18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</row>
    <row r="534" spans="1:18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</row>
    <row r="535" spans="1:18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</row>
    <row r="536" spans="1:18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</row>
    <row r="537" spans="1:18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</row>
    <row r="538" spans="1:18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</row>
    <row r="539" spans="1:18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</row>
    <row r="540" spans="1:18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</row>
    <row r="541" spans="1:18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</row>
    <row r="542" spans="1:18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</row>
    <row r="543" spans="1:18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</row>
    <row r="544" spans="1:18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</row>
    <row r="545" spans="1:18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</row>
    <row r="546" spans="1:18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</row>
    <row r="547" spans="1:18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</row>
    <row r="548" spans="1:18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</row>
    <row r="549" spans="1:18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</row>
    <row r="550" spans="1:18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</row>
    <row r="551" spans="1:18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</row>
    <row r="552" spans="1:18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</row>
    <row r="553" spans="1:18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</row>
    <row r="554" spans="1:18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</row>
    <row r="555" spans="1:18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</row>
    <row r="556" spans="1:18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</row>
    <row r="557" spans="1:18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</row>
    <row r="558" spans="1:18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</row>
    <row r="559" spans="1:18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</row>
    <row r="560" spans="1:18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</row>
    <row r="561" spans="1:18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</row>
    <row r="562" spans="1:18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</row>
    <row r="563" spans="1:18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</row>
    <row r="564" spans="1:18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</row>
    <row r="565" spans="1:18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</row>
    <row r="566" spans="1:18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</row>
    <row r="567" spans="1:18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</row>
    <row r="568" spans="1:18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</row>
    <row r="569" spans="1:18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</row>
    <row r="570" spans="1:18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</row>
    <row r="571" spans="1:18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</row>
    <row r="572" spans="1:18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</row>
    <row r="573" spans="1:18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</row>
    <row r="574" spans="1:18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</row>
    <row r="575" spans="1:18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</row>
    <row r="576" spans="1:18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</row>
    <row r="577" spans="1:18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</row>
    <row r="578" spans="1:18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</row>
    <row r="579" spans="1:18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</row>
    <row r="580" spans="1:18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</row>
    <row r="581" spans="1:18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</row>
    <row r="582" spans="1:18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</row>
    <row r="583" spans="1:18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</row>
    <row r="584" spans="1:18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</row>
    <row r="585" spans="1:18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</row>
    <row r="586" spans="1:18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</row>
    <row r="587" spans="1:18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</row>
    <row r="588" spans="1:18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</row>
    <row r="589" spans="1:18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</row>
    <row r="590" spans="1:18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</row>
    <row r="591" spans="1:18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</row>
    <row r="592" spans="1:18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</row>
    <row r="593" spans="1:18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</row>
    <row r="594" spans="1:18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</row>
    <row r="595" spans="1:18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</row>
    <row r="596" spans="1:18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</row>
    <row r="597" spans="1:18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</row>
    <row r="598" spans="1:18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</row>
    <row r="599" spans="1:18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</row>
    <row r="600" spans="1:18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</row>
    <row r="601" spans="1:18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</row>
    <row r="602" spans="1:18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</row>
    <row r="603" spans="1:18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</row>
    <row r="604" spans="1:18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</row>
    <row r="605" spans="1:18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</row>
    <row r="606" spans="1:18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</row>
    <row r="607" spans="1:18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</row>
    <row r="608" spans="1:18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</row>
    <row r="609" spans="1:18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</row>
    <row r="610" spans="1:18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</row>
    <row r="611" spans="1:18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</row>
    <row r="612" spans="1:18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</row>
    <row r="613" spans="1:18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</row>
    <row r="614" spans="1:18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</row>
    <row r="615" spans="1:18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</row>
    <row r="616" spans="1:18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</row>
    <row r="617" spans="1:18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</row>
    <row r="618" spans="1:18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</row>
    <row r="619" spans="1:18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</row>
    <row r="620" spans="1:18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</row>
    <row r="621" spans="1:18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</row>
    <row r="622" spans="1:18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</row>
    <row r="623" spans="1:18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</row>
    <row r="624" spans="1:18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</row>
    <row r="625" spans="1:18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</row>
    <row r="626" spans="1:18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</row>
    <row r="627" spans="1:18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</row>
    <row r="628" spans="1:18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</row>
    <row r="629" spans="1:18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</row>
    <row r="630" spans="1:18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</row>
    <row r="631" spans="1:18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</row>
    <row r="632" spans="1:18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</row>
    <row r="633" spans="1:18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</row>
    <row r="634" spans="1:18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</row>
    <row r="635" spans="1:18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</row>
    <row r="636" spans="1:18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</row>
    <row r="637" spans="1:18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</row>
    <row r="638" spans="1:18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</row>
    <row r="639" spans="1:18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</row>
    <row r="640" spans="1:18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</row>
    <row r="641" spans="1:18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</row>
    <row r="642" spans="1:18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</row>
    <row r="643" spans="1:18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</row>
    <row r="644" spans="1:18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</row>
    <row r="645" spans="1:18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</row>
    <row r="646" spans="1:18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</row>
    <row r="647" spans="1:18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</row>
    <row r="648" spans="1:18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</row>
    <row r="649" spans="1:18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</row>
    <row r="650" spans="1:18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</row>
    <row r="651" spans="1:18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</row>
    <row r="652" spans="1:18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</row>
    <row r="653" spans="1:18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</row>
    <row r="654" spans="1:18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</row>
    <row r="655" spans="1:18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</row>
    <row r="656" spans="1:18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</row>
    <row r="657" spans="1:18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</row>
    <row r="658" spans="1:18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</row>
    <row r="659" spans="1:18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</row>
    <row r="660" spans="1:18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</row>
    <row r="661" spans="1:18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</row>
    <row r="662" spans="1:18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</row>
    <row r="663" spans="1:18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</row>
    <row r="664" spans="1:18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</row>
    <row r="665" spans="1:18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</row>
    <row r="666" spans="1:18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</row>
    <row r="667" spans="1:18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</row>
    <row r="668" spans="1:18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</row>
    <row r="669" spans="1:18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</row>
    <row r="670" spans="1:18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</row>
    <row r="671" spans="1:18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</row>
    <row r="672" spans="1:18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</row>
    <row r="673" spans="1:18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</row>
    <row r="674" spans="1:18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</row>
    <row r="675" spans="1:18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</row>
    <row r="676" spans="1:18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</row>
    <row r="677" spans="1:18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</row>
    <row r="678" spans="1:18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</row>
    <row r="679" spans="1:18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</row>
    <row r="680" spans="1:18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</row>
    <row r="681" spans="1:18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</row>
    <row r="682" spans="1:18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</row>
    <row r="683" spans="1:18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</row>
    <row r="684" spans="1:18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</row>
    <row r="685" spans="1:18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</row>
    <row r="686" spans="1:18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</row>
    <row r="687" spans="1:18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</row>
    <row r="688" spans="1:18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</row>
    <row r="689" spans="1:18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</row>
    <row r="690" spans="1:18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</row>
    <row r="691" spans="1:18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</row>
    <row r="692" spans="1:18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</row>
    <row r="693" spans="1:18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</row>
    <row r="694" spans="1:18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</row>
    <row r="695" spans="1:18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</row>
    <row r="696" spans="1:18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</row>
    <row r="697" spans="1:18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</row>
    <row r="698" spans="1:18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</row>
    <row r="699" spans="1:18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</row>
    <row r="700" spans="1:18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</row>
    <row r="701" spans="1:18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</row>
    <row r="702" spans="1:18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</row>
    <row r="703" spans="1:18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</row>
    <row r="704" spans="1:18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</row>
    <row r="705" spans="1:18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</row>
    <row r="706" spans="1:18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</row>
    <row r="707" spans="1:18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</row>
    <row r="708" spans="1:18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</row>
    <row r="709" spans="1:18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</row>
    <row r="710" spans="1:18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</row>
    <row r="711" spans="1:18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</row>
    <row r="712" spans="1:18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</row>
    <row r="713" spans="1:18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</row>
    <row r="714" spans="1:18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</row>
    <row r="715" spans="1:18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</row>
    <row r="716" spans="1:18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</row>
    <row r="717" spans="1:18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</row>
    <row r="718" spans="1:18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</row>
    <row r="719" spans="1:18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</row>
    <row r="720" spans="1:18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</row>
    <row r="721" spans="1:18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</row>
    <row r="722" spans="1:18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</row>
    <row r="723" spans="1:18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</row>
    <row r="724" spans="1:18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</row>
    <row r="725" spans="1:18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</row>
    <row r="726" spans="1:18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</row>
    <row r="727" spans="1:18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</row>
    <row r="728" spans="1:18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</row>
    <row r="729" spans="1:18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</row>
    <row r="730" spans="1:18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</row>
    <row r="731" spans="1:18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</row>
    <row r="732" spans="1:18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</row>
    <row r="733" spans="1:18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</row>
    <row r="734" spans="1:18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</row>
    <row r="735" spans="1:18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</row>
    <row r="736" spans="1:18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</row>
    <row r="737" spans="1:18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</row>
    <row r="738" spans="1:18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</row>
    <row r="739" spans="1:18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</row>
    <row r="740" spans="1:18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</row>
    <row r="741" spans="1:18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</row>
    <row r="742" spans="1:18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</row>
    <row r="743" spans="1:18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</row>
    <row r="744" spans="1:18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</row>
    <row r="745" spans="1:18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</row>
    <row r="746" spans="1:18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</row>
    <row r="747" spans="1:18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</row>
    <row r="748" spans="1:18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</row>
    <row r="749" spans="1:18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</row>
    <row r="750" spans="1:18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</row>
    <row r="751" spans="1:18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</row>
    <row r="752" spans="1:18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</row>
    <row r="753" spans="1:18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</row>
    <row r="754" spans="1:18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</row>
    <row r="755" spans="1:18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</row>
    <row r="756" spans="1:18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</row>
    <row r="757" spans="1:18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</row>
    <row r="758" spans="1:18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</row>
    <row r="759" spans="1:18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</row>
    <row r="760" spans="1:18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</row>
    <row r="761" spans="1:18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</row>
    <row r="762" spans="1:18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</row>
    <row r="763" spans="1:18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</row>
    <row r="764" spans="1:18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</row>
    <row r="765" spans="1:18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</row>
    <row r="766" spans="1:18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</row>
    <row r="767" spans="1:18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</row>
    <row r="768" spans="1:18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</row>
    <row r="769" spans="1:18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</row>
    <row r="770" spans="1:18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</row>
    <row r="771" spans="1:18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</row>
    <row r="772" spans="1:18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</row>
    <row r="773" spans="1:18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</row>
    <row r="774" spans="1:18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</row>
    <row r="775" spans="1:18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</row>
    <row r="776" spans="1:18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</row>
    <row r="777" spans="1:18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</row>
    <row r="778" spans="1:18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</row>
    <row r="779" spans="1:18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</row>
    <row r="780" spans="1:18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</row>
    <row r="781" spans="1:18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</row>
    <row r="782" spans="1:18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</row>
    <row r="783" spans="1:18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</row>
    <row r="784" spans="1:18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</row>
    <row r="785" spans="1:18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</row>
    <row r="786" spans="1:18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</row>
    <row r="787" spans="1:18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</row>
    <row r="788" spans="1:18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</row>
    <row r="789" spans="1:18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</row>
    <row r="790" spans="1:18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</row>
    <row r="791" spans="1:18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</row>
    <row r="792" spans="1:18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</row>
    <row r="793" spans="1:18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</row>
    <row r="794" spans="1:18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</row>
    <row r="795" spans="1:18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</row>
    <row r="796" spans="1:18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</row>
    <row r="797" spans="1:18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</row>
    <row r="798" spans="1:18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</row>
    <row r="799" spans="1:18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</row>
    <row r="800" spans="1:18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</row>
    <row r="801" spans="1:18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</row>
    <row r="802" spans="1:18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</row>
    <row r="803" spans="1:18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</row>
    <row r="804" spans="1:18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</row>
    <row r="805" spans="1:18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</row>
    <row r="806" spans="1:18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</row>
    <row r="807" spans="1:18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</row>
    <row r="808" spans="1:18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</row>
    <row r="809" spans="1:18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</row>
    <row r="810" spans="1:18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</row>
    <row r="811" spans="1:18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</row>
    <row r="812" spans="1:18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</row>
    <row r="813" spans="1:18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</row>
    <row r="814" spans="1:18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</row>
    <row r="815" spans="1:18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</row>
    <row r="816" spans="1:18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</row>
    <row r="817" spans="1:18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</row>
    <row r="818" spans="1:18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</row>
    <row r="819" spans="1:18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</row>
    <row r="820" spans="1:18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</row>
    <row r="821" spans="1:18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</row>
    <row r="822" spans="1:18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</row>
    <row r="823" spans="1:18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</row>
    <row r="824" spans="1:18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</row>
    <row r="825" spans="1:18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</row>
    <row r="826" spans="1:18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</row>
    <row r="827" spans="1:18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</row>
    <row r="828" spans="1:18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</row>
    <row r="829" spans="1:18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</row>
    <row r="830" spans="1:18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</row>
    <row r="831" spans="1:18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</row>
    <row r="832" spans="1:18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</row>
    <row r="833" spans="1:18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</row>
    <row r="834" spans="1:18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</row>
    <row r="835" spans="1:18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</row>
    <row r="836" spans="1:18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</row>
    <row r="837" spans="1:18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</row>
    <row r="838" spans="1:18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</row>
    <row r="839" spans="1:18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</row>
    <row r="840" spans="1:18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</row>
    <row r="841" spans="1:18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</row>
    <row r="842" spans="1:18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</row>
    <row r="843" spans="1:18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</row>
    <row r="844" spans="1:18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</row>
    <row r="845" spans="1:18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</row>
    <row r="846" spans="1:18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</row>
    <row r="847" spans="1:18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</row>
    <row r="848" spans="1:18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</row>
    <row r="849" spans="1:18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</row>
    <row r="850" spans="1:18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</row>
    <row r="851" spans="1:18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</row>
    <row r="852" spans="1:18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</row>
    <row r="853" spans="1:18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</row>
    <row r="854" spans="1:18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</row>
    <row r="855" spans="1:18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</row>
    <row r="856" spans="1:18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</row>
    <row r="857" spans="1:18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</row>
    <row r="858" spans="1:18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</row>
    <row r="859" spans="1:18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</row>
    <row r="860" spans="1:18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</row>
    <row r="861" spans="1:18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</row>
    <row r="862" spans="1:18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</row>
    <row r="863" spans="1:18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</row>
    <row r="864" spans="1:18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</row>
    <row r="865" spans="1:18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</row>
    <row r="866" spans="1:18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</row>
    <row r="867" spans="1:18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</row>
    <row r="868" spans="1:18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</row>
    <row r="869" spans="1:18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</row>
    <row r="870" spans="1:18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</row>
    <row r="871" spans="1:18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</row>
    <row r="872" spans="1:18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</row>
    <row r="873" spans="1:18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</row>
    <row r="874" spans="1:18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</row>
    <row r="875" spans="1:18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</row>
    <row r="876" spans="1:18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</row>
    <row r="877" spans="1:18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</row>
    <row r="878" spans="1:18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</row>
    <row r="879" spans="1:18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</row>
    <row r="880" spans="1:18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</row>
    <row r="881" spans="1:18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</row>
    <row r="882" spans="1:18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</row>
    <row r="883" spans="1:18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</row>
    <row r="884" spans="1:18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</row>
    <row r="885" spans="1:18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</row>
    <row r="886" spans="1:18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</row>
    <row r="887" spans="1:18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</row>
    <row r="888" spans="1:18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</row>
    <row r="889" spans="1:18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</row>
    <row r="890" spans="1:18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</row>
    <row r="891" spans="1:18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</row>
    <row r="892" spans="1:18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</row>
    <row r="893" spans="1:18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</row>
    <row r="894" spans="1:18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</row>
    <row r="895" spans="1:18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</row>
    <row r="896" spans="1:18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</row>
    <row r="897" spans="1:18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</row>
    <row r="898" spans="1:18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</row>
    <row r="899" spans="1:18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</row>
    <row r="900" spans="1:18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</row>
    <row r="901" spans="1:18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</row>
    <row r="902" spans="1:18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</row>
    <row r="903" spans="1:18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</row>
    <row r="904" spans="1:18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</row>
    <row r="905" spans="1:18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</row>
    <row r="906" spans="1:18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</row>
    <row r="907" spans="1:18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</row>
    <row r="908" spans="1:18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</row>
    <row r="909" spans="1:18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</row>
    <row r="910" spans="1:18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</row>
    <row r="911" spans="1:18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</row>
    <row r="912" spans="1:18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</row>
    <row r="913" spans="1:18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</row>
    <row r="914" spans="1:18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</row>
    <row r="915" spans="1:18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</row>
    <row r="916" spans="1:18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</row>
    <row r="917" spans="1:18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</row>
    <row r="918" spans="1:18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</row>
    <row r="919" spans="1:18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</row>
    <row r="920" spans="1:18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</row>
    <row r="921" spans="1:18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</row>
    <row r="922" spans="1:18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</row>
    <row r="923" spans="1:18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</row>
    <row r="924" spans="1:18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</row>
    <row r="925" spans="1:18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</row>
    <row r="926" spans="1:18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</row>
    <row r="927" spans="1:18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</row>
    <row r="928" spans="1:18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</row>
    <row r="929" spans="1:18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</row>
    <row r="930" spans="1:18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</row>
    <row r="931" spans="1:18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</row>
    <row r="932" spans="1:18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</row>
    <row r="933" spans="1:18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</row>
    <row r="934" spans="1:18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</row>
    <row r="935" spans="1:18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</row>
    <row r="936" spans="1:18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</row>
    <row r="937" spans="1:18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</row>
    <row r="938" spans="1:18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</row>
    <row r="939" spans="1:18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</row>
    <row r="940" spans="1:18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</row>
    <row r="941" spans="1:18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</row>
    <row r="942" spans="1:18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</row>
    <row r="943" spans="1:18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</row>
    <row r="944" spans="1:18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</row>
    <row r="945" spans="1:18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</row>
    <row r="946" spans="1:18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</row>
    <row r="947" spans="1:18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</row>
    <row r="948" spans="1:18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</row>
    <row r="949" spans="1:18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</row>
    <row r="950" spans="1:18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</row>
    <row r="951" spans="1:18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</row>
    <row r="952" spans="1:18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</row>
    <row r="953" spans="1:18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</row>
    <row r="954" spans="1:18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</row>
    <row r="955" spans="1:18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</row>
    <row r="956" spans="1:18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</row>
    <row r="957" spans="1:18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</row>
    <row r="958" spans="1:18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</row>
    <row r="959" spans="1:18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</row>
    <row r="960" spans="1:18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</row>
    <row r="961" spans="1:18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</row>
    <row r="962" spans="1:18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</row>
    <row r="963" spans="1:18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</row>
    <row r="964" spans="1:18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</row>
    <row r="965" spans="1:18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</row>
    <row r="966" spans="1:18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</row>
    <row r="967" spans="1:18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</row>
    <row r="968" spans="1:18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</row>
    <row r="969" spans="1:18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</row>
    <row r="970" spans="1:18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</row>
    <row r="971" spans="1:18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</row>
    <row r="972" spans="1:18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</row>
    <row r="973" spans="1:18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</row>
    <row r="974" spans="1:18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</row>
    <row r="975" spans="1:18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</row>
    <row r="976" spans="1:18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</row>
    <row r="977" spans="1:18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</row>
    <row r="978" spans="1:18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</row>
    <row r="979" spans="1:18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</row>
    <row r="980" spans="1:18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</row>
    <row r="981" spans="1:18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</row>
    <row r="982" spans="1:18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</row>
    <row r="983" spans="1:18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</row>
    <row r="984" spans="1:18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</row>
    <row r="985" spans="1:18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</row>
    <row r="986" spans="1:18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</row>
    <row r="987" spans="1:18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</row>
    <row r="988" spans="1:18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</row>
    <row r="989" spans="1:18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</row>
    <row r="990" spans="1:18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</row>
    <row r="991" spans="1:18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</row>
    <row r="992" spans="1:18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</row>
    <row r="993" spans="1:18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</row>
    <row r="994" spans="1:18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</row>
    <row r="995" spans="1:18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</row>
    <row r="996" spans="1:18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</row>
  </sheetData>
  <mergeCells count="1">
    <mergeCell ref="A1:A2"/>
  </mergeCells>
  <hyperlinks>
    <hyperlink ref="S4" r:id="rId1" location="eyJhcHBpZCI6MTUwLCJzdGVwcyI6WzEsMiwzXSwiZGF0YSI6W1siY2F0ZWdvcmllcyIsIkdkcHhJbmQiXSxbIlRhYmxlX0xpc3QiLCIxNSJdXX0=" xr:uid="{00000000-0004-0000-0D00-000000000000}"/>
    <hyperlink ref="S5" r:id="rId2" location="eyJhcHBpZCI6MTUwLCJzdGVwcyI6WzEsMiwzXSwiZGF0YSI6W1siY2F0ZWdvcmllcyIsIkdkcHhJbmQiXSxbIlRhYmxlX0xpc3QiLCIxNSJdXX0=" xr:uid="{00000000-0004-0000-0D00-000001000000}"/>
    <hyperlink ref="S6" r:id="rId3" location="eyJhcHBpZCI6MTUwLCJzdGVwcyI6WzEsMiwzXSwiZGF0YSI6W1siY2F0ZWdvcmllcyIsIkdkcHhJbmQiXSxbIlRhYmxlX0xpc3QiLCIxNSJdXX0=" xr:uid="{00000000-0004-0000-0D00-000002000000}"/>
    <hyperlink ref="S7" r:id="rId4" location="eyJhcHBpZCI6MTUwLCJzdGVwcyI6WzEsMiwzXSwiZGF0YSI6W1siY2F0ZWdvcmllcyIsIkdkcHhJbmQiXSxbIlRhYmxlX0xpc3QiLCIxNSJdXX0=" xr:uid="{00000000-0004-0000-0D00-000003000000}"/>
    <hyperlink ref="S8" r:id="rId5" location="eyJhcHBpZCI6MTUwLCJzdGVwcyI6WzEsMiwzXSwiZGF0YSI6W1siY2F0ZWdvcmllcyIsIkdkcHhJbmQiXSxbIlRhYmxlX0xpc3QiLCIxNSJdXX0=" xr:uid="{00000000-0004-0000-0D00-000004000000}"/>
    <hyperlink ref="S9" r:id="rId6" location="eyJhcHBpZCI6MTUwLCJzdGVwcyI6WzEsMiwzXSwiZGF0YSI6W1siY2F0ZWdvcmllcyIsIkdkcHhJbmQiXSxbIlRhYmxlX0xpc3QiLCIxNSJdXX0=" xr:uid="{00000000-0004-0000-0D00-000005000000}"/>
    <hyperlink ref="S10" r:id="rId7" location="eyJhcHBpZCI6MTUwLCJzdGVwcyI6WzEsMiwzXSwiZGF0YSI6W1siY2F0ZWdvcmllcyIsIkdkcHhJbmQiXSxbIlRhYmxlX0xpc3QiLCIxNSJdXX0=" xr:uid="{00000000-0004-0000-0D00-000006000000}"/>
    <hyperlink ref="S13" r:id="rId8" location="eyJhcHBpZCI6MTUwLCJzdGVwcyI6WzEsMiwzXSwiZGF0YSI6W1siY2F0ZWdvcmllcyIsIkdkcHhJbmQiXSxbIlRhYmxlX0xpc3QiLCIxNSJdXX0=" xr:uid="{00000000-0004-0000-0D00-000007000000}"/>
    <hyperlink ref="S14" r:id="rId9" location="eyJhcHBpZCI6MTUwLCJzdGVwcyI6WzEsMiwzXSwiZGF0YSI6W1siY2F0ZWdvcmllcyIsIkdkcHhJbmQiXSxbIlRhYmxlX0xpc3QiLCIxNSJdXX0=" xr:uid="{00000000-0004-0000-0D00-000008000000}"/>
    <hyperlink ref="S15" r:id="rId10" location="eyJhcHBpZCI6MTUwLCJzdGVwcyI6WzEsMiwzXSwiZGF0YSI6W1siY2F0ZWdvcmllcyIsIkdkcHhJbmQiXSxbIlRhYmxlX0xpc3QiLCIxNSJdXX0=" xr:uid="{00000000-0004-0000-0D00-000009000000}"/>
    <hyperlink ref="S16" r:id="rId11" location="eyJhcHBpZCI6MTUwLCJzdGVwcyI6WzEsMiwzXSwiZGF0YSI6W1siY2F0ZWdvcmllcyIsIkdkcHhJbmQiXSxbIlRhYmxlX0xpc3QiLCIxNSJdXX0=" xr:uid="{00000000-0004-0000-0D00-00000A000000}"/>
    <hyperlink ref="S17" r:id="rId12" location="eyJhcHBpZCI6MTUwLCJzdGVwcyI6WzEsMiwzXSwiZGF0YSI6W1siY2F0ZWdvcmllcyIsIkdkcHhJbmQiXSxbIlRhYmxlX0xpc3QiLCIxNSJdXX0=" xr:uid="{00000000-0004-0000-0D00-00000B000000}"/>
    <hyperlink ref="S18" r:id="rId13" location="eyJhcHBpZCI6MTUwLCJzdGVwcyI6WzEsMiwzXSwiZGF0YSI6W1siY2F0ZWdvcmllcyIsIkdkcHhJbmQiXSxbIlRhYmxlX0xpc3QiLCIxNSJdXX0=" xr:uid="{00000000-0004-0000-0D00-00000C000000}"/>
    <hyperlink ref="S19" r:id="rId14" location="eyJhcHBpZCI6MTUwLCJzdGVwcyI6WzEsMiwzXSwiZGF0YSI6W1siY2F0ZWdvcmllcyIsIkdkcHhJbmQiXSxbIlRhYmxlX0xpc3QiLCIxNSJdXX0=" xr:uid="{00000000-0004-0000-0D00-00000D000000}"/>
    <hyperlink ref="S22" r:id="rId15" xr:uid="{1F7FD1B1-E457-4DDD-B716-B8478D49916A}"/>
    <hyperlink ref="S23" r:id="rId16" xr:uid="{3CFA04EB-510B-4474-9599-2E88EDC698DE}"/>
    <hyperlink ref="S24" r:id="rId17" xr:uid="{4E120A18-EAE5-421A-8822-5F69CF46E350}"/>
    <hyperlink ref="S25" r:id="rId18" xr:uid="{36CE380F-F516-44DD-B1F5-03AF65278ECE}"/>
  </hyperlinks>
  <pageMargins left="0.7" right="0.7" top="0.75" bottom="0.75" header="0.3" footer="0.3"/>
  <drawing r:id="rId1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93404"/>
  </sheetPr>
  <dimension ref="A1:AD1000"/>
  <sheetViews>
    <sheetView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37" sqref="B37:S41"/>
    </sheetView>
  </sheetViews>
  <sheetFormatPr defaultColWidth="14.42578125" defaultRowHeight="15" customHeight="1"/>
  <cols>
    <col min="1" max="1" width="80.42578125" customWidth="1"/>
    <col min="2" max="17" width="11.7109375" customWidth="1"/>
    <col min="18" max="18" width="17.7109375" bestFit="1" customWidth="1"/>
    <col min="19" max="19" width="78.140625" customWidth="1"/>
    <col min="20" max="20" width="27.140625" customWidth="1"/>
    <col min="21" max="30" width="8.85546875" customWidth="1"/>
  </cols>
  <sheetData>
    <row r="1" spans="1:30">
      <c r="A1" s="433" t="s">
        <v>402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>
      <c r="A2" s="431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</row>
    <row r="3" spans="1:30">
      <c r="A3" s="28" t="s">
        <v>403</v>
      </c>
      <c r="B3" s="28">
        <v>2008</v>
      </c>
      <c r="C3" s="28">
        <v>2009</v>
      </c>
      <c r="D3" s="28">
        <v>2010</v>
      </c>
      <c r="E3" s="28">
        <v>2011</v>
      </c>
      <c r="F3" s="28">
        <v>2012</v>
      </c>
      <c r="G3" s="176">
        <v>2013</v>
      </c>
      <c r="H3" s="176">
        <v>2014</v>
      </c>
      <c r="I3" s="28">
        <v>2015</v>
      </c>
      <c r="J3" s="28">
        <v>2016</v>
      </c>
      <c r="K3" s="28">
        <v>2017</v>
      </c>
      <c r="L3" s="28">
        <v>2018</v>
      </c>
      <c r="M3" s="28">
        <v>2019</v>
      </c>
      <c r="N3" s="28">
        <v>2020</v>
      </c>
      <c r="O3" s="28">
        <v>2021</v>
      </c>
      <c r="P3" s="28">
        <v>2022</v>
      </c>
      <c r="Q3" s="28">
        <v>2023</v>
      </c>
      <c r="R3" s="28" t="s">
        <v>301</v>
      </c>
      <c r="S3" s="29" t="s">
        <v>302</v>
      </c>
      <c r="T3" s="29" t="s">
        <v>23</v>
      </c>
      <c r="U3" s="30"/>
      <c r="V3" s="30"/>
      <c r="W3" s="30"/>
      <c r="X3" s="30"/>
      <c r="Y3" s="30"/>
      <c r="Z3" s="30"/>
      <c r="AA3" s="30"/>
      <c r="AB3" s="30"/>
      <c r="AC3" s="30"/>
      <c r="AD3" s="30"/>
    </row>
    <row r="4" spans="1:30" ht="45">
      <c r="A4" s="35" t="s">
        <v>404</v>
      </c>
      <c r="B4" s="68">
        <v>25.6</v>
      </c>
      <c r="C4" s="68">
        <v>21.2</v>
      </c>
      <c r="D4" s="68">
        <v>23.3</v>
      </c>
      <c r="E4" s="68">
        <v>23.6</v>
      </c>
      <c r="F4" s="68">
        <v>25.8</v>
      </c>
      <c r="G4" s="68">
        <v>30.5</v>
      </c>
      <c r="H4" s="68">
        <v>30.9</v>
      </c>
      <c r="I4" s="68">
        <v>32.5</v>
      </c>
      <c r="J4" s="68">
        <v>35.299999999999997</v>
      </c>
      <c r="K4" s="68">
        <v>37.5</v>
      </c>
      <c r="L4" s="68">
        <v>40.4</v>
      </c>
      <c r="M4" s="68">
        <v>41.2</v>
      </c>
      <c r="N4" s="68">
        <v>42.2</v>
      </c>
      <c r="O4" s="68">
        <v>35.799999999999997</v>
      </c>
      <c r="P4" s="68">
        <v>34.25</v>
      </c>
      <c r="Q4" s="68">
        <v>36.875</v>
      </c>
      <c r="R4" s="34" t="s">
        <v>324</v>
      </c>
      <c r="S4" s="149" t="s">
        <v>325</v>
      </c>
      <c r="T4" s="34" t="s">
        <v>511</v>
      </c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spans="1:30" ht="75">
      <c r="A5" s="35" t="s">
        <v>405</v>
      </c>
      <c r="B5" s="52">
        <v>0.2</v>
      </c>
      <c r="C5" s="52">
        <v>0.1</v>
      </c>
      <c r="D5" s="52">
        <v>0.2</v>
      </c>
      <c r="E5" s="52">
        <v>0.2</v>
      </c>
      <c r="F5" s="52">
        <v>0.2</v>
      </c>
      <c r="G5" s="52">
        <v>0.2</v>
      </c>
      <c r="H5" s="52">
        <v>0.2</v>
      </c>
      <c r="I5" s="52">
        <v>0.2</v>
      </c>
      <c r="J5" s="52">
        <v>0.2</v>
      </c>
      <c r="K5" s="52">
        <v>0.2</v>
      </c>
      <c r="L5" s="52">
        <v>0.2</v>
      </c>
      <c r="M5" s="52">
        <v>0.2</v>
      </c>
      <c r="N5" s="292">
        <v>0.2</v>
      </c>
      <c r="O5" s="52">
        <v>0.25</v>
      </c>
      <c r="P5" s="52">
        <v>0.2</v>
      </c>
      <c r="Q5" s="52">
        <v>0.2</v>
      </c>
      <c r="R5" s="34" t="s">
        <v>324</v>
      </c>
      <c r="S5" s="149" t="s">
        <v>388</v>
      </c>
      <c r="T5" s="34" t="s">
        <v>511</v>
      </c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 ht="45">
      <c r="A6" s="35" t="s">
        <v>406</v>
      </c>
      <c r="B6" s="68">
        <v>89.1</v>
      </c>
      <c r="C6" s="68">
        <v>65.900000000000006</v>
      </c>
      <c r="D6" s="68">
        <v>71.900000000000006</v>
      </c>
      <c r="E6" s="68">
        <v>73</v>
      </c>
      <c r="F6" s="68">
        <v>80.8</v>
      </c>
      <c r="G6" s="68">
        <v>90.6</v>
      </c>
      <c r="H6" s="68">
        <v>97.6</v>
      </c>
      <c r="I6" s="68">
        <v>101</v>
      </c>
      <c r="J6" s="68">
        <v>105.3</v>
      </c>
      <c r="K6" s="68">
        <v>112</v>
      </c>
      <c r="L6" s="68">
        <v>120</v>
      </c>
      <c r="M6" s="68">
        <v>117.6</v>
      </c>
      <c r="N6" s="180">
        <v>113</v>
      </c>
      <c r="O6" s="68">
        <v>163.15</v>
      </c>
      <c r="P6" s="68">
        <v>174.1</v>
      </c>
      <c r="Q6" s="68">
        <v>171.32499999999999</v>
      </c>
      <c r="R6" s="34" t="s">
        <v>324</v>
      </c>
      <c r="S6" s="149" t="s">
        <v>325</v>
      </c>
      <c r="T6" s="34" t="s">
        <v>511</v>
      </c>
      <c r="U6" s="26"/>
      <c r="V6" s="26"/>
      <c r="W6" s="26"/>
      <c r="X6" s="26"/>
      <c r="Y6" s="26"/>
      <c r="Z6" s="26"/>
      <c r="AA6" s="26"/>
      <c r="AB6" s="26"/>
      <c r="AC6" s="26"/>
      <c r="AD6" s="26"/>
    </row>
    <row r="7" spans="1:30" ht="60">
      <c r="A7" s="35" t="s">
        <v>407</v>
      </c>
      <c r="B7" s="68">
        <v>21.2</v>
      </c>
      <c r="C7" s="68">
        <v>16.3</v>
      </c>
      <c r="D7" s="68">
        <v>15.9</v>
      </c>
      <c r="E7" s="68">
        <v>16.3</v>
      </c>
      <c r="F7" s="68">
        <v>16.7</v>
      </c>
      <c r="G7" s="68">
        <v>17.7</v>
      </c>
      <c r="H7" s="68">
        <v>19.399999999999999</v>
      </c>
      <c r="I7" s="68">
        <v>20.399999999999999</v>
      </c>
      <c r="J7" s="68">
        <v>21.1</v>
      </c>
      <c r="K7" s="68">
        <v>22.2</v>
      </c>
      <c r="L7" s="68">
        <v>23.536999999999999</v>
      </c>
      <c r="M7" s="68">
        <v>24.641999999999999</v>
      </c>
      <c r="N7" s="180">
        <v>25.437999999999999</v>
      </c>
      <c r="O7" s="68">
        <v>28.122</v>
      </c>
      <c r="P7" s="68">
        <v>31.358000000000001</v>
      </c>
      <c r="Q7" s="67"/>
      <c r="R7" s="34" t="s">
        <v>324</v>
      </c>
      <c r="S7" s="177" t="s">
        <v>408</v>
      </c>
      <c r="T7" s="34" t="s">
        <v>511</v>
      </c>
      <c r="U7" s="26"/>
      <c r="V7" s="26"/>
      <c r="W7" s="26"/>
      <c r="X7" s="26"/>
      <c r="Y7" s="26"/>
      <c r="Z7" s="26"/>
      <c r="AA7" s="26"/>
      <c r="AB7" s="26"/>
      <c r="AC7" s="26"/>
      <c r="AD7" s="26"/>
    </row>
    <row r="8" spans="1:30" ht="60">
      <c r="A8" s="41" t="s">
        <v>409</v>
      </c>
      <c r="B8" s="52">
        <v>0.7</v>
      </c>
      <c r="C8" s="52">
        <v>0.7</v>
      </c>
      <c r="D8" s="52">
        <v>0.7</v>
      </c>
      <c r="E8" s="52">
        <v>0.7</v>
      </c>
      <c r="F8" s="52">
        <v>0.7</v>
      </c>
      <c r="G8" s="52">
        <v>0.7</v>
      </c>
      <c r="H8" s="52">
        <v>0.7</v>
      </c>
      <c r="I8" s="52">
        <v>0.7</v>
      </c>
      <c r="J8" s="52">
        <v>0.7</v>
      </c>
      <c r="K8" s="52">
        <v>0.8</v>
      </c>
      <c r="L8" s="52">
        <v>0.8</v>
      </c>
      <c r="M8" s="52">
        <v>0.9</v>
      </c>
      <c r="N8" s="292">
        <v>-1</v>
      </c>
      <c r="O8" s="52">
        <v>0.1</v>
      </c>
      <c r="P8" s="52">
        <v>1</v>
      </c>
      <c r="Q8" s="67"/>
      <c r="R8" s="34" t="s">
        <v>324</v>
      </c>
      <c r="S8" s="149" t="s">
        <v>410</v>
      </c>
      <c r="T8" s="34" t="s">
        <v>511</v>
      </c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ht="60">
      <c r="A9" s="35" t="s">
        <v>411</v>
      </c>
      <c r="B9" s="68">
        <v>3.7</v>
      </c>
      <c r="C9" s="68">
        <v>4.2</v>
      </c>
      <c r="D9" s="68">
        <v>6.8</v>
      </c>
      <c r="E9" s="68">
        <v>6.7</v>
      </c>
      <c r="F9" s="68">
        <v>8.4</v>
      </c>
      <c r="G9" s="68">
        <v>12.1</v>
      </c>
      <c r="H9" s="68">
        <v>10.9</v>
      </c>
      <c r="I9" s="68">
        <v>11.4</v>
      </c>
      <c r="J9" s="68">
        <v>13.5</v>
      </c>
      <c r="K9" s="68">
        <v>12.7</v>
      </c>
      <c r="L9" s="68">
        <v>12.6</v>
      </c>
      <c r="M9" s="68">
        <v>11.3</v>
      </c>
      <c r="N9" s="180">
        <v>18.5</v>
      </c>
      <c r="O9" s="68">
        <v>31.9</v>
      </c>
      <c r="P9" s="68">
        <v>29.7</v>
      </c>
      <c r="Q9" s="36"/>
      <c r="R9" s="34" t="s">
        <v>324</v>
      </c>
      <c r="S9" s="149" t="s">
        <v>410</v>
      </c>
      <c r="T9" s="34" t="s">
        <v>511</v>
      </c>
      <c r="U9" s="26"/>
      <c r="V9" s="26"/>
      <c r="W9" s="26"/>
      <c r="X9" s="26"/>
      <c r="Y9" s="26"/>
      <c r="Z9" s="26"/>
      <c r="AA9" s="26"/>
      <c r="AB9" s="26"/>
      <c r="AC9" s="26"/>
      <c r="AD9" s="26"/>
    </row>
    <row r="10" spans="1:30" ht="60">
      <c r="A10" s="41" t="s">
        <v>333</v>
      </c>
      <c r="B10" s="150">
        <v>456</v>
      </c>
      <c r="C10" s="150">
        <v>362</v>
      </c>
      <c r="D10" s="150">
        <v>342</v>
      </c>
      <c r="E10" s="150">
        <v>338</v>
      </c>
      <c r="F10" s="150">
        <v>341</v>
      </c>
      <c r="G10" s="150">
        <v>355</v>
      </c>
      <c r="H10" s="150">
        <v>371</v>
      </c>
      <c r="I10" s="150">
        <v>381</v>
      </c>
      <c r="J10" s="150">
        <v>391</v>
      </c>
      <c r="K10" s="150">
        <v>398</v>
      </c>
      <c r="L10" s="150">
        <v>406</v>
      </c>
      <c r="M10" s="150">
        <v>407</v>
      </c>
      <c r="N10" s="180">
        <v>396</v>
      </c>
      <c r="O10" s="150">
        <v>410</v>
      </c>
      <c r="P10" s="150">
        <v>428</v>
      </c>
      <c r="Q10" s="36"/>
      <c r="R10" s="76" t="s">
        <v>324</v>
      </c>
      <c r="S10" s="177" t="s">
        <v>412</v>
      </c>
      <c r="T10" s="34" t="s">
        <v>511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</row>
    <row r="11" spans="1:30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246"/>
      <c r="R11" s="49"/>
      <c r="S11" s="49"/>
      <c r="T11" s="50"/>
      <c r="U11" s="26"/>
      <c r="V11" s="26"/>
      <c r="W11" s="26"/>
      <c r="X11" s="26"/>
      <c r="Y11" s="26"/>
      <c r="Z11" s="26"/>
      <c r="AA11" s="26"/>
      <c r="AB11" s="26"/>
      <c r="AC11" s="26"/>
      <c r="AD11" s="26"/>
    </row>
    <row r="12" spans="1:30">
      <c r="A12" s="51" t="s">
        <v>413</v>
      </c>
      <c r="B12" s="51">
        <v>2008</v>
      </c>
      <c r="C12" s="51">
        <v>2009</v>
      </c>
      <c r="D12" s="51">
        <v>2010</v>
      </c>
      <c r="E12" s="51">
        <v>2011</v>
      </c>
      <c r="F12" s="51">
        <v>2012</v>
      </c>
      <c r="G12" s="51">
        <v>2013</v>
      </c>
      <c r="H12" s="51">
        <v>2014</v>
      </c>
      <c r="I12" s="51">
        <v>2015</v>
      </c>
      <c r="J12" s="51">
        <v>2016</v>
      </c>
      <c r="K12" s="51">
        <v>2017</v>
      </c>
      <c r="L12" s="51">
        <v>2018</v>
      </c>
      <c r="M12" s="28">
        <v>2019</v>
      </c>
      <c r="N12" s="51">
        <v>2020</v>
      </c>
      <c r="O12" s="51">
        <v>2021</v>
      </c>
      <c r="P12" s="51">
        <v>2022</v>
      </c>
      <c r="Q12" s="262">
        <v>2023</v>
      </c>
      <c r="R12" s="51" t="s">
        <v>301</v>
      </c>
      <c r="S12" s="79" t="s">
        <v>302</v>
      </c>
      <c r="T12" s="79" t="s">
        <v>23</v>
      </c>
      <c r="U12" s="30"/>
      <c r="V12" s="30"/>
      <c r="W12" s="30"/>
      <c r="X12" s="30"/>
      <c r="Y12" s="30"/>
      <c r="Z12" s="30"/>
      <c r="AA12" s="30"/>
      <c r="AB12" s="30"/>
      <c r="AC12" s="30"/>
      <c r="AD12" s="30"/>
    </row>
    <row r="13" spans="1:30" ht="45">
      <c r="A13" s="35" t="s">
        <v>414</v>
      </c>
      <c r="B13" s="68">
        <v>51.4</v>
      </c>
      <c r="C13" s="68">
        <v>59.3</v>
      </c>
      <c r="D13" s="68">
        <v>56.3</v>
      </c>
      <c r="E13" s="68">
        <v>53.7</v>
      </c>
      <c r="F13" s="68">
        <v>53</v>
      </c>
      <c r="G13" s="68">
        <v>56.3</v>
      </c>
      <c r="H13" s="68">
        <v>56.7</v>
      </c>
      <c r="I13" s="68">
        <v>59.7</v>
      </c>
      <c r="J13" s="68">
        <v>58.4</v>
      </c>
      <c r="K13" s="68">
        <v>55.2</v>
      </c>
      <c r="L13" s="68">
        <v>59.9</v>
      </c>
      <c r="M13" s="68">
        <v>61.2</v>
      </c>
      <c r="N13" s="68">
        <v>58</v>
      </c>
      <c r="O13" s="68">
        <v>64.375</v>
      </c>
      <c r="P13" s="68">
        <v>61.2</v>
      </c>
      <c r="Q13" s="68">
        <v>56.25</v>
      </c>
      <c r="R13" s="34" t="s">
        <v>324</v>
      </c>
      <c r="S13" s="178" t="s">
        <v>325</v>
      </c>
      <c r="T13" s="34" t="s">
        <v>511</v>
      </c>
      <c r="U13" s="26"/>
      <c r="V13" s="26"/>
      <c r="W13" s="26"/>
      <c r="X13" s="26"/>
      <c r="Y13" s="26"/>
      <c r="Z13" s="26"/>
      <c r="AA13" s="26"/>
      <c r="AB13" s="26"/>
      <c r="AC13" s="26"/>
      <c r="AD13" s="26"/>
    </row>
    <row r="14" spans="1:30" ht="75">
      <c r="A14" s="35" t="s">
        <v>415</v>
      </c>
      <c r="B14" s="52">
        <v>0.3</v>
      </c>
      <c r="C14" s="52">
        <v>0.4</v>
      </c>
      <c r="D14" s="52">
        <v>0.4</v>
      </c>
      <c r="E14" s="52">
        <v>0.3</v>
      </c>
      <c r="F14" s="52">
        <v>0.3</v>
      </c>
      <c r="G14" s="52">
        <v>0.3</v>
      </c>
      <c r="H14" s="52">
        <v>0.3</v>
      </c>
      <c r="I14" s="52">
        <v>0.3</v>
      </c>
      <c r="J14" s="52">
        <v>0.3</v>
      </c>
      <c r="K14" s="52">
        <v>0.3</v>
      </c>
      <c r="L14" s="52">
        <v>0.3</v>
      </c>
      <c r="M14" s="52">
        <v>0.3</v>
      </c>
      <c r="N14" s="52">
        <v>0.3</v>
      </c>
      <c r="O14" s="52">
        <v>0.3</v>
      </c>
      <c r="P14" s="52">
        <v>0.3</v>
      </c>
      <c r="Q14" s="52">
        <v>0.27500000000000002</v>
      </c>
      <c r="R14" s="34" t="s">
        <v>324</v>
      </c>
      <c r="S14" s="178" t="s">
        <v>388</v>
      </c>
      <c r="T14" s="34" t="s">
        <v>511</v>
      </c>
      <c r="U14" s="26"/>
      <c r="V14" s="26"/>
      <c r="W14" s="26"/>
      <c r="X14" s="26"/>
      <c r="Y14" s="26"/>
      <c r="Z14" s="26"/>
      <c r="AA14" s="26"/>
      <c r="AB14" s="26"/>
      <c r="AC14" s="26"/>
      <c r="AD14" s="26"/>
    </row>
    <row r="15" spans="1:30" ht="45">
      <c r="A15" s="35" t="s">
        <v>416</v>
      </c>
      <c r="B15" s="68">
        <v>177.4</v>
      </c>
      <c r="C15" s="68">
        <v>160.5</v>
      </c>
      <c r="D15" s="68">
        <v>169.4</v>
      </c>
      <c r="E15" s="68">
        <v>175.6</v>
      </c>
      <c r="F15" s="68">
        <v>179</v>
      </c>
      <c r="G15" s="68">
        <v>183.8</v>
      </c>
      <c r="H15" s="68">
        <v>184.6</v>
      </c>
      <c r="I15" s="68">
        <v>182.9</v>
      </c>
      <c r="J15" s="68">
        <v>178.9</v>
      </c>
      <c r="K15" s="68">
        <v>180.8</v>
      </c>
      <c r="L15" s="68">
        <v>187.6</v>
      </c>
      <c r="M15" s="68">
        <v>189.3</v>
      </c>
      <c r="N15" s="180">
        <v>188.2</v>
      </c>
      <c r="O15" s="68">
        <v>196.35</v>
      </c>
      <c r="P15" s="68">
        <v>203.75</v>
      </c>
      <c r="Q15" s="68">
        <v>206.45</v>
      </c>
      <c r="R15" s="34" t="s">
        <v>324</v>
      </c>
      <c r="S15" s="178" t="s">
        <v>325</v>
      </c>
      <c r="T15" s="34" t="s">
        <v>511</v>
      </c>
      <c r="U15" s="26"/>
      <c r="V15" s="26"/>
      <c r="W15" s="26"/>
      <c r="X15" s="26"/>
      <c r="Y15" s="26"/>
      <c r="Z15" s="26"/>
      <c r="AA15" s="26"/>
      <c r="AB15" s="26"/>
      <c r="AC15" s="26"/>
      <c r="AD15" s="26"/>
    </row>
    <row r="16" spans="1:30" ht="60">
      <c r="A16" s="41" t="s">
        <v>417</v>
      </c>
      <c r="B16" s="68">
        <v>31.2</v>
      </c>
      <c r="C16" s="68">
        <v>28.5</v>
      </c>
      <c r="D16" s="68">
        <v>28.9</v>
      </c>
      <c r="E16" s="68">
        <v>29.2</v>
      </c>
      <c r="F16" s="68">
        <v>29.1</v>
      </c>
      <c r="G16" s="68">
        <v>29.4</v>
      </c>
      <c r="H16" s="68">
        <v>29.8</v>
      </c>
      <c r="I16" s="68">
        <v>30.2</v>
      </c>
      <c r="J16" s="68">
        <v>30</v>
      </c>
      <c r="K16" s="68">
        <v>30.4</v>
      </c>
      <c r="L16" s="68">
        <v>31.315000000000001</v>
      </c>
      <c r="M16" s="68">
        <v>32.454999999999998</v>
      </c>
      <c r="N16" s="68">
        <v>32.020000000000003</v>
      </c>
      <c r="O16" s="68">
        <v>32.493000000000002</v>
      </c>
      <c r="P16" s="68">
        <v>34.83</v>
      </c>
      <c r="Q16" s="36"/>
      <c r="R16" s="34" t="s">
        <v>324</v>
      </c>
      <c r="S16" s="179" t="s">
        <v>418</v>
      </c>
      <c r="T16" s="34" t="s">
        <v>511</v>
      </c>
      <c r="U16" s="26"/>
      <c r="V16" s="26"/>
      <c r="W16" s="26"/>
      <c r="X16" s="26"/>
      <c r="Y16" s="26"/>
      <c r="Z16" s="26"/>
      <c r="AA16" s="26"/>
      <c r="AB16" s="26"/>
      <c r="AC16" s="26"/>
      <c r="AD16" s="26"/>
    </row>
    <row r="17" spans="1:30" ht="60">
      <c r="A17" s="35" t="s">
        <v>419</v>
      </c>
      <c r="B17" s="52">
        <v>1.8</v>
      </c>
      <c r="C17" s="52">
        <v>1.9</v>
      </c>
      <c r="D17" s="52">
        <v>1.8</v>
      </c>
      <c r="E17" s="52">
        <v>1.8</v>
      </c>
      <c r="F17" s="52">
        <v>1.8</v>
      </c>
      <c r="G17" s="52">
        <v>1.8</v>
      </c>
      <c r="H17" s="52">
        <v>1.7</v>
      </c>
      <c r="I17" s="52">
        <v>1.7</v>
      </c>
      <c r="J17" s="52">
        <v>1.8</v>
      </c>
      <c r="K17" s="52">
        <v>1.8</v>
      </c>
      <c r="L17" s="52">
        <v>1.9</v>
      </c>
      <c r="M17" s="52">
        <v>2</v>
      </c>
      <c r="N17" s="292">
        <v>1</v>
      </c>
      <c r="O17" s="52">
        <v>1.8</v>
      </c>
      <c r="P17" s="52">
        <v>2.2000000000000002</v>
      </c>
      <c r="Q17" s="36"/>
      <c r="R17" s="34" t="s">
        <v>324</v>
      </c>
      <c r="S17" s="178" t="s">
        <v>410</v>
      </c>
      <c r="T17" s="34" t="s">
        <v>511</v>
      </c>
      <c r="U17" s="26"/>
      <c r="V17" s="26"/>
      <c r="W17" s="26"/>
      <c r="X17" s="26"/>
      <c r="Y17" s="26"/>
      <c r="Z17" s="26"/>
      <c r="AA17" s="26"/>
      <c r="AB17" s="26"/>
      <c r="AC17" s="26"/>
      <c r="AD17" s="26"/>
    </row>
    <row r="18" spans="1:30" ht="60">
      <c r="A18" s="35" t="s">
        <v>420</v>
      </c>
      <c r="B18" s="68">
        <v>18.3</v>
      </c>
      <c r="C18" s="68">
        <v>28.9</v>
      </c>
      <c r="D18" s="68">
        <v>25.6</v>
      </c>
      <c r="E18" s="68">
        <v>22.7</v>
      </c>
      <c r="F18" s="68">
        <v>22.1</v>
      </c>
      <c r="G18" s="68">
        <v>25.2</v>
      </c>
      <c r="H18" s="68">
        <v>25.3</v>
      </c>
      <c r="I18" s="68">
        <v>27.8</v>
      </c>
      <c r="J18" s="68">
        <v>26.6</v>
      </c>
      <c r="K18" s="68">
        <v>23</v>
      </c>
      <c r="L18" s="68">
        <v>27.3</v>
      </c>
      <c r="M18" s="68">
        <v>27.7</v>
      </c>
      <c r="N18" s="180">
        <v>31.9</v>
      </c>
      <c r="O18" s="68">
        <v>30.3</v>
      </c>
      <c r="P18" s="68">
        <v>32.1</v>
      </c>
      <c r="Q18" s="36"/>
      <c r="R18" s="34" t="s">
        <v>324</v>
      </c>
      <c r="S18" s="178" t="s">
        <v>410</v>
      </c>
      <c r="T18" s="34" t="s">
        <v>511</v>
      </c>
      <c r="U18" s="26"/>
      <c r="V18" s="26"/>
      <c r="W18" s="26"/>
      <c r="X18" s="26"/>
      <c r="Y18" s="26"/>
      <c r="Z18" s="26"/>
      <c r="AA18" s="26"/>
      <c r="AB18" s="26"/>
      <c r="AC18" s="26"/>
      <c r="AD18" s="26"/>
    </row>
    <row r="19" spans="1:30" ht="60">
      <c r="A19" s="41" t="s">
        <v>333</v>
      </c>
      <c r="B19" s="150">
        <v>442</v>
      </c>
      <c r="C19" s="150">
        <v>406</v>
      </c>
      <c r="D19" s="150">
        <v>394</v>
      </c>
      <c r="E19" s="150">
        <v>388</v>
      </c>
      <c r="F19" s="150">
        <v>380</v>
      </c>
      <c r="G19" s="150">
        <v>377</v>
      </c>
      <c r="H19" s="150">
        <v>373</v>
      </c>
      <c r="I19" s="150">
        <v>372</v>
      </c>
      <c r="J19" s="150">
        <v>370</v>
      </c>
      <c r="K19" s="150">
        <v>368</v>
      </c>
      <c r="L19" s="150">
        <v>367</v>
      </c>
      <c r="M19" s="150">
        <v>373</v>
      </c>
      <c r="N19" s="180">
        <v>355</v>
      </c>
      <c r="O19" s="150">
        <v>354</v>
      </c>
      <c r="P19" s="150">
        <v>367</v>
      </c>
      <c r="Q19" s="36"/>
      <c r="R19" s="76" t="s">
        <v>324</v>
      </c>
      <c r="S19" s="179" t="s">
        <v>421</v>
      </c>
      <c r="T19" s="34" t="s">
        <v>511</v>
      </c>
      <c r="U19" s="26"/>
      <c r="V19" s="26"/>
      <c r="W19" s="26"/>
      <c r="X19" s="26"/>
      <c r="Y19" s="26"/>
      <c r="Z19" s="26"/>
      <c r="AA19" s="26"/>
      <c r="AB19" s="26"/>
      <c r="AC19" s="26"/>
      <c r="AD19" s="26"/>
    </row>
    <row r="20" spans="1:30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46"/>
      <c r="R20" s="49"/>
      <c r="S20" s="49"/>
      <c r="T20" s="50"/>
      <c r="U20" s="26"/>
      <c r="V20" s="26"/>
      <c r="W20" s="26"/>
      <c r="X20" s="26"/>
      <c r="Y20" s="26"/>
      <c r="Z20" s="26"/>
      <c r="AA20" s="26"/>
      <c r="AB20" s="26"/>
      <c r="AC20" s="26"/>
      <c r="AD20" s="26"/>
    </row>
    <row r="21" spans="1:30" ht="15.75" customHeight="1">
      <c r="A21" s="51" t="s">
        <v>16</v>
      </c>
      <c r="B21" s="51">
        <v>2008</v>
      </c>
      <c r="C21" s="51">
        <v>2009</v>
      </c>
      <c r="D21" s="51">
        <v>2010</v>
      </c>
      <c r="E21" s="51">
        <v>2011</v>
      </c>
      <c r="F21" s="51">
        <v>2012</v>
      </c>
      <c r="G21" s="51">
        <v>2013</v>
      </c>
      <c r="H21" s="51">
        <v>2014</v>
      </c>
      <c r="I21" s="51">
        <v>2015</v>
      </c>
      <c r="J21" s="51">
        <v>2016</v>
      </c>
      <c r="K21" s="51">
        <v>2017</v>
      </c>
      <c r="L21" s="51">
        <v>2018</v>
      </c>
      <c r="M21" s="28">
        <v>2019</v>
      </c>
      <c r="N21" s="51">
        <v>2020</v>
      </c>
      <c r="O21" s="51">
        <v>2021</v>
      </c>
      <c r="P21" s="51">
        <v>2022</v>
      </c>
      <c r="Q21" s="262">
        <v>2023</v>
      </c>
      <c r="R21" s="51" t="s">
        <v>301</v>
      </c>
      <c r="S21" s="79" t="s">
        <v>302</v>
      </c>
      <c r="T21" s="79" t="s">
        <v>23</v>
      </c>
      <c r="U21" s="30"/>
      <c r="V21" s="30"/>
      <c r="W21" s="30"/>
      <c r="X21" s="30"/>
      <c r="Y21" s="30"/>
      <c r="Z21" s="30"/>
      <c r="AA21" s="30"/>
      <c r="AB21" s="30"/>
      <c r="AC21" s="30"/>
      <c r="AD21" s="30"/>
    </row>
    <row r="22" spans="1:30" ht="15.75" customHeight="1">
      <c r="A22" s="35" t="s">
        <v>422</v>
      </c>
      <c r="B22" s="68">
        <v>43.613844</v>
      </c>
      <c r="C22" s="68">
        <v>40.436675999999999</v>
      </c>
      <c r="D22" s="68">
        <v>40.436675999999999</v>
      </c>
      <c r="E22" s="68">
        <v>40.436675999999999</v>
      </c>
      <c r="F22" s="68">
        <v>40.436</v>
      </c>
      <c r="G22" s="68">
        <v>41.880842999999999</v>
      </c>
      <c r="H22" s="68">
        <v>41.880842999999999</v>
      </c>
      <c r="I22" s="68">
        <v>44.344999999999999</v>
      </c>
      <c r="J22" s="68">
        <v>62.155999999999999</v>
      </c>
      <c r="K22" s="68">
        <v>64.37</v>
      </c>
      <c r="L22" s="68">
        <v>71.608562000000006</v>
      </c>
      <c r="M22" s="180">
        <v>71.426930999999996</v>
      </c>
      <c r="N22" s="180">
        <v>60.525359999999999</v>
      </c>
      <c r="O22" s="180">
        <v>71.11054</v>
      </c>
      <c r="P22" s="180">
        <v>72.369</v>
      </c>
      <c r="Q22" s="180">
        <v>66.025999999999996</v>
      </c>
      <c r="R22" s="99" t="s">
        <v>194</v>
      </c>
      <c r="S22" s="100" t="s">
        <v>195</v>
      </c>
      <c r="T22" s="34" t="s">
        <v>572</v>
      </c>
      <c r="U22" s="26"/>
      <c r="V22" s="26"/>
      <c r="W22" s="26"/>
      <c r="X22" s="26"/>
      <c r="Y22" s="26"/>
      <c r="Z22" s="26"/>
      <c r="AA22" s="26"/>
      <c r="AB22" s="26"/>
      <c r="AC22" s="26"/>
      <c r="AD22" s="26"/>
    </row>
    <row r="23" spans="1:30" ht="15.75" customHeight="1">
      <c r="A23" s="35" t="s">
        <v>423</v>
      </c>
      <c r="B23" s="68">
        <v>15.409000000000001</v>
      </c>
      <c r="C23" s="68">
        <v>9.7059999999999995</v>
      </c>
      <c r="D23" s="68">
        <v>11.757</v>
      </c>
      <c r="E23" s="68">
        <v>11.654</v>
      </c>
      <c r="F23" s="68">
        <v>12.327999999999999</v>
      </c>
      <c r="G23" s="68">
        <v>13.198</v>
      </c>
      <c r="H23" s="68">
        <v>13.8</v>
      </c>
      <c r="I23" s="68">
        <v>13.8</v>
      </c>
      <c r="J23" s="68">
        <v>13.8</v>
      </c>
      <c r="K23" s="68">
        <v>14.275</v>
      </c>
      <c r="L23" s="68">
        <v>14.818026</v>
      </c>
      <c r="M23" s="180">
        <v>15.288914999999999</v>
      </c>
      <c r="N23" s="180">
        <v>13.241628</v>
      </c>
      <c r="O23" s="180">
        <v>16.276060000000001</v>
      </c>
      <c r="P23" s="180">
        <v>9.5156159999999996</v>
      </c>
      <c r="Q23" s="180">
        <v>9.6593269999999993</v>
      </c>
      <c r="R23" s="99" t="s">
        <v>194</v>
      </c>
      <c r="S23" s="100" t="s">
        <v>195</v>
      </c>
      <c r="T23" s="34" t="s">
        <v>572</v>
      </c>
      <c r="U23" s="26"/>
      <c r="V23" s="26"/>
      <c r="W23" s="26"/>
      <c r="X23" s="26"/>
      <c r="Y23" s="26"/>
      <c r="Z23" s="26"/>
      <c r="AA23" s="26"/>
      <c r="AB23" s="26"/>
      <c r="AC23" s="26"/>
      <c r="AD23" s="26"/>
    </row>
    <row r="24" spans="1:30" ht="15.75" customHeight="1">
      <c r="A24" s="35" t="s">
        <v>424</v>
      </c>
      <c r="B24" s="68">
        <v>380.50884400000001</v>
      </c>
      <c r="C24" s="68">
        <v>332.52767599999999</v>
      </c>
      <c r="D24" s="68">
        <v>376.57167600000002</v>
      </c>
      <c r="E24" s="68">
        <v>395.14067599999998</v>
      </c>
      <c r="F24" s="68">
        <v>387.512</v>
      </c>
      <c r="G24" s="68">
        <v>396.81784299999998</v>
      </c>
      <c r="H24" s="68">
        <v>398.69275099999999</v>
      </c>
      <c r="I24" s="68">
        <v>399.02341200000001</v>
      </c>
      <c r="J24" s="68">
        <v>436.63200000000001</v>
      </c>
      <c r="K24" s="68">
        <v>436.69137799999999</v>
      </c>
      <c r="L24" s="68">
        <v>464.118154</v>
      </c>
      <c r="M24" s="180">
        <v>459.12887899999998</v>
      </c>
      <c r="N24" s="180">
        <v>430</v>
      </c>
      <c r="O24" s="180">
        <v>453.44600000000003</v>
      </c>
      <c r="P24" s="180">
        <v>456.32968699999998</v>
      </c>
      <c r="Q24" s="180">
        <v>412.29133200000001</v>
      </c>
      <c r="R24" s="99" t="s">
        <v>194</v>
      </c>
      <c r="S24" s="100" t="s">
        <v>195</v>
      </c>
      <c r="T24" s="34" t="s">
        <v>572</v>
      </c>
      <c r="U24" s="26"/>
      <c r="V24" s="26"/>
      <c r="W24" s="26"/>
      <c r="X24" s="26"/>
      <c r="Y24" s="26"/>
      <c r="Z24" s="26"/>
      <c r="AA24" s="26"/>
      <c r="AB24" s="26"/>
      <c r="AC24" s="26"/>
      <c r="AD24" s="26"/>
    </row>
    <row r="25" spans="1:30" ht="15.75" customHeight="1">
      <c r="A25" s="35" t="s">
        <v>425</v>
      </c>
      <c r="B25" s="68">
        <v>72.869280000000003</v>
      </c>
      <c r="C25" s="68">
        <v>54.276000000000003</v>
      </c>
      <c r="D25" s="68">
        <v>60.013399999999997</v>
      </c>
      <c r="E25" s="68">
        <v>63.1738</v>
      </c>
      <c r="F25" s="68">
        <v>67.474000000000004</v>
      </c>
      <c r="G25" s="68">
        <v>71.114999999999995</v>
      </c>
      <c r="H25" s="68">
        <v>75.833299999999994</v>
      </c>
      <c r="I25" s="68">
        <v>76.361999999999995</v>
      </c>
      <c r="J25" s="68">
        <v>78.165000000000006</v>
      </c>
      <c r="K25" s="68">
        <v>80.373999999999995</v>
      </c>
      <c r="L25" s="68">
        <v>81.997600000000006</v>
      </c>
      <c r="M25" s="180">
        <v>82.471699999999998</v>
      </c>
      <c r="N25" s="180">
        <v>79.133602999999994</v>
      </c>
      <c r="O25" s="180">
        <v>80.704999999999998</v>
      </c>
      <c r="P25" s="180">
        <v>81.637</v>
      </c>
      <c r="Q25" s="180">
        <v>77.872</v>
      </c>
      <c r="R25" s="99" t="s">
        <v>194</v>
      </c>
      <c r="S25" s="100" t="s">
        <v>195</v>
      </c>
      <c r="T25" s="34" t="s">
        <v>572</v>
      </c>
      <c r="U25" s="26"/>
      <c r="V25" s="26"/>
      <c r="W25" s="26"/>
      <c r="X25" s="26"/>
      <c r="Y25" s="26"/>
      <c r="Z25" s="26"/>
      <c r="AA25" s="26"/>
      <c r="AB25" s="26"/>
      <c r="AC25" s="26"/>
      <c r="AD25" s="26"/>
    </row>
    <row r="26" spans="1:30" ht="15.75" customHeight="1">
      <c r="A26" s="35" t="s">
        <v>426</v>
      </c>
      <c r="B26" s="68">
        <v>35.176450000000003</v>
      </c>
      <c r="C26" s="68">
        <v>33.965789000000001</v>
      </c>
      <c r="D26" s="68">
        <v>32.192279999999997</v>
      </c>
      <c r="E26" s="68">
        <v>31.649823000000001</v>
      </c>
      <c r="F26" s="68">
        <v>31.059000000000001</v>
      </c>
      <c r="G26" s="68">
        <v>33.062390000000001</v>
      </c>
      <c r="H26" s="68">
        <v>35.059539999999998</v>
      </c>
      <c r="I26" s="68">
        <v>35.258505</v>
      </c>
      <c r="J26" s="68">
        <v>35.95673</v>
      </c>
      <c r="K26" s="68">
        <v>36.20091</v>
      </c>
      <c r="L26" s="68">
        <v>34.244962000000001</v>
      </c>
      <c r="M26" s="180">
        <v>34.353377000000002</v>
      </c>
      <c r="N26" s="180">
        <v>33.110844</v>
      </c>
      <c r="O26" s="180">
        <v>34.651024</v>
      </c>
      <c r="P26" s="180">
        <v>33.322828000000001</v>
      </c>
      <c r="Q26" s="180">
        <v>31.394901000000001</v>
      </c>
      <c r="R26" s="99" t="s">
        <v>194</v>
      </c>
      <c r="S26" s="100" t="s">
        <v>195</v>
      </c>
      <c r="T26" s="34" t="s">
        <v>572</v>
      </c>
      <c r="U26" s="26"/>
      <c r="V26" s="26"/>
      <c r="W26" s="26"/>
      <c r="X26" s="26"/>
      <c r="Y26" s="26"/>
      <c r="Z26" s="26"/>
      <c r="AA26" s="26"/>
      <c r="AB26" s="26"/>
      <c r="AC26" s="26"/>
      <c r="AD26" s="26"/>
    </row>
    <row r="27" spans="1:30" ht="15.75" customHeight="1">
      <c r="A27" s="35" t="s">
        <v>427</v>
      </c>
      <c r="B27" s="68">
        <f t="shared" ref="B27:P27" si="0">+B22*1.38</f>
        <v>60.187104719999994</v>
      </c>
      <c r="C27" s="68">
        <f t="shared" si="0"/>
        <v>55.802612879999991</v>
      </c>
      <c r="D27" s="68">
        <f t="shared" si="0"/>
        <v>55.802612879999991</v>
      </c>
      <c r="E27" s="68">
        <f t="shared" si="0"/>
        <v>55.802612879999991</v>
      </c>
      <c r="F27" s="68">
        <f t="shared" si="0"/>
        <v>55.801679999999998</v>
      </c>
      <c r="G27" s="68">
        <f t="shared" si="0"/>
        <v>57.795563339999994</v>
      </c>
      <c r="H27" s="68">
        <f t="shared" si="0"/>
        <v>57.795563339999994</v>
      </c>
      <c r="I27" s="68">
        <f t="shared" si="0"/>
        <v>61.196099999999994</v>
      </c>
      <c r="J27" s="68">
        <f t="shared" si="0"/>
        <v>85.775279999999995</v>
      </c>
      <c r="K27" s="68">
        <f t="shared" si="0"/>
        <v>88.830600000000004</v>
      </c>
      <c r="L27" s="68">
        <f t="shared" si="0"/>
        <v>98.819815559999995</v>
      </c>
      <c r="M27" s="68">
        <f t="shared" si="0"/>
        <v>98.569164779999994</v>
      </c>
      <c r="N27" s="68">
        <f t="shared" si="0"/>
        <v>83.524996799999997</v>
      </c>
      <c r="O27" s="68">
        <f t="shared" si="0"/>
        <v>98.132545199999996</v>
      </c>
      <c r="P27" s="68">
        <f t="shared" si="0"/>
        <v>99.869219999999999</v>
      </c>
      <c r="Q27" s="68">
        <f t="shared" ref="Q27" si="1">+Q22*1.38</f>
        <v>91.11587999999999</v>
      </c>
      <c r="R27" s="35" t="s">
        <v>136</v>
      </c>
      <c r="S27" s="35"/>
      <c r="T27" s="34" t="s">
        <v>572</v>
      </c>
      <c r="U27" s="26"/>
      <c r="V27" s="26"/>
      <c r="W27" s="26"/>
      <c r="X27" s="26"/>
      <c r="Y27" s="26"/>
      <c r="Z27" s="26"/>
      <c r="AA27" s="26"/>
      <c r="AB27" s="26"/>
      <c r="AC27" s="26"/>
      <c r="AD27" s="26"/>
    </row>
    <row r="28" spans="1:30" ht="15.75" customHeight="1">
      <c r="A28" s="35" t="s">
        <v>428</v>
      </c>
      <c r="B28" s="68">
        <f t="shared" ref="B28:P28" si="2">+B23*1.48</f>
        <v>22.805320000000002</v>
      </c>
      <c r="C28" s="68">
        <f t="shared" si="2"/>
        <v>14.364879999999999</v>
      </c>
      <c r="D28" s="68">
        <f t="shared" si="2"/>
        <v>17.400359999999999</v>
      </c>
      <c r="E28" s="68">
        <f t="shared" si="2"/>
        <v>17.247920000000001</v>
      </c>
      <c r="F28" s="68">
        <f t="shared" si="2"/>
        <v>18.245439999999999</v>
      </c>
      <c r="G28" s="68">
        <f t="shared" si="2"/>
        <v>19.53304</v>
      </c>
      <c r="H28" s="68">
        <f t="shared" si="2"/>
        <v>20.423999999999999</v>
      </c>
      <c r="I28" s="68">
        <f t="shared" si="2"/>
        <v>20.423999999999999</v>
      </c>
      <c r="J28" s="68">
        <f t="shared" si="2"/>
        <v>20.423999999999999</v>
      </c>
      <c r="K28" s="68">
        <f t="shared" si="2"/>
        <v>21.126999999999999</v>
      </c>
      <c r="L28" s="68">
        <f t="shared" si="2"/>
        <v>21.930678480000001</v>
      </c>
      <c r="M28" s="68">
        <f t="shared" si="2"/>
        <v>22.627594199999997</v>
      </c>
      <c r="N28" s="68">
        <f t="shared" si="2"/>
        <v>19.597609439999999</v>
      </c>
      <c r="O28" s="68">
        <f t="shared" si="2"/>
        <v>24.088568800000001</v>
      </c>
      <c r="P28" s="68">
        <f t="shared" si="2"/>
        <v>14.08311168</v>
      </c>
      <c r="Q28" s="68">
        <f t="shared" ref="Q28" si="3">+Q23*1.48</f>
        <v>14.295803959999999</v>
      </c>
      <c r="R28" s="35" t="s">
        <v>136</v>
      </c>
      <c r="S28" s="35"/>
      <c r="T28" s="34" t="s">
        <v>572</v>
      </c>
      <c r="U28" s="26"/>
      <c r="V28" s="26"/>
      <c r="W28" s="26"/>
      <c r="X28" s="26"/>
      <c r="Y28" s="26"/>
      <c r="Z28" s="26"/>
      <c r="AA28" s="26"/>
      <c r="AB28" s="26"/>
      <c r="AC28" s="26"/>
      <c r="AD28" s="26"/>
    </row>
    <row r="29" spans="1:30" ht="15.75" customHeight="1">
      <c r="A29" s="35" t="s">
        <v>429</v>
      </c>
      <c r="B29" s="43">
        <f t="shared" ref="B29:P29" si="4">+B24*1.43</f>
        <v>544.12764691999996</v>
      </c>
      <c r="C29" s="43">
        <f t="shared" si="4"/>
        <v>475.51457667999995</v>
      </c>
      <c r="D29" s="43">
        <f t="shared" si="4"/>
        <v>538.49749668000004</v>
      </c>
      <c r="E29" s="43">
        <f t="shared" si="4"/>
        <v>565.05116667999994</v>
      </c>
      <c r="F29" s="43">
        <f t="shared" si="4"/>
        <v>554.14215999999999</v>
      </c>
      <c r="G29" s="43">
        <f t="shared" si="4"/>
        <v>567.44951548999995</v>
      </c>
      <c r="H29" s="43">
        <f t="shared" si="4"/>
        <v>570.13063392999993</v>
      </c>
      <c r="I29" s="43">
        <f t="shared" si="4"/>
        <v>570.60347916000001</v>
      </c>
      <c r="J29" s="43">
        <f t="shared" si="4"/>
        <v>624.38375999999994</v>
      </c>
      <c r="K29" s="43">
        <f t="shared" si="4"/>
        <v>624.46867053999995</v>
      </c>
      <c r="L29" s="43">
        <f t="shared" si="4"/>
        <v>663.68896022000001</v>
      </c>
      <c r="M29" s="43">
        <f t="shared" si="4"/>
        <v>656.55429697</v>
      </c>
      <c r="N29" s="43">
        <f t="shared" si="4"/>
        <v>614.9</v>
      </c>
      <c r="O29" s="43">
        <f t="shared" si="4"/>
        <v>648.42777999999998</v>
      </c>
      <c r="P29" s="43">
        <f t="shared" si="4"/>
        <v>652.55145240999991</v>
      </c>
      <c r="Q29" s="43">
        <f t="shared" ref="Q29" si="5">+Q24*1.43</f>
        <v>589.57660476000001</v>
      </c>
      <c r="R29" s="35" t="s">
        <v>136</v>
      </c>
      <c r="S29" s="35"/>
      <c r="T29" s="34" t="s">
        <v>572</v>
      </c>
      <c r="U29" s="26"/>
      <c r="V29" s="26"/>
      <c r="W29" s="26"/>
      <c r="X29" s="26"/>
      <c r="Y29" s="26"/>
      <c r="Z29" s="26"/>
      <c r="AA29" s="26"/>
      <c r="AB29" s="26"/>
      <c r="AC29" s="26"/>
      <c r="AD29" s="26"/>
    </row>
    <row r="30" spans="1:30" ht="15.75" customHeight="1">
      <c r="A30" s="35" t="s">
        <v>430</v>
      </c>
      <c r="B30" s="43">
        <f t="shared" ref="B30:P30" si="6">+B25*1.82</f>
        <v>132.62208960000001</v>
      </c>
      <c r="C30" s="43">
        <f t="shared" si="6"/>
        <v>98.782320000000013</v>
      </c>
      <c r="D30" s="43">
        <f t="shared" si="6"/>
        <v>109.224388</v>
      </c>
      <c r="E30" s="43">
        <f t="shared" si="6"/>
        <v>114.976316</v>
      </c>
      <c r="F30" s="43">
        <f t="shared" si="6"/>
        <v>122.80268000000001</v>
      </c>
      <c r="G30" s="43">
        <f t="shared" si="6"/>
        <v>129.42929999999998</v>
      </c>
      <c r="H30" s="43">
        <f t="shared" si="6"/>
        <v>138.016606</v>
      </c>
      <c r="I30" s="43">
        <f t="shared" si="6"/>
        <v>138.97883999999999</v>
      </c>
      <c r="J30" s="43">
        <f t="shared" si="6"/>
        <v>142.26030000000003</v>
      </c>
      <c r="K30" s="43">
        <f t="shared" si="6"/>
        <v>146.28067999999999</v>
      </c>
      <c r="L30" s="43">
        <f t="shared" si="6"/>
        <v>149.23563200000001</v>
      </c>
      <c r="M30" s="43">
        <f t="shared" si="6"/>
        <v>150.09849400000002</v>
      </c>
      <c r="N30" s="43">
        <f t="shared" si="6"/>
        <v>144.02315745999999</v>
      </c>
      <c r="O30" s="43">
        <f t="shared" si="6"/>
        <v>146.88310000000001</v>
      </c>
      <c r="P30" s="43">
        <f t="shared" si="6"/>
        <v>148.57934</v>
      </c>
      <c r="Q30" s="43">
        <f t="shared" ref="Q30" si="7">+Q25*1.82</f>
        <v>141.72704000000002</v>
      </c>
      <c r="R30" s="35" t="s">
        <v>136</v>
      </c>
      <c r="S30" s="35"/>
      <c r="T30" s="34" t="s">
        <v>572</v>
      </c>
      <c r="U30" s="26"/>
      <c r="V30" s="26"/>
      <c r="W30" s="26"/>
      <c r="X30" s="26"/>
      <c r="Y30" s="26"/>
      <c r="Z30" s="26"/>
      <c r="AA30" s="26"/>
      <c r="AB30" s="26"/>
      <c r="AC30" s="26"/>
      <c r="AD30" s="26"/>
    </row>
    <row r="31" spans="1:30" ht="15.75" customHeight="1">
      <c r="A31" s="35" t="s">
        <v>431</v>
      </c>
      <c r="B31" s="43">
        <f t="shared" ref="B31:P31" si="8">+B26*1.3</f>
        <v>45.729385000000008</v>
      </c>
      <c r="C31" s="43">
        <f t="shared" si="8"/>
        <v>44.155525700000005</v>
      </c>
      <c r="D31" s="43">
        <f t="shared" si="8"/>
        <v>41.849964</v>
      </c>
      <c r="E31" s="43">
        <f t="shared" si="8"/>
        <v>41.1447699</v>
      </c>
      <c r="F31" s="43">
        <f t="shared" si="8"/>
        <v>40.3767</v>
      </c>
      <c r="G31" s="43">
        <f t="shared" si="8"/>
        <v>42.981107000000002</v>
      </c>
      <c r="H31" s="43">
        <f t="shared" si="8"/>
        <v>45.577401999999999</v>
      </c>
      <c r="I31" s="43">
        <f t="shared" si="8"/>
        <v>45.836056499999998</v>
      </c>
      <c r="J31" s="43">
        <f t="shared" si="8"/>
        <v>46.743749000000001</v>
      </c>
      <c r="K31" s="43">
        <f t="shared" si="8"/>
        <v>47.061183</v>
      </c>
      <c r="L31" s="43">
        <f t="shared" si="8"/>
        <v>44.518450600000001</v>
      </c>
      <c r="M31" s="43">
        <f t="shared" si="8"/>
        <v>44.659390100000003</v>
      </c>
      <c r="N31" s="43">
        <f t="shared" si="8"/>
        <v>43.044097200000003</v>
      </c>
      <c r="O31" s="43">
        <f t="shared" si="8"/>
        <v>45.046331200000004</v>
      </c>
      <c r="P31" s="43">
        <f t="shared" si="8"/>
        <v>43.319676400000006</v>
      </c>
      <c r="Q31" s="43">
        <f t="shared" ref="Q31" si="9">+Q26*1.3</f>
        <v>40.8133713</v>
      </c>
      <c r="R31" s="35" t="s">
        <v>136</v>
      </c>
      <c r="S31" s="35"/>
      <c r="T31" s="34" t="s">
        <v>572</v>
      </c>
      <c r="U31" s="26"/>
      <c r="V31" s="26"/>
      <c r="W31" s="26"/>
      <c r="X31" s="26"/>
      <c r="Y31" s="26"/>
      <c r="Z31" s="26"/>
      <c r="AA31" s="26"/>
      <c r="AB31" s="26"/>
      <c r="AC31" s="26"/>
      <c r="AD31" s="26"/>
    </row>
    <row r="32" spans="1:30" ht="15.75" customHeight="1">
      <c r="A32" s="35" t="s">
        <v>432</v>
      </c>
      <c r="B32" s="180">
        <v>52.898853000000003</v>
      </c>
      <c r="C32" s="180">
        <v>49.045971999999999</v>
      </c>
      <c r="D32" s="180">
        <v>50.905938999999996</v>
      </c>
      <c r="E32" s="180">
        <v>51.114621999999997</v>
      </c>
      <c r="F32" s="180">
        <v>50.200530000000001</v>
      </c>
      <c r="G32" s="180">
        <v>49.055100000000003</v>
      </c>
      <c r="H32" s="180">
        <v>50.106639999999999</v>
      </c>
      <c r="I32" s="180">
        <v>49.368209999999998</v>
      </c>
      <c r="J32" s="180">
        <v>49.53443</v>
      </c>
      <c r="K32" s="180">
        <v>49.247515999999997</v>
      </c>
      <c r="L32" s="180">
        <v>53.233455999999997</v>
      </c>
      <c r="M32" s="180">
        <v>52.061998000000003</v>
      </c>
      <c r="N32" s="180">
        <v>51</v>
      </c>
      <c r="O32" s="180">
        <v>49.718000000000004</v>
      </c>
      <c r="P32" s="180">
        <v>49.017673000000002</v>
      </c>
      <c r="Q32" s="180">
        <v>47.981530999999997</v>
      </c>
      <c r="R32" s="99" t="s">
        <v>194</v>
      </c>
      <c r="S32" s="100" t="s">
        <v>195</v>
      </c>
      <c r="T32" s="34" t="s">
        <v>572</v>
      </c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 spans="1:30" ht="15.75" customHeight="1">
      <c r="A33" s="35" t="s">
        <v>433</v>
      </c>
      <c r="B33" s="68">
        <v>80.178381999999999</v>
      </c>
      <c r="C33" s="68">
        <v>71.355455000000006</v>
      </c>
      <c r="D33" s="68">
        <v>75.772845000000004</v>
      </c>
      <c r="E33" s="68">
        <v>76.430822000000006</v>
      </c>
      <c r="F33" s="68">
        <v>74.492000000000004</v>
      </c>
      <c r="G33" s="68">
        <v>71.732298</v>
      </c>
      <c r="H33" s="68">
        <v>73.093000000000004</v>
      </c>
      <c r="I33" s="68">
        <v>72.397000000000006</v>
      </c>
      <c r="J33" s="68">
        <v>71.902238999999994</v>
      </c>
      <c r="K33" s="68">
        <v>72.044539</v>
      </c>
      <c r="L33" s="68">
        <v>70.891067000000007</v>
      </c>
      <c r="M33" s="180">
        <v>68.156809999999993</v>
      </c>
      <c r="N33" s="180">
        <v>66</v>
      </c>
      <c r="O33" s="180">
        <v>67</v>
      </c>
      <c r="P33" s="180">
        <v>65.507164000000003</v>
      </c>
      <c r="Q33" s="180">
        <v>60.674376000000002</v>
      </c>
      <c r="R33" s="99" t="s">
        <v>194</v>
      </c>
      <c r="S33" s="100" t="s">
        <v>195</v>
      </c>
      <c r="T33" s="34" t="s">
        <v>572</v>
      </c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 spans="1:30" ht="15.75" customHeight="1">
      <c r="A34" s="35" t="s">
        <v>434</v>
      </c>
      <c r="B34" s="36"/>
      <c r="C34" s="36"/>
      <c r="D34" s="36"/>
      <c r="E34" s="36"/>
      <c r="F34" s="80">
        <v>3.4740000000000002</v>
      </c>
      <c r="G34" s="80">
        <v>4.7039999999999997</v>
      </c>
      <c r="H34" s="80">
        <v>5.9470000000000001</v>
      </c>
      <c r="I34" s="80">
        <v>6.5170000000000003</v>
      </c>
      <c r="J34" s="80">
        <v>6.3929999999999998</v>
      </c>
      <c r="K34" s="80">
        <v>6.9</v>
      </c>
      <c r="L34" s="98">
        <v>7.4683609999999998</v>
      </c>
      <c r="M34" s="98">
        <v>8.5927129999999998</v>
      </c>
      <c r="N34" s="98">
        <v>8.4123590000000004</v>
      </c>
      <c r="O34" s="98">
        <v>8.4486000000000008</v>
      </c>
      <c r="P34" s="98">
        <v>9.5440000000000005</v>
      </c>
      <c r="Q34" s="98">
        <v>9.820703</v>
      </c>
      <c r="R34" s="99" t="s">
        <v>194</v>
      </c>
      <c r="S34" s="100" t="s">
        <v>195</v>
      </c>
      <c r="T34" s="34" t="s">
        <v>572</v>
      </c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 spans="1:30" ht="15.75" customHeight="1">
      <c r="A35" s="35" t="s">
        <v>435</v>
      </c>
      <c r="B35" s="68">
        <v>24.327525000000001</v>
      </c>
      <c r="C35" s="68">
        <v>17.122792</v>
      </c>
      <c r="D35" s="68">
        <v>19.542151</v>
      </c>
      <c r="E35" s="68">
        <v>19.527676</v>
      </c>
      <c r="F35" s="68">
        <v>20.752316</v>
      </c>
      <c r="G35" s="68">
        <v>22.952586</v>
      </c>
      <c r="H35" s="68">
        <v>24.613980000000002</v>
      </c>
      <c r="I35" s="68">
        <v>23.685320999999998</v>
      </c>
      <c r="J35" s="68">
        <v>24.078761</v>
      </c>
      <c r="K35" s="68">
        <v>24.93886586</v>
      </c>
      <c r="L35" s="68">
        <v>26.906649999999999</v>
      </c>
      <c r="M35" s="68">
        <v>23.306733000000001</v>
      </c>
      <c r="N35" s="68">
        <v>24.606244</v>
      </c>
      <c r="O35" s="68">
        <v>36.694448999999999</v>
      </c>
      <c r="P35" s="68">
        <v>39.159768</v>
      </c>
      <c r="Q35" s="68">
        <v>27.151340999999999</v>
      </c>
      <c r="R35" s="99" t="s">
        <v>194</v>
      </c>
      <c r="S35" s="100" t="s">
        <v>195</v>
      </c>
      <c r="T35" s="34" t="s">
        <v>572</v>
      </c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 spans="1:30" ht="15.75" customHeight="1">
      <c r="A36" s="35" t="s">
        <v>436</v>
      </c>
      <c r="B36" s="68">
        <v>21.274007999999998</v>
      </c>
      <c r="C36" s="68">
        <v>19.148260000000001</v>
      </c>
      <c r="D36" s="68">
        <v>22.923905000000001</v>
      </c>
      <c r="E36" s="68">
        <v>25.250957</v>
      </c>
      <c r="F36" s="68">
        <v>25.605682000000002</v>
      </c>
      <c r="G36" s="68">
        <v>26.595675</v>
      </c>
      <c r="H36" s="68">
        <v>27.234076000000002</v>
      </c>
      <c r="I36" s="68">
        <v>25.149515999999998</v>
      </c>
      <c r="J36" s="68">
        <v>24.636382999999999</v>
      </c>
      <c r="K36" s="68">
        <v>27.084950460000002</v>
      </c>
      <c r="L36" s="68">
        <v>28.296900000000001</v>
      </c>
      <c r="M36" s="68">
        <v>24.441915999999999</v>
      </c>
      <c r="N36" s="68">
        <v>22.364104000000001</v>
      </c>
      <c r="O36" s="68">
        <v>27.051831</v>
      </c>
      <c r="P36" s="68">
        <v>29.972066999999999</v>
      </c>
      <c r="Q36" s="68">
        <v>25.010581999999999</v>
      </c>
      <c r="R36" s="34" t="s">
        <v>194</v>
      </c>
      <c r="S36" s="55" t="s">
        <v>195</v>
      </c>
      <c r="T36" s="34" t="s">
        <v>572</v>
      </c>
      <c r="U36" s="26"/>
      <c r="V36" s="26"/>
      <c r="W36" s="26"/>
      <c r="X36" s="26"/>
      <c r="Y36" s="26"/>
      <c r="Z36" s="26"/>
      <c r="AA36" s="26"/>
      <c r="AB36" s="26"/>
      <c r="AC36" s="26"/>
      <c r="AD36" s="26"/>
    </row>
    <row r="37" spans="1:30" ht="15.75" customHeight="1">
      <c r="A37" s="26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</row>
    <row r="38" spans="1:30" ht="15.75" customHeight="1">
      <c r="A38" s="26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2"/>
      <c r="S38" s="183"/>
      <c r="T38" s="182"/>
      <c r="U38" s="26"/>
      <c r="V38" s="26"/>
      <c r="W38" s="26"/>
      <c r="X38" s="26"/>
      <c r="Y38" s="26"/>
      <c r="Z38" s="26"/>
      <c r="AA38" s="26"/>
      <c r="AB38" s="26"/>
      <c r="AC38" s="26"/>
      <c r="AD38" s="26"/>
    </row>
    <row r="39" spans="1:30" ht="15.75" customHeight="1">
      <c r="A39" s="26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429"/>
      <c r="R39" s="182"/>
      <c r="S39" s="183"/>
      <c r="T39" s="182"/>
      <c r="U39" s="26"/>
      <c r="V39" s="26"/>
      <c r="W39" s="26"/>
      <c r="X39" s="26"/>
      <c r="Y39" s="26"/>
      <c r="Z39" s="26"/>
      <c r="AA39" s="26"/>
      <c r="AB39" s="26"/>
      <c r="AC39" s="26"/>
      <c r="AD39" s="26"/>
    </row>
    <row r="40" spans="1:30" ht="15.75" customHeight="1">
      <c r="A40" s="26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429"/>
      <c r="R40" s="182"/>
      <c r="S40" s="183"/>
      <c r="T40" s="182"/>
      <c r="U40" s="26"/>
      <c r="V40" s="26"/>
      <c r="W40" s="26"/>
      <c r="X40" s="26"/>
      <c r="Y40" s="26"/>
      <c r="Z40" s="26"/>
      <c r="AA40" s="26"/>
      <c r="AB40" s="26"/>
      <c r="AC40" s="26"/>
      <c r="AD40" s="26"/>
    </row>
    <row r="41" spans="1:30" ht="15.75" customHeight="1">
      <c r="A41" s="26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429"/>
      <c r="R41" s="182"/>
      <c r="S41" s="183"/>
      <c r="T41" s="182"/>
      <c r="U41" s="26"/>
      <c r="V41" s="26"/>
      <c r="W41" s="26"/>
      <c r="X41" s="26"/>
      <c r="Y41" s="26"/>
      <c r="Z41" s="26"/>
      <c r="AA41" s="26"/>
      <c r="AB41" s="26"/>
      <c r="AC41" s="26"/>
      <c r="AD41" s="26"/>
    </row>
    <row r="42" spans="1:30" ht="15.75" customHeight="1">
      <c r="A42" s="26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429"/>
      <c r="R42" s="182"/>
      <c r="S42" s="183"/>
      <c r="T42" s="182"/>
      <c r="U42" s="26"/>
      <c r="V42" s="26"/>
      <c r="W42" s="26"/>
      <c r="X42" s="26"/>
      <c r="Y42" s="26"/>
      <c r="Z42" s="26"/>
      <c r="AA42" s="26"/>
      <c r="AB42" s="26"/>
      <c r="AC42" s="26"/>
      <c r="AD42" s="26"/>
    </row>
    <row r="43" spans="1:30" ht="15.75" customHeight="1">
      <c r="A43" s="26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181"/>
      <c r="Q43" s="429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</row>
    <row r="44" spans="1:30" ht="15.75" customHeight="1">
      <c r="A44" s="26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181"/>
      <c r="Q44" s="429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</row>
    <row r="45" spans="1:30" ht="15.75" customHeight="1">
      <c r="A45" s="26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181"/>
      <c r="Q45" s="429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</row>
    <row r="46" spans="1:30" ht="15.75" customHeight="1">
      <c r="A46" s="26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181"/>
      <c r="Q46" s="429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</row>
    <row r="47" spans="1:30" ht="15.75" customHeight="1">
      <c r="A47" s="26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429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</row>
    <row r="48" spans="1:30" ht="15.75" customHeight="1">
      <c r="A48" s="26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429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</row>
    <row r="49" spans="1:30" ht="15.75" customHeight="1">
      <c r="A49" s="26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429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</row>
    <row r="50" spans="1:30" ht="15.75" customHeight="1">
      <c r="A50" s="26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429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</row>
    <row r="51" spans="1:30" ht="15.75" customHeight="1">
      <c r="A51" s="26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429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</row>
    <row r="52" spans="1:30" ht="15.75" customHeight="1">
      <c r="A52" s="26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</row>
    <row r="53" spans="1:30" ht="15.75" customHeight="1">
      <c r="A53" s="26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</row>
    <row r="54" spans="1:30" ht="15.75" customHeight="1">
      <c r="A54" s="26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</row>
    <row r="55" spans="1:30" ht="15.75" customHeight="1">
      <c r="A55" s="26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</row>
    <row r="56" spans="1:30" ht="15.75" customHeight="1">
      <c r="A56" s="26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</row>
    <row r="57" spans="1:30" ht="15.75" customHeight="1">
      <c r="A57" s="26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</row>
    <row r="58" spans="1:30" ht="15.75" customHeight="1">
      <c r="A58" s="26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</row>
    <row r="59" spans="1:30" ht="15.75" customHeight="1">
      <c r="A59" s="26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</row>
    <row r="60" spans="1:30" ht="15.75" customHeight="1">
      <c r="A60" s="26"/>
      <c r="B60" s="30"/>
      <c r="C60" s="30"/>
      <c r="D60" s="30"/>
      <c r="E60" s="30"/>
      <c r="F60" s="30"/>
      <c r="G60" s="30"/>
      <c r="H60" s="30"/>
      <c r="I60" s="30"/>
      <c r="J60" s="30"/>
      <c r="K60" s="30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</row>
    <row r="61" spans="1:30" ht="15.75" customHeight="1">
      <c r="A61" s="26"/>
      <c r="B61" s="30"/>
      <c r="C61" s="30"/>
      <c r="D61" s="30"/>
      <c r="E61" s="30"/>
      <c r="F61" s="30"/>
      <c r="G61" s="30"/>
      <c r="H61" s="30"/>
      <c r="I61" s="30"/>
      <c r="J61" s="30"/>
      <c r="K61" s="30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</row>
    <row r="62" spans="1:30" ht="15.75" customHeight="1">
      <c r="A62" s="26"/>
      <c r="B62" s="30"/>
      <c r="C62" s="30"/>
      <c r="D62" s="30"/>
      <c r="E62" s="30"/>
      <c r="F62" s="30"/>
      <c r="G62" s="30"/>
      <c r="H62" s="30"/>
      <c r="I62" s="30"/>
      <c r="J62" s="30"/>
      <c r="K62" s="30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</row>
    <row r="63" spans="1:30" ht="15.75" customHeight="1">
      <c r="A63" s="26"/>
      <c r="B63" s="30"/>
      <c r="C63" s="30"/>
      <c r="D63" s="30"/>
      <c r="E63" s="30"/>
      <c r="F63" s="30"/>
      <c r="G63" s="30"/>
      <c r="H63" s="30"/>
      <c r="I63" s="30"/>
      <c r="J63" s="30"/>
      <c r="K63" s="30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</row>
    <row r="64" spans="1:30" ht="15.75" customHeight="1">
      <c r="A64" s="26"/>
      <c r="B64" s="30"/>
      <c r="C64" s="30"/>
      <c r="D64" s="30"/>
      <c r="E64" s="30"/>
      <c r="F64" s="30"/>
      <c r="G64" s="30"/>
      <c r="H64" s="30"/>
      <c r="I64" s="30"/>
      <c r="J64" s="30"/>
      <c r="K64" s="30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</row>
    <row r="65" spans="1:30" ht="15.75" customHeight="1">
      <c r="A65" s="26"/>
      <c r="B65" s="30"/>
      <c r="C65" s="30"/>
      <c r="D65" s="30"/>
      <c r="E65" s="30"/>
      <c r="F65" s="30"/>
      <c r="G65" s="30"/>
      <c r="H65" s="30"/>
      <c r="I65" s="30"/>
      <c r="J65" s="30"/>
      <c r="K65" s="30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</row>
    <row r="66" spans="1:30" ht="15.75" customHeight="1">
      <c r="A66" s="26"/>
      <c r="B66" s="30"/>
      <c r="C66" s="30"/>
      <c r="D66" s="30"/>
      <c r="E66" s="30"/>
      <c r="F66" s="30"/>
      <c r="G66" s="30"/>
      <c r="H66" s="30"/>
      <c r="I66" s="30"/>
      <c r="J66" s="30"/>
      <c r="K66" s="30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</row>
    <row r="67" spans="1:30" ht="15.75" customHeight="1">
      <c r="A67" s="26"/>
      <c r="B67" s="30"/>
      <c r="C67" s="30"/>
      <c r="D67" s="30"/>
      <c r="E67" s="30"/>
      <c r="F67" s="30"/>
      <c r="G67" s="30"/>
      <c r="H67" s="30"/>
      <c r="I67" s="30"/>
      <c r="J67" s="30"/>
      <c r="K67" s="30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</row>
    <row r="68" spans="1:30" ht="15.75" customHeight="1">
      <c r="A68" s="26"/>
      <c r="B68" s="30"/>
      <c r="C68" s="30"/>
      <c r="D68" s="30"/>
      <c r="E68" s="30"/>
      <c r="F68" s="30"/>
      <c r="G68" s="30"/>
      <c r="H68" s="30"/>
      <c r="I68" s="30"/>
      <c r="J68" s="30"/>
      <c r="K68" s="30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</row>
    <row r="69" spans="1:30" ht="15.75" customHeight="1">
      <c r="A69" s="26"/>
      <c r="B69" s="30"/>
      <c r="C69" s="30"/>
      <c r="D69" s="30"/>
      <c r="E69" s="30"/>
      <c r="F69" s="30"/>
      <c r="G69" s="30"/>
      <c r="H69" s="30"/>
      <c r="I69" s="30"/>
      <c r="J69" s="30"/>
      <c r="K69" s="30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</row>
    <row r="70" spans="1:30" ht="15.75" customHeight="1">
      <c r="A70" s="26"/>
      <c r="B70" s="30"/>
      <c r="C70" s="30"/>
      <c r="D70" s="30"/>
      <c r="E70" s="30"/>
      <c r="F70" s="30"/>
      <c r="G70" s="30"/>
      <c r="H70" s="30"/>
      <c r="I70" s="30"/>
      <c r="J70" s="30"/>
      <c r="K70" s="30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</row>
    <row r="71" spans="1:30" ht="15.75" customHeight="1">
      <c r="A71" s="26"/>
      <c r="B71" s="30"/>
      <c r="C71" s="30"/>
      <c r="D71" s="30"/>
      <c r="E71" s="30"/>
      <c r="F71" s="30"/>
      <c r="G71" s="30"/>
      <c r="H71" s="30"/>
      <c r="I71" s="30"/>
      <c r="J71" s="30"/>
      <c r="K71" s="30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</row>
    <row r="72" spans="1:30" ht="15.75" customHeight="1">
      <c r="A72" s="26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</row>
    <row r="73" spans="1:30" ht="15.75" customHeight="1">
      <c r="A73" s="26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</row>
    <row r="74" spans="1:30" ht="15.75" customHeight="1">
      <c r="A74" s="26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</row>
    <row r="75" spans="1:30" ht="15.75" customHeight="1">
      <c r="A75" s="26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</row>
    <row r="76" spans="1:30" ht="15.75" customHeight="1">
      <c r="A76" s="26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</row>
    <row r="77" spans="1:30" ht="15.75" customHeight="1">
      <c r="A77" s="26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</row>
    <row r="78" spans="1:30" ht="15.75" customHeight="1">
      <c r="A78" s="26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</row>
    <row r="79" spans="1:30" ht="15.75" customHeight="1">
      <c r="A79" s="26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</row>
    <row r="80" spans="1:30" ht="15.75" customHeight="1">
      <c r="A80" s="26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</row>
    <row r="81" spans="1:30" ht="15.75" customHeight="1">
      <c r="A81" s="26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</row>
    <row r="82" spans="1:30" ht="15.75" customHeight="1">
      <c r="A82" s="26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</row>
    <row r="83" spans="1:30" ht="15.75" customHeight="1">
      <c r="A83" s="26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</row>
    <row r="84" spans="1:30" ht="15.75" customHeight="1">
      <c r="A84" s="26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</row>
    <row r="85" spans="1:30" ht="15.75" customHeight="1">
      <c r="A85" s="26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</row>
    <row r="86" spans="1:30" ht="15.75" customHeight="1">
      <c r="A86" s="26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</row>
    <row r="87" spans="1:30" ht="15.75" customHeight="1">
      <c r="A87" s="26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</row>
    <row r="88" spans="1:30" ht="15.75" customHeight="1">
      <c r="A88" s="26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</row>
    <row r="89" spans="1:30" ht="15.75" customHeight="1">
      <c r="A89" s="26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</row>
    <row r="90" spans="1:30" ht="15.75" customHeight="1">
      <c r="A90" s="26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</row>
    <row r="91" spans="1:30" ht="15.75" customHeight="1">
      <c r="A91" s="26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</row>
    <row r="92" spans="1:30" ht="15.75" customHeight="1">
      <c r="A92" s="26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</row>
    <row r="93" spans="1:30" ht="15.75" customHeight="1">
      <c r="A93" s="26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</row>
    <row r="94" spans="1:30" ht="15.75" customHeight="1">
      <c r="A94" s="26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</row>
    <row r="95" spans="1:30" ht="15.75" customHeight="1">
      <c r="A95" s="26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</row>
    <row r="96" spans="1:30" ht="15.75" customHeight="1">
      <c r="A96" s="26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</row>
    <row r="97" spans="1:30" ht="15.75" customHeight="1">
      <c r="A97" s="26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</row>
    <row r="98" spans="1:30" ht="15.75" customHeight="1">
      <c r="A98" s="26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</row>
    <row r="99" spans="1:30" ht="15.75" customHeight="1">
      <c r="A99" s="26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</row>
    <row r="100" spans="1:30" ht="15.75" customHeight="1">
      <c r="A100" s="26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</row>
    <row r="101" spans="1:30" ht="15.75" customHeight="1">
      <c r="A101" s="26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</row>
    <row r="102" spans="1:30" ht="15.75" customHeight="1">
      <c r="A102" s="26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</row>
    <row r="103" spans="1:30" ht="15.75" customHeight="1">
      <c r="A103" s="26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</row>
    <row r="104" spans="1:30" ht="15.75" customHeight="1">
      <c r="A104" s="26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</row>
    <row r="105" spans="1:30" ht="15.75" customHeight="1">
      <c r="A105" s="26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</row>
    <row r="106" spans="1:30" ht="15.75" customHeight="1">
      <c r="A106" s="26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</row>
    <row r="107" spans="1:30" ht="15.75" customHeight="1">
      <c r="A107" s="26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</row>
    <row r="108" spans="1:30" ht="15.75" customHeight="1">
      <c r="A108" s="26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</row>
    <row r="109" spans="1:30" ht="15.75" customHeight="1">
      <c r="A109" s="26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</row>
    <row r="110" spans="1:30" ht="15.75" customHeight="1">
      <c r="A110" s="26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</row>
    <row r="111" spans="1:30" ht="15.75" customHeight="1">
      <c r="A111" s="26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</row>
    <row r="112" spans="1:30" ht="15.75" customHeight="1">
      <c r="A112" s="26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</row>
    <row r="113" spans="1:30" ht="15.75" customHeight="1">
      <c r="A113" s="26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</row>
    <row r="114" spans="1:30" ht="15.75" customHeight="1">
      <c r="A114" s="26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</row>
    <row r="115" spans="1:30" ht="15.75" customHeight="1">
      <c r="A115" s="26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</row>
    <row r="116" spans="1:30" ht="15.75" customHeight="1">
      <c r="A116" s="26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</row>
    <row r="117" spans="1:30" ht="15.75" customHeight="1">
      <c r="A117" s="26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</row>
    <row r="118" spans="1:30" ht="15.75" customHeight="1">
      <c r="A118" s="26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</row>
    <row r="119" spans="1:30" ht="15.75" customHeight="1">
      <c r="A119" s="26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</row>
    <row r="120" spans="1:30" ht="15.75" customHeight="1">
      <c r="A120" s="26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</row>
    <row r="121" spans="1:30" ht="15.75" customHeight="1">
      <c r="A121" s="26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</row>
    <row r="122" spans="1:30" ht="15.75" customHeight="1">
      <c r="A122" s="26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</row>
    <row r="123" spans="1:30" ht="15.75" customHeight="1">
      <c r="A123" s="26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</row>
    <row r="124" spans="1:30" ht="15.75" customHeight="1">
      <c r="A124" s="26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</row>
    <row r="125" spans="1:30" ht="15.75" customHeight="1">
      <c r="A125" s="26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</row>
    <row r="126" spans="1:30" ht="15.75" customHeight="1">
      <c r="A126" s="26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</row>
    <row r="127" spans="1:30" ht="15.75" customHeight="1">
      <c r="A127" s="26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</row>
    <row r="128" spans="1:30" ht="15.75" customHeight="1">
      <c r="A128" s="26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</row>
    <row r="129" spans="1:30" ht="15.75" customHeight="1">
      <c r="A129" s="26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</row>
    <row r="130" spans="1:30" ht="15.75" customHeight="1">
      <c r="A130" s="26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</row>
    <row r="131" spans="1:30" ht="15.75" customHeight="1">
      <c r="A131" s="26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</row>
    <row r="132" spans="1:30" ht="15.75" customHeight="1">
      <c r="A132" s="26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</row>
    <row r="133" spans="1:30" ht="15.75" customHeight="1">
      <c r="A133" s="26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</row>
    <row r="134" spans="1:30" ht="15.75" customHeight="1">
      <c r="A134" s="26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</row>
    <row r="135" spans="1:30" ht="15.75" customHeight="1">
      <c r="A135" s="26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</row>
    <row r="136" spans="1:30" ht="15.75" customHeight="1">
      <c r="A136" s="26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</row>
    <row r="137" spans="1:30" ht="15.75" customHeight="1">
      <c r="A137" s="26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</row>
    <row r="138" spans="1:30" ht="15.75" customHeight="1">
      <c r="A138" s="26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</row>
    <row r="139" spans="1:30" ht="15.75" customHeight="1">
      <c r="A139" s="26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</row>
    <row r="140" spans="1:30" ht="15.75" customHeight="1">
      <c r="A140" s="26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</row>
    <row r="141" spans="1:30" ht="15.75" customHeight="1">
      <c r="A141" s="26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</row>
    <row r="142" spans="1:30" ht="15.75" customHeight="1">
      <c r="A142" s="26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</row>
    <row r="143" spans="1:30" ht="15.75" customHeight="1">
      <c r="A143" s="26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</row>
    <row r="144" spans="1:30" ht="15.75" customHeight="1">
      <c r="A144" s="26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</row>
    <row r="145" spans="1:30" ht="15.75" customHeight="1">
      <c r="A145" s="26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</row>
    <row r="146" spans="1:30" ht="15.75" customHeight="1">
      <c r="A146" s="26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</row>
    <row r="147" spans="1:30" ht="15.75" customHeight="1">
      <c r="A147" s="26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</row>
    <row r="148" spans="1:30" ht="15.75" customHeight="1">
      <c r="A148" s="26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</row>
    <row r="149" spans="1:30" ht="15.75" customHeight="1">
      <c r="A149" s="26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</row>
    <row r="150" spans="1:30" ht="15.75" customHeight="1">
      <c r="A150" s="26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</row>
    <row r="151" spans="1:30" ht="15.75" customHeight="1">
      <c r="A151" s="26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</row>
    <row r="152" spans="1:30" ht="15.75" customHeight="1">
      <c r="A152" s="26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</row>
    <row r="153" spans="1:30" ht="15.75" customHeight="1">
      <c r="A153" s="26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</row>
    <row r="154" spans="1:30" ht="15.75" customHeight="1">
      <c r="A154" s="26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</row>
    <row r="155" spans="1:30" ht="15.75" customHeight="1">
      <c r="A155" s="26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</row>
    <row r="156" spans="1:30" ht="15.75" customHeight="1">
      <c r="A156" s="26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</row>
    <row r="157" spans="1:30" ht="15.75" customHeight="1">
      <c r="A157" s="26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</row>
    <row r="158" spans="1:30" ht="15.75" customHeight="1">
      <c r="A158" s="26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</row>
    <row r="159" spans="1:30" ht="15.75" customHeight="1">
      <c r="A159" s="26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</row>
    <row r="160" spans="1:30" ht="15.75" customHeight="1">
      <c r="A160" s="26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</row>
    <row r="161" spans="1:30" ht="15.75" customHeight="1">
      <c r="A161" s="26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</row>
    <row r="162" spans="1:30" ht="15.75" customHeight="1">
      <c r="A162" s="26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</row>
    <row r="163" spans="1:30" ht="15.75" customHeight="1">
      <c r="A163" s="26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</row>
    <row r="164" spans="1:30" ht="15.75" customHeight="1">
      <c r="A164" s="26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</row>
    <row r="165" spans="1:30" ht="15.75" customHeight="1">
      <c r="A165" s="26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</row>
    <row r="166" spans="1:30" ht="15.75" customHeight="1">
      <c r="A166" s="26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 spans="1:30" ht="15.75" customHeight="1">
      <c r="A167" s="26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 spans="1:30" ht="15.75" customHeight="1">
      <c r="A168" s="26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</row>
    <row r="169" spans="1:30" ht="15.75" customHeight="1">
      <c r="A169" s="26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</row>
    <row r="170" spans="1:30" ht="15.75" customHeight="1">
      <c r="A170" s="26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</row>
    <row r="171" spans="1:30" ht="15.75" customHeight="1">
      <c r="A171" s="26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</row>
    <row r="172" spans="1:30" ht="15.75" customHeight="1">
      <c r="A172" s="26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</row>
    <row r="173" spans="1:30" ht="15.75" customHeight="1">
      <c r="A173" s="26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</row>
    <row r="174" spans="1:30" ht="15.75" customHeight="1">
      <c r="A174" s="26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</row>
    <row r="175" spans="1:30" ht="15.75" customHeight="1">
      <c r="A175" s="26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</row>
    <row r="176" spans="1:30" ht="15.75" customHeight="1">
      <c r="A176" s="26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</row>
    <row r="177" spans="1:30" ht="15.75" customHeight="1">
      <c r="A177" s="26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</row>
    <row r="178" spans="1:30" ht="15.75" customHeight="1">
      <c r="A178" s="26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</row>
    <row r="179" spans="1:30" ht="15.75" customHeight="1">
      <c r="A179" s="26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</row>
    <row r="180" spans="1:30" ht="15.75" customHeight="1">
      <c r="A180" s="26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</row>
    <row r="181" spans="1:30" ht="15.75" customHeight="1">
      <c r="A181" s="26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</row>
    <row r="182" spans="1:30" ht="15.75" customHeight="1">
      <c r="A182" s="26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</row>
    <row r="183" spans="1:30" ht="15.75" customHeight="1">
      <c r="A183" s="26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</row>
    <row r="184" spans="1:30" ht="15.75" customHeight="1">
      <c r="A184" s="26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</row>
    <row r="185" spans="1:30" ht="15.75" customHeight="1">
      <c r="A185" s="26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</row>
    <row r="186" spans="1:30" ht="15.75" customHeight="1">
      <c r="A186" s="26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</row>
    <row r="187" spans="1:30" ht="15.75" customHeight="1">
      <c r="A187" s="26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</row>
    <row r="188" spans="1:30" ht="15.75" customHeight="1">
      <c r="A188" s="26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</row>
    <row r="189" spans="1:30" ht="15.75" customHeight="1">
      <c r="A189" s="26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</row>
    <row r="190" spans="1:30" ht="15.75" customHeight="1">
      <c r="A190" s="26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</row>
    <row r="191" spans="1:30" ht="15.75" customHeight="1">
      <c r="A191" s="26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</row>
    <row r="192" spans="1:30" ht="15.75" customHeight="1">
      <c r="A192" s="26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</row>
    <row r="193" spans="1:30" ht="15.75" customHeight="1">
      <c r="A193" s="26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</row>
    <row r="194" spans="1:30" ht="15.75" customHeight="1">
      <c r="A194" s="26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</row>
    <row r="195" spans="1:30" ht="15.75" customHeight="1">
      <c r="A195" s="26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</row>
    <row r="196" spans="1:30" ht="15.75" customHeight="1">
      <c r="A196" s="26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</row>
    <row r="197" spans="1:30" ht="15.75" customHeight="1">
      <c r="A197" s="26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</row>
    <row r="198" spans="1:30" ht="15.75" customHeight="1">
      <c r="A198" s="26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</row>
    <row r="199" spans="1:30" ht="15.75" customHeight="1">
      <c r="A199" s="26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</row>
    <row r="200" spans="1:30" ht="15.75" customHeight="1">
      <c r="A200" s="26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</row>
    <row r="201" spans="1:30" ht="15.75" customHeight="1">
      <c r="A201" s="26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</row>
    <row r="202" spans="1:30" ht="15.75" customHeight="1">
      <c r="A202" s="26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</row>
    <row r="203" spans="1:30" ht="15.75" customHeight="1">
      <c r="A203" s="26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</row>
    <row r="204" spans="1:30" ht="15.75" customHeight="1">
      <c r="A204" s="26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</row>
    <row r="205" spans="1:30" ht="15.75" customHeight="1">
      <c r="A205" s="26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</row>
    <row r="206" spans="1:30" ht="15.75" customHeight="1">
      <c r="A206" s="26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</row>
    <row r="207" spans="1:30" ht="15.75" customHeight="1">
      <c r="A207" s="26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</row>
    <row r="208" spans="1:30" ht="15.75" customHeight="1">
      <c r="A208" s="26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</row>
    <row r="209" spans="1:30" ht="15.75" customHeight="1">
      <c r="A209" s="26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</row>
    <row r="210" spans="1:30" ht="15.75" customHeight="1">
      <c r="A210" s="26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</row>
    <row r="211" spans="1:30" ht="15.75" customHeight="1">
      <c r="A211" s="26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</row>
    <row r="212" spans="1:30" ht="15.75" customHeight="1">
      <c r="A212" s="26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</row>
    <row r="213" spans="1:30" ht="15.75" customHeight="1">
      <c r="A213" s="26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</row>
    <row r="214" spans="1:30" ht="15.75" customHeight="1">
      <c r="A214" s="26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</row>
    <row r="215" spans="1:30" ht="15.75" customHeight="1">
      <c r="A215" s="26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</row>
    <row r="216" spans="1:30" ht="15.75" customHeight="1">
      <c r="A216" s="26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</row>
    <row r="217" spans="1:30" ht="15.75" customHeight="1">
      <c r="A217" s="26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</row>
    <row r="218" spans="1:30" ht="15.75" customHeight="1">
      <c r="A218" s="26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</row>
    <row r="219" spans="1:30" ht="15.75" customHeight="1">
      <c r="A219" s="26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</row>
    <row r="220" spans="1:30" ht="15.75" customHeight="1">
      <c r="A220" s="26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</row>
    <row r="221" spans="1:30" ht="15.75" customHeight="1">
      <c r="A221" s="26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</row>
    <row r="222" spans="1:30" ht="15.75" customHeight="1">
      <c r="A222" s="26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</row>
    <row r="223" spans="1:30" ht="15.75" customHeight="1">
      <c r="A223" s="26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</row>
    <row r="224" spans="1:30" ht="15.75" customHeight="1">
      <c r="A224" s="26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</row>
    <row r="225" spans="1:30" ht="15.75" customHeight="1">
      <c r="A225" s="26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</row>
    <row r="226" spans="1:30" ht="15.75" customHeight="1">
      <c r="A226" s="26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</row>
    <row r="227" spans="1:30" ht="15.75" customHeight="1">
      <c r="A227" s="26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</row>
    <row r="228" spans="1:30" ht="15.75" customHeight="1">
      <c r="A228" s="26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</row>
    <row r="229" spans="1:30" ht="15.75" customHeight="1">
      <c r="A229" s="26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</row>
    <row r="230" spans="1:30" ht="15.75" customHeight="1">
      <c r="A230" s="26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</row>
    <row r="231" spans="1:30" ht="15.75" customHeight="1">
      <c r="A231" s="26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</row>
    <row r="232" spans="1:30" ht="15.75" customHeight="1">
      <c r="A232" s="26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</row>
    <row r="233" spans="1:30" ht="15.75" customHeight="1">
      <c r="A233" s="26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</row>
    <row r="234" spans="1:30" ht="15.75" customHeight="1">
      <c r="A234" s="26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</row>
    <row r="235" spans="1:30" ht="15.75" customHeight="1">
      <c r="A235" s="26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</row>
    <row r="236" spans="1:30" ht="15.75" customHeight="1">
      <c r="A236" s="26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</row>
    <row r="237" spans="1:30" ht="15.75" customHeight="1">
      <c r="A237" s="26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</row>
    <row r="238" spans="1:30" ht="15.75" customHeight="1">
      <c r="A238" s="26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</row>
    <row r="239" spans="1:30" ht="15.75" customHeight="1">
      <c r="A239" s="26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</row>
    <row r="240" spans="1:30" ht="15.75" customHeight="1">
      <c r="A240" s="26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</row>
    <row r="241" spans="1:30" ht="15.75" customHeight="1">
      <c r="A241" s="26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</row>
    <row r="242" spans="1:30" ht="15.75" customHeight="1">
      <c r="A242" s="26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</row>
    <row r="243" spans="1:30" ht="15.75" customHeight="1">
      <c r="A243" s="26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</row>
    <row r="244" spans="1:30" ht="15.75" customHeight="1">
      <c r="A244" s="26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</row>
    <row r="245" spans="1:30" ht="15.75" customHeight="1">
      <c r="A245" s="26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</row>
    <row r="246" spans="1:30" ht="15.75" customHeight="1">
      <c r="A246" s="26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</row>
    <row r="247" spans="1:30" ht="15.75" customHeight="1">
      <c r="A247" s="26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</row>
    <row r="248" spans="1:30" ht="15.75" customHeight="1">
      <c r="A248" s="26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</row>
    <row r="249" spans="1:30" ht="15.75" customHeight="1">
      <c r="A249" s="26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</row>
    <row r="250" spans="1:30" ht="15.75" customHeight="1">
      <c r="A250" s="26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</row>
    <row r="251" spans="1:30" ht="15.75" customHeight="1">
      <c r="A251" s="26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</row>
    <row r="252" spans="1:30" ht="15.75" customHeight="1">
      <c r="A252" s="26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</row>
    <row r="253" spans="1:30" ht="15.75" customHeight="1">
      <c r="A253" s="26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</row>
    <row r="254" spans="1:30" ht="15.75" customHeight="1">
      <c r="A254" s="26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</row>
    <row r="255" spans="1:30" ht="15.75" customHeight="1">
      <c r="A255" s="26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</row>
    <row r="256" spans="1:30" ht="15.75" customHeight="1">
      <c r="A256" s="26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</row>
    <row r="257" spans="1:30" ht="15.75" customHeight="1">
      <c r="A257" s="26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</row>
    <row r="258" spans="1:30" ht="15.75" customHeight="1">
      <c r="A258" s="26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</row>
    <row r="259" spans="1:30" ht="15.75" customHeight="1">
      <c r="A259" s="26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</row>
    <row r="260" spans="1:30" ht="15.75" customHeight="1">
      <c r="A260" s="26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</row>
    <row r="261" spans="1:30" ht="15.75" customHeight="1">
      <c r="A261" s="26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</row>
    <row r="262" spans="1:30" ht="15.75" customHeight="1">
      <c r="A262" s="26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</row>
    <row r="263" spans="1:30" ht="15.75" customHeight="1">
      <c r="A263" s="26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</row>
    <row r="264" spans="1:30" ht="15.75" customHeight="1">
      <c r="A264" s="26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</row>
    <row r="265" spans="1:30" ht="15.75" customHeight="1">
      <c r="A265" s="26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</row>
    <row r="266" spans="1:30" ht="15.75" customHeight="1">
      <c r="A266" s="26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</row>
    <row r="267" spans="1:30" ht="15.75" customHeight="1">
      <c r="A267" s="26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</row>
    <row r="268" spans="1:30" ht="15.75" customHeight="1">
      <c r="A268" s="26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</row>
    <row r="269" spans="1:30" ht="15.75" customHeight="1">
      <c r="A269" s="26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</row>
    <row r="270" spans="1:30" ht="15.75" customHeight="1">
      <c r="A270" s="26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</row>
    <row r="271" spans="1:30" ht="15.75" customHeight="1">
      <c r="A271" s="26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</row>
    <row r="272" spans="1:30" ht="15.75" customHeight="1">
      <c r="A272" s="26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</row>
    <row r="273" spans="1:30" ht="15.75" customHeight="1">
      <c r="A273" s="26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</row>
    <row r="274" spans="1:30" ht="15.75" customHeight="1">
      <c r="A274" s="26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</row>
    <row r="275" spans="1:30" ht="15.75" customHeight="1">
      <c r="A275" s="26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</row>
    <row r="276" spans="1:30" ht="15.75" customHeight="1">
      <c r="A276" s="26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</row>
    <row r="277" spans="1:30" ht="15.75" customHeight="1">
      <c r="A277" s="26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</row>
    <row r="278" spans="1:30" ht="15.75" customHeight="1">
      <c r="A278" s="26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</row>
    <row r="279" spans="1:30" ht="15.75" customHeight="1">
      <c r="A279" s="26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</row>
    <row r="280" spans="1:30" ht="15.75" customHeight="1">
      <c r="A280" s="26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</row>
    <row r="281" spans="1:30" ht="15.75" customHeight="1">
      <c r="A281" s="26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</row>
    <row r="282" spans="1:30" ht="15.75" customHeight="1">
      <c r="A282" s="26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</row>
    <row r="283" spans="1:30" ht="15.75" customHeight="1">
      <c r="A283" s="26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</row>
    <row r="284" spans="1:30" ht="15.75" customHeight="1">
      <c r="A284" s="26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</row>
    <row r="285" spans="1:30" ht="15.75" customHeight="1">
      <c r="A285" s="26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</row>
    <row r="286" spans="1:30" ht="15.75" customHeight="1">
      <c r="A286" s="26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</row>
    <row r="287" spans="1:30" ht="15.75" customHeight="1">
      <c r="A287" s="26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</row>
    <row r="288" spans="1:30" ht="15.75" customHeight="1">
      <c r="A288" s="26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</row>
    <row r="289" spans="1:30" ht="15.75" customHeight="1">
      <c r="A289" s="26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</row>
    <row r="290" spans="1:30" ht="15.75" customHeight="1">
      <c r="A290" s="26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</row>
    <row r="291" spans="1:30" ht="15.75" customHeight="1">
      <c r="A291" s="26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</row>
    <row r="292" spans="1:30" ht="15.75" customHeight="1">
      <c r="A292" s="26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</row>
    <row r="293" spans="1:30" ht="15.75" customHeight="1">
      <c r="A293" s="26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</row>
    <row r="294" spans="1:30" ht="15.75" customHeight="1">
      <c r="A294" s="26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</row>
    <row r="295" spans="1:30" ht="15.75" customHeight="1">
      <c r="A295" s="26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</row>
    <row r="296" spans="1:30" ht="15.75" customHeight="1">
      <c r="A296" s="26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</row>
    <row r="297" spans="1:30" ht="15.75" customHeight="1">
      <c r="A297" s="26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</row>
    <row r="298" spans="1:30" ht="15.75" customHeight="1">
      <c r="A298" s="26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</row>
    <row r="299" spans="1:30" ht="15.75" customHeight="1">
      <c r="A299" s="26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</row>
    <row r="300" spans="1:30" ht="15.75" customHeight="1">
      <c r="A300" s="26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</row>
    <row r="301" spans="1:30" ht="15.75" customHeight="1">
      <c r="A301" s="26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</row>
    <row r="302" spans="1:30" ht="15.75" customHeight="1">
      <c r="A302" s="26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</row>
    <row r="303" spans="1:30" ht="15.75" customHeight="1">
      <c r="A303" s="26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</row>
    <row r="304" spans="1:30" ht="15.75" customHeight="1">
      <c r="A304" s="26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</row>
    <row r="305" spans="1:30" ht="15.75" customHeight="1">
      <c r="A305" s="26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</row>
    <row r="306" spans="1:30" ht="15.75" customHeight="1">
      <c r="A306" s="26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</row>
    <row r="307" spans="1:30" ht="15.75" customHeight="1">
      <c r="A307" s="26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</row>
    <row r="308" spans="1:30" ht="15.75" customHeight="1">
      <c r="A308" s="26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</row>
    <row r="309" spans="1:30" ht="15.75" customHeight="1">
      <c r="A309" s="26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</row>
    <row r="310" spans="1:30" ht="15.75" customHeight="1">
      <c r="A310" s="26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</row>
    <row r="311" spans="1:30" ht="15.75" customHeight="1">
      <c r="A311" s="26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</row>
    <row r="312" spans="1:30" ht="15.75" customHeight="1">
      <c r="A312" s="26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</row>
    <row r="313" spans="1:30" ht="15.75" customHeight="1">
      <c r="A313" s="26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</row>
    <row r="314" spans="1:30" ht="15.75" customHeight="1">
      <c r="A314" s="26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</row>
    <row r="315" spans="1:30" ht="15.75" customHeight="1">
      <c r="A315" s="26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</row>
    <row r="316" spans="1:30" ht="15.75" customHeight="1">
      <c r="A316" s="26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</row>
    <row r="317" spans="1:30" ht="15.75" customHeight="1">
      <c r="A317" s="26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</row>
    <row r="318" spans="1:30" ht="15.75" customHeight="1">
      <c r="A318" s="26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</row>
    <row r="319" spans="1:30" ht="15.75" customHeight="1">
      <c r="A319" s="26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</row>
    <row r="320" spans="1:30" ht="15.75" customHeight="1">
      <c r="A320" s="26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</row>
    <row r="321" spans="1:30" ht="15.75" customHeight="1">
      <c r="A321" s="26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</row>
    <row r="322" spans="1:30" ht="15.75" customHeight="1">
      <c r="A322" s="26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</row>
    <row r="323" spans="1:30" ht="15.75" customHeight="1">
      <c r="A323" s="26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</row>
    <row r="324" spans="1:30" ht="15.75" customHeight="1">
      <c r="A324" s="26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</row>
    <row r="325" spans="1:30" ht="15.75" customHeight="1">
      <c r="A325" s="26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</row>
    <row r="326" spans="1:30" ht="15.75" customHeight="1">
      <c r="A326" s="26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</row>
    <row r="327" spans="1:30" ht="15.75" customHeight="1">
      <c r="A327" s="26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</row>
    <row r="328" spans="1:30" ht="15.75" customHeight="1">
      <c r="A328" s="26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</row>
    <row r="329" spans="1:30" ht="15.75" customHeight="1">
      <c r="A329" s="26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</row>
    <row r="330" spans="1:30" ht="15.75" customHeight="1">
      <c r="A330" s="26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</row>
    <row r="331" spans="1:30" ht="15.75" customHeight="1">
      <c r="A331" s="26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</row>
    <row r="332" spans="1:30" ht="15.75" customHeight="1">
      <c r="A332" s="26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</row>
    <row r="333" spans="1:30" ht="15.75" customHeight="1">
      <c r="A333" s="26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</row>
    <row r="334" spans="1:30" ht="15.75" customHeight="1">
      <c r="A334" s="26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</row>
    <row r="335" spans="1:30" ht="15.75" customHeight="1">
      <c r="A335" s="26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</row>
    <row r="336" spans="1:30" ht="15.75" customHeight="1">
      <c r="A336" s="26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</row>
    <row r="337" spans="1:30" ht="15.75" customHeight="1">
      <c r="A337" s="26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</row>
    <row r="338" spans="1:30" ht="15.75" customHeight="1">
      <c r="A338" s="26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</row>
    <row r="339" spans="1:30" ht="15.75" customHeight="1">
      <c r="A339" s="26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</row>
    <row r="340" spans="1:30" ht="15.75" customHeight="1">
      <c r="A340" s="26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</row>
    <row r="341" spans="1:30" ht="15.75" customHeight="1">
      <c r="A341" s="26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</row>
    <row r="342" spans="1:30" ht="15.75" customHeight="1">
      <c r="A342" s="26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</row>
    <row r="343" spans="1:30" ht="15.75" customHeight="1">
      <c r="A343" s="26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</row>
    <row r="344" spans="1:30" ht="15.75" customHeight="1">
      <c r="A344" s="26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</row>
    <row r="345" spans="1:30" ht="15.75" customHeight="1">
      <c r="A345" s="26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</row>
    <row r="346" spans="1:30" ht="15.75" customHeight="1">
      <c r="A346" s="26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</row>
    <row r="347" spans="1:30" ht="15.75" customHeight="1">
      <c r="A347" s="26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</row>
    <row r="348" spans="1:30" ht="15.75" customHeight="1">
      <c r="A348" s="26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</row>
    <row r="349" spans="1:30" ht="15.75" customHeight="1">
      <c r="A349" s="26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</row>
    <row r="350" spans="1:30" ht="15.75" customHeight="1">
      <c r="A350" s="26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</row>
    <row r="351" spans="1:30" ht="15.75" customHeight="1">
      <c r="A351" s="26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</row>
    <row r="352" spans="1:30" ht="15.75" customHeight="1">
      <c r="A352" s="26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</row>
    <row r="353" spans="1:30" ht="15.75" customHeight="1">
      <c r="A353" s="26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</row>
    <row r="354" spans="1:30" ht="15.75" customHeight="1">
      <c r="A354" s="26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</row>
    <row r="355" spans="1:30" ht="15.75" customHeight="1">
      <c r="A355" s="26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</row>
    <row r="356" spans="1:30" ht="15.75" customHeight="1">
      <c r="A356" s="26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</row>
    <row r="357" spans="1:30" ht="15.75" customHeight="1">
      <c r="A357" s="26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</row>
    <row r="358" spans="1:30" ht="15.75" customHeight="1">
      <c r="A358" s="26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</row>
    <row r="359" spans="1:30" ht="15.75" customHeight="1">
      <c r="A359" s="26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</row>
    <row r="360" spans="1:30" ht="15.75" customHeight="1">
      <c r="A360" s="26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</row>
    <row r="361" spans="1:30" ht="15.75" customHeight="1">
      <c r="A361" s="26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</row>
    <row r="362" spans="1:30" ht="15.75" customHeight="1">
      <c r="A362" s="26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</row>
    <row r="363" spans="1:30" ht="15.75" customHeight="1">
      <c r="A363" s="26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</row>
    <row r="364" spans="1:30" ht="15.75" customHeight="1">
      <c r="A364" s="26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</row>
    <row r="365" spans="1:30" ht="15.75" customHeight="1">
      <c r="A365" s="26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</row>
    <row r="366" spans="1:30" ht="15.75" customHeight="1">
      <c r="A366" s="26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</row>
    <row r="367" spans="1:30" ht="15.75" customHeight="1">
      <c r="A367" s="26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</row>
    <row r="368" spans="1:30" ht="15.75" customHeight="1">
      <c r="A368" s="26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</row>
    <row r="369" spans="1:30" ht="15.75" customHeight="1">
      <c r="A369" s="26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</row>
    <row r="370" spans="1:30" ht="15.75" customHeight="1">
      <c r="A370" s="26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</row>
    <row r="371" spans="1:30" ht="15.75" customHeight="1">
      <c r="A371" s="26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</row>
    <row r="372" spans="1:30" ht="15.75" customHeight="1">
      <c r="A372" s="26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</row>
    <row r="373" spans="1:30" ht="15.75" customHeight="1">
      <c r="A373" s="26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</row>
    <row r="374" spans="1:30" ht="15.75" customHeight="1">
      <c r="A374" s="26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</row>
    <row r="375" spans="1:30" ht="15.75" customHeight="1">
      <c r="A375" s="26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</row>
    <row r="376" spans="1:30" ht="15.75" customHeight="1">
      <c r="A376" s="26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</row>
    <row r="377" spans="1:30" ht="15.75" customHeight="1">
      <c r="A377" s="26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</row>
    <row r="378" spans="1:30" ht="15.75" customHeight="1">
      <c r="A378" s="26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</row>
    <row r="379" spans="1:30" ht="15.75" customHeight="1">
      <c r="A379" s="26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</row>
    <row r="380" spans="1:30" ht="15.75" customHeight="1">
      <c r="A380" s="26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</row>
    <row r="381" spans="1:30" ht="15.75" customHeight="1">
      <c r="A381" s="26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</row>
    <row r="382" spans="1:30" ht="15.75" customHeight="1">
      <c r="A382" s="26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</row>
    <row r="383" spans="1:30" ht="15.75" customHeight="1">
      <c r="A383" s="26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</row>
    <row r="384" spans="1:30" ht="15.75" customHeight="1">
      <c r="A384" s="26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</row>
    <row r="385" spans="1:30" ht="15.75" customHeight="1">
      <c r="A385" s="26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</row>
    <row r="386" spans="1:30" ht="15.75" customHeight="1">
      <c r="A386" s="26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</row>
    <row r="387" spans="1:30" ht="15.75" customHeight="1">
      <c r="A387" s="26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</row>
    <row r="388" spans="1:30" ht="15.75" customHeight="1">
      <c r="A388" s="26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</row>
    <row r="389" spans="1:30" ht="15.75" customHeight="1">
      <c r="A389" s="26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</row>
    <row r="390" spans="1:30" ht="15.75" customHeight="1">
      <c r="A390" s="26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</row>
    <row r="391" spans="1:30" ht="15.75" customHeight="1">
      <c r="A391" s="26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</row>
    <row r="392" spans="1:30" ht="15.75" customHeight="1">
      <c r="A392" s="26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</row>
    <row r="393" spans="1:30" ht="15.75" customHeight="1">
      <c r="A393" s="26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</row>
    <row r="394" spans="1:30" ht="15.75" customHeight="1">
      <c r="A394" s="26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</row>
    <row r="395" spans="1:30" ht="15.75" customHeight="1">
      <c r="A395" s="26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</row>
    <row r="396" spans="1:30" ht="15.75" customHeight="1">
      <c r="A396" s="26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</row>
    <row r="397" spans="1:30" ht="15.75" customHeight="1">
      <c r="A397" s="26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</row>
    <row r="398" spans="1:30" ht="15.75" customHeight="1">
      <c r="A398" s="26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</row>
    <row r="399" spans="1:30" ht="15.75" customHeight="1">
      <c r="A399" s="26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</row>
    <row r="400" spans="1:30" ht="15.75" customHeight="1">
      <c r="A400" s="26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</row>
    <row r="401" spans="1:30" ht="15.75" customHeight="1">
      <c r="A401" s="26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</row>
    <row r="402" spans="1:30" ht="15.75" customHeight="1">
      <c r="A402" s="26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</row>
    <row r="403" spans="1:30" ht="15.75" customHeight="1">
      <c r="A403" s="26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</row>
    <row r="404" spans="1:30" ht="15.75" customHeight="1">
      <c r="A404" s="26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</row>
    <row r="405" spans="1:30" ht="15.75" customHeight="1">
      <c r="A405" s="26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</row>
    <row r="406" spans="1:30" ht="15.75" customHeight="1">
      <c r="A406" s="26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</row>
    <row r="407" spans="1:30" ht="15.75" customHeight="1">
      <c r="A407" s="26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</row>
    <row r="408" spans="1:30" ht="15.75" customHeight="1">
      <c r="A408" s="26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</row>
    <row r="409" spans="1:30" ht="15.75" customHeight="1">
      <c r="A409" s="26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</row>
    <row r="410" spans="1:30" ht="15.75" customHeight="1">
      <c r="A410" s="26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</row>
    <row r="411" spans="1:30" ht="15.75" customHeight="1">
      <c r="A411" s="26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</row>
    <row r="412" spans="1:30" ht="15.75" customHeight="1">
      <c r="A412" s="26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</row>
    <row r="413" spans="1:30" ht="15.75" customHeight="1">
      <c r="A413" s="26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</row>
    <row r="414" spans="1:30" ht="15.75" customHeight="1">
      <c r="A414" s="26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</row>
    <row r="415" spans="1:30" ht="15.75" customHeight="1">
      <c r="A415" s="26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</row>
    <row r="416" spans="1:30" ht="15.75" customHeight="1">
      <c r="A416" s="26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</row>
    <row r="417" spans="1:30" ht="15.75" customHeight="1">
      <c r="A417" s="26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</row>
    <row r="418" spans="1:30" ht="15.75" customHeight="1">
      <c r="A418" s="26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</row>
    <row r="419" spans="1:30" ht="15.75" customHeight="1">
      <c r="A419" s="26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</row>
    <row r="420" spans="1:30" ht="15.75" customHeight="1">
      <c r="A420" s="26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</row>
    <row r="421" spans="1:30" ht="15.75" customHeight="1">
      <c r="A421" s="26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</row>
    <row r="422" spans="1:30" ht="15.75" customHeight="1">
      <c r="A422" s="26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</row>
    <row r="423" spans="1:30" ht="15.75" customHeight="1">
      <c r="A423" s="26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</row>
    <row r="424" spans="1:30" ht="15.75" customHeight="1">
      <c r="A424" s="26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</row>
    <row r="425" spans="1:30" ht="15.75" customHeight="1">
      <c r="A425" s="26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</row>
    <row r="426" spans="1:30" ht="15.75" customHeight="1">
      <c r="A426" s="26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</row>
    <row r="427" spans="1:30" ht="15.75" customHeight="1">
      <c r="A427" s="26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</row>
    <row r="428" spans="1:30" ht="15.75" customHeight="1">
      <c r="A428" s="26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</row>
    <row r="429" spans="1:30" ht="15.75" customHeight="1">
      <c r="A429" s="26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</row>
    <row r="430" spans="1:30" ht="15.75" customHeight="1">
      <c r="A430" s="26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</row>
    <row r="431" spans="1:30" ht="15.75" customHeight="1">
      <c r="A431" s="26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</row>
    <row r="432" spans="1:30" ht="15.75" customHeight="1">
      <c r="A432" s="26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</row>
    <row r="433" spans="1:30" ht="15.75" customHeight="1">
      <c r="A433" s="26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</row>
    <row r="434" spans="1:30" ht="15.75" customHeight="1">
      <c r="A434" s="26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</row>
    <row r="435" spans="1:30" ht="15.75" customHeight="1">
      <c r="A435" s="26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</row>
    <row r="436" spans="1:30" ht="15.75" customHeight="1">
      <c r="A436" s="26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</row>
    <row r="437" spans="1:30" ht="15.75" customHeight="1">
      <c r="A437" s="26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</row>
    <row r="438" spans="1:30" ht="15.75" customHeight="1">
      <c r="A438" s="26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</row>
    <row r="439" spans="1:30" ht="15.75" customHeight="1">
      <c r="A439" s="26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</row>
    <row r="440" spans="1:30" ht="15.75" customHeight="1">
      <c r="A440" s="26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</row>
    <row r="441" spans="1:30" ht="15.75" customHeight="1">
      <c r="A441" s="26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</row>
    <row r="442" spans="1:30" ht="15.75" customHeight="1">
      <c r="A442" s="26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</row>
    <row r="443" spans="1:30" ht="15.75" customHeight="1">
      <c r="A443" s="26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</row>
    <row r="444" spans="1:30" ht="15.75" customHeight="1">
      <c r="A444" s="26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</row>
    <row r="445" spans="1:30" ht="15.75" customHeight="1">
      <c r="A445" s="26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</row>
    <row r="446" spans="1:30" ht="15.75" customHeight="1">
      <c r="A446" s="26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</row>
    <row r="447" spans="1:30" ht="15.75" customHeight="1">
      <c r="A447" s="26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</row>
    <row r="448" spans="1:30" ht="15.75" customHeight="1">
      <c r="A448" s="26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</row>
    <row r="449" spans="1:30" ht="15.75" customHeight="1">
      <c r="A449" s="26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</row>
    <row r="450" spans="1:30" ht="15.75" customHeight="1">
      <c r="A450" s="26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</row>
    <row r="451" spans="1:30" ht="15.75" customHeight="1">
      <c r="A451" s="26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</row>
    <row r="452" spans="1:30" ht="15.75" customHeight="1">
      <c r="A452" s="26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</row>
    <row r="453" spans="1:30" ht="15.75" customHeight="1">
      <c r="A453" s="26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</row>
    <row r="454" spans="1:30" ht="15.75" customHeight="1">
      <c r="A454" s="26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</row>
    <row r="455" spans="1:30" ht="15.75" customHeight="1">
      <c r="A455" s="26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</row>
    <row r="456" spans="1:30" ht="15.75" customHeight="1">
      <c r="A456" s="26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</row>
    <row r="457" spans="1:30" ht="15.75" customHeight="1">
      <c r="A457" s="26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</row>
    <row r="458" spans="1:30" ht="15.75" customHeight="1">
      <c r="A458" s="26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</row>
    <row r="459" spans="1:30" ht="15.75" customHeight="1">
      <c r="A459" s="26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</row>
    <row r="460" spans="1:30" ht="15.75" customHeight="1">
      <c r="A460" s="26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</row>
    <row r="461" spans="1:30" ht="15.75" customHeight="1">
      <c r="A461" s="26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</row>
    <row r="462" spans="1:30" ht="15.75" customHeight="1">
      <c r="A462" s="26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</row>
    <row r="463" spans="1:30" ht="15.75" customHeight="1">
      <c r="A463" s="26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</row>
    <row r="464" spans="1:30" ht="15.75" customHeight="1">
      <c r="A464" s="26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</row>
    <row r="465" spans="1:30" ht="15.75" customHeight="1">
      <c r="A465" s="26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</row>
    <row r="466" spans="1:30" ht="15.75" customHeight="1">
      <c r="A466" s="26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</row>
    <row r="467" spans="1:30" ht="15.75" customHeight="1">
      <c r="A467" s="26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</row>
    <row r="468" spans="1:30" ht="15.75" customHeight="1">
      <c r="A468" s="26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</row>
    <row r="469" spans="1:30" ht="15.75" customHeight="1">
      <c r="A469" s="26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</row>
    <row r="470" spans="1:30" ht="15.75" customHeight="1">
      <c r="A470" s="26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</row>
    <row r="471" spans="1:30" ht="15.75" customHeight="1">
      <c r="A471" s="26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</row>
    <row r="472" spans="1:30" ht="15.75" customHeight="1">
      <c r="A472" s="26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</row>
    <row r="473" spans="1:30" ht="15.75" customHeight="1">
      <c r="A473" s="26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</row>
    <row r="474" spans="1:30" ht="15.75" customHeight="1">
      <c r="A474" s="26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</row>
    <row r="475" spans="1:30" ht="15.75" customHeight="1">
      <c r="A475" s="26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</row>
    <row r="476" spans="1:30" ht="15.75" customHeight="1">
      <c r="A476" s="26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</row>
    <row r="477" spans="1:30" ht="15.75" customHeight="1">
      <c r="A477" s="26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</row>
    <row r="478" spans="1:30" ht="15.75" customHeight="1">
      <c r="A478" s="26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</row>
    <row r="479" spans="1:30" ht="15.75" customHeight="1">
      <c r="A479" s="26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</row>
    <row r="480" spans="1:30" ht="15.75" customHeight="1">
      <c r="A480" s="26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</row>
    <row r="481" spans="1:30" ht="15.75" customHeight="1">
      <c r="A481" s="26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</row>
    <row r="482" spans="1:30" ht="15.75" customHeight="1">
      <c r="A482" s="26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</row>
    <row r="483" spans="1:30" ht="15.75" customHeight="1">
      <c r="A483" s="26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</row>
    <row r="484" spans="1:30" ht="15.75" customHeight="1">
      <c r="A484" s="26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</row>
    <row r="485" spans="1:30" ht="15.75" customHeight="1">
      <c r="A485" s="26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</row>
    <row r="486" spans="1:30" ht="15.75" customHeight="1">
      <c r="A486" s="26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</row>
    <row r="487" spans="1:30" ht="15.75" customHeight="1">
      <c r="A487" s="26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</row>
    <row r="488" spans="1:30" ht="15.75" customHeight="1">
      <c r="A488" s="26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</row>
    <row r="489" spans="1:30" ht="15.75" customHeight="1">
      <c r="A489" s="26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</row>
    <row r="490" spans="1:30" ht="15.75" customHeight="1">
      <c r="A490" s="26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</row>
    <row r="491" spans="1:30" ht="15.75" customHeight="1">
      <c r="A491" s="26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</row>
    <row r="492" spans="1:30" ht="15.75" customHeight="1">
      <c r="A492" s="26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</row>
    <row r="493" spans="1:30" ht="15.75" customHeight="1">
      <c r="A493" s="26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</row>
    <row r="494" spans="1:30" ht="15.75" customHeight="1">
      <c r="A494" s="26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</row>
    <row r="495" spans="1:30" ht="15.75" customHeight="1">
      <c r="A495" s="26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</row>
    <row r="496" spans="1:30" ht="15.75" customHeight="1">
      <c r="A496" s="26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</row>
    <row r="497" spans="1:30" ht="15.75" customHeight="1">
      <c r="A497" s="26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</row>
    <row r="498" spans="1:30" ht="15.75" customHeight="1">
      <c r="A498" s="26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</row>
    <row r="499" spans="1:30" ht="15.75" customHeight="1">
      <c r="A499" s="26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</row>
    <row r="500" spans="1:30" ht="15.75" customHeight="1">
      <c r="A500" s="26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</row>
    <row r="501" spans="1:30" ht="15.75" customHeight="1">
      <c r="A501" s="26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</row>
    <row r="502" spans="1:30" ht="15.75" customHeight="1">
      <c r="A502" s="26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</row>
    <row r="503" spans="1:30" ht="15.75" customHeight="1">
      <c r="A503" s="26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</row>
    <row r="504" spans="1:30" ht="15.75" customHeight="1">
      <c r="A504" s="26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</row>
    <row r="505" spans="1:30" ht="15.75" customHeight="1">
      <c r="A505" s="26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</row>
    <row r="506" spans="1:30" ht="15.75" customHeight="1">
      <c r="A506" s="26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</row>
    <row r="507" spans="1:30" ht="15.75" customHeight="1">
      <c r="A507" s="26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</row>
    <row r="508" spans="1:30" ht="15.75" customHeight="1">
      <c r="A508" s="26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</row>
    <row r="509" spans="1:30" ht="15.75" customHeight="1">
      <c r="A509" s="26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</row>
    <row r="510" spans="1:30" ht="15.75" customHeight="1">
      <c r="A510" s="26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</row>
    <row r="511" spans="1:30" ht="15.75" customHeight="1">
      <c r="A511" s="26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</row>
    <row r="512" spans="1:30" ht="15.75" customHeight="1">
      <c r="A512" s="26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</row>
    <row r="513" spans="1:30" ht="15.75" customHeight="1">
      <c r="A513" s="26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</row>
    <row r="514" spans="1:30" ht="15.75" customHeight="1">
      <c r="A514" s="26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</row>
    <row r="515" spans="1:30" ht="15.75" customHeight="1">
      <c r="A515" s="26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</row>
    <row r="516" spans="1:30" ht="15.75" customHeight="1">
      <c r="A516" s="26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</row>
    <row r="517" spans="1:30" ht="15.75" customHeight="1">
      <c r="A517" s="26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</row>
    <row r="518" spans="1:30" ht="15.75" customHeight="1">
      <c r="A518" s="26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</row>
    <row r="519" spans="1:30" ht="15.75" customHeight="1">
      <c r="A519" s="26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</row>
    <row r="520" spans="1:30" ht="15.75" customHeight="1">
      <c r="A520" s="26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</row>
    <row r="521" spans="1:30" ht="15.75" customHeight="1">
      <c r="A521" s="26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</row>
    <row r="522" spans="1:30" ht="15.75" customHeight="1">
      <c r="A522" s="26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</row>
    <row r="523" spans="1:30" ht="15.75" customHeight="1">
      <c r="A523" s="26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</row>
    <row r="524" spans="1:30" ht="15.75" customHeight="1">
      <c r="A524" s="26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</row>
    <row r="525" spans="1:30" ht="15.75" customHeight="1">
      <c r="A525" s="26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</row>
    <row r="526" spans="1:30" ht="15.75" customHeight="1">
      <c r="A526" s="26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</row>
    <row r="527" spans="1:30" ht="15.75" customHeight="1">
      <c r="A527" s="26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</row>
    <row r="528" spans="1:30" ht="15.75" customHeight="1">
      <c r="A528" s="26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</row>
    <row r="529" spans="1:30" ht="15.75" customHeight="1">
      <c r="A529" s="26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</row>
    <row r="530" spans="1:30" ht="15.75" customHeight="1">
      <c r="A530" s="26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</row>
    <row r="531" spans="1:30" ht="15.75" customHeight="1">
      <c r="A531" s="26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</row>
    <row r="532" spans="1:30" ht="15.75" customHeight="1">
      <c r="A532" s="26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</row>
    <row r="533" spans="1:30" ht="15.75" customHeight="1">
      <c r="A533" s="26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</row>
    <row r="534" spans="1:30" ht="15.75" customHeight="1">
      <c r="A534" s="26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</row>
    <row r="535" spans="1:30" ht="15.75" customHeight="1">
      <c r="A535" s="26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</row>
    <row r="536" spans="1:30" ht="15.75" customHeight="1">
      <c r="A536" s="26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</row>
    <row r="537" spans="1:30" ht="15.75" customHeight="1">
      <c r="A537" s="26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</row>
    <row r="538" spans="1:30" ht="15.75" customHeight="1">
      <c r="A538" s="26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</row>
    <row r="539" spans="1:30" ht="15.75" customHeight="1">
      <c r="A539" s="26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</row>
    <row r="540" spans="1:30" ht="15.75" customHeight="1">
      <c r="A540" s="26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</row>
    <row r="541" spans="1:30" ht="15.75" customHeight="1">
      <c r="A541" s="26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</row>
    <row r="542" spans="1:30" ht="15.75" customHeight="1">
      <c r="A542" s="26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</row>
    <row r="543" spans="1:30" ht="15.75" customHeight="1">
      <c r="A543" s="26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</row>
    <row r="544" spans="1:30" ht="15.75" customHeight="1">
      <c r="A544" s="26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</row>
    <row r="545" spans="1:30" ht="15.75" customHeight="1">
      <c r="A545" s="26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</row>
    <row r="546" spans="1:30" ht="15.75" customHeight="1">
      <c r="A546" s="26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</row>
    <row r="547" spans="1:30" ht="15.75" customHeight="1">
      <c r="A547" s="26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</row>
    <row r="548" spans="1:30" ht="15.75" customHeight="1">
      <c r="A548" s="26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</row>
    <row r="549" spans="1:30" ht="15.75" customHeight="1">
      <c r="A549" s="26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</row>
    <row r="550" spans="1:30" ht="15.75" customHeight="1">
      <c r="A550" s="26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</row>
    <row r="551" spans="1:30" ht="15.75" customHeight="1">
      <c r="A551" s="26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</row>
    <row r="552" spans="1:30" ht="15.75" customHeight="1">
      <c r="A552" s="26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</row>
    <row r="553" spans="1:30" ht="15.75" customHeight="1">
      <c r="A553" s="26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</row>
    <row r="554" spans="1:30" ht="15.75" customHeight="1">
      <c r="A554" s="26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</row>
    <row r="555" spans="1:30" ht="15.75" customHeight="1">
      <c r="A555" s="26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</row>
    <row r="556" spans="1:30" ht="15.75" customHeight="1">
      <c r="A556" s="26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</row>
    <row r="557" spans="1:30" ht="15.75" customHeight="1">
      <c r="A557" s="26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</row>
    <row r="558" spans="1:30" ht="15.75" customHeight="1">
      <c r="A558" s="26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</row>
    <row r="559" spans="1:30" ht="15.75" customHeight="1">
      <c r="A559" s="26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</row>
    <row r="560" spans="1:30" ht="15.75" customHeight="1">
      <c r="A560" s="26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</row>
    <row r="561" spans="1:30" ht="15.75" customHeight="1">
      <c r="A561" s="26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</row>
    <row r="562" spans="1:30" ht="15.75" customHeight="1">
      <c r="A562" s="26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</row>
    <row r="563" spans="1:30" ht="15.75" customHeight="1">
      <c r="A563" s="26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</row>
    <row r="564" spans="1:30" ht="15.75" customHeight="1">
      <c r="A564" s="26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</row>
    <row r="565" spans="1:30" ht="15.75" customHeight="1">
      <c r="A565" s="26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</row>
    <row r="566" spans="1:30" ht="15.75" customHeight="1">
      <c r="A566" s="26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</row>
    <row r="567" spans="1:30" ht="15.75" customHeight="1">
      <c r="A567" s="26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</row>
    <row r="568" spans="1:30" ht="15.75" customHeight="1">
      <c r="A568" s="26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</row>
    <row r="569" spans="1:30" ht="15.75" customHeight="1">
      <c r="A569" s="26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</row>
    <row r="570" spans="1:30" ht="15.75" customHeight="1">
      <c r="A570" s="26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</row>
    <row r="571" spans="1:30" ht="15.75" customHeight="1">
      <c r="A571" s="26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</row>
    <row r="572" spans="1:30" ht="15.75" customHeight="1">
      <c r="A572" s="26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</row>
    <row r="573" spans="1:30" ht="15.75" customHeight="1">
      <c r="A573" s="26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</row>
    <row r="574" spans="1:30" ht="15.75" customHeight="1">
      <c r="A574" s="26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</row>
    <row r="575" spans="1:30" ht="15.75" customHeight="1">
      <c r="A575" s="26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</row>
    <row r="576" spans="1:30" ht="15.75" customHeight="1">
      <c r="A576" s="26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</row>
    <row r="577" spans="1:30" ht="15.75" customHeight="1">
      <c r="A577" s="26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</row>
    <row r="578" spans="1:30" ht="15.75" customHeight="1">
      <c r="A578" s="26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</row>
    <row r="579" spans="1:30" ht="15.75" customHeight="1">
      <c r="A579" s="26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</row>
    <row r="580" spans="1:30" ht="15.75" customHeight="1">
      <c r="A580" s="26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</row>
    <row r="581" spans="1:30" ht="15.75" customHeight="1">
      <c r="A581" s="26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</row>
    <row r="582" spans="1:30" ht="15.75" customHeight="1">
      <c r="A582" s="26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</row>
    <row r="583" spans="1:30" ht="15.75" customHeight="1">
      <c r="A583" s="26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</row>
    <row r="584" spans="1:30" ht="15.75" customHeight="1">
      <c r="A584" s="26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</row>
    <row r="585" spans="1:30" ht="15.75" customHeight="1">
      <c r="A585" s="26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</row>
    <row r="586" spans="1:30" ht="15.75" customHeight="1">
      <c r="A586" s="26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</row>
    <row r="587" spans="1:30" ht="15.75" customHeight="1">
      <c r="A587" s="26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</row>
    <row r="588" spans="1:30" ht="15.75" customHeight="1">
      <c r="A588" s="26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</row>
    <row r="589" spans="1:30" ht="15.75" customHeight="1">
      <c r="A589" s="26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</row>
    <row r="590" spans="1:30" ht="15.75" customHeight="1">
      <c r="A590" s="26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</row>
    <row r="591" spans="1:30" ht="15.75" customHeight="1">
      <c r="A591" s="26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</row>
    <row r="592" spans="1:30" ht="15.75" customHeight="1">
      <c r="A592" s="26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</row>
    <row r="593" spans="1:30" ht="15.75" customHeight="1">
      <c r="A593" s="26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</row>
    <row r="594" spans="1:30" ht="15.75" customHeight="1">
      <c r="A594" s="26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</row>
    <row r="595" spans="1:30" ht="15.75" customHeight="1">
      <c r="A595" s="26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</row>
    <row r="596" spans="1:30" ht="15.75" customHeight="1">
      <c r="A596" s="26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</row>
    <row r="597" spans="1:30" ht="15.75" customHeight="1">
      <c r="A597" s="26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</row>
    <row r="598" spans="1:30" ht="15.75" customHeight="1">
      <c r="A598" s="26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</row>
    <row r="599" spans="1:30" ht="15.75" customHeight="1">
      <c r="A599" s="26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</row>
    <row r="600" spans="1:30" ht="15.75" customHeight="1">
      <c r="A600" s="26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</row>
    <row r="601" spans="1:30" ht="15.75" customHeight="1">
      <c r="A601" s="26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</row>
    <row r="602" spans="1:30" ht="15.75" customHeight="1">
      <c r="A602" s="26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</row>
    <row r="603" spans="1:30" ht="15.75" customHeight="1">
      <c r="A603" s="26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</row>
    <row r="604" spans="1:30" ht="15.75" customHeight="1">
      <c r="A604" s="26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</row>
    <row r="605" spans="1:30" ht="15.75" customHeight="1">
      <c r="A605" s="26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</row>
    <row r="606" spans="1:30" ht="15.75" customHeight="1">
      <c r="A606" s="26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</row>
    <row r="607" spans="1:30" ht="15.75" customHeight="1">
      <c r="A607" s="26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</row>
    <row r="608" spans="1:30" ht="15.75" customHeight="1">
      <c r="A608" s="26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</row>
    <row r="609" spans="1:30" ht="15.75" customHeight="1">
      <c r="A609" s="26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</row>
    <row r="610" spans="1:30" ht="15.75" customHeight="1">
      <c r="A610" s="26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</row>
    <row r="611" spans="1:30" ht="15.75" customHeight="1">
      <c r="A611" s="26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</row>
    <row r="612" spans="1:30" ht="15.75" customHeight="1">
      <c r="A612" s="26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</row>
    <row r="613" spans="1:30" ht="15.75" customHeight="1">
      <c r="A613" s="26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</row>
    <row r="614" spans="1:30" ht="15.75" customHeight="1">
      <c r="A614" s="26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</row>
    <row r="615" spans="1:30" ht="15.75" customHeight="1">
      <c r="A615" s="26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</row>
    <row r="616" spans="1:30" ht="15.75" customHeight="1">
      <c r="A616" s="26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</row>
    <row r="617" spans="1:30" ht="15.75" customHeight="1">
      <c r="A617" s="26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</row>
    <row r="618" spans="1:30" ht="15.75" customHeight="1">
      <c r="A618" s="26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</row>
    <row r="619" spans="1:30" ht="15.75" customHeight="1">
      <c r="A619" s="26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</row>
    <row r="620" spans="1:30" ht="15.75" customHeight="1">
      <c r="A620" s="26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</row>
    <row r="621" spans="1:30" ht="15.75" customHeight="1">
      <c r="A621" s="26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</row>
    <row r="622" spans="1:30" ht="15.75" customHeight="1">
      <c r="A622" s="26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</row>
    <row r="623" spans="1:30" ht="15.75" customHeight="1">
      <c r="A623" s="26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</row>
    <row r="624" spans="1:30" ht="15.75" customHeight="1">
      <c r="A624" s="26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</row>
    <row r="625" spans="1:30" ht="15.75" customHeight="1">
      <c r="A625" s="26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</row>
    <row r="626" spans="1:30" ht="15.75" customHeight="1">
      <c r="A626" s="26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</row>
    <row r="627" spans="1:30" ht="15.75" customHeight="1">
      <c r="A627" s="26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</row>
    <row r="628" spans="1:30" ht="15.75" customHeight="1">
      <c r="A628" s="26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</row>
    <row r="629" spans="1:30" ht="15.75" customHeight="1">
      <c r="A629" s="26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</row>
    <row r="630" spans="1:30" ht="15.75" customHeight="1">
      <c r="A630" s="26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</row>
    <row r="631" spans="1:30" ht="15.75" customHeight="1">
      <c r="A631" s="26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</row>
    <row r="632" spans="1:30" ht="15.75" customHeight="1">
      <c r="A632" s="26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</row>
    <row r="633" spans="1:30" ht="15.75" customHeight="1">
      <c r="A633" s="26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</row>
    <row r="634" spans="1:30" ht="15.75" customHeight="1">
      <c r="A634" s="26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</row>
    <row r="635" spans="1:30" ht="15.75" customHeight="1">
      <c r="A635" s="26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</row>
    <row r="636" spans="1:30" ht="15.75" customHeight="1">
      <c r="A636" s="26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</row>
    <row r="637" spans="1:30" ht="15.75" customHeight="1">
      <c r="A637" s="26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</row>
    <row r="638" spans="1:30" ht="15.75" customHeight="1">
      <c r="A638" s="26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</row>
    <row r="639" spans="1:30" ht="15.75" customHeight="1">
      <c r="A639" s="26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</row>
    <row r="640" spans="1:30" ht="15.75" customHeight="1">
      <c r="A640" s="26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</row>
    <row r="641" spans="1:30" ht="15.75" customHeight="1">
      <c r="A641" s="26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</row>
    <row r="642" spans="1:30" ht="15.75" customHeight="1">
      <c r="A642" s="26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</row>
    <row r="643" spans="1:30" ht="15.75" customHeight="1">
      <c r="A643" s="26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</row>
    <row r="644" spans="1:30" ht="15.75" customHeight="1">
      <c r="A644" s="26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</row>
    <row r="645" spans="1:30" ht="15.75" customHeight="1">
      <c r="A645" s="26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</row>
    <row r="646" spans="1:30" ht="15.75" customHeight="1">
      <c r="A646" s="26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</row>
    <row r="647" spans="1:30" ht="15.75" customHeight="1">
      <c r="A647" s="26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</row>
    <row r="648" spans="1:30" ht="15.75" customHeight="1">
      <c r="A648" s="26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</row>
    <row r="649" spans="1:30" ht="15.75" customHeight="1">
      <c r="A649" s="26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</row>
    <row r="650" spans="1:30" ht="15.75" customHeight="1">
      <c r="A650" s="26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</row>
    <row r="651" spans="1:30" ht="15.75" customHeight="1">
      <c r="A651" s="26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</row>
    <row r="652" spans="1:30" ht="15.75" customHeight="1">
      <c r="A652" s="26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</row>
    <row r="653" spans="1:30" ht="15.75" customHeight="1">
      <c r="A653" s="26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</row>
    <row r="654" spans="1:30" ht="15.75" customHeight="1">
      <c r="A654" s="26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</row>
    <row r="655" spans="1:30" ht="15.75" customHeight="1">
      <c r="A655" s="26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</row>
    <row r="656" spans="1:30" ht="15.75" customHeight="1">
      <c r="A656" s="26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</row>
    <row r="657" spans="1:30" ht="15.75" customHeight="1">
      <c r="A657" s="26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</row>
    <row r="658" spans="1:30" ht="15.75" customHeight="1">
      <c r="A658" s="26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</row>
    <row r="659" spans="1:30" ht="15.75" customHeight="1">
      <c r="A659" s="26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</row>
    <row r="660" spans="1:30" ht="15.75" customHeight="1">
      <c r="A660" s="26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</row>
    <row r="661" spans="1:30" ht="15.75" customHeight="1">
      <c r="A661" s="26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</row>
    <row r="662" spans="1:30" ht="15.75" customHeight="1">
      <c r="A662" s="26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</row>
    <row r="663" spans="1:30" ht="15.75" customHeight="1">
      <c r="A663" s="26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</row>
    <row r="664" spans="1:30" ht="15.75" customHeight="1">
      <c r="A664" s="26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</row>
    <row r="665" spans="1:30" ht="15.75" customHeight="1">
      <c r="A665" s="26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</row>
    <row r="666" spans="1:30" ht="15.75" customHeight="1">
      <c r="A666" s="26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</row>
    <row r="667" spans="1:30" ht="15.75" customHeight="1">
      <c r="A667" s="26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</row>
    <row r="668" spans="1:30" ht="15.75" customHeight="1">
      <c r="A668" s="26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</row>
    <row r="669" spans="1:30" ht="15.75" customHeight="1">
      <c r="A669" s="26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</row>
    <row r="670" spans="1:30" ht="15.75" customHeight="1">
      <c r="A670" s="26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</row>
    <row r="671" spans="1:30" ht="15.75" customHeight="1">
      <c r="A671" s="26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</row>
    <row r="672" spans="1:30" ht="15.75" customHeight="1">
      <c r="A672" s="26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</row>
    <row r="673" spans="1:30" ht="15.75" customHeight="1">
      <c r="A673" s="26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</row>
    <row r="674" spans="1:30" ht="15.75" customHeight="1">
      <c r="A674" s="26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</row>
    <row r="675" spans="1:30" ht="15.75" customHeight="1">
      <c r="A675" s="26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</row>
    <row r="676" spans="1:30" ht="15.75" customHeight="1">
      <c r="A676" s="26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</row>
    <row r="677" spans="1:30" ht="15.75" customHeight="1">
      <c r="A677" s="26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</row>
    <row r="678" spans="1:30" ht="15.75" customHeight="1">
      <c r="A678" s="26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</row>
    <row r="679" spans="1:30" ht="15.75" customHeight="1">
      <c r="A679" s="26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</row>
    <row r="680" spans="1:30" ht="15.75" customHeight="1">
      <c r="A680" s="26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</row>
    <row r="681" spans="1:30" ht="15.75" customHeight="1">
      <c r="A681" s="26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</row>
    <row r="682" spans="1:30" ht="15.75" customHeight="1">
      <c r="A682" s="26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</row>
    <row r="683" spans="1:30" ht="15.75" customHeight="1">
      <c r="A683" s="26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</row>
    <row r="684" spans="1:30" ht="15.75" customHeight="1">
      <c r="A684" s="26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</row>
    <row r="685" spans="1:30" ht="15.75" customHeight="1">
      <c r="A685" s="26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</row>
    <row r="686" spans="1:30" ht="15.75" customHeight="1">
      <c r="A686" s="26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</row>
    <row r="687" spans="1:30" ht="15.75" customHeight="1">
      <c r="A687" s="26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</row>
    <row r="688" spans="1:30" ht="15.75" customHeight="1">
      <c r="A688" s="26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</row>
    <row r="689" spans="1:30" ht="15.75" customHeight="1">
      <c r="A689" s="26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</row>
    <row r="690" spans="1:30" ht="15.75" customHeight="1">
      <c r="A690" s="26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</row>
    <row r="691" spans="1:30" ht="15.75" customHeight="1">
      <c r="A691" s="26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</row>
    <row r="692" spans="1:30" ht="15.75" customHeight="1">
      <c r="A692" s="26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</row>
    <row r="693" spans="1:30" ht="15.75" customHeight="1">
      <c r="A693" s="26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</row>
    <row r="694" spans="1:30" ht="15.75" customHeight="1">
      <c r="A694" s="26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</row>
    <row r="695" spans="1:30" ht="15.75" customHeight="1">
      <c r="A695" s="26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</row>
    <row r="696" spans="1:30" ht="15.75" customHeight="1">
      <c r="A696" s="26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</row>
    <row r="697" spans="1:30" ht="15.75" customHeight="1">
      <c r="A697" s="26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</row>
    <row r="698" spans="1:30" ht="15.75" customHeight="1">
      <c r="A698" s="26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</row>
    <row r="699" spans="1:30" ht="15.75" customHeight="1">
      <c r="A699" s="26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</row>
    <row r="700" spans="1:30" ht="15.75" customHeight="1">
      <c r="A700" s="26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</row>
    <row r="701" spans="1:30" ht="15.75" customHeight="1">
      <c r="A701" s="26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</row>
    <row r="702" spans="1:30" ht="15.75" customHeight="1">
      <c r="A702" s="26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</row>
    <row r="703" spans="1:30" ht="15.75" customHeight="1">
      <c r="A703" s="26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</row>
    <row r="704" spans="1:30" ht="15.75" customHeight="1">
      <c r="A704" s="26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</row>
    <row r="705" spans="1:30" ht="15.75" customHeight="1">
      <c r="A705" s="26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</row>
    <row r="706" spans="1:30" ht="15.75" customHeight="1">
      <c r="A706" s="26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</row>
    <row r="707" spans="1:30" ht="15.75" customHeight="1">
      <c r="A707" s="26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</row>
    <row r="708" spans="1:30" ht="15.75" customHeight="1">
      <c r="A708" s="26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</row>
    <row r="709" spans="1:30" ht="15.75" customHeight="1">
      <c r="A709" s="26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</row>
    <row r="710" spans="1:30" ht="15.75" customHeight="1">
      <c r="A710" s="26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</row>
    <row r="711" spans="1:30" ht="15.75" customHeight="1">
      <c r="A711" s="26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</row>
    <row r="712" spans="1:30" ht="15.75" customHeight="1">
      <c r="A712" s="26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</row>
    <row r="713" spans="1:30" ht="15.75" customHeight="1">
      <c r="A713" s="26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</row>
    <row r="714" spans="1:30" ht="15.75" customHeight="1">
      <c r="A714" s="26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</row>
    <row r="715" spans="1:30" ht="15.75" customHeight="1">
      <c r="A715" s="26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</row>
    <row r="716" spans="1:30" ht="15.75" customHeight="1">
      <c r="A716" s="26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</row>
    <row r="717" spans="1:30" ht="15.75" customHeight="1">
      <c r="A717" s="26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</row>
    <row r="718" spans="1:30" ht="15.75" customHeight="1">
      <c r="A718" s="26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</row>
    <row r="719" spans="1:30" ht="15.75" customHeight="1">
      <c r="A719" s="26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</row>
    <row r="720" spans="1:30" ht="15.75" customHeight="1">
      <c r="A720" s="26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</row>
    <row r="721" spans="1:30" ht="15.75" customHeight="1">
      <c r="A721" s="26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</row>
    <row r="722" spans="1:30" ht="15.75" customHeight="1">
      <c r="A722" s="26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</row>
    <row r="723" spans="1:30" ht="15.75" customHeight="1">
      <c r="A723" s="26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</row>
    <row r="724" spans="1:30" ht="15.75" customHeight="1">
      <c r="A724" s="26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</row>
    <row r="725" spans="1:30" ht="15.75" customHeight="1">
      <c r="A725" s="26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</row>
    <row r="726" spans="1:30" ht="15.75" customHeight="1">
      <c r="A726" s="26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</row>
    <row r="727" spans="1:30" ht="15.75" customHeight="1">
      <c r="A727" s="26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</row>
    <row r="728" spans="1:30" ht="15.75" customHeight="1">
      <c r="A728" s="26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</row>
    <row r="729" spans="1:30" ht="15.75" customHeight="1">
      <c r="A729" s="26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</row>
    <row r="730" spans="1:30" ht="15.75" customHeight="1">
      <c r="A730" s="26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</row>
    <row r="731" spans="1:30" ht="15.75" customHeight="1">
      <c r="A731" s="26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</row>
    <row r="732" spans="1:30" ht="15.75" customHeight="1">
      <c r="A732" s="26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</row>
    <row r="733" spans="1:30" ht="15.75" customHeight="1">
      <c r="A733" s="26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</row>
    <row r="734" spans="1:30" ht="15.75" customHeight="1">
      <c r="A734" s="26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</row>
    <row r="735" spans="1:30" ht="15.75" customHeight="1">
      <c r="A735" s="26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</row>
    <row r="736" spans="1:30" ht="15.75" customHeight="1">
      <c r="A736" s="26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</row>
    <row r="737" spans="1:30" ht="15.75" customHeight="1">
      <c r="A737" s="26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</row>
    <row r="738" spans="1:30" ht="15.75" customHeight="1">
      <c r="A738" s="26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</row>
    <row r="739" spans="1:30" ht="15.75" customHeight="1">
      <c r="A739" s="26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</row>
    <row r="740" spans="1:30" ht="15.75" customHeight="1">
      <c r="A740" s="26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</row>
    <row r="741" spans="1:30" ht="15.75" customHeight="1">
      <c r="A741" s="26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</row>
    <row r="742" spans="1:30" ht="15.75" customHeight="1">
      <c r="A742" s="26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</row>
    <row r="743" spans="1:30" ht="15.75" customHeight="1">
      <c r="A743" s="26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</row>
    <row r="744" spans="1:30" ht="15.75" customHeight="1">
      <c r="A744" s="26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</row>
    <row r="745" spans="1:30" ht="15.75" customHeight="1">
      <c r="A745" s="26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</row>
    <row r="746" spans="1:30" ht="15.75" customHeight="1">
      <c r="A746" s="26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</row>
    <row r="747" spans="1:30" ht="15.75" customHeight="1">
      <c r="A747" s="26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</row>
    <row r="748" spans="1:30" ht="15.75" customHeight="1">
      <c r="A748" s="26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</row>
    <row r="749" spans="1:30" ht="15.75" customHeight="1">
      <c r="A749" s="26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</row>
    <row r="750" spans="1:30" ht="15.75" customHeight="1">
      <c r="A750" s="26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</row>
    <row r="751" spans="1:30" ht="15.75" customHeight="1">
      <c r="A751" s="26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</row>
    <row r="752" spans="1:30" ht="15.75" customHeight="1">
      <c r="A752" s="26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</row>
    <row r="753" spans="1:30" ht="15.75" customHeight="1">
      <c r="A753" s="26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</row>
    <row r="754" spans="1:30" ht="15.75" customHeight="1">
      <c r="A754" s="26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</row>
    <row r="755" spans="1:30" ht="15.75" customHeight="1">
      <c r="A755" s="26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</row>
    <row r="756" spans="1:30" ht="15.75" customHeight="1">
      <c r="A756" s="26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</row>
    <row r="757" spans="1:30" ht="15.75" customHeight="1">
      <c r="A757" s="26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</row>
    <row r="758" spans="1:30" ht="15.75" customHeight="1">
      <c r="A758" s="26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</row>
    <row r="759" spans="1:30" ht="15.75" customHeight="1">
      <c r="A759" s="26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</row>
    <row r="760" spans="1:30" ht="15.75" customHeight="1">
      <c r="A760" s="26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</row>
    <row r="761" spans="1:30" ht="15.75" customHeight="1">
      <c r="A761" s="26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</row>
    <row r="762" spans="1:30" ht="15.75" customHeight="1">
      <c r="A762" s="26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</row>
    <row r="763" spans="1:30" ht="15.75" customHeight="1">
      <c r="A763" s="26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</row>
    <row r="764" spans="1:30" ht="15.75" customHeight="1">
      <c r="A764" s="26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</row>
    <row r="765" spans="1:30" ht="15.75" customHeight="1">
      <c r="A765" s="26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</row>
    <row r="766" spans="1:30" ht="15.75" customHeight="1">
      <c r="A766" s="26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</row>
    <row r="767" spans="1:30" ht="15.75" customHeight="1">
      <c r="A767" s="26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</row>
    <row r="768" spans="1:30" ht="15.75" customHeight="1">
      <c r="A768" s="26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</row>
    <row r="769" spans="1:30" ht="15.75" customHeight="1">
      <c r="A769" s="26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</row>
    <row r="770" spans="1:30" ht="15.75" customHeight="1">
      <c r="A770" s="26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</row>
    <row r="771" spans="1:30" ht="15.75" customHeight="1">
      <c r="A771" s="26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</row>
    <row r="772" spans="1:30" ht="15.75" customHeight="1">
      <c r="A772" s="26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</row>
    <row r="773" spans="1:30" ht="15.75" customHeight="1">
      <c r="A773" s="26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</row>
    <row r="774" spans="1:30" ht="15.75" customHeight="1">
      <c r="A774" s="26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</row>
    <row r="775" spans="1:30" ht="15.75" customHeight="1">
      <c r="A775" s="26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</row>
    <row r="776" spans="1:30" ht="15.75" customHeight="1">
      <c r="A776" s="26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</row>
    <row r="777" spans="1:30" ht="15.75" customHeight="1">
      <c r="A777" s="26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</row>
    <row r="778" spans="1:30" ht="15.75" customHeight="1">
      <c r="A778" s="26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</row>
    <row r="779" spans="1:30" ht="15.75" customHeight="1">
      <c r="A779" s="26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</row>
    <row r="780" spans="1:30" ht="15.75" customHeight="1">
      <c r="A780" s="26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</row>
    <row r="781" spans="1:30" ht="15.75" customHeight="1">
      <c r="A781" s="26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</row>
    <row r="782" spans="1:30" ht="15.75" customHeight="1">
      <c r="A782" s="26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</row>
    <row r="783" spans="1:30" ht="15.75" customHeight="1">
      <c r="A783" s="26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</row>
    <row r="784" spans="1:30" ht="15.75" customHeight="1">
      <c r="A784" s="26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</row>
    <row r="785" spans="1:30" ht="15.75" customHeight="1">
      <c r="A785" s="26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</row>
    <row r="786" spans="1:30" ht="15.75" customHeight="1">
      <c r="A786" s="26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</row>
    <row r="787" spans="1:30" ht="15.75" customHeight="1">
      <c r="A787" s="26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</row>
    <row r="788" spans="1:30" ht="15.75" customHeight="1">
      <c r="A788" s="26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</row>
    <row r="789" spans="1:30" ht="15.75" customHeight="1">
      <c r="A789" s="26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</row>
    <row r="790" spans="1:30" ht="15.75" customHeight="1">
      <c r="A790" s="26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</row>
    <row r="791" spans="1:30" ht="15.75" customHeight="1">
      <c r="A791" s="26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</row>
    <row r="792" spans="1:30" ht="15.75" customHeight="1">
      <c r="A792" s="26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</row>
    <row r="793" spans="1:30" ht="15.75" customHeight="1">
      <c r="A793" s="26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</row>
    <row r="794" spans="1:30" ht="15.75" customHeight="1">
      <c r="A794" s="26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</row>
    <row r="795" spans="1:30" ht="15.75" customHeight="1">
      <c r="A795" s="26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</row>
    <row r="796" spans="1:30" ht="15.75" customHeight="1">
      <c r="A796" s="26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</row>
    <row r="797" spans="1:30" ht="15.75" customHeight="1">
      <c r="A797" s="26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</row>
    <row r="798" spans="1:30" ht="15.75" customHeight="1">
      <c r="A798" s="26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</row>
    <row r="799" spans="1:30" ht="15.75" customHeight="1">
      <c r="A799" s="26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</row>
    <row r="800" spans="1:30" ht="15.75" customHeight="1">
      <c r="A800" s="26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</row>
    <row r="801" spans="1:30" ht="15.75" customHeight="1">
      <c r="A801" s="26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</row>
    <row r="802" spans="1:30" ht="15.75" customHeight="1">
      <c r="A802" s="26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</row>
    <row r="803" spans="1:30" ht="15.75" customHeight="1">
      <c r="A803" s="26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</row>
    <row r="804" spans="1:30" ht="15.75" customHeight="1">
      <c r="A804" s="26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</row>
    <row r="805" spans="1:30" ht="15.75" customHeight="1">
      <c r="A805" s="26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</row>
    <row r="806" spans="1:30" ht="15.75" customHeight="1">
      <c r="A806" s="26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</row>
    <row r="807" spans="1:30" ht="15.75" customHeight="1">
      <c r="A807" s="26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</row>
    <row r="808" spans="1:30" ht="15.75" customHeight="1">
      <c r="A808" s="26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</row>
    <row r="809" spans="1:30" ht="15.75" customHeight="1">
      <c r="A809" s="26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</row>
    <row r="810" spans="1:30" ht="15.75" customHeight="1">
      <c r="A810" s="26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</row>
    <row r="811" spans="1:30" ht="15.75" customHeight="1">
      <c r="A811" s="26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</row>
    <row r="812" spans="1:30" ht="15.75" customHeight="1">
      <c r="A812" s="26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</row>
    <row r="813" spans="1:30" ht="15.75" customHeight="1">
      <c r="A813" s="26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</row>
    <row r="814" spans="1:30" ht="15.75" customHeight="1">
      <c r="A814" s="26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</row>
    <row r="815" spans="1:30" ht="15.75" customHeight="1">
      <c r="A815" s="26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</row>
    <row r="816" spans="1:30" ht="15.75" customHeight="1">
      <c r="A816" s="26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</row>
    <row r="817" spans="1:30" ht="15.75" customHeight="1">
      <c r="A817" s="26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</row>
    <row r="818" spans="1:30" ht="15.75" customHeight="1">
      <c r="A818" s="26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</row>
    <row r="819" spans="1:30" ht="15.75" customHeight="1">
      <c r="A819" s="26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</row>
    <row r="820" spans="1:30" ht="15.75" customHeight="1">
      <c r="A820" s="26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</row>
    <row r="821" spans="1:30" ht="15.75" customHeight="1">
      <c r="A821" s="26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</row>
    <row r="822" spans="1:30" ht="15.75" customHeight="1">
      <c r="A822" s="26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</row>
    <row r="823" spans="1:30" ht="15.75" customHeight="1">
      <c r="A823" s="26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</row>
    <row r="824" spans="1:30" ht="15.75" customHeight="1">
      <c r="A824" s="26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</row>
    <row r="825" spans="1:30" ht="15.75" customHeight="1">
      <c r="A825" s="26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</row>
    <row r="826" spans="1:30" ht="15.75" customHeight="1">
      <c r="A826" s="26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</row>
    <row r="827" spans="1:30" ht="15.75" customHeight="1">
      <c r="A827" s="26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</row>
    <row r="828" spans="1:30" ht="15.75" customHeight="1">
      <c r="A828" s="26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</row>
    <row r="829" spans="1:30" ht="15.75" customHeight="1">
      <c r="A829" s="26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</row>
    <row r="830" spans="1:30" ht="15.75" customHeight="1">
      <c r="A830" s="26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</row>
    <row r="831" spans="1:30" ht="15.75" customHeight="1">
      <c r="A831" s="26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</row>
    <row r="832" spans="1:30" ht="15.75" customHeight="1">
      <c r="A832" s="26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</row>
    <row r="833" spans="1:30" ht="15.75" customHeight="1">
      <c r="A833" s="26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</row>
    <row r="834" spans="1:30" ht="15.75" customHeight="1">
      <c r="A834" s="26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</row>
    <row r="835" spans="1:30" ht="15.75" customHeight="1">
      <c r="A835" s="26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</row>
    <row r="836" spans="1:30" ht="15.75" customHeight="1">
      <c r="A836" s="26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</row>
    <row r="837" spans="1:30" ht="15.75" customHeight="1">
      <c r="A837" s="26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</row>
    <row r="838" spans="1:30" ht="15.75" customHeight="1">
      <c r="A838" s="26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</row>
    <row r="839" spans="1:30" ht="15.75" customHeight="1">
      <c r="A839" s="26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</row>
    <row r="840" spans="1:30" ht="15.75" customHeight="1">
      <c r="A840" s="26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</row>
    <row r="841" spans="1:30" ht="15.75" customHeight="1">
      <c r="A841" s="26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</row>
    <row r="842" spans="1:30" ht="15.75" customHeight="1">
      <c r="A842" s="26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</row>
    <row r="843" spans="1:30" ht="15.75" customHeight="1">
      <c r="A843" s="26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</row>
    <row r="844" spans="1:30" ht="15.75" customHeight="1">
      <c r="A844" s="26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</row>
    <row r="845" spans="1:30" ht="15.75" customHeight="1">
      <c r="A845" s="26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</row>
    <row r="846" spans="1:30" ht="15.75" customHeight="1">
      <c r="A846" s="26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</row>
    <row r="847" spans="1:30" ht="15.75" customHeight="1">
      <c r="A847" s="26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</row>
    <row r="848" spans="1:30" ht="15.75" customHeight="1">
      <c r="A848" s="26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</row>
    <row r="849" spans="1:30" ht="15.75" customHeight="1">
      <c r="A849" s="26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</row>
    <row r="850" spans="1:30" ht="15.75" customHeight="1">
      <c r="A850" s="26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</row>
    <row r="851" spans="1:30" ht="15.75" customHeight="1">
      <c r="A851" s="26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</row>
    <row r="852" spans="1:30" ht="15.75" customHeight="1">
      <c r="A852" s="26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</row>
    <row r="853" spans="1:30" ht="15.75" customHeight="1">
      <c r="A853" s="26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</row>
    <row r="854" spans="1:30" ht="15.75" customHeight="1">
      <c r="A854" s="26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</row>
    <row r="855" spans="1:30" ht="15.75" customHeight="1">
      <c r="A855" s="26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</row>
    <row r="856" spans="1:30" ht="15.75" customHeight="1">
      <c r="A856" s="26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</row>
    <row r="857" spans="1:30" ht="15.75" customHeight="1">
      <c r="A857" s="26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</row>
    <row r="858" spans="1:30" ht="15.75" customHeight="1">
      <c r="A858" s="26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</row>
    <row r="859" spans="1:30" ht="15.75" customHeight="1">
      <c r="A859" s="26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</row>
    <row r="860" spans="1:30" ht="15.75" customHeight="1">
      <c r="A860" s="26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</row>
    <row r="861" spans="1:30" ht="15.75" customHeight="1">
      <c r="A861" s="26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</row>
    <row r="862" spans="1:30" ht="15.75" customHeight="1">
      <c r="A862" s="26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</row>
    <row r="863" spans="1:30" ht="15.75" customHeight="1">
      <c r="A863" s="26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</row>
    <row r="864" spans="1:30" ht="15.75" customHeight="1">
      <c r="A864" s="26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</row>
    <row r="865" spans="1:30" ht="15.75" customHeight="1">
      <c r="A865" s="26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</row>
    <row r="866" spans="1:30" ht="15.75" customHeight="1">
      <c r="A866" s="26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</row>
    <row r="867" spans="1:30" ht="15.75" customHeight="1">
      <c r="A867" s="26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</row>
    <row r="868" spans="1:30" ht="15.75" customHeight="1">
      <c r="A868" s="26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</row>
    <row r="869" spans="1:30" ht="15.75" customHeight="1">
      <c r="A869" s="26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</row>
    <row r="870" spans="1:30" ht="15.75" customHeight="1">
      <c r="A870" s="26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</row>
    <row r="871" spans="1:30" ht="15.75" customHeight="1">
      <c r="A871" s="26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</row>
    <row r="872" spans="1:30" ht="15.75" customHeight="1">
      <c r="A872" s="26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</row>
    <row r="873" spans="1:30" ht="15.75" customHeight="1">
      <c r="A873" s="26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</row>
    <row r="874" spans="1:30" ht="15.75" customHeight="1">
      <c r="A874" s="26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</row>
    <row r="875" spans="1:30" ht="15.75" customHeight="1">
      <c r="A875" s="26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</row>
    <row r="876" spans="1:30" ht="15.75" customHeight="1">
      <c r="A876" s="26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</row>
    <row r="877" spans="1:30" ht="15.75" customHeight="1">
      <c r="A877" s="26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</row>
    <row r="878" spans="1:30" ht="15.75" customHeight="1">
      <c r="A878" s="26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</row>
    <row r="879" spans="1:30" ht="15.75" customHeight="1">
      <c r="A879" s="26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</row>
    <row r="880" spans="1:30" ht="15.75" customHeight="1">
      <c r="A880" s="26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</row>
    <row r="881" spans="1:30" ht="15.75" customHeight="1">
      <c r="A881" s="26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</row>
    <row r="882" spans="1:30" ht="15.75" customHeight="1">
      <c r="A882" s="26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</row>
    <row r="883" spans="1:30" ht="15.75" customHeight="1">
      <c r="A883" s="26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</row>
    <row r="884" spans="1:30" ht="15.75" customHeight="1">
      <c r="A884" s="26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</row>
    <row r="885" spans="1:30" ht="15.75" customHeight="1">
      <c r="A885" s="26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</row>
    <row r="886" spans="1:30" ht="15.75" customHeight="1">
      <c r="A886" s="26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</row>
    <row r="887" spans="1:30" ht="15.75" customHeight="1">
      <c r="A887" s="26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</row>
    <row r="888" spans="1:30" ht="15.75" customHeight="1">
      <c r="A888" s="26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</row>
    <row r="889" spans="1:30" ht="15.75" customHeight="1">
      <c r="A889" s="26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</row>
    <row r="890" spans="1:30" ht="15.75" customHeight="1">
      <c r="A890" s="26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</row>
    <row r="891" spans="1:30" ht="15.75" customHeight="1">
      <c r="A891" s="26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</row>
    <row r="892" spans="1:30" ht="15.75" customHeight="1">
      <c r="A892" s="26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</row>
    <row r="893" spans="1:30" ht="15.75" customHeight="1">
      <c r="A893" s="26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</row>
    <row r="894" spans="1:30" ht="15.75" customHeight="1">
      <c r="A894" s="26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</row>
    <row r="895" spans="1:30" ht="15.75" customHeight="1">
      <c r="A895" s="26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</row>
    <row r="896" spans="1:30" ht="15.75" customHeight="1">
      <c r="A896" s="26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</row>
    <row r="897" spans="1:30" ht="15.75" customHeight="1">
      <c r="A897" s="26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</row>
    <row r="898" spans="1:30" ht="15.75" customHeight="1">
      <c r="A898" s="26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</row>
    <row r="899" spans="1:30" ht="15.75" customHeight="1">
      <c r="A899" s="26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</row>
    <row r="900" spans="1:30" ht="15.75" customHeight="1">
      <c r="A900" s="26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</row>
    <row r="901" spans="1:30" ht="15.75" customHeight="1">
      <c r="A901" s="26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</row>
    <row r="902" spans="1:30" ht="15.75" customHeight="1">
      <c r="A902" s="26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</row>
    <row r="903" spans="1:30" ht="15.75" customHeight="1">
      <c r="A903" s="26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</row>
    <row r="904" spans="1:30" ht="15.75" customHeight="1">
      <c r="A904" s="26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</row>
    <row r="905" spans="1:30" ht="15.75" customHeight="1">
      <c r="A905" s="26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</row>
    <row r="906" spans="1:30" ht="15.75" customHeight="1">
      <c r="A906" s="26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</row>
    <row r="907" spans="1:30" ht="15.75" customHeight="1">
      <c r="A907" s="26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</row>
    <row r="908" spans="1:30" ht="15.75" customHeight="1">
      <c r="A908" s="26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</row>
    <row r="909" spans="1:30" ht="15.75" customHeight="1">
      <c r="A909" s="26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</row>
    <row r="910" spans="1:30" ht="15.75" customHeight="1">
      <c r="A910" s="26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</row>
    <row r="911" spans="1:30" ht="15.75" customHeight="1">
      <c r="A911" s="26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</row>
    <row r="912" spans="1:30" ht="15.75" customHeight="1">
      <c r="A912" s="26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</row>
    <row r="913" spans="1:30" ht="15.75" customHeight="1">
      <c r="A913" s="26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</row>
    <row r="914" spans="1:30" ht="15.75" customHeight="1">
      <c r="A914" s="26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</row>
    <row r="915" spans="1:30" ht="15.75" customHeight="1">
      <c r="A915" s="26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</row>
    <row r="916" spans="1:30" ht="15.75" customHeight="1">
      <c r="A916" s="26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</row>
    <row r="917" spans="1:30" ht="15.75" customHeight="1">
      <c r="A917" s="26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</row>
    <row r="918" spans="1:30" ht="15.75" customHeight="1">
      <c r="A918" s="26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</row>
    <row r="919" spans="1:30" ht="15.75" customHeight="1">
      <c r="A919" s="26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</row>
    <row r="920" spans="1:30" ht="15.75" customHeight="1">
      <c r="A920" s="26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</row>
    <row r="921" spans="1:30" ht="15.75" customHeight="1">
      <c r="A921" s="26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</row>
    <row r="922" spans="1:30" ht="15.75" customHeight="1">
      <c r="A922" s="26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</row>
    <row r="923" spans="1:30" ht="15.75" customHeight="1">
      <c r="A923" s="26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</row>
    <row r="924" spans="1:30" ht="15.75" customHeight="1">
      <c r="A924" s="26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</row>
    <row r="925" spans="1:30" ht="15.75" customHeight="1">
      <c r="A925" s="26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</row>
    <row r="926" spans="1:30" ht="15.75" customHeight="1">
      <c r="A926" s="26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</row>
    <row r="927" spans="1:30" ht="15.75" customHeight="1">
      <c r="A927" s="26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</row>
    <row r="928" spans="1:30" ht="15.75" customHeight="1">
      <c r="A928" s="26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</row>
    <row r="929" spans="1:30" ht="15.75" customHeight="1">
      <c r="A929" s="26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</row>
    <row r="930" spans="1:30" ht="15.75" customHeight="1">
      <c r="A930" s="26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</row>
    <row r="931" spans="1:30" ht="15.75" customHeight="1">
      <c r="A931" s="26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</row>
    <row r="932" spans="1:30" ht="15.75" customHeight="1">
      <c r="A932" s="26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</row>
    <row r="933" spans="1:30" ht="15.75" customHeight="1">
      <c r="A933" s="26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</row>
    <row r="934" spans="1:30" ht="15.75" customHeight="1">
      <c r="A934" s="26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</row>
    <row r="935" spans="1:30" ht="15.75" customHeight="1">
      <c r="A935" s="26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</row>
    <row r="936" spans="1:30" ht="15.75" customHeight="1">
      <c r="A936" s="26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</row>
    <row r="937" spans="1:30" ht="15.75" customHeight="1">
      <c r="A937" s="26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</row>
    <row r="938" spans="1:30" ht="15.75" customHeight="1">
      <c r="A938" s="26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</row>
    <row r="939" spans="1:30" ht="15.75" customHeight="1">
      <c r="A939" s="26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</row>
    <row r="940" spans="1:30" ht="15.75" customHeight="1">
      <c r="A940" s="26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</row>
    <row r="941" spans="1:30" ht="15.75" customHeight="1">
      <c r="A941" s="26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</row>
    <row r="942" spans="1:30" ht="15.75" customHeight="1">
      <c r="A942" s="26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</row>
    <row r="943" spans="1:30" ht="15.75" customHeight="1">
      <c r="A943" s="26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</row>
    <row r="944" spans="1:30" ht="15.75" customHeight="1">
      <c r="A944" s="26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</row>
    <row r="945" spans="1:30" ht="15.75" customHeight="1">
      <c r="A945" s="26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</row>
    <row r="946" spans="1:30" ht="15.75" customHeight="1">
      <c r="A946" s="26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</row>
    <row r="947" spans="1:30" ht="15.75" customHeight="1">
      <c r="A947" s="26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</row>
    <row r="948" spans="1:30" ht="15.75" customHeight="1">
      <c r="A948" s="26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</row>
    <row r="949" spans="1:30" ht="15.75" customHeight="1">
      <c r="A949" s="26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</row>
    <row r="950" spans="1:30" ht="15.75" customHeight="1">
      <c r="A950" s="26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</row>
    <row r="951" spans="1:30" ht="15.75" customHeight="1">
      <c r="A951" s="26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</row>
    <row r="952" spans="1:30" ht="15.75" customHeight="1">
      <c r="A952" s="26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</row>
    <row r="953" spans="1:30" ht="15.75" customHeight="1">
      <c r="A953" s="26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</row>
    <row r="954" spans="1:30" ht="15.75" customHeight="1">
      <c r="A954" s="26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</row>
    <row r="955" spans="1:30" ht="15.75" customHeight="1">
      <c r="A955" s="26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</row>
    <row r="956" spans="1:30" ht="15.75" customHeight="1">
      <c r="A956" s="26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</row>
    <row r="957" spans="1:30" ht="15.75" customHeight="1">
      <c r="A957" s="26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</row>
    <row r="958" spans="1:30" ht="15.75" customHeight="1">
      <c r="A958" s="26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</row>
    <row r="959" spans="1:30" ht="15.75" customHeight="1">
      <c r="A959" s="26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</row>
    <row r="960" spans="1:30" ht="15.75" customHeight="1">
      <c r="A960" s="26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</row>
    <row r="961" spans="1:30" ht="15.75" customHeight="1">
      <c r="A961" s="26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</row>
    <row r="962" spans="1:30" ht="15.75" customHeight="1">
      <c r="A962" s="26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</row>
    <row r="963" spans="1:30" ht="15.75" customHeight="1">
      <c r="A963" s="26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</row>
    <row r="964" spans="1:30" ht="15.75" customHeight="1">
      <c r="A964" s="26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</row>
    <row r="965" spans="1:30" ht="15.75" customHeight="1">
      <c r="A965" s="26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</row>
    <row r="966" spans="1:30" ht="15.75" customHeight="1">
      <c r="A966" s="26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</row>
    <row r="967" spans="1:30" ht="15.75" customHeight="1">
      <c r="A967" s="26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</row>
    <row r="968" spans="1:30" ht="15.75" customHeight="1">
      <c r="A968" s="26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</row>
    <row r="969" spans="1:30" ht="15.75" customHeight="1">
      <c r="A969" s="26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</row>
    <row r="970" spans="1:30" ht="15.75" customHeight="1">
      <c r="A970" s="26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</row>
    <row r="971" spans="1:30" ht="15.75" customHeight="1">
      <c r="A971" s="26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</row>
    <row r="972" spans="1:30" ht="15.75" customHeight="1">
      <c r="A972" s="26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</row>
    <row r="973" spans="1:30" ht="15.75" customHeight="1">
      <c r="A973" s="26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</row>
    <row r="974" spans="1:30" ht="15.75" customHeight="1">
      <c r="A974" s="26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</row>
    <row r="975" spans="1:30" ht="15.75" customHeight="1">
      <c r="A975" s="26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</row>
    <row r="976" spans="1:30" ht="15.75" customHeight="1">
      <c r="A976" s="26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</row>
    <row r="977" spans="1:30" ht="15.75" customHeight="1">
      <c r="A977" s="26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</row>
    <row r="978" spans="1:30" ht="15.75" customHeight="1">
      <c r="A978" s="26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</row>
    <row r="979" spans="1:30" ht="15.75" customHeight="1">
      <c r="A979" s="26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</row>
    <row r="980" spans="1:30" ht="15.75" customHeight="1">
      <c r="A980" s="26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</row>
    <row r="981" spans="1:30" ht="15.75" customHeight="1">
      <c r="A981" s="26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</row>
    <row r="982" spans="1:30" ht="15.75" customHeight="1">
      <c r="A982" s="26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</row>
    <row r="983" spans="1:30" ht="15.75" customHeight="1">
      <c r="A983" s="26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</row>
    <row r="984" spans="1:30" ht="15.75" customHeight="1">
      <c r="A984" s="26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</row>
    <row r="985" spans="1:30" ht="15.75" customHeight="1">
      <c r="A985" s="26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</row>
    <row r="986" spans="1:30" ht="15.75" customHeight="1">
      <c r="A986" s="26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</row>
    <row r="987" spans="1:30" ht="15.75" customHeight="1">
      <c r="A987" s="26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</row>
    <row r="988" spans="1:30" ht="15.75" customHeight="1">
      <c r="A988" s="26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</row>
    <row r="989" spans="1:30" ht="15.75" customHeight="1">
      <c r="A989" s="26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</row>
    <row r="990" spans="1:30" ht="15.75" customHeight="1">
      <c r="A990" s="26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</row>
    <row r="991" spans="1:30" ht="15.75" customHeight="1">
      <c r="A991" s="26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</row>
    <row r="992" spans="1:30" ht="15.75" customHeight="1">
      <c r="A992" s="26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</row>
    <row r="993" spans="1:30" ht="15.75" customHeight="1">
      <c r="A993" s="26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</row>
    <row r="994" spans="1:30" ht="15.75" customHeight="1">
      <c r="A994" s="26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</row>
    <row r="995" spans="1:30" ht="15.75" customHeight="1">
      <c r="A995" s="26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</row>
    <row r="996" spans="1:30" ht="15.75" customHeight="1">
      <c r="A996" s="26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</row>
    <row r="997" spans="1:30" ht="15.75" customHeight="1">
      <c r="A997" s="26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</row>
    <row r="998" spans="1:30" ht="15.75" customHeight="1">
      <c r="A998" s="26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</row>
    <row r="999" spans="1:30" ht="15.75" customHeight="1">
      <c r="A999" s="26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</row>
    <row r="1000" spans="1:30" ht="15.75" customHeight="1">
      <c r="A1000" s="26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</row>
  </sheetData>
  <mergeCells count="1">
    <mergeCell ref="A1:A2"/>
  </mergeCells>
  <hyperlinks>
    <hyperlink ref="S4" r:id="rId1" xr:uid="{00000000-0004-0000-0E00-000000000000}"/>
    <hyperlink ref="S5" r:id="rId2" location="eyJhcHBpZCI6MTUwLCJzdGVwcyI6WzEsMiwzXSwiZGF0YSI6W1siY2F0ZWdvcmllcyIsIkdkcHhJbmQiXSxbIlRhYmxlX0xpc3QiLCIxNSJdXX0=" xr:uid="{00000000-0004-0000-0E00-000001000000}"/>
    <hyperlink ref="S6" r:id="rId3" xr:uid="{00000000-0004-0000-0E00-000002000000}"/>
    <hyperlink ref="S7" r:id="rId4" xr:uid="{00000000-0004-0000-0E00-000003000000}"/>
    <hyperlink ref="S8" r:id="rId5" location="eyJhcHBpZCI6MTUwLCJzdGVwcyI6WzEsMl0sImRhdGEiOltbImNhdGVnb3JpZXMiLCJDb21wQnlJbmQiXV19" xr:uid="{00000000-0004-0000-0E00-000004000000}"/>
    <hyperlink ref="S9" r:id="rId6" location="eyJhcHBpZCI6MTUwLCJzdGVwcyI6WzEsMl0sImRhdGEiOltbImNhdGVnb3JpZXMiLCJDb21wQnlJbmQiXV19" xr:uid="{00000000-0004-0000-0E00-000005000000}"/>
    <hyperlink ref="S10" r:id="rId7" xr:uid="{00000000-0004-0000-0E00-000006000000}"/>
    <hyperlink ref="S13" r:id="rId8" xr:uid="{00000000-0004-0000-0E00-000007000000}"/>
    <hyperlink ref="S14" r:id="rId9" location="eyJhcHBpZCI6MTUwLCJzdGVwcyI6WzEsMiwzXSwiZGF0YSI6W1siY2F0ZWdvcmllcyIsIkdkcHhJbmQiXSxbIlRhYmxlX0xpc3QiLCIxNSJdXX0=" xr:uid="{00000000-0004-0000-0E00-000008000000}"/>
    <hyperlink ref="S15" r:id="rId10" xr:uid="{00000000-0004-0000-0E00-000009000000}"/>
    <hyperlink ref="S16" r:id="rId11" xr:uid="{00000000-0004-0000-0E00-00000A000000}"/>
    <hyperlink ref="S17" r:id="rId12" location="eyJhcHBpZCI6MTUwLCJzdGVwcyI6WzEsMl0sImRhdGEiOltbImNhdGVnb3JpZXMiLCJDb21wQnlJbmQiXV19" xr:uid="{00000000-0004-0000-0E00-00000B000000}"/>
    <hyperlink ref="S18" r:id="rId13" location="eyJhcHBpZCI6MTUwLCJzdGVwcyI6WzEsMl0sImRhdGEiOltbImNhdGVnb3JpZXMiLCJDb21wQnlJbmQiXV19" xr:uid="{00000000-0004-0000-0E00-00000C000000}"/>
    <hyperlink ref="S19" r:id="rId14" xr:uid="{00000000-0004-0000-0E00-00000D000000}"/>
    <hyperlink ref="S22" r:id="rId15" location="data/FO" xr:uid="{00000000-0004-0000-0E00-00000E000000}"/>
    <hyperlink ref="S23" r:id="rId16" location="data/FO" xr:uid="{00000000-0004-0000-0E00-00000F000000}"/>
    <hyperlink ref="S24" r:id="rId17" location="data/FO" xr:uid="{00000000-0004-0000-0E00-000010000000}"/>
    <hyperlink ref="S25" r:id="rId18" location="data/FO" xr:uid="{00000000-0004-0000-0E00-000011000000}"/>
    <hyperlink ref="S26" r:id="rId19" location="data/FO" xr:uid="{00000000-0004-0000-0E00-000012000000}"/>
    <hyperlink ref="S32" r:id="rId20" location="data/FO" xr:uid="{00000000-0004-0000-0E00-000013000000}"/>
    <hyperlink ref="S33" r:id="rId21" location="data/FO" xr:uid="{00000000-0004-0000-0E00-000014000000}"/>
    <hyperlink ref="S34" r:id="rId22" location="data/FO" xr:uid="{00000000-0004-0000-0E00-000015000000}"/>
    <hyperlink ref="S35" r:id="rId23" location="data/FO" xr:uid="{00000000-0004-0000-0E00-000016000000}"/>
    <hyperlink ref="S36" r:id="rId24" location="data/FO" xr:uid="{00000000-0004-0000-0E00-000017000000}"/>
  </hyperlinks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0000"/>
  </sheetPr>
  <dimension ref="A1:R998"/>
  <sheetViews>
    <sheetView zoomScale="85" zoomScaleNormal="85" workbookViewId="0">
      <pane xSplit="1" topLeftCell="B1" activePane="topRight" state="frozen"/>
      <selection pane="topRight" activeCell="U101" sqref="U101"/>
    </sheetView>
  </sheetViews>
  <sheetFormatPr defaultColWidth="14.42578125" defaultRowHeight="15" customHeight="1"/>
  <cols>
    <col min="1" max="1" width="37.5703125" customWidth="1"/>
    <col min="2" max="5" width="8.7109375" customWidth="1"/>
    <col min="6" max="6" width="10.28515625" customWidth="1"/>
    <col min="7" max="15" width="8.7109375" customWidth="1"/>
    <col min="16" max="16" width="13.7109375" customWidth="1"/>
    <col min="17" max="17" width="60.140625" customWidth="1"/>
    <col min="18" max="18" width="25.42578125" customWidth="1"/>
    <col min="19" max="19" width="20" customWidth="1"/>
    <col min="20" max="28" width="8.7109375" customWidth="1"/>
  </cols>
  <sheetData>
    <row r="1" spans="1:18">
      <c r="A1" s="436" t="s">
        <v>437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>
      <c r="A2" s="432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>
      <c r="A3" s="184" t="s">
        <v>438</v>
      </c>
      <c r="B3" s="185">
        <v>2010</v>
      </c>
      <c r="C3" s="185">
        <v>2011</v>
      </c>
      <c r="D3" s="185">
        <v>2012</v>
      </c>
      <c r="E3" s="185">
        <v>2013</v>
      </c>
      <c r="F3" s="185">
        <v>2014</v>
      </c>
      <c r="G3" s="185">
        <v>2015</v>
      </c>
      <c r="H3" s="185">
        <v>2016</v>
      </c>
      <c r="I3" s="185">
        <v>2017</v>
      </c>
      <c r="J3" s="185">
        <v>2018</v>
      </c>
      <c r="K3" s="185">
        <v>2019</v>
      </c>
      <c r="L3" s="185">
        <v>2020</v>
      </c>
      <c r="M3" s="185">
        <v>2021</v>
      </c>
      <c r="N3" s="185">
        <v>2022</v>
      </c>
      <c r="O3" s="185">
        <v>2023</v>
      </c>
      <c r="P3" s="186" t="s">
        <v>21</v>
      </c>
      <c r="Q3" s="186" t="s">
        <v>22</v>
      </c>
      <c r="R3" s="186" t="s">
        <v>23</v>
      </c>
    </row>
    <row r="4" spans="1:18">
      <c r="A4" s="187" t="s">
        <v>439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29"/>
      <c r="Q4" s="29"/>
      <c r="R4" s="29"/>
    </row>
    <row r="5" spans="1:18">
      <c r="A5" s="33" t="s">
        <v>2</v>
      </c>
      <c r="B5" s="33">
        <v>269</v>
      </c>
      <c r="C5" s="33">
        <v>143</v>
      </c>
      <c r="D5" s="33">
        <v>147</v>
      </c>
      <c r="E5" s="33">
        <v>150</v>
      </c>
      <c r="F5" s="33">
        <v>165</v>
      </c>
      <c r="G5" s="33">
        <v>151</v>
      </c>
      <c r="H5" s="33">
        <v>107</v>
      </c>
      <c r="I5" s="33">
        <v>132</v>
      </c>
      <c r="J5" s="33">
        <v>133</v>
      </c>
      <c r="K5" s="33">
        <v>141</v>
      </c>
      <c r="L5" s="33">
        <v>104</v>
      </c>
      <c r="M5" s="33">
        <v>118</v>
      </c>
      <c r="N5" s="33">
        <v>42</v>
      </c>
      <c r="O5" s="33">
        <v>48</v>
      </c>
      <c r="P5" s="33" t="s">
        <v>68</v>
      </c>
      <c r="Q5" s="101" t="s">
        <v>440</v>
      </c>
      <c r="R5" s="34" t="s">
        <v>572</v>
      </c>
    </row>
    <row r="6" spans="1:18">
      <c r="A6" s="33" t="s">
        <v>441</v>
      </c>
      <c r="B6" s="33">
        <v>99</v>
      </c>
      <c r="C6" s="33">
        <v>52</v>
      </c>
      <c r="D6" s="33">
        <v>50</v>
      </c>
      <c r="E6" s="33">
        <v>45</v>
      </c>
      <c r="F6" s="33">
        <v>49</v>
      </c>
      <c r="G6" s="33">
        <v>23</v>
      </c>
      <c r="H6" s="33">
        <v>16</v>
      </c>
      <c r="I6" s="33">
        <v>21</v>
      </c>
      <c r="J6" s="33">
        <v>23</v>
      </c>
      <c r="K6" s="33">
        <v>29</v>
      </c>
      <c r="L6" s="33">
        <v>11</v>
      </c>
      <c r="M6" s="33">
        <v>6</v>
      </c>
      <c r="N6" s="33">
        <v>3</v>
      </c>
      <c r="O6" s="33">
        <v>6</v>
      </c>
      <c r="P6" s="33" t="s">
        <v>68</v>
      </c>
      <c r="Q6" s="101" t="s">
        <v>440</v>
      </c>
      <c r="R6" s="34" t="s">
        <v>572</v>
      </c>
    </row>
    <row r="7" spans="1:18">
      <c r="A7" s="33" t="s">
        <v>442</v>
      </c>
      <c r="B7" s="33">
        <v>2</v>
      </c>
      <c r="C7" s="33">
        <v>1</v>
      </c>
      <c r="D7" s="33">
        <v>2</v>
      </c>
      <c r="E7" s="33">
        <v>0</v>
      </c>
      <c r="F7" s="33">
        <v>1</v>
      </c>
      <c r="G7" s="33">
        <v>0</v>
      </c>
      <c r="H7" s="33">
        <v>0</v>
      </c>
      <c r="I7" s="33">
        <v>2</v>
      </c>
      <c r="J7" s="33">
        <v>0</v>
      </c>
      <c r="K7" s="33">
        <v>3</v>
      </c>
      <c r="L7" s="33">
        <v>0</v>
      </c>
      <c r="M7" s="33">
        <v>4</v>
      </c>
      <c r="N7" s="33">
        <v>2</v>
      </c>
      <c r="O7" s="33">
        <v>0</v>
      </c>
      <c r="P7" s="33" t="s">
        <v>68</v>
      </c>
      <c r="Q7" s="101" t="s">
        <v>440</v>
      </c>
      <c r="R7" s="34" t="s">
        <v>572</v>
      </c>
    </row>
    <row r="8" spans="1:18">
      <c r="A8" s="33" t="s">
        <v>641</v>
      </c>
      <c r="B8" s="33">
        <v>1</v>
      </c>
      <c r="C8" s="33">
        <v>14</v>
      </c>
      <c r="D8" s="33">
        <v>22</v>
      </c>
      <c r="E8" s="33">
        <v>14</v>
      </c>
      <c r="F8" s="33">
        <v>18</v>
      </c>
      <c r="G8" s="33">
        <v>17</v>
      </c>
      <c r="H8" s="33">
        <v>16</v>
      </c>
      <c r="I8" s="33">
        <v>21</v>
      </c>
      <c r="J8" s="33">
        <v>14</v>
      </c>
      <c r="K8" s="33">
        <v>14</v>
      </c>
      <c r="L8" s="33">
        <v>11</v>
      </c>
      <c r="M8" s="33">
        <v>5</v>
      </c>
      <c r="N8" s="33">
        <v>6</v>
      </c>
      <c r="O8" s="33">
        <v>5</v>
      </c>
      <c r="P8" s="33" t="s">
        <v>68</v>
      </c>
      <c r="Q8" s="263" t="s">
        <v>440</v>
      </c>
      <c r="R8" s="34" t="s">
        <v>572</v>
      </c>
    </row>
    <row r="9" spans="1:18">
      <c r="A9" s="33" t="s">
        <v>444</v>
      </c>
      <c r="B9" s="33">
        <v>0</v>
      </c>
      <c r="C9" s="33">
        <v>1</v>
      </c>
      <c r="D9" s="33">
        <v>1</v>
      </c>
      <c r="E9" s="33">
        <v>0</v>
      </c>
      <c r="F9" s="33">
        <v>1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 t="s">
        <v>68</v>
      </c>
      <c r="Q9" s="101" t="s">
        <v>440</v>
      </c>
      <c r="R9" s="34" t="s">
        <v>572</v>
      </c>
    </row>
    <row r="10" spans="1:18">
      <c r="A10" s="33" t="s">
        <v>445</v>
      </c>
      <c r="B10" s="33">
        <v>1</v>
      </c>
      <c r="C10" s="33">
        <v>3</v>
      </c>
      <c r="D10" s="33">
        <v>4</v>
      </c>
      <c r="E10" s="33">
        <v>4</v>
      </c>
      <c r="F10" s="33">
        <v>3</v>
      </c>
      <c r="G10" s="33">
        <v>0</v>
      </c>
      <c r="H10" s="33">
        <v>3</v>
      </c>
      <c r="I10" s="33">
        <v>0</v>
      </c>
      <c r="J10" s="33">
        <v>0</v>
      </c>
      <c r="K10" s="33">
        <v>3</v>
      </c>
      <c r="L10" s="33">
        <v>0</v>
      </c>
      <c r="M10" s="33">
        <v>0</v>
      </c>
      <c r="N10" s="33">
        <v>0</v>
      </c>
      <c r="O10" s="33">
        <v>0</v>
      </c>
      <c r="P10" s="33" t="s">
        <v>68</v>
      </c>
      <c r="Q10" s="101" t="s">
        <v>440</v>
      </c>
      <c r="R10" s="34" t="s">
        <v>572</v>
      </c>
    </row>
    <row r="11" spans="1:18">
      <c r="A11" s="33" t="s">
        <v>446</v>
      </c>
      <c r="B11" s="33">
        <v>7</v>
      </c>
      <c r="C11" s="33">
        <v>4</v>
      </c>
      <c r="D11" s="33">
        <v>5</v>
      </c>
      <c r="E11" s="33">
        <v>6</v>
      </c>
      <c r="F11" s="33">
        <v>4</v>
      </c>
      <c r="G11" s="33">
        <v>2</v>
      </c>
      <c r="H11" s="33">
        <v>4</v>
      </c>
      <c r="I11" s="33">
        <v>6</v>
      </c>
      <c r="J11" s="33">
        <v>5</v>
      </c>
      <c r="K11" s="33">
        <v>3</v>
      </c>
      <c r="L11" s="33">
        <v>4</v>
      </c>
      <c r="M11" s="33">
        <v>0</v>
      </c>
      <c r="N11" s="33">
        <v>0</v>
      </c>
      <c r="O11" s="33">
        <v>0</v>
      </c>
      <c r="P11" s="33" t="s">
        <v>68</v>
      </c>
      <c r="Q11" s="101" t="s">
        <v>440</v>
      </c>
      <c r="R11" s="34" t="s">
        <v>572</v>
      </c>
    </row>
    <row r="12" spans="1:18">
      <c r="A12" s="33" t="s">
        <v>447</v>
      </c>
      <c r="B12" s="33">
        <v>5</v>
      </c>
      <c r="C12" s="33">
        <v>3</v>
      </c>
      <c r="D12" s="33">
        <v>4</v>
      </c>
      <c r="E12" s="33">
        <v>3</v>
      </c>
      <c r="F12" s="33">
        <v>4</v>
      </c>
      <c r="G12" s="33">
        <v>2</v>
      </c>
      <c r="H12" s="33">
        <v>1</v>
      </c>
      <c r="I12" s="33">
        <v>3</v>
      </c>
      <c r="J12" s="33">
        <v>2</v>
      </c>
      <c r="K12" s="33">
        <v>4</v>
      </c>
      <c r="L12" s="33">
        <v>3</v>
      </c>
      <c r="M12" s="33">
        <v>3</v>
      </c>
      <c r="N12" s="33">
        <v>1</v>
      </c>
      <c r="O12" s="33">
        <v>1</v>
      </c>
      <c r="P12" s="33" t="s">
        <v>68</v>
      </c>
      <c r="Q12" s="101" t="s">
        <v>440</v>
      </c>
      <c r="R12" s="34" t="s">
        <v>572</v>
      </c>
    </row>
    <row r="13" spans="1:18">
      <c r="A13" s="33" t="s">
        <v>10</v>
      </c>
      <c r="B13" s="33">
        <v>27</v>
      </c>
      <c r="C13" s="33">
        <v>23</v>
      </c>
      <c r="D13" s="33">
        <v>15</v>
      </c>
      <c r="E13" s="33">
        <v>16</v>
      </c>
      <c r="F13" s="33">
        <v>23</v>
      </c>
      <c r="G13" s="33">
        <v>13</v>
      </c>
      <c r="H13" s="33">
        <v>19</v>
      </c>
      <c r="I13" s="33">
        <v>16</v>
      </c>
      <c r="J13" s="33">
        <v>12</v>
      </c>
      <c r="K13" s="33">
        <v>20</v>
      </c>
      <c r="L13" s="33">
        <v>15</v>
      </c>
      <c r="M13" s="33">
        <v>9</v>
      </c>
      <c r="N13" s="33">
        <v>9</v>
      </c>
      <c r="O13" s="33">
        <v>12</v>
      </c>
      <c r="P13" s="33" t="s">
        <v>68</v>
      </c>
      <c r="Q13" s="101" t="s">
        <v>440</v>
      </c>
      <c r="R13" s="34" t="s">
        <v>572</v>
      </c>
    </row>
    <row r="14" spans="1:18">
      <c r="A14" s="33" t="s">
        <v>448</v>
      </c>
      <c r="B14" s="33">
        <v>68</v>
      </c>
      <c r="C14" s="33">
        <v>54</v>
      </c>
      <c r="D14" s="33">
        <v>36</v>
      </c>
      <c r="E14" s="33">
        <v>37</v>
      </c>
      <c r="F14" s="33">
        <v>53</v>
      </c>
      <c r="G14" s="33">
        <v>33</v>
      </c>
      <c r="H14" s="33">
        <v>32</v>
      </c>
      <c r="I14" s="33">
        <v>42</v>
      </c>
      <c r="J14" s="33">
        <v>37</v>
      </c>
      <c r="K14" s="33">
        <v>42</v>
      </c>
      <c r="L14" s="33">
        <v>27</v>
      </c>
      <c r="M14" s="33">
        <v>18</v>
      </c>
      <c r="N14" s="33">
        <v>15</v>
      </c>
      <c r="O14" s="33">
        <v>22</v>
      </c>
      <c r="P14" s="33" t="s">
        <v>68</v>
      </c>
      <c r="Q14" s="101" t="s">
        <v>440</v>
      </c>
      <c r="R14" s="34" t="s">
        <v>572</v>
      </c>
    </row>
    <row r="15" spans="1:18">
      <c r="A15" s="33" t="s">
        <v>14</v>
      </c>
      <c r="B15" s="33">
        <v>11</v>
      </c>
      <c r="C15" s="33">
        <v>5</v>
      </c>
      <c r="D15" s="33">
        <v>7</v>
      </c>
      <c r="E15" s="33">
        <v>5</v>
      </c>
      <c r="F15" s="33">
        <v>6</v>
      </c>
      <c r="G15" s="33">
        <v>3</v>
      </c>
      <c r="H15" s="33">
        <v>8</v>
      </c>
      <c r="I15" s="33">
        <v>5</v>
      </c>
      <c r="J15" s="33">
        <v>8</v>
      </c>
      <c r="K15" s="33">
        <v>10</v>
      </c>
      <c r="L15" s="33">
        <v>4</v>
      </c>
      <c r="M15" s="33">
        <v>5</v>
      </c>
      <c r="N15" s="33">
        <v>8</v>
      </c>
      <c r="O15" s="33">
        <v>8</v>
      </c>
      <c r="P15" s="33" t="s">
        <v>68</v>
      </c>
      <c r="Q15" s="101" t="s">
        <v>440</v>
      </c>
      <c r="R15" s="34" t="s">
        <v>572</v>
      </c>
    </row>
    <row r="16" spans="1:18">
      <c r="A16" s="33" t="s">
        <v>449</v>
      </c>
      <c r="B16" s="33">
        <v>14</v>
      </c>
      <c r="C16" s="33">
        <v>16</v>
      </c>
      <c r="D16" s="33">
        <v>10</v>
      </c>
      <c r="E16" s="33">
        <v>10</v>
      </c>
      <c r="F16" s="33">
        <v>13</v>
      </c>
      <c r="G16" s="33">
        <v>5</v>
      </c>
      <c r="H16" s="33">
        <v>6</v>
      </c>
      <c r="I16" s="33">
        <v>6</v>
      </c>
      <c r="J16" s="33">
        <v>11</v>
      </c>
      <c r="K16" s="33">
        <v>8</v>
      </c>
      <c r="L16" s="33">
        <v>4</v>
      </c>
      <c r="M16" s="33">
        <v>6</v>
      </c>
      <c r="N16" s="33">
        <v>2</v>
      </c>
      <c r="O16" s="33">
        <v>3</v>
      </c>
      <c r="P16" s="33" t="s">
        <v>68</v>
      </c>
      <c r="Q16" s="101" t="s">
        <v>440</v>
      </c>
      <c r="R16" s="34" t="s">
        <v>572</v>
      </c>
    </row>
    <row r="17" spans="1:18">
      <c r="A17" s="33" t="s">
        <v>450</v>
      </c>
      <c r="B17" s="33">
        <v>259</v>
      </c>
      <c r="C17" s="33">
        <v>214</v>
      </c>
      <c r="D17" s="33">
        <v>143</v>
      </c>
      <c r="E17" s="33">
        <v>128</v>
      </c>
      <c r="F17" s="33">
        <v>131</v>
      </c>
      <c r="G17" s="33">
        <v>97</v>
      </c>
      <c r="H17" s="33">
        <v>56</v>
      </c>
      <c r="I17" s="33">
        <v>77</v>
      </c>
      <c r="J17" s="33">
        <v>64</v>
      </c>
      <c r="K17" s="33">
        <v>70</v>
      </c>
      <c r="L17" s="33">
        <v>39</v>
      </c>
      <c r="M17" s="33">
        <v>20</v>
      </c>
      <c r="N17" s="33">
        <v>10</v>
      </c>
      <c r="O17" s="33">
        <v>17</v>
      </c>
      <c r="P17" s="33" t="s">
        <v>68</v>
      </c>
      <c r="Q17" s="263" t="s">
        <v>440</v>
      </c>
      <c r="R17" s="34" t="s">
        <v>572</v>
      </c>
    </row>
    <row r="18" spans="1:18">
      <c r="A18" s="184" t="s">
        <v>451</v>
      </c>
      <c r="B18" s="185">
        <v>2010</v>
      </c>
      <c r="C18" s="185">
        <v>2011</v>
      </c>
      <c r="D18" s="185">
        <v>2012</v>
      </c>
      <c r="E18" s="185">
        <v>2013</v>
      </c>
      <c r="F18" s="185">
        <v>2014</v>
      </c>
      <c r="G18" s="185">
        <v>2015</v>
      </c>
      <c r="H18" s="185">
        <v>2016</v>
      </c>
      <c r="I18" s="185">
        <v>2017</v>
      </c>
      <c r="J18" s="185">
        <v>2018</v>
      </c>
      <c r="K18" s="185">
        <v>2019</v>
      </c>
      <c r="L18" s="185">
        <v>2020</v>
      </c>
      <c r="M18" s="185">
        <v>2021</v>
      </c>
      <c r="N18" s="185">
        <v>2022</v>
      </c>
      <c r="O18" s="185">
        <v>2023</v>
      </c>
      <c r="P18" s="186" t="s">
        <v>21</v>
      </c>
      <c r="Q18" s="186" t="s">
        <v>22</v>
      </c>
      <c r="R18" s="186" t="s">
        <v>23</v>
      </c>
    </row>
    <row r="19" spans="1:18">
      <c r="A19" s="187" t="s">
        <v>439</v>
      </c>
      <c r="B19" s="187"/>
      <c r="C19" s="187"/>
      <c r="D19" s="187"/>
      <c r="E19" s="187"/>
      <c r="F19" s="187"/>
      <c r="G19" s="187"/>
      <c r="H19" s="187"/>
      <c r="I19" s="187"/>
      <c r="J19" s="187"/>
      <c r="K19" s="187"/>
      <c r="L19" s="187"/>
      <c r="M19" s="187"/>
      <c r="N19" s="187"/>
      <c r="O19" s="187"/>
      <c r="P19" s="29"/>
      <c r="Q19" s="29"/>
      <c r="R19" s="29"/>
    </row>
    <row r="20" spans="1:18">
      <c r="A20" s="33" t="s">
        <v>2</v>
      </c>
      <c r="B20" s="407">
        <v>34</v>
      </c>
      <c r="C20" s="407">
        <v>22</v>
      </c>
      <c r="D20" s="407">
        <v>37</v>
      </c>
      <c r="E20" s="407">
        <v>26</v>
      </c>
      <c r="F20" s="407">
        <v>26</v>
      </c>
      <c r="G20" s="407">
        <v>24</v>
      </c>
      <c r="H20" s="407">
        <v>23</v>
      </c>
      <c r="I20" s="407">
        <v>16</v>
      </c>
      <c r="J20" s="407">
        <v>14</v>
      </c>
      <c r="K20" s="407">
        <v>14</v>
      </c>
      <c r="L20" s="407">
        <v>15</v>
      </c>
      <c r="M20" s="407">
        <v>16</v>
      </c>
      <c r="N20" s="33">
        <v>6</v>
      </c>
      <c r="O20" s="33">
        <v>14</v>
      </c>
      <c r="P20" s="33" t="s">
        <v>451</v>
      </c>
      <c r="Q20" s="64" t="s">
        <v>452</v>
      </c>
      <c r="R20" s="34" t="s">
        <v>572</v>
      </c>
    </row>
    <row r="21" spans="1:18" ht="15.75" customHeight="1">
      <c r="A21" s="33" t="s">
        <v>441</v>
      </c>
      <c r="B21" s="407">
        <v>24</v>
      </c>
      <c r="C21" s="407">
        <v>19</v>
      </c>
      <c r="D21" s="407">
        <v>14</v>
      </c>
      <c r="E21" s="407">
        <v>11</v>
      </c>
      <c r="F21" s="407">
        <v>9</v>
      </c>
      <c r="G21" s="407">
        <v>13</v>
      </c>
      <c r="H21" s="407">
        <v>10</v>
      </c>
      <c r="I21" s="407">
        <v>2</v>
      </c>
      <c r="J21" s="407">
        <v>3</v>
      </c>
      <c r="K21" s="407">
        <v>3</v>
      </c>
      <c r="L21" s="407">
        <v>3</v>
      </c>
      <c r="M21" s="407">
        <v>4</v>
      </c>
      <c r="N21" s="33">
        <v>3</v>
      </c>
      <c r="O21" s="33">
        <v>3</v>
      </c>
      <c r="P21" s="33" t="s">
        <v>451</v>
      </c>
      <c r="Q21" s="64" t="s">
        <v>452</v>
      </c>
      <c r="R21" s="34" t="s">
        <v>572</v>
      </c>
    </row>
    <row r="22" spans="1:18" ht="15.75" customHeight="1">
      <c r="A22" s="33" t="s">
        <v>442</v>
      </c>
      <c r="B22" s="408">
        <v>1</v>
      </c>
      <c r="C22" s="408">
        <v>1</v>
      </c>
      <c r="D22" s="408">
        <v>0</v>
      </c>
      <c r="E22" s="408">
        <v>1</v>
      </c>
      <c r="F22" s="408">
        <v>1</v>
      </c>
      <c r="G22" s="408">
        <v>0</v>
      </c>
      <c r="H22" s="408">
        <v>0</v>
      </c>
      <c r="I22" s="408">
        <v>0</v>
      </c>
      <c r="J22" s="408">
        <v>0</v>
      </c>
      <c r="K22" s="408">
        <v>0</v>
      </c>
      <c r="L22" s="408">
        <v>0</v>
      </c>
      <c r="M22" s="408">
        <v>0</v>
      </c>
      <c r="N22" s="33">
        <v>1</v>
      </c>
      <c r="O22" s="33">
        <v>0</v>
      </c>
      <c r="P22" s="33" t="s">
        <v>451</v>
      </c>
      <c r="Q22" s="293" t="s">
        <v>452</v>
      </c>
      <c r="R22" s="34" t="s">
        <v>572</v>
      </c>
    </row>
    <row r="23" spans="1:18" ht="15.75" customHeight="1">
      <c r="A23" s="33" t="s">
        <v>641</v>
      </c>
      <c r="B23" s="33">
        <v>0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2</v>
      </c>
      <c r="P23" s="33" t="s">
        <v>451</v>
      </c>
      <c r="Q23" s="264" t="s">
        <v>452</v>
      </c>
      <c r="R23" s="34" t="s">
        <v>572</v>
      </c>
    </row>
    <row r="24" spans="1:18" ht="15.75" customHeight="1">
      <c r="A24" s="33" t="s">
        <v>444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0</v>
      </c>
      <c r="P24" s="33" t="s">
        <v>451</v>
      </c>
      <c r="Q24" s="64" t="s">
        <v>452</v>
      </c>
      <c r="R24" s="34" t="s">
        <v>572</v>
      </c>
    </row>
    <row r="25" spans="1:18" ht="15.75" customHeight="1">
      <c r="A25" s="33" t="s">
        <v>445</v>
      </c>
      <c r="B25" s="408">
        <v>1</v>
      </c>
      <c r="C25" s="408">
        <v>0</v>
      </c>
      <c r="D25" s="408">
        <v>0</v>
      </c>
      <c r="E25" s="408">
        <v>0</v>
      </c>
      <c r="F25" s="408">
        <v>1</v>
      </c>
      <c r="G25" s="408">
        <v>0</v>
      </c>
      <c r="H25" s="408">
        <v>1</v>
      </c>
      <c r="I25" s="408">
        <v>0</v>
      </c>
      <c r="J25" s="408">
        <v>0</v>
      </c>
      <c r="K25" s="408">
        <v>0</v>
      </c>
      <c r="L25" s="408">
        <v>2</v>
      </c>
      <c r="M25" s="408">
        <v>0</v>
      </c>
      <c r="N25" s="33">
        <v>0</v>
      </c>
      <c r="O25" s="33">
        <v>0</v>
      </c>
      <c r="P25" s="33" t="s">
        <v>451</v>
      </c>
      <c r="Q25" s="136" t="s">
        <v>452</v>
      </c>
      <c r="R25" s="34" t="s">
        <v>572</v>
      </c>
    </row>
    <row r="26" spans="1:18" ht="15.75" customHeight="1">
      <c r="A26" s="33" t="s">
        <v>446</v>
      </c>
      <c r="B26" s="408">
        <v>0</v>
      </c>
      <c r="C26" s="408">
        <v>1</v>
      </c>
      <c r="D26" s="408">
        <v>0</v>
      </c>
      <c r="E26" s="408">
        <v>0</v>
      </c>
      <c r="F26" s="408">
        <v>0</v>
      </c>
      <c r="G26" s="408">
        <v>0</v>
      </c>
      <c r="H26" s="408">
        <v>2</v>
      </c>
      <c r="I26" s="408">
        <v>0</v>
      </c>
      <c r="J26" s="408">
        <v>1</v>
      </c>
      <c r="K26" s="408">
        <v>0</v>
      </c>
      <c r="L26" s="408">
        <v>0</v>
      </c>
      <c r="M26" s="408">
        <v>0</v>
      </c>
      <c r="N26" s="33">
        <v>0</v>
      </c>
      <c r="O26" s="33">
        <v>0</v>
      </c>
      <c r="P26" s="33" t="s">
        <v>451</v>
      </c>
      <c r="Q26" s="64" t="s">
        <v>452</v>
      </c>
      <c r="R26" s="34" t="s">
        <v>572</v>
      </c>
    </row>
    <row r="27" spans="1:18" ht="15.75" customHeight="1">
      <c r="A27" s="33" t="s">
        <v>447</v>
      </c>
      <c r="B27" s="408">
        <v>1</v>
      </c>
      <c r="C27" s="408">
        <v>0</v>
      </c>
      <c r="D27" s="408">
        <v>0</v>
      </c>
      <c r="E27" s="408">
        <v>1</v>
      </c>
      <c r="F27" s="408">
        <v>0</v>
      </c>
      <c r="G27" s="408">
        <v>0</v>
      </c>
      <c r="H27" s="408">
        <v>3</v>
      </c>
      <c r="I27" s="408">
        <v>0</v>
      </c>
      <c r="J27" s="408">
        <v>3</v>
      </c>
      <c r="K27" s="408">
        <v>3</v>
      </c>
      <c r="L27" s="408">
        <v>0</v>
      </c>
      <c r="M27" s="408">
        <v>0</v>
      </c>
      <c r="N27" s="33">
        <v>3</v>
      </c>
      <c r="O27" s="33">
        <v>1</v>
      </c>
      <c r="P27" s="33" t="s">
        <v>451</v>
      </c>
      <c r="Q27" s="64" t="s">
        <v>452</v>
      </c>
      <c r="R27" s="34" t="s">
        <v>572</v>
      </c>
    </row>
    <row r="28" spans="1:18" ht="15.75" customHeight="1">
      <c r="A28" s="33" t="s">
        <v>10</v>
      </c>
      <c r="B28" s="408">
        <v>7</v>
      </c>
      <c r="C28" s="408">
        <v>4</v>
      </c>
      <c r="D28" s="408">
        <v>8</v>
      </c>
      <c r="E28" s="408">
        <v>7</v>
      </c>
      <c r="F28" s="408">
        <v>8</v>
      </c>
      <c r="G28" s="408">
        <v>1</v>
      </c>
      <c r="H28" s="408">
        <v>5</v>
      </c>
      <c r="I28" s="408">
        <v>4</v>
      </c>
      <c r="J28" s="408">
        <v>1</v>
      </c>
      <c r="K28" s="408">
        <v>5</v>
      </c>
      <c r="L28" s="408">
        <v>5</v>
      </c>
      <c r="M28" s="408">
        <v>6</v>
      </c>
      <c r="N28" s="33">
        <v>8</v>
      </c>
      <c r="O28" s="33">
        <v>8</v>
      </c>
      <c r="P28" s="33" t="s">
        <v>451</v>
      </c>
      <c r="Q28" s="64" t="s">
        <v>452</v>
      </c>
      <c r="R28" s="34" t="s">
        <v>572</v>
      </c>
    </row>
    <row r="29" spans="1:18" ht="15.75" customHeight="1">
      <c r="A29" s="33" t="s">
        <v>448</v>
      </c>
      <c r="B29" s="408">
        <v>1</v>
      </c>
      <c r="C29" s="408">
        <v>6</v>
      </c>
      <c r="D29" s="408">
        <v>8</v>
      </c>
      <c r="E29" s="408">
        <v>4</v>
      </c>
      <c r="F29" s="408">
        <v>2</v>
      </c>
      <c r="G29" s="408">
        <v>10</v>
      </c>
      <c r="H29" s="408">
        <v>6</v>
      </c>
      <c r="I29" s="408">
        <v>3</v>
      </c>
      <c r="J29" s="408">
        <v>4</v>
      </c>
      <c r="K29" s="408">
        <v>6</v>
      </c>
      <c r="L29" s="408">
        <v>5</v>
      </c>
      <c r="M29" s="408">
        <v>7</v>
      </c>
      <c r="N29" s="33">
        <v>7</v>
      </c>
      <c r="O29" s="33">
        <v>9</v>
      </c>
      <c r="P29" s="33" t="s">
        <v>451</v>
      </c>
      <c r="Q29" s="64" t="s">
        <v>452</v>
      </c>
      <c r="R29" s="34" t="s">
        <v>572</v>
      </c>
    </row>
    <row r="30" spans="1:18" ht="15.75" customHeight="1">
      <c r="A30" s="33" t="s">
        <v>14</v>
      </c>
      <c r="B30" s="411">
        <v>6</v>
      </c>
      <c r="C30" s="411">
        <v>1</v>
      </c>
      <c r="D30" s="411">
        <v>3</v>
      </c>
      <c r="E30" s="411">
        <v>13</v>
      </c>
      <c r="F30" s="411">
        <v>10</v>
      </c>
      <c r="G30" s="411">
        <v>4</v>
      </c>
      <c r="H30" s="411">
        <v>5</v>
      </c>
      <c r="I30" s="411">
        <v>6</v>
      </c>
      <c r="J30" s="411">
        <v>7</v>
      </c>
      <c r="K30" s="411">
        <v>4</v>
      </c>
      <c r="L30" s="411">
        <v>5</v>
      </c>
      <c r="M30" s="411">
        <v>10</v>
      </c>
      <c r="N30" s="33">
        <v>6</v>
      </c>
      <c r="O30" s="33">
        <v>11</v>
      </c>
      <c r="P30" s="33" t="s">
        <v>451</v>
      </c>
      <c r="Q30" s="64" t="s">
        <v>452</v>
      </c>
      <c r="R30" s="34" t="s">
        <v>572</v>
      </c>
    </row>
    <row r="31" spans="1:18" ht="15.75" customHeight="1">
      <c r="A31" s="33" t="s">
        <v>449</v>
      </c>
      <c r="B31" s="408">
        <v>2</v>
      </c>
      <c r="C31" s="408">
        <v>6</v>
      </c>
      <c r="D31" s="408">
        <v>4</v>
      </c>
      <c r="E31" s="408">
        <v>8</v>
      </c>
      <c r="F31" s="408">
        <v>4</v>
      </c>
      <c r="G31" s="408">
        <v>7</v>
      </c>
      <c r="H31" s="408">
        <v>4</v>
      </c>
      <c r="I31" s="408">
        <v>4</v>
      </c>
      <c r="J31" s="408">
        <v>8</v>
      </c>
      <c r="K31" s="408">
        <v>1</v>
      </c>
      <c r="L31" s="408">
        <v>2</v>
      </c>
      <c r="M31" s="408">
        <v>5</v>
      </c>
      <c r="N31" s="33">
        <v>2</v>
      </c>
      <c r="O31" s="33">
        <v>6</v>
      </c>
      <c r="P31" s="33" t="s">
        <v>451</v>
      </c>
      <c r="Q31" s="64" t="s">
        <v>452</v>
      </c>
      <c r="R31" s="34" t="s">
        <v>572</v>
      </c>
    </row>
    <row r="32" spans="1:18" ht="15.75" customHeight="1">
      <c r="A32" s="33" t="s">
        <v>450</v>
      </c>
      <c r="B32" s="409">
        <v>128</v>
      </c>
      <c r="C32" s="409">
        <v>113</v>
      </c>
      <c r="D32" s="409">
        <v>124</v>
      </c>
      <c r="E32" s="409">
        <v>105</v>
      </c>
      <c r="F32" s="409">
        <v>102</v>
      </c>
      <c r="G32" s="409">
        <v>88</v>
      </c>
      <c r="H32" s="409">
        <v>88</v>
      </c>
      <c r="I32" s="409">
        <v>59</v>
      </c>
      <c r="J32" s="409">
        <v>52</v>
      </c>
      <c r="K32" s="409">
        <v>57</v>
      </c>
      <c r="L32" s="409">
        <v>28</v>
      </c>
      <c r="M32" s="409">
        <v>25</v>
      </c>
      <c r="N32" s="33">
        <v>24</v>
      </c>
      <c r="O32" s="33">
        <v>25</v>
      </c>
      <c r="P32" s="33" t="s">
        <v>451</v>
      </c>
      <c r="Q32" s="264" t="s">
        <v>452</v>
      </c>
      <c r="R32" s="34" t="s">
        <v>572</v>
      </c>
    </row>
    <row r="33" spans="1:18">
      <c r="A33" s="184" t="s">
        <v>573</v>
      </c>
      <c r="B33" s="185">
        <v>2010</v>
      </c>
      <c r="C33" s="185">
        <v>2011</v>
      </c>
      <c r="D33" s="185">
        <v>2012</v>
      </c>
      <c r="E33" s="185">
        <v>2013</v>
      </c>
      <c r="F33" s="185">
        <v>2014</v>
      </c>
      <c r="G33" s="185">
        <v>2015</v>
      </c>
      <c r="H33" s="185">
        <v>2016</v>
      </c>
      <c r="I33" s="185">
        <v>2017</v>
      </c>
      <c r="J33" s="185">
        <v>2018</v>
      </c>
      <c r="K33" s="185">
        <v>2019</v>
      </c>
      <c r="L33" s="185">
        <v>2020</v>
      </c>
      <c r="M33" s="185">
        <v>2021</v>
      </c>
      <c r="N33" s="185">
        <v>2022</v>
      </c>
      <c r="O33" s="185">
        <v>2023</v>
      </c>
      <c r="P33" s="186" t="s">
        <v>21</v>
      </c>
      <c r="Q33" s="186" t="s">
        <v>22</v>
      </c>
      <c r="R33" s="186" t="s">
        <v>23</v>
      </c>
    </row>
    <row r="34" spans="1:18">
      <c r="A34" s="187" t="s">
        <v>439</v>
      </c>
      <c r="B34" s="187"/>
      <c r="C34" s="187"/>
      <c r="D34" s="187"/>
      <c r="E34" s="187"/>
      <c r="F34" s="187"/>
      <c r="G34" s="187"/>
      <c r="H34" s="187"/>
      <c r="I34" s="187"/>
      <c r="J34" s="187"/>
      <c r="K34" s="187"/>
      <c r="L34" s="187"/>
      <c r="M34" s="187"/>
      <c r="N34" s="187"/>
      <c r="O34" s="187"/>
      <c r="P34" s="29"/>
      <c r="Q34" s="29"/>
      <c r="R34" s="29"/>
    </row>
    <row r="35" spans="1:18">
      <c r="A35" s="33" t="s">
        <v>2</v>
      </c>
      <c r="B35" s="407">
        <f>+B5+B20</f>
        <v>303</v>
      </c>
      <c r="C35" s="407">
        <f t="shared" ref="C35:O35" si="0">+C5+C20</f>
        <v>165</v>
      </c>
      <c r="D35" s="407">
        <f t="shared" si="0"/>
        <v>184</v>
      </c>
      <c r="E35" s="407">
        <f t="shared" si="0"/>
        <v>176</v>
      </c>
      <c r="F35" s="407">
        <f t="shared" si="0"/>
        <v>191</v>
      </c>
      <c r="G35" s="407">
        <f t="shared" si="0"/>
        <v>175</v>
      </c>
      <c r="H35" s="407">
        <f t="shared" si="0"/>
        <v>130</v>
      </c>
      <c r="I35" s="407">
        <f t="shared" si="0"/>
        <v>148</v>
      </c>
      <c r="J35" s="407">
        <f t="shared" si="0"/>
        <v>147</v>
      </c>
      <c r="K35" s="407">
        <f t="shared" si="0"/>
        <v>155</v>
      </c>
      <c r="L35" s="407">
        <f t="shared" si="0"/>
        <v>119</v>
      </c>
      <c r="M35" s="407">
        <f t="shared" si="0"/>
        <v>134</v>
      </c>
      <c r="N35" s="407">
        <f t="shared" si="0"/>
        <v>48</v>
      </c>
      <c r="O35" s="407">
        <f t="shared" si="0"/>
        <v>62</v>
      </c>
      <c r="P35" s="33" t="s">
        <v>451</v>
      </c>
      <c r="Q35" s="64" t="s">
        <v>452</v>
      </c>
      <c r="R35" s="34" t="s">
        <v>572</v>
      </c>
    </row>
    <row r="36" spans="1:18" ht="15.75" customHeight="1">
      <c r="A36" s="33" t="s">
        <v>441</v>
      </c>
      <c r="B36" s="407">
        <f t="shared" ref="B36:O47" si="1">+B6+B21</f>
        <v>123</v>
      </c>
      <c r="C36" s="407">
        <f t="shared" si="1"/>
        <v>71</v>
      </c>
      <c r="D36" s="407">
        <f t="shared" si="1"/>
        <v>64</v>
      </c>
      <c r="E36" s="407">
        <f t="shared" si="1"/>
        <v>56</v>
      </c>
      <c r="F36" s="407">
        <f t="shared" si="1"/>
        <v>58</v>
      </c>
      <c r="G36" s="407">
        <f t="shared" si="1"/>
        <v>36</v>
      </c>
      <c r="H36" s="407">
        <f t="shared" si="1"/>
        <v>26</v>
      </c>
      <c r="I36" s="407">
        <f t="shared" si="1"/>
        <v>23</v>
      </c>
      <c r="J36" s="407">
        <f t="shared" si="1"/>
        <v>26</v>
      </c>
      <c r="K36" s="407">
        <f t="shared" si="1"/>
        <v>32</v>
      </c>
      <c r="L36" s="407">
        <f t="shared" si="1"/>
        <v>14</v>
      </c>
      <c r="M36" s="407">
        <f t="shared" si="1"/>
        <v>10</v>
      </c>
      <c r="N36" s="407">
        <f t="shared" si="1"/>
        <v>6</v>
      </c>
      <c r="O36" s="407">
        <f t="shared" si="1"/>
        <v>9</v>
      </c>
      <c r="P36" s="33" t="s">
        <v>451</v>
      </c>
      <c r="Q36" s="64" t="s">
        <v>452</v>
      </c>
      <c r="R36" s="34" t="s">
        <v>572</v>
      </c>
    </row>
    <row r="37" spans="1:18" ht="15.75" customHeight="1">
      <c r="A37" s="33" t="s">
        <v>442</v>
      </c>
      <c r="B37" s="407">
        <f t="shared" si="1"/>
        <v>3</v>
      </c>
      <c r="C37" s="407">
        <f t="shared" si="1"/>
        <v>2</v>
      </c>
      <c r="D37" s="407">
        <f t="shared" si="1"/>
        <v>2</v>
      </c>
      <c r="E37" s="407">
        <f t="shared" si="1"/>
        <v>1</v>
      </c>
      <c r="F37" s="407">
        <f t="shared" si="1"/>
        <v>2</v>
      </c>
      <c r="G37" s="407">
        <f t="shared" si="1"/>
        <v>0</v>
      </c>
      <c r="H37" s="407">
        <f t="shared" si="1"/>
        <v>0</v>
      </c>
      <c r="I37" s="407">
        <f t="shared" si="1"/>
        <v>2</v>
      </c>
      <c r="J37" s="407">
        <f t="shared" si="1"/>
        <v>0</v>
      </c>
      <c r="K37" s="407">
        <f t="shared" si="1"/>
        <v>3</v>
      </c>
      <c r="L37" s="407">
        <f t="shared" si="1"/>
        <v>0</v>
      </c>
      <c r="M37" s="407">
        <f t="shared" si="1"/>
        <v>4</v>
      </c>
      <c r="N37" s="407">
        <f t="shared" si="1"/>
        <v>3</v>
      </c>
      <c r="O37" s="407">
        <f t="shared" si="1"/>
        <v>0</v>
      </c>
      <c r="P37" s="33" t="s">
        <v>451</v>
      </c>
      <c r="Q37" s="293" t="s">
        <v>452</v>
      </c>
      <c r="R37" s="34" t="s">
        <v>572</v>
      </c>
    </row>
    <row r="38" spans="1:18" ht="15.75" customHeight="1">
      <c r="A38" s="33" t="s">
        <v>641</v>
      </c>
      <c r="B38" s="407">
        <f t="shared" si="1"/>
        <v>1</v>
      </c>
      <c r="C38" s="407">
        <f t="shared" si="1"/>
        <v>14</v>
      </c>
      <c r="D38" s="407">
        <f t="shared" si="1"/>
        <v>22</v>
      </c>
      <c r="E38" s="407">
        <f t="shared" si="1"/>
        <v>14</v>
      </c>
      <c r="F38" s="407">
        <f t="shared" si="1"/>
        <v>18</v>
      </c>
      <c r="G38" s="407">
        <f t="shared" si="1"/>
        <v>17</v>
      </c>
      <c r="H38" s="407">
        <f t="shared" si="1"/>
        <v>16</v>
      </c>
      <c r="I38" s="407">
        <f t="shared" si="1"/>
        <v>21</v>
      </c>
      <c r="J38" s="407">
        <f t="shared" si="1"/>
        <v>14</v>
      </c>
      <c r="K38" s="407">
        <f t="shared" si="1"/>
        <v>14</v>
      </c>
      <c r="L38" s="407">
        <f t="shared" si="1"/>
        <v>11</v>
      </c>
      <c r="M38" s="407">
        <f t="shared" si="1"/>
        <v>5</v>
      </c>
      <c r="N38" s="407">
        <f t="shared" si="1"/>
        <v>6</v>
      </c>
      <c r="O38" s="407">
        <f t="shared" si="1"/>
        <v>7</v>
      </c>
      <c r="P38" s="33" t="s">
        <v>451</v>
      </c>
      <c r="Q38" s="264" t="s">
        <v>452</v>
      </c>
      <c r="R38" s="34" t="s">
        <v>572</v>
      </c>
    </row>
    <row r="39" spans="1:18" ht="15.75" customHeight="1">
      <c r="A39" s="33" t="s">
        <v>444</v>
      </c>
      <c r="B39" s="407">
        <f t="shared" si="1"/>
        <v>0</v>
      </c>
      <c r="C39" s="407">
        <f t="shared" si="1"/>
        <v>1</v>
      </c>
      <c r="D39" s="407">
        <f t="shared" si="1"/>
        <v>1</v>
      </c>
      <c r="E39" s="407">
        <f t="shared" si="1"/>
        <v>0</v>
      </c>
      <c r="F39" s="407">
        <f t="shared" si="1"/>
        <v>1</v>
      </c>
      <c r="G39" s="407">
        <f t="shared" si="1"/>
        <v>0</v>
      </c>
      <c r="H39" s="407">
        <f t="shared" si="1"/>
        <v>0</v>
      </c>
      <c r="I39" s="407">
        <f t="shared" si="1"/>
        <v>0</v>
      </c>
      <c r="J39" s="407">
        <f t="shared" si="1"/>
        <v>0</v>
      </c>
      <c r="K39" s="407">
        <f t="shared" si="1"/>
        <v>0</v>
      </c>
      <c r="L39" s="407">
        <f t="shared" si="1"/>
        <v>0</v>
      </c>
      <c r="M39" s="407">
        <f t="shared" si="1"/>
        <v>0</v>
      </c>
      <c r="N39" s="407">
        <f t="shared" si="1"/>
        <v>0</v>
      </c>
      <c r="O39" s="407">
        <f t="shared" si="1"/>
        <v>0</v>
      </c>
      <c r="P39" s="33" t="s">
        <v>451</v>
      </c>
      <c r="Q39" s="64" t="s">
        <v>452</v>
      </c>
      <c r="R39" s="34" t="s">
        <v>572</v>
      </c>
    </row>
    <row r="40" spans="1:18" ht="15.75" customHeight="1">
      <c r="A40" s="33" t="s">
        <v>445</v>
      </c>
      <c r="B40" s="407">
        <f t="shared" si="1"/>
        <v>2</v>
      </c>
      <c r="C40" s="407">
        <f t="shared" si="1"/>
        <v>3</v>
      </c>
      <c r="D40" s="407">
        <f t="shared" si="1"/>
        <v>4</v>
      </c>
      <c r="E40" s="407">
        <f t="shared" si="1"/>
        <v>4</v>
      </c>
      <c r="F40" s="407">
        <f t="shared" si="1"/>
        <v>4</v>
      </c>
      <c r="G40" s="407">
        <f t="shared" si="1"/>
        <v>0</v>
      </c>
      <c r="H40" s="407">
        <f t="shared" si="1"/>
        <v>4</v>
      </c>
      <c r="I40" s="407">
        <f t="shared" si="1"/>
        <v>0</v>
      </c>
      <c r="J40" s="407">
        <f t="shared" si="1"/>
        <v>0</v>
      </c>
      <c r="K40" s="407">
        <f t="shared" si="1"/>
        <v>3</v>
      </c>
      <c r="L40" s="407">
        <f t="shared" si="1"/>
        <v>2</v>
      </c>
      <c r="M40" s="407">
        <f t="shared" si="1"/>
        <v>0</v>
      </c>
      <c r="N40" s="407">
        <f t="shared" si="1"/>
        <v>0</v>
      </c>
      <c r="O40" s="407">
        <f t="shared" si="1"/>
        <v>0</v>
      </c>
      <c r="P40" s="33" t="s">
        <v>451</v>
      </c>
      <c r="Q40" s="136" t="s">
        <v>452</v>
      </c>
      <c r="R40" s="34" t="s">
        <v>572</v>
      </c>
    </row>
    <row r="41" spans="1:18" ht="15.75" customHeight="1">
      <c r="A41" s="33" t="s">
        <v>446</v>
      </c>
      <c r="B41" s="407">
        <f t="shared" si="1"/>
        <v>7</v>
      </c>
      <c r="C41" s="407">
        <f t="shared" si="1"/>
        <v>5</v>
      </c>
      <c r="D41" s="407">
        <f t="shared" si="1"/>
        <v>5</v>
      </c>
      <c r="E41" s="407">
        <f t="shared" si="1"/>
        <v>6</v>
      </c>
      <c r="F41" s="407">
        <f t="shared" si="1"/>
        <v>4</v>
      </c>
      <c r="G41" s="407">
        <f t="shared" si="1"/>
        <v>2</v>
      </c>
      <c r="H41" s="407">
        <f t="shared" si="1"/>
        <v>6</v>
      </c>
      <c r="I41" s="407">
        <f t="shared" si="1"/>
        <v>6</v>
      </c>
      <c r="J41" s="407">
        <f t="shared" si="1"/>
        <v>6</v>
      </c>
      <c r="K41" s="407">
        <f t="shared" si="1"/>
        <v>3</v>
      </c>
      <c r="L41" s="407">
        <f t="shared" si="1"/>
        <v>4</v>
      </c>
      <c r="M41" s="407">
        <f t="shared" si="1"/>
        <v>0</v>
      </c>
      <c r="N41" s="407">
        <f t="shared" si="1"/>
        <v>0</v>
      </c>
      <c r="O41" s="407">
        <f t="shared" si="1"/>
        <v>0</v>
      </c>
      <c r="P41" s="33" t="s">
        <v>451</v>
      </c>
      <c r="Q41" s="64" t="s">
        <v>452</v>
      </c>
      <c r="R41" s="34" t="s">
        <v>572</v>
      </c>
    </row>
    <row r="42" spans="1:18" ht="15.75" customHeight="1">
      <c r="A42" s="33" t="s">
        <v>447</v>
      </c>
      <c r="B42" s="407">
        <f t="shared" si="1"/>
        <v>6</v>
      </c>
      <c r="C42" s="407">
        <f t="shared" si="1"/>
        <v>3</v>
      </c>
      <c r="D42" s="407">
        <f t="shared" si="1"/>
        <v>4</v>
      </c>
      <c r="E42" s="407">
        <f t="shared" si="1"/>
        <v>4</v>
      </c>
      <c r="F42" s="407">
        <f t="shared" si="1"/>
        <v>4</v>
      </c>
      <c r="G42" s="407">
        <f t="shared" si="1"/>
        <v>2</v>
      </c>
      <c r="H42" s="407">
        <f t="shared" si="1"/>
        <v>4</v>
      </c>
      <c r="I42" s="407">
        <f t="shared" si="1"/>
        <v>3</v>
      </c>
      <c r="J42" s="407">
        <f t="shared" si="1"/>
        <v>5</v>
      </c>
      <c r="K42" s="407">
        <f t="shared" si="1"/>
        <v>7</v>
      </c>
      <c r="L42" s="407">
        <f t="shared" si="1"/>
        <v>3</v>
      </c>
      <c r="M42" s="407">
        <f t="shared" si="1"/>
        <v>3</v>
      </c>
      <c r="N42" s="407">
        <f t="shared" si="1"/>
        <v>4</v>
      </c>
      <c r="O42" s="407">
        <f t="shared" si="1"/>
        <v>2</v>
      </c>
      <c r="P42" s="33" t="s">
        <v>451</v>
      </c>
      <c r="Q42" s="64" t="s">
        <v>452</v>
      </c>
      <c r="R42" s="34" t="s">
        <v>572</v>
      </c>
    </row>
    <row r="43" spans="1:18" ht="15.75" customHeight="1">
      <c r="A43" s="33" t="s">
        <v>10</v>
      </c>
      <c r="B43" s="407">
        <f t="shared" si="1"/>
        <v>34</v>
      </c>
      <c r="C43" s="407">
        <f t="shared" si="1"/>
        <v>27</v>
      </c>
      <c r="D43" s="407">
        <f t="shared" si="1"/>
        <v>23</v>
      </c>
      <c r="E43" s="407">
        <f t="shared" si="1"/>
        <v>23</v>
      </c>
      <c r="F43" s="407">
        <f t="shared" si="1"/>
        <v>31</v>
      </c>
      <c r="G43" s="407">
        <f t="shared" si="1"/>
        <v>14</v>
      </c>
      <c r="H43" s="407">
        <f t="shared" si="1"/>
        <v>24</v>
      </c>
      <c r="I43" s="407">
        <f t="shared" si="1"/>
        <v>20</v>
      </c>
      <c r="J43" s="407">
        <f t="shared" si="1"/>
        <v>13</v>
      </c>
      <c r="K43" s="407">
        <f t="shared" si="1"/>
        <v>25</v>
      </c>
      <c r="L43" s="407">
        <f t="shared" si="1"/>
        <v>20</v>
      </c>
      <c r="M43" s="407">
        <f t="shared" si="1"/>
        <v>15</v>
      </c>
      <c r="N43" s="407">
        <f t="shared" si="1"/>
        <v>17</v>
      </c>
      <c r="O43" s="407">
        <f t="shared" si="1"/>
        <v>20</v>
      </c>
      <c r="P43" s="33" t="s">
        <v>451</v>
      </c>
      <c r="Q43" s="64" t="s">
        <v>452</v>
      </c>
      <c r="R43" s="34" t="s">
        <v>572</v>
      </c>
    </row>
    <row r="44" spans="1:18" ht="15.75" customHeight="1">
      <c r="A44" s="33" t="s">
        <v>448</v>
      </c>
      <c r="B44" s="407">
        <f t="shared" si="1"/>
        <v>69</v>
      </c>
      <c r="C44" s="407">
        <f t="shared" si="1"/>
        <v>60</v>
      </c>
      <c r="D44" s="407">
        <f t="shared" si="1"/>
        <v>44</v>
      </c>
      <c r="E44" s="407">
        <f t="shared" si="1"/>
        <v>41</v>
      </c>
      <c r="F44" s="407">
        <f t="shared" si="1"/>
        <v>55</v>
      </c>
      <c r="G44" s="407">
        <f t="shared" si="1"/>
        <v>43</v>
      </c>
      <c r="H44" s="407">
        <f t="shared" si="1"/>
        <v>38</v>
      </c>
      <c r="I44" s="407">
        <f t="shared" si="1"/>
        <v>45</v>
      </c>
      <c r="J44" s="407">
        <f t="shared" si="1"/>
        <v>41</v>
      </c>
      <c r="K44" s="407">
        <f t="shared" si="1"/>
        <v>48</v>
      </c>
      <c r="L44" s="407">
        <f t="shared" si="1"/>
        <v>32</v>
      </c>
      <c r="M44" s="407">
        <f t="shared" si="1"/>
        <v>25</v>
      </c>
      <c r="N44" s="407">
        <f t="shared" si="1"/>
        <v>22</v>
      </c>
      <c r="O44" s="407">
        <f t="shared" si="1"/>
        <v>31</v>
      </c>
      <c r="P44" s="33" t="s">
        <v>451</v>
      </c>
      <c r="Q44" s="64" t="s">
        <v>452</v>
      </c>
      <c r="R44" s="34" t="s">
        <v>572</v>
      </c>
    </row>
    <row r="45" spans="1:18" ht="15.75" customHeight="1">
      <c r="A45" s="33" t="s">
        <v>14</v>
      </c>
      <c r="B45" s="407">
        <f t="shared" si="1"/>
        <v>17</v>
      </c>
      <c r="C45" s="407">
        <f t="shared" si="1"/>
        <v>6</v>
      </c>
      <c r="D45" s="407">
        <f t="shared" si="1"/>
        <v>10</v>
      </c>
      <c r="E45" s="407">
        <f t="shared" si="1"/>
        <v>18</v>
      </c>
      <c r="F45" s="407">
        <f t="shared" si="1"/>
        <v>16</v>
      </c>
      <c r="G45" s="407">
        <f t="shared" si="1"/>
        <v>7</v>
      </c>
      <c r="H45" s="407">
        <f t="shared" si="1"/>
        <v>13</v>
      </c>
      <c r="I45" s="407">
        <f t="shared" si="1"/>
        <v>11</v>
      </c>
      <c r="J45" s="407">
        <f t="shared" si="1"/>
        <v>15</v>
      </c>
      <c r="K45" s="407">
        <f t="shared" si="1"/>
        <v>14</v>
      </c>
      <c r="L45" s="407">
        <f t="shared" si="1"/>
        <v>9</v>
      </c>
      <c r="M45" s="407">
        <f t="shared" si="1"/>
        <v>15</v>
      </c>
      <c r="N45" s="407">
        <f t="shared" si="1"/>
        <v>14</v>
      </c>
      <c r="O45" s="407">
        <f t="shared" si="1"/>
        <v>19</v>
      </c>
      <c r="P45" s="33" t="s">
        <v>451</v>
      </c>
      <c r="Q45" s="64" t="s">
        <v>452</v>
      </c>
      <c r="R45" s="34" t="s">
        <v>572</v>
      </c>
    </row>
    <row r="46" spans="1:18" ht="15.75" customHeight="1">
      <c r="A46" s="33" t="s">
        <v>449</v>
      </c>
      <c r="B46" s="407">
        <f t="shared" si="1"/>
        <v>16</v>
      </c>
      <c r="C46" s="407">
        <f t="shared" si="1"/>
        <v>22</v>
      </c>
      <c r="D46" s="407">
        <f t="shared" si="1"/>
        <v>14</v>
      </c>
      <c r="E46" s="407">
        <f t="shared" si="1"/>
        <v>18</v>
      </c>
      <c r="F46" s="407">
        <f t="shared" si="1"/>
        <v>17</v>
      </c>
      <c r="G46" s="407">
        <f t="shared" si="1"/>
        <v>12</v>
      </c>
      <c r="H46" s="407">
        <f t="shared" si="1"/>
        <v>10</v>
      </c>
      <c r="I46" s="407">
        <f t="shared" si="1"/>
        <v>10</v>
      </c>
      <c r="J46" s="407">
        <f t="shared" si="1"/>
        <v>19</v>
      </c>
      <c r="K46" s="407">
        <f t="shared" si="1"/>
        <v>9</v>
      </c>
      <c r="L46" s="407">
        <f t="shared" si="1"/>
        <v>6</v>
      </c>
      <c r="M46" s="407">
        <f t="shared" si="1"/>
        <v>11</v>
      </c>
      <c r="N46" s="407">
        <f t="shared" si="1"/>
        <v>4</v>
      </c>
      <c r="O46" s="407">
        <f t="shared" si="1"/>
        <v>9</v>
      </c>
      <c r="P46" s="33" t="s">
        <v>451</v>
      </c>
      <c r="Q46" s="64" t="s">
        <v>452</v>
      </c>
      <c r="R46" s="34" t="s">
        <v>572</v>
      </c>
    </row>
    <row r="47" spans="1:18" ht="15.75" customHeight="1">
      <c r="A47" s="412" t="s">
        <v>450</v>
      </c>
      <c r="B47" s="413">
        <f t="shared" si="1"/>
        <v>387</v>
      </c>
      <c r="C47" s="413">
        <f t="shared" si="1"/>
        <v>327</v>
      </c>
      <c r="D47" s="413">
        <f t="shared" si="1"/>
        <v>267</v>
      </c>
      <c r="E47" s="413">
        <f t="shared" si="1"/>
        <v>233</v>
      </c>
      <c r="F47" s="413">
        <f t="shared" si="1"/>
        <v>233</v>
      </c>
      <c r="G47" s="413">
        <f t="shared" si="1"/>
        <v>185</v>
      </c>
      <c r="H47" s="413">
        <f t="shared" si="1"/>
        <v>144</v>
      </c>
      <c r="I47" s="413">
        <f t="shared" si="1"/>
        <v>136</v>
      </c>
      <c r="J47" s="413">
        <f t="shared" si="1"/>
        <v>116</v>
      </c>
      <c r="K47" s="413">
        <f t="shared" si="1"/>
        <v>127</v>
      </c>
      <c r="L47" s="413">
        <f t="shared" si="1"/>
        <v>67</v>
      </c>
      <c r="M47" s="413">
        <f t="shared" si="1"/>
        <v>45</v>
      </c>
      <c r="N47" s="413">
        <f t="shared" si="1"/>
        <v>34</v>
      </c>
      <c r="O47" s="413">
        <f t="shared" si="1"/>
        <v>42</v>
      </c>
      <c r="P47" s="33" t="s">
        <v>451</v>
      </c>
      <c r="Q47" s="264" t="s">
        <v>452</v>
      </c>
      <c r="R47" s="34" t="s">
        <v>572</v>
      </c>
    </row>
    <row r="48" spans="1:18" ht="15.75" customHeight="1">
      <c r="A48" s="414" t="s">
        <v>574</v>
      </c>
      <c r="B48" s="415">
        <f>B35+B36+B41+B42+B43</f>
        <v>473</v>
      </c>
      <c r="C48" s="415">
        <f t="shared" ref="C48:O48" si="2">C35+C36+C41+C42+C43</f>
        <v>271</v>
      </c>
      <c r="D48" s="415">
        <f t="shared" si="2"/>
        <v>280</v>
      </c>
      <c r="E48" s="415">
        <f t="shared" si="2"/>
        <v>265</v>
      </c>
      <c r="F48" s="415">
        <f t="shared" si="2"/>
        <v>288</v>
      </c>
      <c r="G48" s="415">
        <f t="shared" si="2"/>
        <v>229</v>
      </c>
      <c r="H48" s="415">
        <f t="shared" si="2"/>
        <v>190</v>
      </c>
      <c r="I48" s="415">
        <f t="shared" si="2"/>
        <v>200</v>
      </c>
      <c r="J48" s="415">
        <f t="shared" si="2"/>
        <v>197</v>
      </c>
      <c r="K48" s="415">
        <f t="shared" si="2"/>
        <v>222</v>
      </c>
      <c r="L48" s="415">
        <f t="shared" si="2"/>
        <v>160</v>
      </c>
      <c r="M48" s="415">
        <f t="shared" si="2"/>
        <v>162</v>
      </c>
      <c r="N48" s="415">
        <f t="shared" si="2"/>
        <v>75</v>
      </c>
      <c r="O48" s="415">
        <f t="shared" si="2"/>
        <v>93</v>
      </c>
    </row>
    <row r="49" spans="1:18" ht="15.75" customHeight="1">
      <c r="A49" s="414" t="s">
        <v>575</v>
      </c>
      <c r="B49" s="415">
        <f>B37+B38+B39+B40</f>
        <v>6</v>
      </c>
      <c r="C49" s="415">
        <f t="shared" ref="C49:O49" si="3">C37+C38+C39+C40</f>
        <v>20</v>
      </c>
      <c r="D49" s="415">
        <f t="shared" si="3"/>
        <v>29</v>
      </c>
      <c r="E49" s="415">
        <f t="shared" si="3"/>
        <v>19</v>
      </c>
      <c r="F49" s="415">
        <f t="shared" si="3"/>
        <v>25</v>
      </c>
      <c r="G49" s="415">
        <f t="shared" si="3"/>
        <v>17</v>
      </c>
      <c r="H49" s="415">
        <f t="shared" si="3"/>
        <v>20</v>
      </c>
      <c r="I49" s="415">
        <f t="shared" si="3"/>
        <v>23</v>
      </c>
      <c r="J49" s="415">
        <f t="shared" si="3"/>
        <v>14</v>
      </c>
      <c r="K49" s="415">
        <f t="shared" si="3"/>
        <v>20</v>
      </c>
      <c r="L49" s="415">
        <f t="shared" si="3"/>
        <v>13</v>
      </c>
      <c r="M49" s="415">
        <f t="shared" si="3"/>
        <v>9</v>
      </c>
      <c r="N49" s="415">
        <f t="shared" si="3"/>
        <v>9</v>
      </c>
      <c r="O49" s="415">
        <f t="shared" si="3"/>
        <v>7</v>
      </c>
    </row>
    <row r="50" spans="1:18" ht="15.75" customHeight="1">
      <c r="A50" s="414" t="s">
        <v>448</v>
      </c>
      <c r="B50" s="414">
        <f>B44+B45+B46</f>
        <v>102</v>
      </c>
      <c r="C50" s="414">
        <f t="shared" ref="C50:O50" si="4">C44+C45+C46</f>
        <v>88</v>
      </c>
      <c r="D50" s="414">
        <f t="shared" si="4"/>
        <v>68</v>
      </c>
      <c r="E50" s="414">
        <f t="shared" si="4"/>
        <v>77</v>
      </c>
      <c r="F50" s="414">
        <f t="shared" si="4"/>
        <v>88</v>
      </c>
      <c r="G50" s="414">
        <f t="shared" si="4"/>
        <v>62</v>
      </c>
      <c r="H50" s="414">
        <f t="shared" si="4"/>
        <v>61</v>
      </c>
      <c r="I50" s="414">
        <f t="shared" si="4"/>
        <v>66</v>
      </c>
      <c r="J50" s="414">
        <f t="shared" si="4"/>
        <v>75</v>
      </c>
      <c r="K50" s="414">
        <f t="shared" si="4"/>
        <v>71</v>
      </c>
      <c r="L50" s="414">
        <f t="shared" si="4"/>
        <v>47</v>
      </c>
      <c r="M50" s="414">
        <f t="shared" si="4"/>
        <v>51</v>
      </c>
      <c r="N50" s="414">
        <f t="shared" si="4"/>
        <v>40</v>
      </c>
      <c r="O50" s="414">
        <f t="shared" si="4"/>
        <v>59</v>
      </c>
    </row>
    <row r="51" spans="1:18" ht="15.75" customHeight="1" thickBot="1"/>
    <row r="52" spans="1:18" ht="15.75" customHeight="1">
      <c r="A52" s="406" t="s">
        <v>460</v>
      </c>
      <c r="B52" s="405" t="s">
        <v>2</v>
      </c>
      <c r="C52" s="405" t="s">
        <v>4</v>
      </c>
      <c r="D52" s="405" t="s">
        <v>442</v>
      </c>
      <c r="E52" s="405" t="s">
        <v>443</v>
      </c>
      <c r="F52" s="405" t="s">
        <v>444</v>
      </c>
      <c r="G52" s="405" t="s">
        <v>445</v>
      </c>
      <c r="H52" s="405" t="s">
        <v>446</v>
      </c>
      <c r="I52" s="405" t="s">
        <v>447</v>
      </c>
      <c r="J52" s="405" t="s">
        <v>10</v>
      </c>
      <c r="K52" s="405" t="s">
        <v>448</v>
      </c>
      <c r="L52" s="405" t="s">
        <v>14</v>
      </c>
      <c r="M52" s="405" t="s">
        <v>449</v>
      </c>
      <c r="N52" s="405" t="s">
        <v>450</v>
      </c>
      <c r="O52" s="401"/>
      <c r="P52" s="402" t="s">
        <v>21</v>
      </c>
      <c r="Q52" s="403" t="s">
        <v>22</v>
      </c>
      <c r="R52" s="404" t="s">
        <v>23</v>
      </c>
    </row>
    <row r="53" spans="1:18" ht="15.75" customHeight="1">
      <c r="A53" s="394" t="s">
        <v>453</v>
      </c>
      <c r="B53" s="188">
        <v>17</v>
      </c>
      <c r="C53" s="188">
        <v>2</v>
      </c>
      <c r="D53" s="188">
        <v>0</v>
      </c>
      <c r="E53" s="188">
        <v>2</v>
      </c>
      <c r="F53" s="188">
        <v>0</v>
      </c>
      <c r="G53" s="188">
        <v>0</v>
      </c>
      <c r="H53" s="188">
        <v>0</v>
      </c>
      <c r="I53" s="188">
        <v>0</v>
      </c>
      <c r="J53" s="188">
        <v>4</v>
      </c>
      <c r="K53" s="188">
        <v>3</v>
      </c>
      <c r="L53" s="188">
        <v>2</v>
      </c>
      <c r="M53" s="173">
        <v>0</v>
      </c>
      <c r="N53" s="124">
        <v>6</v>
      </c>
      <c r="O53" s="124"/>
      <c r="P53" s="395" t="s">
        <v>68</v>
      </c>
      <c r="Q53" s="101" t="s">
        <v>440</v>
      </c>
      <c r="R53" s="34" t="s">
        <v>572</v>
      </c>
    </row>
    <row r="54" spans="1:18" ht="15.75" customHeight="1">
      <c r="A54" s="394" t="s">
        <v>454</v>
      </c>
      <c r="B54" s="188">
        <v>13</v>
      </c>
      <c r="C54" s="188">
        <v>1</v>
      </c>
      <c r="D54" s="188">
        <v>0</v>
      </c>
      <c r="E54" s="188">
        <v>0</v>
      </c>
      <c r="F54" s="188">
        <v>0</v>
      </c>
      <c r="G54" s="188">
        <v>0</v>
      </c>
      <c r="H54" s="188">
        <v>0</v>
      </c>
      <c r="I54" s="188">
        <v>0</v>
      </c>
      <c r="J54" s="188">
        <v>2</v>
      </c>
      <c r="K54" s="188">
        <v>3</v>
      </c>
      <c r="L54" s="188">
        <v>2</v>
      </c>
      <c r="M54" s="173">
        <v>2</v>
      </c>
      <c r="N54" s="124">
        <v>3</v>
      </c>
      <c r="O54" s="124"/>
      <c r="P54" s="395" t="s">
        <v>68</v>
      </c>
      <c r="Q54" s="101" t="s">
        <v>440</v>
      </c>
      <c r="R54" s="34" t="s">
        <v>572</v>
      </c>
    </row>
    <row r="55" spans="1:18" ht="15.75" customHeight="1">
      <c r="A55" s="394" t="s">
        <v>455</v>
      </c>
      <c r="B55" s="188">
        <v>15</v>
      </c>
      <c r="C55" s="188">
        <v>2</v>
      </c>
      <c r="D55" s="188">
        <v>0</v>
      </c>
      <c r="E55" s="188">
        <v>2</v>
      </c>
      <c r="F55" s="188">
        <v>0</v>
      </c>
      <c r="G55" s="188">
        <v>0</v>
      </c>
      <c r="H55" s="188">
        <v>0</v>
      </c>
      <c r="I55" s="188">
        <v>1</v>
      </c>
      <c r="J55" s="188">
        <v>4</v>
      </c>
      <c r="K55" s="188">
        <v>12</v>
      </c>
      <c r="L55" s="188">
        <v>3</v>
      </c>
      <c r="M55" s="173">
        <v>1</v>
      </c>
      <c r="N55" s="124">
        <v>7</v>
      </c>
      <c r="O55" s="124"/>
      <c r="P55" s="395" t="s">
        <v>68</v>
      </c>
      <c r="Q55" s="101" t="s">
        <v>440</v>
      </c>
      <c r="R55" s="34" t="s">
        <v>572</v>
      </c>
    </row>
    <row r="56" spans="1:18" ht="15.75" customHeight="1" thickBot="1">
      <c r="A56" s="394" t="s">
        <v>456</v>
      </c>
      <c r="B56" s="188">
        <v>3</v>
      </c>
      <c r="C56" s="188">
        <v>1</v>
      </c>
      <c r="D56" s="188">
        <v>0</v>
      </c>
      <c r="E56" s="188">
        <v>1</v>
      </c>
      <c r="F56" s="188">
        <v>0</v>
      </c>
      <c r="G56" s="188">
        <v>0</v>
      </c>
      <c r="H56" s="188">
        <v>0</v>
      </c>
      <c r="I56" s="188">
        <v>0</v>
      </c>
      <c r="J56" s="188">
        <v>2</v>
      </c>
      <c r="K56" s="188">
        <v>4</v>
      </c>
      <c r="L56" s="188">
        <v>1</v>
      </c>
      <c r="M56" s="173">
        <v>0</v>
      </c>
      <c r="N56" s="124">
        <v>1</v>
      </c>
      <c r="O56" s="124"/>
      <c r="P56" s="395" t="s">
        <v>68</v>
      </c>
      <c r="Q56" s="101" t="s">
        <v>440</v>
      </c>
      <c r="R56" s="34" t="s">
        <v>572</v>
      </c>
    </row>
    <row r="57" spans="1:18" ht="15.75" customHeight="1">
      <c r="A57" s="393" t="s">
        <v>461</v>
      </c>
      <c r="B57" s="405" t="s">
        <v>2</v>
      </c>
      <c r="C57" s="405" t="s">
        <v>4</v>
      </c>
      <c r="D57" s="405" t="s">
        <v>442</v>
      </c>
      <c r="E57" s="405" t="s">
        <v>443</v>
      </c>
      <c r="F57" s="405" t="s">
        <v>444</v>
      </c>
      <c r="G57" s="405" t="s">
        <v>445</v>
      </c>
      <c r="H57" s="405" t="s">
        <v>446</v>
      </c>
      <c r="I57" s="405" t="s">
        <v>447</v>
      </c>
      <c r="J57" s="405" t="s">
        <v>10</v>
      </c>
      <c r="K57" s="405" t="s">
        <v>448</v>
      </c>
      <c r="L57" s="405" t="s">
        <v>14</v>
      </c>
      <c r="M57" s="405" t="s">
        <v>449</v>
      </c>
      <c r="N57" s="405" t="s">
        <v>450</v>
      </c>
      <c r="O57" s="401"/>
      <c r="P57" s="402" t="s">
        <v>21</v>
      </c>
      <c r="Q57" s="403" t="s">
        <v>22</v>
      </c>
      <c r="R57" s="404" t="s">
        <v>23</v>
      </c>
    </row>
    <row r="58" spans="1:18" ht="15.75" customHeight="1">
      <c r="A58" s="394" t="s">
        <v>457</v>
      </c>
      <c r="B58" s="188">
        <v>0</v>
      </c>
      <c r="C58" s="188">
        <v>0</v>
      </c>
      <c r="D58" s="188">
        <v>0</v>
      </c>
      <c r="E58" s="188">
        <v>0</v>
      </c>
      <c r="F58" s="188">
        <v>0</v>
      </c>
      <c r="G58" s="188">
        <v>0</v>
      </c>
      <c r="H58" s="188">
        <v>0</v>
      </c>
      <c r="I58" s="188">
        <v>0</v>
      </c>
      <c r="J58" s="188">
        <v>0</v>
      </c>
      <c r="K58" s="188">
        <v>2</v>
      </c>
      <c r="L58" s="188">
        <v>0</v>
      </c>
      <c r="M58" s="173">
        <v>0</v>
      </c>
      <c r="N58" s="124">
        <v>4</v>
      </c>
      <c r="O58" s="124"/>
      <c r="P58" s="395" t="s">
        <v>451</v>
      </c>
      <c r="Q58" s="124" t="s">
        <v>440</v>
      </c>
      <c r="R58" s="34" t="s">
        <v>572</v>
      </c>
    </row>
    <row r="59" spans="1:18" ht="15.75" customHeight="1">
      <c r="A59" s="394" t="s">
        <v>458</v>
      </c>
      <c r="B59" s="188">
        <v>0</v>
      </c>
      <c r="C59" s="188">
        <v>0</v>
      </c>
      <c r="D59" s="188">
        <v>0</v>
      </c>
      <c r="E59" s="188">
        <v>0</v>
      </c>
      <c r="F59" s="188">
        <v>0</v>
      </c>
      <c r="G59" s="188">
        <v>0</v>
      </c>
      <c r="H59" s="188">
        <v>0</v>
      </c>
      <c r="I59" s="188">
        <v>0</v>
      </c>
      <c r="J59" s="188">
        <v>0</v>
      </c>
      <c r="K59" s="188">
        <v>1</v>
      </c>
      <c r="L59" s="188">
        <v>0</v>
      </c>
      <c r="M59" s="173">
        <v>1</v>
      </c>
      <c r="N59" s="124">
        <v>2</v>
      </c>
      <c r="O59" s="124"/>
      <c r="P59" s="395" t="s">
        <v>451</v>
      </c>
      <c r="Q59" s="124" t="s">
        <v>440</v>
      </c>
      <c r="R59" s="34" t="s">
        <v>572</v>
      </c>
    </row>
    <row r="60" spans="1:18" ht="15.75" customHeight="1">
      <c r="A60" s="394" t="s">
        <v>459</v>
      </c>
      <c r="B60" s="188">
        <v>12</v>
      </c>
      <c r="C60" s="188">
        <v>3</v>
      </c>
      <c r="D60" s="188">
        <v>0</v>
      </c>
      <c r="E60" s="188">
        <v>1</v>
      </c>
      <c r="F60" s="188">
        <v>0</v>
      </c>
      <c r="G60" s="188">
        <v>0</v>
      </c>
      <c r="H60" s="188">
        <v>0</v>
      </c>
      <c r="I60" s="188">
        <v>0</v>
      </c>
      <c r="J60" s="188">
        <v>5</v>
      </c>
      <c r="K60" s="188">
        <v>0</v>
      </c>
      <c r="L60" s="188">
        <v>5</v>
      </c>
      <c r="M60" s="173">
        <v>1</v>
      </c>
      <c r="N60" s="124">
        <v>11</v>
      </c>
      <c r="O60" s="124"/>
      <c r="P60" s="395" t="s">
        <v>451</v>
      </c>
      <c r="Q60" s="124" t="s">
        <v>440</v>
      </c>
      <c r="R60" s="34" t="s">
        <v>572</v>
      </c>
    </row>
    <row r="61" spans="1:18" ht="15.75" customHeight="1">
      <c r="A61" s="394" t="s">
        <v>455</v>
      </c>
      <c r="B61" s="188">
        <v>2</v>
      </c>
      <c r="C61" s="188">
        <v>0</v>
      </c>
      <c r="D61" s="188">
        <v>0</v>
      </c>
      <c r="E61" s="188">
        <v>1</v>
      </c>
      <c r="F61" s="410">
        <v>0</v>
      </c>
      <c r="G61" s="188">
        <v>0</v>
      </c>
      <c r="H61" s="188">
        <v>0</v>
      </c>
      <c r="I61" s="188">
        <v>0</v>
      </c>
      <c r="J61" s="188">
        <v>2</v>
      </c>
      <c r="K61" s="188">
        <v>5</v>
      </c>
      <c r="L61" s="188">
        <v>3</v>
      </c>
      <c r="M61" s="173">
        <v>2</v>
      </c>
      <c r="N61" s="124">
        <v>5</v>
      </c>
      <c r="O61" s="124"/>
      <c r="P61" s="395" t="s">
        <v>451</v>
      </c>
      <c r="Q61" s="124" t="s">
        <v>440</v>
      </c>
      <c r="R61" s="34" t="s">
        <v>572</v>
      </c>
    </row>
    <row r="62" spans="1:18" ht="15.75" customHeight="1" thickBot="1">
      <c r="A62" s="396" t="s">
        <v>456</v>
      </c>
      <c r="B62" s="397">
        <v>0</v>
      </c>
      <c r="C62" s="397">
        <v>0</v>
      </c>
      <c r="D62" s="397">
        <v>0</v>
      </c>
      <c r="E62" s="397">
        <v>0</v>
      </c>
      <c r="F62" s="397">
        <v>0</v>
      </c>
      <c r="G62" s="397">
        <v>0</v>
      </c>
      <c r="H62" s="397">
        <v>0</v>
      </c>
      <c r="I62" s="397">
        <v>1</v>
      </c>
      <c r="J62" s="397">
        <v>1</v>
      </c>
      <c r="K62" s="397">
        <v>1</v>
      </c>
      <c r="L62" s="397">
        <v>3</v>
      </c>
      <c r="M62" s="398">
        <v>2</v>
      </c>
      <c r="N62" s="399">
        <v>3</v>
      </c>
      <c r="O62" s="399"/>
      <c r="P62" s="400" t="s">
        <v>451</v>
      </c>
      <c r="Q62" s="399" t="s">
        <v>440</v>
      </c>
      <c r="R62" s="34" t="s">
        <v>572</v>
      </c>
    </row>
    <row r="63" spans="1:18" ht="15.75" customHeight="1"/>
    <row r="64" spans="1:18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A2"/>
  </mergeCells>
  <hyperlinks>
    <hyperlink ref="Q5" r:id="rId1" xr:uid="{00000000-0004-0000-0F00-000000000000}"/>
    <hyperlink ref="Q6" r:id="rId2" xr:uid="{00000000-0004-0000-0F00-000002000000}"/>
    <hyperlink ref="Q7" r:id="rId3" xr:uid="{00000000-0004-0000-0F00-000003000000}"/>
    <hyperlink ref="Q8" r:id="rId4" xr:uid="{00000000-0004-0000-0F00-000004000000}"/>
    <hyperlink ref="Q9" r:id="rId5" xr:uid="{00000000-0004-0000-0F00-000005000000}"/>
    <hyperlink ref="Q10" r:id="rId6" xr:uid="{00000000-0004-0000-0F00-000006000000}"/>
    <hyperlink ref="Q11" r:id="rId7" xr:uid="{00000000-0004-0000-0F00-000007000000}"/>
    <hyperlink ref="Q12" r:id="rId8" xr:uid="{00000000-0004-0000-0F00-000008000000}"/>
    <hyperlink ref="Q13" r:id="rId9" xr:uid="{00000000-0004-0000-0F00-000009000000}"/>
    <hyperlink ref="Q14" r:id="rId10" xr:uid="{00000000-0004-0000-0F00-00000A000000}"/>
    <hyperlink ref="Q15" r:id="rId11" xr:uid="{00000000-0004-0000-0F00-00000B000000}"/>
    <hyperlink ref="Q16" r:id="rId12" xr:uid="{00000000-0004-0000-0F00-00000C000000}"/>
    <hyperlink ref="Q17" r:id="rId13" xr:uid="{00000000-0004-0000-0F00-00000D000000}"/>
    <hyperlink ref="Q21" r:id="rId14" xr:uid="{00000000-0004-0000-0F00-00000F000000}"/>
    <hyperlink ref="Q25" r:id="rId15" xr:uid="{00000000-0004-0000-0F00-000010000000}"/>
    <hyperlink ref="Q53:Q56" r:id="rId16" display="https://portal.nifa.usda.gov/enterprise-search/project_details" xr:uid="{ABBBC990-148D-48B0-89DD-38EA9FEE5F57}"/>
    <hyperlink ref="Q22" r:id="rId17" xr:uid="{002CF222-74AC-4347-B65A-186F70E94E5A}"/>
    <hyperlink ref="Q36" r:id="rId18" xr:uid="{70512E38-FC20-422E-9BD9-2EE318A9E845}"/>
    <hyperlink ref="Q40" r:id="rId19" xr:uid="{C46EAE6D-3851-4EAF-9E06-1D0FB2B8BC0F}"/>
    <hyperlink ref="Q37" r:id="rId20" xr:uid="{F152F4BF-F31E-4FB8-8223-E6959C907733}"/>
  </hyperlink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3C35-CE64-4EEB-B5C5-837FECF2BF37}">
  <sheetPr>
    <tabColor rgb="FFC00000"/>
  </sheetPr>
  <dimension ref="A1:N66"/>
  <sheetViews>
    <sheetView topLeftCell="A46" zoomScaleNormal="100" workbookViewId="0">
      <selection activeCell="O58" sqref="O58"/>
    </sheetView>
  </sheetViews>
  <sheetFormatPr defaultRowHeight="15"/>
  <cols>
    <col min="1" max="1" width="33.28515625" bestFit="1" customWidth="1"/>
    <col min="2" max="2" width="20.7109375" bestFit="1" customWidth="1"/>
    <col min="3" max="3" width="21" bestFit="1" customWidth="1"/>
    <col min="4" max="4" width="12.5703125" bestFit="1" customWidth="1"/>
    <col min="5" max="5" width="18.7109375" bestFit="1" customWidth="1"/>
    <col min="6" max="6" width="13.28515625" customWidth="1"/>
    <col min="7" max="7" width="18.85546875" bestFit="1" customWidth="1"/>
    <col min="8" max="8" width="22.5703125" bestFit="1" customWidth="1"/>
    <col min="9" max="9" width="37.42578125" bestFit="1" customWidth="1"/>
    <col min="10" max="10" width="24.42578125" bestFit="1" customWidth="1"/>
    <col min="11" max="11" width="15.85546875" customWidth="1"/>
    <col min="12" max="12" width="11.5703125" customWidth="1"/>
    <col min="13" max="13" width="11" bestFit="1" customWidth="1"/>
    <col min="14" max="14" width="12" bestFit="1" customWidth="1"/>
  </cols>
  <sheetData>
    <row r="1" spans="1:12">
      <c r="A1" s="425" t="s">
        <v>577</v>
      </c>
      <c r="B1" s="425" t="s">
        <v>578</v>
      </c>
      <c r="C1" s="425" t="s">
        <v>579</v>
      </c>
      <c r="D1" s="425" t="s">
        <v>580</v>
      </c>
      <c r="E1" s="425" t="s">
        <v>637</v>
      </c>
      <c r="F1" s="425" t="s">
        <v>638</v>
      </c>
      <c r="G1" s="425" t="s">
        <v>633</v>
      </c>
      <c r="H1" s="425" t="s">
        <v>634</v>
      </c>
      <c r="I1" s="425" t="s">
        <v>635</v>
      </c>
      <c r="J1" s="425" t="s">
        <v>636</v>
      </c>
      <c r="K1" s="425"/>
    </row>
    <row r="2" spans="1:12">
      <c r="A2" s="421" t="s">
        <v>589</v>
      </c>
      <c r="B2" s="426">
        <f t="shared" ref="B2:B33" si="0">(SUM(G2:J2))</f>
        <v>37</v>
      </c>
      <c r="C2">
        <v>53</v>
      </c>
      <c r="D2">
        <v>155</v>
      </c>
      <c r="E2" s="419">
        <v>1100</v>
      </c>
      <c r="F2" s="420">
        <f t="shared" ref="F2:F33" si="1">E2/1000</f>
        <v>1.1000000000000001</v>
      </c>
      <c r="G2" s="424">
        <v>11.583333333333334</v>
      </c>
      <c r="H2" s="424">
        <v>9.4166666666666661</v>
      </c>
      <c r="I2" s="424">
        <v>10.083333333333334</v>
      </c>
      <c r="J2" s="424">
        <v>5.916666666666667</v>
      </c>
      <c r="K2" s="424"/>
      <c r="L2" s="418" t="s">
        <v>582</v>
      </c>
    </row>
    <row r="3" spans="1:12">
      <c r="A3" s="421" t="s">
        <v>584</v>
      </c>
      <c r="B3" s="426">
        <f t="shared" si="0"/>
        <v>37</v>
      </c>
      <c r="C3">
        <v>44</v>
      </c>
      <c r="D3">
        <v>129</v>
      </c>
      <c r="E3" s="419">
        <v>1280</v>
      </c>
      <c r="F3" s="420">
        <f t="shared" si="1"/>
        <v>1.28</v>
      </c>
      <c r="G3" s="424">
        <v>12.500000000000002</v>
      </c>
      <c r="H3" s="424">
        <v>14.500000000000002</v>
      </c>
      <c r="I3" s="424">
        <v>5.9999999999999991</v>
      </c>
      <c r="J3" s="424">
        <v>4</v>
      </c>
      <c r="K3" s="424"/>
      <c r="L3" s="326" t="s">
        <v>583</v>
      </c>
    </row>
    <row r="4" spans="1:12">
      <c r="A4" s="421" t="s">
        <v>576</v>
      </c>
      <c r="B4" s="426">
        <f t="shared" si="0"/>
        <v>32.000000000000007</v>
      </c>
      <c r="C4">
        <v>55</v>
      </c>
      <c r="D4">
        <v>128</v>
      </c>
      <c r="E4" s="419">
        <v>1060</v>
      </c>
      <c r="F4" s="420">
        <f t="shared" si="1"/>
        <v>1.06</v>
      </c>
      <c r="G4" s="424">
        <v>14.16666666666667</v>
      </c>
      <c r="H4" s="424">
        <v>6</v>
      </c>
      <c r="I4" s="424">
        <v>3.8333333333333339</v>
      </c>
      <c r="J4" s="424">
        <v>7.9999999999999982</v>
      </c>
      <c r="K4" s="424"/>
    </row>
    <row r="5" spans="1:12">
      <c r="A5" s="421" t="s">
        <v>587</v>
      </c>
      <c r="B5" s="426">
        <f t="shared" si="0"/>
        <v>32</v>
      </c>
      <c r="C5">
        <v>41</v>
      </c>
      <c r="D5">
        <v>141</v>
      </c>
      <c r="E5" s="419">
        <v>1110</v>
      </c>
      <c r="F5" s="420">
        <f t="shared" si="1"/>
        <v>1.1100000000000001</v>
      </c>
      <c r="G5" s="424">
        <v>13.666666666666666</v>
      </c>
      <c r="H5" s="424">
        <v>12.166666666666666</v>
      </c>
      <c r="I5" s="424">
        <v>3.1666666666666665</v>
      </c>
      <c r="J5" s="424">
        <v>3</v>
      </c>
      <c r="K5" s="424"/>
    </row>
    <row r="6" spans="1:12">
      <c r="A6" s="421" t="s">
        <v>602</v>
      </c>
      <c r="B6" s="426">
        <f t="shared" si="0"/>
        <v>32</v>
      </c>
      <c r="C6">
        <v>55</v>
      </c>
      <c r="D6">
        <v>88</v>
      </c>
      <c r="E6" s="419">
        <v>947.37</v>
      </c>
      <c r="F6" s="420">
        <f t="shared" si="1"/>
        <v>0.94737000000000005</v>
      </c>
      <c r="G6" s="424">
        <v>12.166666666666668</v>
      </c>
      <c r="H6" s="424">
        <v>7.6666666666666661</v>
      </c>
      <c r="I6" s="424">
        <v>5.6666666666666661</v>
      </c>
      <c r="J6" s="424">
        <v>6.5</v>
      </c>
      <c r="K6" s="424"/>
    </row>
    <row r="7" spans="1:12">
      <c r="A7" s="421" t="s">
        <v>588</v>
      </c>
      <c r="B7" s="426">
        <f t="shared" si="0"/>
        <v>31.000000000000007</v>
      </c>
      <c r="C7">
        <v>46</v>
      </c>
      <c r="D7">
        <v>114</v>
      </c>
      <c r="E7" s="419">
        <v>1110</v>
      </c>
      <c r="F7" s="420">
        <f t="shared" si="1"/>
        <v>1.1100000000000001</v>
      </c>
      <c r="G7" s="424">
        <v>11.583333333333334</v>
      </c>
      <c r="H7" s="424">
        <v>12.083333333333336</v>
      </c>
      <c r="I7" s="424">
        <v>4.416666666666667</v>
      </c>
      <c r="J7" s="424">
        <v>2.916666666666667</v>
      </c>
      <c r="K7" s="424"/>
    </row>
    <row r="8" spans="1:12">
      <c r="A8" s="421" t="s">
        <v>585</v>
      </c>
      <c r="B8" s="426">
        <f t="shared" si="0"/>
        <v>31.000000000000007</v>
      </c>
      <c r="C8">
        <v>49</v>
      </c>
      <c r="D8">
        <v>126</v>
      </c>
      <c r="E8" s="419">
        <v>1210</v>
      </c>
      <c r="F8" s="420">
        <f t="shared" si="1"/>
        <v>1.21</v>
      </c>
      <c r="G8" s="424">
        <v>12.333333333333334</v>
      </c>
      <c r="H8" s="424">
        <v>11.333333333333336</v>
      </c>
      <c r="I8" s="424">
        <v>2.6666666666666665</v>
      </c>
      <c r="J8" s="424">
        <v>4.666666666666667</v>
      </c>
      <c r="K8" s="424"/>
    </row>
    <row r="9" spans="1:12">
      <c r="A9" s="421" t="s">
        <v>605</v>
      </c>
      <c r="B9" s="426">
        <f t="shared" si="0"/>
        <v>31</v>
      </c>
      <c r="C9">
        <v>49</v>
      </c>
      <c r="D9">
        <v>96</v>
      </c>
      <c r="E9" s="419">
        <v>917.96</v>
      </c>
      <c r="F9" s="420">
        <f t="shared" si="1"/>
        <v>0.91796</v>
      </c>
      <c r="G9" s="424">
        <v>13.166666666666668</v>
      </c>
      <c r="H9" s="424">
        <v>5.9999999999999991</v>
      </c>
      <c r="I9" s="424">
        <v>4.833333333333333</v>
      </c>
      <c r="J9" s="424">
        <v>6.9999999999999991</v>
      </c>
      <c r="K9" s="424"/>
    </row>
    <row r="10" spans="1:12">
      <c r="A10" s="421" t="s">
        <v>601</v>
      </c>
      <c r="B10" s="426">
        <f t="shared" si="0"/>
        <v>30.000000000000004</v>
      </c>
      <c r="C10">
        <v>48</v>
      </c>
      <c r="D10">
        <v>129</v>
      </c>
      <c r="E10" s="419">
        <v>948.02</v>
      </c>
      <c r="F10" s="420">
        <f t="shared" si="1"/>
        <v>0.94801999999999997</v>
      </c>
      <c r="G10" s="424">
        <v>10.250000000000002</v>
      </c>
      <c r="H10" s="424">
        <v>10.416666666666668</v>
      </c>
      <c r="I10" s="424">
        <v>6.7499999999999982</v>
      </c>
      <c r="J10" s="424">
        <v>2.5833333333333335</v>
      </c>
      <c r="K10" s="424"/>
    </row>
    <row r="11" spans="1:12">
      <c r="A11" s="421" t="s">
        <v>597</v>
      </c>
      <c r="B11" s="426">
        <f t="shared" si="0"/>
        <v>30.000000000000004</v>
      </c>
      <c r="C11">
        <v>46</v>
      </c>
      <c r="D11">
        <v>120</v>
      </c>
      <c r="E11" s="419">
        <v>989.9</v>
      </c>
      <c r="F11" s="420">
        <f t="shared" si="1"/>
        <v>0.9899</v>
      </c>
      <c r="G11" s="424">
        <v>12.583333333333334</v>
      </c>
      <c r="H11" s="424">
        <v>7.583333333333333</v>
      </c>
      <c r="I11" s="424">
        <v>5.4166666666666661</v>
      </c>
      <c r="J11" s="424">
        <v>4.416666666666667</v>
      </c>
      <c r="K11" s="424"/>
    </row>
    <row r="12" spans="1:12">
      <c r="A12" s="421" t="s">
        <v>594</v>
      </c>
      <c r="B12" s="426">
        <f t="shared" si="0"/>
        <v>29.999999999999996</v>
      </c>
      <c r="C12">
        <v>49</v>
      </c>
      <c r="D12">
        <v>112</v>
      </c>
      <c r="E12" s="419">
        <v>1020</v>
      </c>
      <c r="F12" s="420">
        <f t="shared" si="1"/>
        <v>1.02</v>
      </c>
      <c r="G12" s="424">
        <v>11.583333333333334</v>
      </c>
      <c r="H12" s="424">
        <v>6.7499999999999991</v>
      </c>
      <c r="I12" s="424">
        <v>5.083333333333333</v>
      </c>
      <c r="J12" s="424">
        <v>6.583333333333333</v>
      </c>
      <c r="K12" s="424"/>
    </row>
    <row r="13" spans="1:12">
      <c r="A13" s="421" t="s">
        <v>590</v>
      </c>
      <c r="B13" s="426">
        <f t="shared" si="0"/>
        <v>29.000000000000007</v>
      </c>
      <c r="C13">
        <v>47</v>
      </c>
      <c r="D13">
        <v>118</v>
      </c>
      <c r="E13" s="419">
        <v>1090</v>
      </c>
      <c r="F13" s="420">
        <f t="shared" si="1"/>
        <v>1.0900000000000001</v>
      </c>
      <c r="G13" s="424">
        <v>11.333333333333334</v>
      </c>
      <c r="H13" s="424">
        <v>9.8333333333333357</v>
      </c>
      <c r="I13" s="424">
        <v>3.666666666666667</v>
      </c>
      <c r="J13" s="424">
        <v>4.166666666666667</v>
      </c>
      <c r="K13" s="424"/>
    </row>
    <row r="14" spans="1:12">
      <c r="A14" s="421" t="s">
        <v>604</v>
      </c>
      <c r="B14" s="426">
        <f t="shared" si="0"/>
        <v>29.000000000000004</v>
      </c>
      <c r="C14">
        <v>46</v>
      </c>
      <c r="D14">
        <v>114</v>
      </c>
      <c r="E14" s="419">
        <v>925.2</v>
      </c>
      <c r="F14" s="420">
        <f t="shared" si="1"/>
        <v>0.92520000000000002</v>
      </c>
      <c r="G14" s="424">
        <v>9.1666666666666679</v>
      </c>
      <c r="H14" s="424">
        <v>6.833333333333333</v>
      </c>
      <c r="I14" s="424">
        <v>8.8333333333333339</v>
      </c>
      <c r="J14" s="424">
        <v>4.166666666666667</v>
      </c>
      <c r="K14" s="424"/>
    </row>
    <row r="15" spans="1:12">
      <c r="A15" s="421" t="s">
        <v>592</v>
      </c>
      <c r="B15" s="426">
        <f t="shared" si="0"/>
        <v>29.000000000000004</v>
      </c>
      <c r="C15">
        <v>42</v>
      </c>
      <c r="D15">
        <v>114</v>
      </c>
      <c r="E15" s="419">
        <v>1040</v>
      </c>
      <c r="F15" s="420">
        <f t="shared" si="1"/>
        <v>1.04</v>
      </c>
      <c r="G15" s="424">
        <v>11.916666666666668</v>
      </c>
      <c r="H15" s="424">
        <v>9.4166666666666679</v>
      </c>
      <c r="I15" s="424">
        <v>3.416666666666667</v>
      </c>
      <c r="J15" s="424">
        <v>4.25</v>
      </c>
      <c r="K15" s="424"/>
    </row>
    <row r="16" spans="1:12">
      <c r="A16" s="421" t="s">
        <v>593</v>
      </c>
      <c r="B16" s="426">
        <f t="shared" si="0"/>
        <v>29.000000000000004</v>
      </c>
      <c r="C16">
        <v>52</v>
      </c>
      <c r="D16">
        <v>114</v>
      </c>
      <c r="E16" s="419">
        <v>1040</v>
      </c>
      <c r="F16" s="420">
        <f t="shared" si="1"/>
        <v>1.04</v>
      </c>
      <c r="G16" s="424">
        <v>10.166666666666668</v>
      </c>
      <c r="H16" s="424">
        <v>4.9999999999999991</v>
      </c>
      <c r="I16" s="424">
        <v>8.1666666666666661</v>
      </c>
      <c r="J16" s="424">
        <v>5.666666666666667</v>
      </c>
      <c r="K16" s="424"/>
    </row>
    <row r="17" spans="1:11">
      <c r="A17" s="421" t="s">
        <v>608</v>
      </c>
      <c r="B17" s="426">
        <f t="shared" si="0"/>
        <v>29</v>
      </c>
      <c r="C17">
        <v>48</v>
      </c>
      <c r="D17">
        <v>113</v>
      </c>
      <c r="E17" s="419">
        <v>829.43</v>
      </c>
      <c r="F17" s="420">
        <f t="shared" si="1"/>
        <v>0.82943</v>
      </c>
      <c r="G17" s="424">
        <v>10.250000000000002</v>
      </c>
      <c r="H17" s="424">
        <v>7.583333333333333</v>
      </c>
      <c r="I17" s="424">
        <v>6.4166666666666661</v>
      </c>
      <c r="J17" s="424">
        <v>4.75</v>
      </c>
      <c r="K17" s="424"/>
    </row>
    <row r="18" spans="1:11">
      <c r="A18" s="421" t="s">
        <v>600</v>
      </c>
      <c r="B18" s="426">
        <f t="shared" si="0"/>
        <v>29</v>
      </c>
      <c r="C18">
        <v>47</v>
      </c>
      <c r="D18">
        <v>121</v>
      </c>
      <c r="E18" s="419">
        <v>973</v>
      </c>
      <c r="F18" s="420">
        <f t="shared" si="1"/>
        <v>0.97299999999999998</v>
      </c>
      <c r="G18" s="424">
        <v>11.25</v>
      </c>
      <c r="H18" s="424">
        <v>8.9166666666666679</v>
      </c>
      <c r="I18" s="424">
        <v>5.083333333333333</v>
      </c>
      <c r="J18" s="424">
        <v>3.7500000000000004</v>
      </c>
      <c r="K18" s="424"/>
    </row>
    <row r="19" spans="1:11">
      <c r="A19" s="421" t="s">
        <v>603</v>
      </c>
      <c r="B19" s="426">
        <f t="shared" si="0"/>
        <v>28.000000000000004</v>
      </c>
      <c r="C19">
        <v>36</v>
      </c>
      <c r="D19">
        <v>113</v>
      </c>
      <c r="E19" s="419">
        <v>926.62</v>
      </c>
      <c r="F19" s="420">
        <f t="shared" si="1"/>
        <v>0.92662</v>
      </c>
      <c r="G19" s="424">
        <v>8.5000000000000018</v>
      </c>
      <c r="H19" s="424">
        <v>12.000000000000002</v>
      </c>
      <c r="I19" s="424">
        <v>3.1666666666666665</v>
      </c>
      <c r="J19" s="424">
        <v>4.333333333333333</v>
      </c>
      <c r="K19" s="424"/>
    </row>
    <row r="20" spans="1:11">
      <c r="A20" s="421" t="s">
        <v>606</v>
      </c>
      <c r="B20" s="426">
        <f t="shared" si="0"/>
        <v>28</v>
      </c>
      <c r="C20">
        <v>37</v>
      </c>
      <c r="D20">
        <v>112</v>
      </c>
      <c r="E20" s="419">
        <v>893.74</v>
      </c>
      <c r="F20" s="420">
        <f t="shared" si="1"/>
        <v>0.89373999999999998</v>
      </c>
      <c r="G20" s="424">
        <v>13.500000000000002</v>
      </c>
      <c r="H20" s="424">
        <v>8.5</v>
      </c>
      <c r="I20" s="424">
        <v>2.1666666666666665</v>
      </c>
      <c r="J20" s="424">
        <v>3.833333333333333</v>
      </c>
      <c r="K20" s="424"/>
    </row>
    <row r="21" spans="1:11">
      <c r="A21" s="421" t="s">
        <v>591</v>
      </c>
      <c r="B21" s="426">
        <f t="shared" si="0"/>
        <v>28</v>
      </c>
      <c r="C21">
        <v>40</v>
      </c>
      <c r="D21">
        <v>123</v>
      </c>
      <c r="E21" s="419">
        <v>1060</v>
      </c>
      <c r="F21" s="420">
        <f t="shared" si="1"/>
        <v>1.06</v>
      </c>
      <c r="G21" s="424">
        <v>9.2500000000000018</v>
      </c>
      <c r="H21" s="424">
        <v>13.083333333333336</v>
      </c>
      <c r="I21" s="424">
        <v>3.5833333333333335</v>
      </c>
      <c r="J21" s="424">
        <v>2.0833333333333335</v>
      </c>
      <c r="K21" s="424"/>
    </row>
    <row r="22" spans="1:11">
      <c r="A22" s="421" t="s">
        <v>599</v>
      </c>
      <c r="B22" s="426">
        <f t="shared" si="0"/>
        <v>28</v>
      </c>
      <c r="C22">
        <v>41</v>
      </c>
      <c r="D22">
        <v>114</v>
      </c>
      <c r="E22" s="419">
        <v>986.85</v>
      </c>
      <c r="F22" s="420">
        <f t="shared" si="1"/>
        <v>0.98685</v>
      </c>
      <c r="G22" s="424">
        <v>11.583333333333334</v>
      </c>
      <c r="H22" s="424">
        <v>8.25</v>
      </c>
      <c r="I22" s="424">
        <v>3.0833333333333335</v>
      </c>
      <c r="J22" s="424">
        <v>5.083333333333333</v>
      </c>
      <c r="K22" s="424"/>
    </row>
    <row r="23" spans="1:11">
      <c r="A23" s="421" t="s">
        <v>607</v>
      </c>
      <c r="B23" s="426">
        <f t="shared" si="0"/>
        <v>28</v>
      </c>
      <c r="C23">
        <v>41</v>
      </c>
      <c r="D23">
        <v>86</v>
      </c>
      <c r="E23" s="419">
        <v>879.65</v>
      </c>
      <c r="F23" s="420">
        <f t="shared" si="1"/>
        <v>0.87964999999999993</v>
      </c>
      <c r="G23" s="424">
        <v>9.9166666666666679</v>
      </c>
      <c r="H23" s="424">
        <v>7.583333333333333</v>
      </c>
      <c r="I23" s="424">
        <v>4.583333333333333</v>
      </c>
      <c r="J23" s="424">
        <v>5.916666666666667</v>
      </c>
      <c r="K23" s="424"/>
    </row>
    <row r="24" spans="1:11">
      <c r="A24" s="421" t="s">
        <v>586</v>
      </c>
      <c r="B24" s="426">
        <f t="shared" si="0"/>
        <v>27</v>
      </c>
      <c r="C24">
        <v>38</v>
      </c>
      <c r="D24">
        <v>126</v>
      </c>
      <c r="E24" s="419">
        <v>1190</v>
      </c>
      <c r="F24" s="420">
        <f t="shared" si="1"/>
        <v>1.19</v>
      </c>
      <c r="G24" s="424">
        <v>10.583333333333334</v>
      </c>
      <c r="H24" s="424">
        <v>11.750000000000002</v>
      </c>
      <c r="I24" s="424">
        <v>2.5833333333333335</v>
      </c>
      <c r="J24" s="424">
        <v>2.0833333333333335</v>
      </c>
      <c r="K24" s="424"/>
    </row>
    <row r="25" spans="1:11">
      <c r="A25" s="421" t="s">
        <v>609</v>
      </c>
      <c r="B25" s="426">
        <f t="shared" si="0"/>
        <v>26.000000000000004</v>
      </c>
      <c r="C25">
        <v>50</v>
      </c>
      <c r="D25">
        <v>88</v>
      </c>
      <c r="E25" s="419">
        <v>795.86</v>
      </c>
      <c r="F25" s="420">
        <f t="shared" si="1"/>
        <v>0.79586000000000001</v>
      </c>
      <c r="G25" s="424">
        <v>12.666666666666668</v>
      </c>
      <c r="H25" s="424">
        <v>5.6666666666666661</v>
      </c>
      <c r="I25" s="424">
        <v>3.6666666666666665</v>
      </c>
      <c r="J25" s="424">
        <v>4</v>
      </c>
      <c r="K25" s="424"/>
    </row>
    <row r="26" spans="1:11">
      <c r="A26" s="421" t="s">
        <v>610</v>
      </c>
      <c r="B26" s="426">
        <f t="shared" si="0"/>
        <v>26</v>
      </c>
      <c r="C26">
        <v>45</v>
      </c>
      <c r="D26">
        <v>112</v>
      </c>
      <c r="E26" s="419">
        <v>770.88</v>
      </c>
      <c r="F26" s="420">
        <f t="shared" si="1"/>
        <v>0.77088000000000001</v>
      </c>
      <c r="G26" s="424">
        <v>10.666666666666668</v>
      </c>
      <c r="H26" s="424">
        <v>5.8333333333333321</v>
      </c>
      <c r="I26" s="424">
        <v>4.166666666666667</v>
      </c>
      <c r="J26" s="424">
        <v>5.333333333333333</v>
      </c>
      <c r="K26" s="424"/>
    </row>
    <row r="27" spans="1:11">
      <c r="A27" s="421" t="s">
        <v>595</v>
      </c>
      <c r="B27" s="426">
        <f t="shared" si="0"/>
        <v>26</v>
      </c>
      <c r="C27">
        <v>43</v>
      </c>
      <c r="D27">
        <v>117</v>
      </c>
      <c r="E27" s="419">
        <v>1020</v>
      </c>
      <c r="F27" s="420">
        <f t="shared" si="1"/>
        <v>1.02</v>
      </c>
      <c r="G27" s="424">
        <v>10.083333333333334</v>
      </c>
      <c r="H27" s="424">
        <v>10.916666666666668</v>
      </c>
      <c r="I27" s="424">
        <v>2.083333333333333</v>
      </c>
      <c r="J27" s="424">
        <v>2.916666666666667</v>
      </c>
      <c r="K27" s="424"/>
    </row>
    <row r="28" spans="1:11">
      <c r="A28" s="421" t="s">
        <v>598</v>
      </c>
      <c r="B28" s="426">
        <f t="shared" si="0"/>
        <v>25</v>
      </c>
      <c r="C28">
        <v>38</v>
      </c>
      <c r="D28">
        <v>125</v>
      </c>
      <c r="E28" s="419">
        <v>988.25</v>
      </c>
      <c r="F28" s="420">
        <f t="shared" si="1"/>
        <v>0.98824999999999996</v>
      </c>
      <c r="G28" s="424">
        <v>10.083333333333334</v>
      </c>
      <c r="H28" s="424">
        <v>10.250000000000002</v>
      </c>
      <c r="I28" s="424">
        <v>3.0833333333333335</v>
      </c>
      <c r="J28" s="424">
        <v>1.5833333333333333</v>
      </c>
      <c r="K28" s="424"/>
    </row>
    <row r="29" spans="1:11">
      <c r="A29" s="421" t="s">
        <v>616</v>
      </c>
      <c r="B29" s="426">
        <f t="shared" si="0"/>
        <v>25</v>
      </c>
      <c r="C29">
        <v>37</v>
      </c>
      <c r="D29">
        <v>140</v>
      </c>
      <c r="E29" s="419">
        <v>638.01</v>
      </c>
      <c r="F29" s="420">
        <f t="shared" si="1"/>
        <v>0.63800999999999997</v>
      </c>
      <c r="G29" s="424">
        <v>9.5000000000000018</v>
      </c>
      <c r="H29" s="424">
        <v>5.333333333333333</v>
      </c>
      <c r="I29" s="424">
        <v>4.9999999999999991</v>
      </c>
      <c r="J29" s="424">
        <v>5.1666666666666661</v>
      </c>
      <c r="K29" s="424"/>
    </row>
    <row r="30" spans="1:11">
      <c r="A30" s="421" t="s">
        <v>612</v>
      </c>
      <c r="B30" s="426">
        <f t="shared" si="0"/>
        <v>24</v>
      </c>
      <c r="C30">
        <v>42</v>
      </c>
      <c r="D30">
        <v>122</v>
      </c>
      <c r="E30" s="419">
        <v>689.33</v>
      </c>
      <c r="F30" s="420">
        <f t="shared" si="1"/>
        <v>0.68933</v>
      </c>
      <c r="G30" s="424">
        <v>11.000000000000002</v>
      </c>
      <c r="H30" s="424">
        <v>6.9999999999999991</v>
      </c>
      <c r="I30" s="424">
        <v>2.333333333333333</v>
      </c>
      <c r="J30" s="424">
        <v>3.6666666666666665</v>
      </c>
      <c r="K30" s="424"/>
    </row>
    <row r="31" spans="1:11">
      <c r="A31" s="421" t="s">
        <v>596</v>
      </c>
      <c r="B31" s="426">
        <f t="shared" si="0"/>
        <v>23</v>
      </c>
      <c r="C31">
        <v>41</v>
      </c>
      <c r="D31">
        <v>121</v>
      </c>
      <c r="E31" s="419">
        <v>1010</v>
      </c>
      <c r="F31" s="420">
        <f t="shared" si="1"/>
        <v>1.01</v>
      </c>
      <c r="G31" s="424">
        <v>9.0000000000000018</v>
      </c>
      <c r="H31" s="424">
        <v>9.3333333333333339</v>
      </c>
      <c r="I31" s="424">
        <v>2.333333333333333</v>
      </c>
      <c r="J31" s="424">
        <v>2.3333333333333335</v>
      </c>
      <c r="K31" s="424"/>
    </row>
    <row r="32" spans="1:11">
      <c r="A32" s="421" t="s">
        <v>619</v>
      </c>
      <c r="B32" s="426">
        <f t="shared" si="0"/>
        <v>23</v>
      </c>
      <c r="C32">
        <v>38</v>
      </c>
      <c r="D32">
        <v>127</v>
      </c>
      <c r="E32" s="419">
        <v>598.01</v>
      </c>
      <c r="F32" s="420">
        <f t="shared" si="1"/>
        <v>0.59801000000000004</v>
      </c>
      <c r="G32" s="424">
        <v>9.1666666666666679</v>
      </c>
      <c r="H32" s="424">
        <v>4.9999999999999991</v>
      </c>
      <c r="I32" s="424">
        <v>4</v>
      </c>
      <c r="J32" s="424">
        <v>4.833333333333333</v>
      </c>
      <c r="K32" s="424"/>
    </row>
    <row r="33" spans="1:11">
      <c r="A33" s="421" t="s">
        <v>617</v>
      </c>
      <c r="B33" s="426">
        <f t="shared" si="0"/>
        <v>22.999999999999996</v>
      </c>
      <c r="C33">
        <v>40</v>
      </c>
      <c r="D33">
        <v>120</v>
      </c>
      <c r="E33" s="419">
        <v>633.89</v>
      </c>
      <c r="F33" s="420">
        <f t="shared" si="1"/>
        <v>0.63388999999999995</v>
      </c>
      <c r="G33" s="424">
        <v>7.583333333333333</v>
      </c>
      <c r="H33" s="424">
        <v>5.25</v>
      </c>
      <c r="I33" s="424">
        <v>7.583333333333333</v>
      </c>
      <c r="J33" s="424">
        <v>2.5833333333333335</v>
      </c>
      <c r="K33" s="424"/>
    </row>
    <row r="34" spans="1:11">
      <c r="A34" s="421" t="s">
        <v>620</v>
      </c>
      <c r="B34" s="426">
        <f t="shared" ref="B34:B51" si="2">(SUM(G34:J34))</f>
        <v>22</v>
      </c>
      <c r="C34">
        <v>36</v>
      </c>
      <c r="D34">
        <v>110</v>
      </c>
      <c r="E34" s="419">
        <v>587.91999999999996</v>
      </c>
      <c r="F34" s="420">
        <f t="shared" ref="F34:F51" si="3">E34/1000</f>
        <v>0.58792</v>
      </c>
      <c r="G34" s="424">
        <v>9.8333333333333339</v>
      </c>
      <c r="H34" s="424">
        <v>4.333333333333333</v>
      </c>
      <c r="I34" s="424">
        <v>5.3333333333333339</v>
      </c>
      <c r="J34" s="424">
        <v>2.5</v>
      </c>
      <c r="K34" s="424"/>
    </row>
    <row r="35" spans="1:11">
      <c r="A35" s="421" t="s">
        <v>613</v>
      </c>
      <c r="B35" s="426">
        <f t="shared" si="2"/>
        <v>22</v>
      </c>
      <c r="C35">
        <v>29</v>
      </c>
      <c r="D35">
        <v>133</v>
      </c>
      <c r="E35" s="419">
        <v>673.52</v>
      </c>
      <c r="F35" s="420">
        <f t="shared" si="3"/>
        <v>0.67352000000000001</v>
      </c>
      <c r="G35" s="424">
        <v>13.416666666666668</v>
      </c>
      <c r="H35" s="424">
        <v>4.4166666666666661</v>
      </c>
      <c r="I35" s="424">
        <v>0.58333333333333326</v>
      </c>
      <c r="J35" s="424">
        <v>3.583333333333333</v>
      </c>
      <c r="K35" s="424"/>
    </row>
    <row r="36" spans="1:11">
      <c r="A36" s="421" t="s">
        <v>615</v>
      </c>
      <c r="B36" s="426">
        <f t="shared" si="2"/>
        <v>22</v>
      </c>
      <c r="C36">
        <v>41</v>
      </c>
      <c r="D36">
        <v>122</v>
      </c>
      <c r="E36" s="419">
        <v>649.49</v>
      </c>
      <c r="F36" s="420">
        <f t="shared" si="3"/>
        <v>0.64949000000000001</v>
      </c>
      <c r="G36" s="424">
        <v>9.9166666666666661</v>
      </c>
      <c r="H36" s="424">
        <v>7.4166666666666661</v>
      </c>
      <c r="I36" s="424">
        <v>1.2499999999999998</v>
      </c>
      <c r="J36" s="424">
        <v>3.4166666666666665</v>
      </c>
      <c r="K36" s="424"/>
    </row>
    <row r="37" spans="1:11">
      <c r="A37" s="421" t="s">
        <v>611</v>
      </c>
      <c r="B37" s="426">
        <f t="shared" si="2"/>
        <v>21.999999999999996</v>
      </c>
      <c r="C37">
        <v>34</v>
      </c>
      <c r="D37">
        <v>124</v>
      </c>
      <c r="E37" s="419">
        <v>693.56</v>
      </c>
      <c r="F37" s="420">
        <f t="shared" si="3"/>
        <v>0.69355999999999995</v>
      </c>
      <c r="G37" s="424">
        <v>10.333333333333334</v>
      </c>
      <c r="H37" s="424">
        <v>5.8333333333333321</v>
      </c>
      <c r="I37" s="424">
        <v>1.9999999999999998</v>
      </c>
      <c r="J37" s="424">
        <v>3.833333333333333</v>
      </c>
      <c r="K37" s="424"/>
    </row>
    <row r="38" spans="1:11">
      <c r="A38" s="421" t="s">
        <v>614</v>
      </c>
      <c r="B38" s="426">
        <f t="shared" si="2"/>
        <v>21</v>
      </c>
      <c r="C38">
        <v>37</v>
      </c>
      <c r="D38">
        <v>125</v>
      </c>
      <c r="E38" s="419">
        <v>663.8</v>
      </c>
      <c r="F38" s="420">
        <f t="shared" si="3"/>
        <v>0.66379999999999995</v>
      </c>
      <c r="G38" s="424">
        <v>7.25</v>
      </c>
      <c r="H38" s="424">
        <v>8.7500000000000018</v>
      </c>
      <c r="I38" s="424">
        <v>3.25</v>
      </c>
      <c r="J38" s="424">
        <v>1.75</v>
      </c>
      <c r="K38" s="424"/>
    </row>
    <row r="39" spans="1:11">
      <c r="A39" s="421" t="s">
        <v>623</v>
      </c>
      <c r="B39" s="426">
        <f t="shared" si="2"/>
        <v>19.000000000000004</v>
      </c>
      <c r="C39">
        <v>45</v>
      </c>
      <c r="D39">
        <v>98</v>
      </c>
      <c r="E39" s="419">
        <v>530.87</v>
      </c>
      <c r="F39" s="420">
        <f t="shared" si="3"/>
        <v>0.53086999999999995</v>
      </c>
      <c r="G39" s="424">
        <v>9.8333333333333339</v>
      </c>
      <c r="H39" s="424">
        <v>2.8333333333333335</v>
      </c>
      <c r="I39" s="424">
        <v>2.8333333333333335</v>
      </c>
      <c r="J39" s="424">
        <v>3.5000000000000004</v>
      </c>
      <c r="K39" s="424"/>
    </row>
    <row r="40" spans="1:11">
      <c r="A40" s="421" t="s">
        <v>625</v>
      </c>
      <c r="B40" s="426">
        <f t="shared" si="2"/>
        <v>19.000000000000004</v>
      </c>
      <c r="C40">
        <v>45</v>
      </c>
      <c r="D40">
        <v>81</v>
      </c>
      <c r="E40" s="419">
        <v>521.80999999999995</v>
      </c>
      <c r="F40" s="420">
        <f t="shared" si="3"/>
        <v>0.52181</v>
      </c>
      <c r="G40" s="424">
        <v>9.8333333333333357</v>
      </c>
      <c r="H40" s="424">
        <v>2.1666666666666665</v>
      </c>
      <c r="I40" s="424">
        <v>1.833333333333333</v>
      </c>
      <c r="J40" s="424">
        <v>5.166666666666667</v>
      </c>
      <c r="K40" s="424"/>
    </row>
    <row r="41" spans="1:11">
      <c r="A41" s="421" t="s">
        <v>618</v>
      </c>
      <c r="B41" s="426">
        <f t="shared" si="2"/>
        <v>19</v>
      </c>
      <c r="C41">
        <v>42</v>
      </c>
      <c r="D41">
        <v>121</v>
      </c>
      <c r="E41" s="419">
        <v>617.16</v>
      </c>
      <c r="F41" s="420">
        <f t="shared" si="3"/>
        <v>0.61715999999999993</v>
      </c>
      <c r="G41" s="424">
        <v>9.8333333333333339</v>
      </c>
      <c r="H41" s="424">
        <v>2.1666666666666665</v>
      </c>
      <c r="I41" s="424">
        <v>1.833333333333333</v>
      </c>
      <c r="J41" s="424">
        <v>5.1666666666666661</v>
      </c>
      <c r="K41" s="424"/>
    </row>
    <row r="42" spans="1:11">
      <c r="A42" s="421" t="s">
        <v>621</v>
      </c>
      <c r="B42" s="426">
        <f t="shared" si="2"/>
        <v>18</v>
      </c>
      <c r="C42">
        <v>40</v>
      </c>
      <c r="D42">
        <v>93</v>
      </c>
      <c r="E42" s="419">
        <v>547.16</v>
      </c>
      <c r="F42" s="420">
        <f t="shared" si="3"/>
        <v>0.54715999999999998</v>
      </c>
      <c r="G42" s="424">
        <v>9.5</v>
      </c>
      <c r="H42" s="424">
        <v>1.8333333333333333</v>
      </c>
      <c r="I42" s="424">
        <v>1.4999999999999998</v>
      </c>
      <c r="J42" s="424">
        <v>5.1666666666666661</v>
      </c>
      <c r="K42" s="424"/>
    </row>
    <row r="43" spans="1:11">
      <c r="A43" s="421" t="s">
        <v>624</v>
      </c>
      <c r="B43" s="426">
        <f t="shared" si="2"/>
        <v>17</v>
      </c>
      <c r="C43">
        <v>39</v>
      </c>
      <c r="D43">
        <v>91</v>
      </c>
      <c r="E43" s="419">
        <v>522.16</v>
      </c>
      <c r="F43" s="420">
        <f t="shared" si="3"/>
        <v>0.52215999999999996</v>
      </c>
      <c r="G43" s="424">
        <v>9</v>
      </c>
      <c r="H43" s="424">
        <v>1.8333333333333333</v>
      </c>
      <c r="I43" s="424">
        <v>1.4999999999999998</v>
      </c>
      <c r="J43" s="424">
        <v>4.6666666666666661</v>
      </c>
      <c r="K43" s="424"/>
    </row>
    <row r="44" spans="1:11">
      <c r="A44" s="421" t="s">
        <v>622</v>
      </c>
      <c r="B44" s="426">
        <f t="shared" si="2"/>
        <v>17</v>
      </c>
      <c r="C44">
        <v>41</v>
      </c>
      <c r="D44">
        <v>78</v>
      </c>
      <c r="E44" s="419">
        <v>537.41</v>
      </c>
      <c r="F44" s="420">
        <f t="shared" si="3"/>
        <v>0.53740999999999994</v>
      </c>
      <c r="G44" s="424">
        <v>8.5</v>
      </c>
      <c r="H44" s="424">
        <v>3.8333333333333335</v>
      </c>
      <c r="I44" s="424">
        <v>2.5</v>
      </c>
      <c r="J44" s="424">
        <v>2.1666666666666665</v>
      </c>
      <c r="K44" s="424"/>
    </row>
    <row r="45" spans="1:11">
      <c r="A45" s="421" t="s">
        <v>626</v>
      </c>
      <c r="B45" s="426">
        <f t="shared" si="2"/>
        <v>16</v>
      </c>
      <c r="C45">
        <v>38</v>
      </c>
      <c r="D45">
        <v>87</v>
      </c>
      <c r="E45" s="419">
        <v>481.94</v>
      </c>
      <c r="F45" s="420">
        <f t="shared" si="3"/>
        <v>0.48193999999999998</v>
      </c>
      <c r="G45" s="424">
        <v>9.1666666666666661</v>
      </c>
      <c r="H45" s="424">
        <v>1.8333333333333333</v>
      </c>
      <c r="I45" s="424">
        <v>1.1666666666666665</v>
      </c>
      <c r="J45" s="424">
        <v>3.8333333333333335</v>
      </c>
      <c r="K45" s="424"/>
    </row>
    <row r="46" spans="1:11">
      <c r="A46" s="421" t="s">
        <v>627</v>
      </c>
      <c r="B46" s="426">
        <f t="shared" si="2"/>
        <v>16</v>
      </c>
      <c r="C46">
        <v>38</v>
      </c>
      <c r="D46">
        <v>87</v>
      </c>
      <c r="E46" s="419">
        <v>481.94</v>
      </c>
      <c r="F46" s="420">
        <f t="shared" si="3"/>
        <v>0.48193999999999998</v>
      </c>
      <c r="G46" s="424">
        <v>9.1666666666666661</v>
      </c>
      <c r="H46" s="424">
        <v>1.8333333333333333</v>
      </c>
      <c r="I46" s="424">
        <v>1.1666666666666665</v>
      </c>
      <c r="J46" s="424">
        <v>3.8333333333333335</v>
      </c>
      <c r="K46" s="424"/>
    </row>
    <row r="47" spans="1:11">
      <c r="A47" s="421" t="s">
        <v>628</v>
      </c>
      <c r="B47" s="426">
        <f t="shared" si="2"/>
        <v>14</v>
      </c>
      <c r="C47">
        <v>39</v>
      </c>
      <c r="D47">
        <v>76</v>
      </c>
      <c r="E47" s="419">
        <v>437.08</v>
      </c>
      <c r="F47" s="420">
        <f t="shared" si="3"/>
        <v>0.43707999999999997</v>
      </c>
      <c r="G47" s="424">
        <v>7.9999999999999991</v>
      </c>
      <c r="H47" s="424">
        <v>1.8333333333333333</v>
      </c>
      <c r="I47" s="424">
        <v>1.4999999999999998</v>
      </c>
      <c r="J47" s="424">
        <v>2.666666666666667</v>
      </c>
      <c r="K47" s="424"/>
    </row>
    <row r="48" spans="1:11">
      <c r="A48" s="421" t="s">
        <v>629</v>
      </c>
      <c r="B48" s="426">
        <f t="shared" si="2"/>
        <v>13</v>
      </c>
      <c r="C48">
        <v>22</v>
      </c>
      <c r="D48">
        <v>95</v>
      </c>
      <c r="E48" s="419">
        <v>378.92</v>
      </c>
      <c r="F48" s="420">
        <f t="shared" si="3"/>
        <v>0.37892000000000003</v>
      </c>
      <c r="G48" s="424">
        <v>8.5833333333333339</v>
      </c>
      <c r="H48" s="424">
        <v>2.083333333333333</v>
      </c>
      <c r="I48" s="424">
        <v>0.25</v>
      </c>
      <c r="J48" s="424">
        <v>2.083333333333333</v>
      </c>
      <c r="K48" s="424"/>
    </row>
    <row r="49" spans="1:14">
      <c r="A49" s="421" t="s">
        <v>630</v>
      </c>
      <c r="B49" s="426">
        <f t="shared" si="2"/>
        <v>11.000000000000002</v>
      </c>
      <c r="C49">
        <v>22</v>
      </c>
      <c r="D49">
        <v>97</v>
      </c>
      <c r="E49" s="419">
        <v>358.25</v>
      </c>
      <c r="F49" s="420">
        <f t="shared" si="3"/>
        <v>0.35825000000000001</v>
      </c>
      <c r="G49" s="424">
        <v>7.3333333333333339</v>
      </c>
      <c r="H49" s="424">
        <v>1.8333333333333333</v>
      </c>
      <c r="I49" s="424">
        <v>0.83333333333333326</v>
      </c>
      <c r="J49" s="424">
        <v>1</v>
      </c>
      <c r="K49" s="424"/>
    </row>
    <row r="50" spans="1:14">
      <c r="A50" s="421" t="s">
        <v>631</v>
      </c>
      <c r="B50" s="426">
        <f t="shared" si="2"/>
        <v>7.9999999999999991</v>
      </c>
      <c r="C50">
        <v>24</v>
      </c>
      <c r="D50">
        <v>66</v>
      </c>
      <c r="E50" s="419">
        <v>254</v>
      </c>
      <c r="F50" s="420">
        <f t="shared" si="3"/>
        <v>0.254</v>
      </c>
      <c r="G50" s="424">
        <v>4.833333333333333</v>
      </c>
      <c r="H50" s="424">
        <v>1</v>
      </c>
      <c r="I50" s="424">
        <v>0.83333333333333326</v>
      </c>
      <c r="J50" s="424">
        <v>1.3333333333333333</v>
      </c>
      <c r="K50" s="424"/>
    </row>
    <row r="51" spans="1:14">
      <c r="A51" s="421" t="s">
        <v>632</v>
      </c>
      <c r="B51" s="426">
        <f t="shared" si="2"/>
        <v>4.9999999999999991</v>
      </c>
      <c r="C51">
        <v>17</v>
      </c>
      <c r="D51">
        <v>86</v>
      </c>
      <c r="E51" s="419">
        <v>179.36</v>
      </c>
      <c r="F51" s="420">
        <f t="shared" si="3"/>
        <v>0.17936000000000002</v>
      </c>
      <c r="G51" s="424">
        <v>2.583333333333333</v>
      </c>
      <c r="H51" s="424">
        <v>1.0833333333333333</v>
      </c>
      <c r="I51" s="424">
        <v>0.58333333333333326</v>
      </c>
      <c r="J51" s="424">
        <v>0.75</v>
      </c>
      <c r="K51" s="424"/>
    </row>
    <row r="54" spans="1:14">
      <c r="A54" s="423" t="s">
        <v>549</v>
      </c>
      <c r="B54" s="417">
        <f>(SUM(G54:J54))</f>
        <v>133</v>
      </c>
      <c r="C54" s="417">
        <v>102</v>
      </c>
      <c r="D54" s="417">
        <v>198</v>
      </c>
      <c r="E54" s="422">
        <v>3.05</v>
      </c>
      <c r="F54" s="418" t="s">
        <v>581</v>
      </c>
      <c r="G54" s="422">
        <v>38.666666666666679</v>
      </c>
      <c r="H54" s="422">
        <v>34.666666666666671</v>
      </c>
      <c r="I54" s="422">
        <v>39.166666666666664</v>
      </c>
      <c r="J54" s="422">
        <v>20.499999999999996</v>
      </c>
      <c r="K54" s="422"/>
    </row>
    <row r="55" spans="1:14">
      <c r="G55" s="416"/>
      <c r="H55" s="416"/>
      <c r="I55" s="416"/>
      <c r="J55" s="416"/>
    </row>
    <row r="57" spans="1:14">
      <c r="A57" s="425"/>
      <c r="B57" s="425">
        <v>2012</v>
      </c>
      <c r="C57" s="425">
        <v>2013</v>
      </c>
      <c r="D57" s="425">
        <v>2014</v>
      </c>
      <c r="E57" s="425">
        <v>2015</v>
      </c>
      <c r="F57" s="425">
        <v>2016</v>
      </c>
      <c r="G57" s="425">
        <v>2017</v>
      </c>
      <c r="H57" s="425">
        <v>2018</v>
      </c>
      <c r="I57" s="425">
        <v>2019</v>
      </c>
      <c r="J57" s="425">
        <v>2020</v>
      </c>
      <c r="K57" s="425">
        <v>2021</v>
      </c>
      <c r="L57" s="425">
        <v>2022</v>
      </c>
      <c r="M57" s="425">
        <v>2023</v>
      </c>
    </row>
    <row r="58" spans="1:14">
      <c r="A58" t="s">
        <v>639</v>
      </c>
      <c r="B58">
        <v>2.4</v>
      </c>
      <c r="C58">
        <v>2.5</v>
      </c>
      <c r="D58">
        <v>2.99</v>
      </c>
      <c r="E58">
        <v>2.88</v>
      </c>
      <c r="F58">
        <v>2.74</v>
      </c>
      <c r="G58">
        <v>3.05</v>
      </c>
      <c r="H58">
        <v>3.18</v>
      </c>
      <c r="I58">
        <v>3.58</v>
      </c>
      <c r="J58">
        <v>3.52</v>
      </c>
      <c r="K58">
        <v>3.44</v>
      </c>
      <c r="L58">
        <v>3.58</v>
      </c>
      <c r="M58">
        <v>3.88</v>
      </c>
    </row>
    <row r="59" spans="1:14">
      <c r="A59" s="427" t="s">
        <v>640</v>
      </c>
      <c r="B59" s="424">
        <f>0.152+0.217</f>
        <v>0.36899999999999999</v>
      </c>
      <c r="C59" s="424">
        <f>0.152+0.236</f>
        <v>0.38800000000000001</v>
      </c>
      <c r="D59" s="424">
        <f>0.282+0.152</f>
        <v>0.43399999999999994</v>
      </c>
      <c r="E59" s="428">
        <f>0.277+0.152</f>
        <v>0.42900000000000005</v>
      </c>
      <c r="F59" s="424">
        <f>0.2837+0.0797+0.007</f>
        <v>0.37040000000000001</v>
      </c>
      <c r="G59" s="424">
        <f>0.299+0.087</f>
        <v>0.38600000000000001</v>
      </c>
      <c r="H59" s="428">
        <f>0.311+0.079+0.007</f>
        <v>0.39700000000000002</v>
      </c>
      <c r="I59" s="428">
        <f>0.297+0.057</f>
        <v>0.35399999999999998</v>
      </c>
      <c r="J59" s="424">
        <f>0.271+0.0445</f>
        <v>0.3155</v>
      </c>
      <c r="K59" s="424">
        <f>0.3226+0.0463</f>
        <v>0.36890000000000001</v>
      </c>
      <c r="L59" s="424">
        <f>0.36+0.047</f>
        <v>0.40699999999999997</v>
      </c>
      <c r="M59" s="424">
        <f>0.342+0.0474</f>
        <v>0.38940000000000002</v>
      </c>
    </row>
    <row r="61" spans="1:14">
      <c r="N61" s="416"/>
    </row>
    <row r="62" spans="1:14">
      <c r="N62" s="416"/>
    </row>
    <row r="63" spans="1:14">
      <c r="N63" s="416"/>
    </row>
    <row r="65" spans="14:14">
      <c r="N65" s="416"/>
    </row>
    <row r="66" spans="14:14">
      <c r="N66" s="416"/>
    </row>
  </sheetData>
  <autoFilter ref="A1:J1" xr:uid="{775F3C35-CE64-4EEB-B5C5-837FECF2BF37}">
    <sortState xmlns:xlrd2="http://schemas.microsoft.com/office/spreadsheetml/2017/richdata2" ref="A2:J51">
      <sortCondition descending="1" ref="B1"/>
    </sortState>
  </autoFilter>
  <hyperlinks>
    <hyperlink ref="L3" r:id="rId1" xr:uid="{E2526AC7-A8BA-4344-9691-EAE4CE4657CD}"/>
  </hyperlinks>
  <pageMargins left="0.7" right="0.7" top="0.75" bottom="0.75" header="0.3" footer="0.3"/>
  <pageSetup orientation="portrait" horizontalDpi="1200" verticalDpi="120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CONTENTS</vt:lpstr>
      <vt:lpstr>ETHANOL</vt:lpstr>
      <vt:lpstr>BIOBUTANOL</vt:lpstr>
      <vt:lpstr>BIODIESEL</vt:lpstr>
      <vt:lpstr>FATS</vt:lpstr>
      <vt:lpstr>RENEWABLE DIESEL</vt:lpstr>
      <vt:lpstr>RENEWABLE JET FUEL</vt:lpstr>
      <vt:lpstr>WOOD PELLETS</vt:lpstr>
      <vt:lpstr>WASTE TO ENERGY</vt:lpstr>
      <vt:lpstr>BIOGAS</vt:lpstr>
      <vt:lpstr>TRADE</vt:lpstr>
      <vt:lpstr>BIOPRODUCTS</vt:lpstr>
      <vt:lpstr>BIOPLASTICS</vt:lpstr>
      <vt:lpstr>ENZYMES</vt:lpstr>
      <vt:lpstr>APPAREL AND TEXTILES</vt:lpstr>
      <vt:lpstr>FOREST PRODUCTS</vt:lpstr>
      <vt:lpstr>FUNDING</vt:lpstr>
      <vt:lpstr>CSC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Janire Pascual</dc:creator>
  <cp:lastModifiedBy>Janire Pascual Gonzalez</cp:lastModifiedBy>
  <dcterms:created xsi:type="dcterms:W3CDTF">2017-01-11T16:16:58Z</dcterms:created>
  <dcterms:modified xsi:type="dcterms:W3CDTF">2025-09-23T18:18:40Z</dcterms:modified>
</cp:coreProperties>
</file>