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1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Ex2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charts/chartEx3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SLProjects/Bioeconomy/Bioindicators/2024Report/"/>
    </mc:Choice>
  </mc:AlternateContent>
  <xr:revisionPtr revIDLastSave="3286" documentId="11_125B3DD155FE7FC4BF56B86755F4106D9698A3E8" xr6:coauthVersionLast="47" xr6:coauthVersionMax="47" xr10:uidLastSave="{1FC3A6B9-E7A0-452F-98D9-D09A3F6257D0}"/>
  <bookViews>
    <workbookView xWindow="28680" yWindow="630" windowWidth="29040" windowHeight="15720" tabRatio="712" activeTab="3" xr2:uid="{00000000-000D-0000-FFFF-FFFF00000000}"/>
  </bookViews>
  <sheets>
    <sheet name="CONTENTS" sheetId="1" r:id="rId1"/>
    <sheet name="ETHANOL" sheetId="2" r:id="rId2"/>
    <sheet name="BIOBUTANOL" sheetId="3" r:id="rId3"/>
    <sheet name="BIODIESEL" sheetId="4" r:id="rId4"/>
    <sheet name="FATS" sheetId="5" r:id="rId5"/>
    <sheet name="RENEWABLE DIESEL" sheetId="6" r:id="rId6"/>
    <sheet name="RENEWABLE JET FUEL" sheetId="7" r:id="rId7"/>
    <sheet name="WOOD PELLETS" sheetId="8" r:id="rId8"/>
    <sheet name="WASTE TO ENERGY" sheetId="9" r:id="rId9"/>
    <sheet name="BIOGAS" sheetId="10" r:id="rId10"/>
    <sheet name="TRADE" sheetId="17" r:id="rId11"/>
    <sheet name="BIOPRODUCTS" sheetId="11" r:id="rId12"/>
    <sheet name="BIOPLASTICS" sheetId="12" r:id="rId13"/>
    <sheet name="ENZYMES" sheetId="13" r:id="rId14"/>
    <sheet name="APPAREL AND TEXTILES" sheetId="14" r:id="rId15"/>
    <sheet name="FOREST PRODUCTS" sheetId="15" r:id="rId16"/>
    <sheet name="FUNDING" sheetId="16" r:id="rId17"/>
    <sheet name="CSC" sheetId="18" r:id="rId18"/>
  </sheets>
  <definedNames>
    <definedName name="_xlnm._FilterDatabase" localSheetId="17" hidden="1">CSC!$A$1:$J$1</definedName>
    <definedName name="_xlchart.v1.0" hidden="1">BIOPLASTICS!$R$46:$S$56</definedName>
    <definedName name="_xlchart.v1.1" hidden="1">BIOPLASTICS!$T$46:$T$56</definedName>
    <definedName name="_xlchart.v5.2" hidden="1">CSC!$A$1</definedName>
    <definedName name="_xlchart.v5.3" hidden="1">CSC!$A$2:$A$51</definedName>
    <definedName name="_xlchart.v5.4" hidden="1">CSC!$B$1</definedName>
    <definedName name="_xlchart.v5.5" hidden="1">CSC!$B$2:$B$51</definedName>
    <definedName name="_xlchart.v5.6" hidden="1">CSC!$A$1</definedName>
    <definedName name="_xlchart.v5.7" hidden="1">CSC!$A$2:$A$49</definedName>
    <definedName name="_xlchart.v5.8" hidden="1">CSC!$E$1</definedName>
    <definedName name="_xlchart.v5.9" hidden="1">CSC!$E$2:$E$49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5" l="1"/>
  <c r="Q38" i="15"/>
  <c r="Q27" i="15"/>
  <c r="Q28" i="15"/>
  <c r="Q29" i="15"/>
  <c r="Q30" i="15"/>
  <c r="Q31" i="15"/>
  <c r="P25" i="12"/>
  <c r="O29" i="8"/>
  <c r="O15" i="8"/>
  <c r="N59" i="18" l="1"/>
  <c r="N66" i="18"/>
  <c r="M66" i="18"/>
  <c r="N65" i="18"/>
  <c r="M65" i="18"/>
  <c r="N63" i="18"/>
  <c r="N62" i="18"/>
  <c r="N61" i="18"/>
  <c r="B59" i="18"/>
  <c r="C59" i="18"/>
  <c r="D59" i="18"/>
  <c r="E59" i="18"/>
  <c r="F59" i="18"/>
  <c r="G59" i="18"/>
  <c r="H59" i="18"/>
  <c r="I59" i="18"/>
  <c r="J59" i="18"/>
  <c r="K59" i="18"/>
  <c r="L59" i="18"/>
  <c r="M59" i="18"/>
  <c r="B54" i="18"/>
  <c r="F15" i="18"/>
  <c r="F7" i="18"/>
  <c r="F24" i="18"/>
  <c r="F26" i="18"/>
  <c r="F38" i="18"/>
  <c r="F45" i="18"/>
  <c r="F25" i="18"/>
  <c r="F42" i="18"/>
  <c r="F18" i="18"/>
  <c r="F8" i="18"/>
  <c r="F10" i="18"/>
  <c r="F3" i="18"/>
  <c r="F30" i="18"/>
  <c r="F21" i="18"/>
  <c r="F49" i="18"/>
  <c r="F46" i="18"/>
  <c r="F39" i="18"/>
  <c r="F35" i="18"/>
  <c r="F4" i="18"/>
  <c r="F12" i="18"/>
  <c r="F31" i="18"/>
  <c r="F22" i="18"/>
  <c r="F11" i="18"/>
  <c r="F32" i="18"/>
  <c r="F9" i="18"/>
  <c r="F47" i="18"/>
  <c r="F16" i="18"/>
  <c r="F27" i="18"/>
  <c r="F23" i="18"/>
  <c r="F5" i="18"/>
  <c r="F48" i="18"/>
  <c r="F41" i="18"/>
  <c r="F6" i="18"/>
  <c r="F29" i="18"/>
  <c r="F40" i="18"/>
  <c r="F13" i="18"/>
  <c r="F36" i="18"/>
  <c r="F34" i="18"/>
  <c r="F19" i="18"/>
  <c r="F2" i="18"/>
  <c r="F20" i="18"/>
  <c r="F43" i="18"/>
  <c r="F44" i="18"/>
  <c r="F33" i="18"/>
  <c r="F14" i="18"/>
  <c r="F50" i="18"/>
  <c r="F37" i="18"/>
  <c r="F28" i="18"/>
  <c r="F17" i="18"/>
  <c r="B51" i="18"/>
  <c r="B34" i="18"/>
  <c r="B19" i="18"/>
  <c r="B2" i="18"/>
  <c r="B20" i="18"/>
  <c r="B43" i="18"/>
  <c r="B44" i="18"/>
  <c r="B33" i="18"/>
  <c r="B14" i="18"/>
  <c r="B50" i="18"/>
  <c r="B37" i="18"/>
  <c r="B28" i="18"/>
  <c r="B15" i="18"/>
  <c r="B7" i="18"/>
  <c r="B24" i="18"/>
  <c r="B26" i="18"/>
  <c r="B38" i="18"/>
  <c r="B45" i="18"/>
  <c r="B25" i="18"/>
  <c r="B42" i="18"/>
  <c r="B18" i="18"/>
  <c r="B8" i="18"/>
  <c r="B10" i="18"/>
  <c r="B3" i="18"/>
  <c r="B30" i="18"/>
  <c r="B21" i="18"/>
  <c r="B49" i="18"/>
  <c r="B46" i="18"/>
  <c r="B39" i="18"/>
  <c r="B35" i="18"/>
  <c r="B4" i="18"/>
  <c r="B12" i="18"/>
  <c r="B31" i="18"/>
  <c r="B22" i="18"/>
  <c r="B11" i="18"/>
  <c r="B32" i="18"/>
  <c r="B9" i="18"/>
  <c r="B47" i="18"/>
  <c r="B16" i="18"/>
  <c r="B27" i="18"/>
  <c r="B23" i="18"/>
  <c r="B5" i="18"/>
  <c r="B48" i="18"/>
  <c r="B41" i="18"/>
  <c r="B6" i="18"/>
  <c r="B29" i="18"/>
  <c r="B40" i="18"/>
  <c r="B13" i="18"/>
  <c r="B36" i="18"/>
  <c r="B17" i="18"/>
  <c r="F51" i="18"/>
  <c r="G87" i="16" l="1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I95" i="16"/>
  <c r="I94" i="16"/>
  <c r="I93" i="16"/>
  <c r="I92" i="16"/>
  <c r="I91" i="16"/>
  <c r="I90" i="16"/>
  <c r="I89" i="16"/>
  <c r="I88" i="16"/>
  <c r="I87" i="16"/>
  <c r="K91" i="16"/>
  <c r="K90" i="16"/>
  <c r="K89" i="16"/>
  <c r="K88" i="16"/>
  <c r="K87" i="16"/>
  <c r="K95" i="16"/>
  <c r="K94" i="16"/>
  <c r="K93" i="16"/>
  <c r="K92" i="16"/>
  <c r="J87" i="16"/>
  <c r="J88" i="16"/>
  <c r="J89" i="16"/>
  <c r="J90" i="16"/>
  <c r="J91" i="16"/>
  <c r="J93" i="16"/>
  <c r="J94" i="16"/>
  <c r="J95" i="16"/>
  <c r="J92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B50" i="16"/>
  <c r="B49" i="16"/>
  <c r="B48" i="16"/>
  <c r="D88" i="16"/>
  <c r="E88" i="16"/>
  <c r="F88" i="16"/>
  <c r="D89" i="16"/>
  <c r="E89" i="16"/>
  <c r="F89" i="16"/>
  <c r="D90" i="16"/>
  <c r="E90" i="16"/>
  <c r="F90" i="16"/>
  <c r="D91" i="16"/>
  <c r="E91" i="16"/>
  <c r="F91" i="16"/>
  <c r="F87" i="16"/>
  <c r="E87" i="16"/>
  <c r="D87" i="16"/>
  <c r="E95" i="16"/>
  <c r="D95" i="16"/>
  <c r="D93" i="16"/>
  <c r="E93" i="16"/>
  <c r="F93" i="16"/>
  <c r="D94" i="16"/>
  <c r="E94" i="16"/>
  <c r="F94" i="16"/>
  <c r="F95" i="16"/>
  <c r="F92" i="16"/>
  <c r="E92" i="16"/>
  <c r="D92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35" i="16"/>
  <c r="G52" i="17" l="1"/>
  <c r="G53" i="17"/>
  <c r="G54" i="17"/>
  <c r="G55" i="17"/>
  <c r="G51" i="17"/>
  <c r="G70" i="17"/>
  <c r="G71" i="17"/>
  <c r="G72" i="17"/>
  <c r="G73" i="17"/>
  <c r="G74" i="17"/>
  <c r="G69" i="17"/>
  <c r="G76" i="17"/>
  <c r="G77" i="17"/>
  <c r="G78" i="17"/>
  <c r="G79" i="17"/>
  <c r="G75" i="17"/>
  <c r="G57" i="17"/>
  <c r="G58" i="17"/>
  <c r="G59" i="17"/>
  <c r="G60" i="17"/>
  <c r="G56" i="17"/>
  <c r="K18" i="17"/>
  <c r="K16" i="17"/>
  <c r="K17" i="17"/>
  <c r="G47" i="17"/>
  <c r="G48" i="17"/>
  <c r="G49" i="17"/>
  <c r="G50" i="17"/>
  <c r="G46" i="17"/>
  <c r="H8" i="17"/>
  <c r="G39" i="17"/>
  <c r="G40" i="17"/>
  <c r="G38" i="17"/>
  <c r="E6" i="17"/>
  <c r="G42" i="17"/>
  <c r="G43" i="17"/>
  <c r="G44" i="17"/>
  <c r="G45" i="17"/>
  <c r="G41" i="17"/>
  <c r="G37" i="17"/>
  <c r="G33" i="17"/>
  <c r="G34" i="17"/>
  <c r="G35" i="17"/>
  <c r="G36" i="17"/>
  <c r="G32" i="17"/>
  <c r="G93" i="2"/>
  <c r="C92" i="2"/>
  <c r="C93" i="2" s="1"/>
  <c r="D92" i="2"/>
  <c r="D93" i="2" s="1"/>
  <c r="E92" i="2"/>
  <c r="E93" i="2" s="1"/>
  <c r="F92" i="2"/>
  <c r="F93" i="2" s="1"/>
  <c r="G92" i="2"/>
  <c r="H92" i="2"/>
  <c r="H93" i="2" s="1"/>
  <c r="I92" i="2"/>
  <c r="I93" i="2" s="1"/>
  <c r="J92" i="2"/>
  <c r="J93" i="2" s="1"/>
  <c r="K92" i="2"/>
  <c r="K93" i="2" s="1"/>
  <c r="L92" i="2"/>
  <c r="L93" i="2" s="1"/>
  <c r="M92" i="2"/>
  <c r="M93" i="2" s="1"/>
  <c r="N92" i="2"/>
  <c r="N93" i="2" s="1"/>
  <c r="O92" i="2"/>
  <c r="O93" i="2" s="1"/>
  <c r="B92" i="2"/>
  <c r="B93" i="2" s="1"/>
  <c r="Q42" i="12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B38" i="15"/>
  <c r="C37" i="15"/>
  <c r="D37" i="15"/>
  <c r="E37" i="15"/>
  <c r="F37" i="15"/>
  <c r="G37" i="15"/>
  <c r="H37" i="15"/>
  <c r="I37" i="15"/>
  <c r="J37" i="15"/>
  <c r="K37" i="15"/>
  <c r="L37" i="15"/>
  <c r="M37" i="15"/>
  <c r="B37" i="15"/>
  <c r="E15" i="8"/>
  <c r="F15" i="8"/>
  <c r="G15" i="8"/>
  <c r="H15" i="8"/>
  <c r="I15" i="8"/>
  <c r="J15" i="8"/>
  <c r="K15" i="8"/>
  <c r="L15" i="8"/>
  <c r="M15" i="8"/>
  <c r="N15" i="8"/>
  <c r="D15" i="8"/>
  <c r="O34" i="5"/>
  <c r="P28" i="5"/>
  <c r="F34" i="5"/>
  <c r="G34" i="5"/>
  <c r="H34" i="5"/>
  <c r="I34" i="5"/>
  <c r="J34" i="5"/>
  <c r="K34" i="5"/>
  <c r="L34" i="5"/>
  <c r="M34" i="5"/>
  <c r="N34" i="5"/>
  <c r="P34" i="5"/>
  <c r="E34" i="5"/>
  <c r="D28" i="5"/>
  <c r="E28" i="5"/>
  <c r="F28" i="5"/>
  <c r="G28" i="5"/>
  <c r="H28" i="5"/>
  <c r="I28" i="5"/>
  <c r="J28" i="5"/>
  <c r="K28" i="5"/>
  <c r="L28" i="5"/>
  <c r="M28" i="5"/>
  <c r="N28" i="5"/>
  <c r="O28" i="5"/>
  <c r="N15" i="5" l="1"/>
  <c r="P22" i="5"/>
  <c r="Q16" i="12"/>
  <c r="O19" i="8"/>
  <c r="P36" i="5"/>
  <c r="P37" i="5"/>
  <c r="P38" i="5"/>
  <c r="P25" i="5"/>
  <c r="P31" i="15"/>
  <c r="O31" i="15"/>
  <c r="N31" i="15"/>
  <c r="N37" i="15" s="1"/>
  <c r="M31" i="15"/>
  <c r="L31" i="15"/>
  <c r="K31" i="15"/>
  <c r="J31" i="15"/>
  <c r="I31" i="15"/>
  <c r="H31" i="15"/>
  <c r="G31" i="15"/>
  <c r="F31" i="15"/>
  <c r="E31" i="15"/>
  <c r="D31" i="15"/>
  <c r="C31" i="15"/>
  <c r="B31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P16" i="12"/>
  <c r="O16" i="12"/>
  <c r="O25" i="12" s="1"/>
  <c r="N16" i="12"/>
  <c r="N25" i="12" s="1"/>
  <c r="M16" i="12"/>
  <c r="M25" i="12" s="1"/>
  <c r="L16" i="12"/>
  <c r="L25" i="12" s="1"/>
  <c r="K16" i="12"/>
  <c r="K25" i="12" s="1"/>
  <c r="J16" i="12"/>
  <c r="J25" i="12" s="1"/>
  <c r="I16" i="12"/>
  <c r="I25" i="12" s="1"/>
  <c r="H16" i="12"/>
  <c r="H25" i="12" s="1"/>
  <c r="G16" i="12"/>
  <c r="G25" i="12" s="1"/>
  <c r="F16" i="12"/>
  <c r="F25" i="12" s="1"/>
  <c r="E16" i="12"/>
  <c r="E25" i="12" s="1"/>
  <c r="D16" i="12"/>
  <c r="D25" i="12" s="1"/>
  <c r="C16" i="12"/>
  <c r="C25" i="12" s="1"/>
  <c r="B16" i="12"/>
  <c r="B25" i="12" s="1"/>
  <c r="Q18" i="11"/>
  <c r="Q17" i="11"/>
  <c r="Q16" i="11"/>
  <c r="Q15" i="11"/>
  <c r="Q14" i="11"/>
  <c r="Q13" i="11"/>
  <c r="Q12" i="11"/>
  <c r="Q11" i="11"/>
  <c r="Q10" i="11"/>
  <c r="Q9" i="11"/>
  <c r="Q8" i="11"/>
  <c r="Q6" i="11"/>
  <c r="Q5" i="11"/>
  <c r="N4" i="11"/>
  <c r="O4" i="11" s="1"/>
  <c r="E34" i="9"/>
  <c r="I13" i="9"/>
  <c r="G13" i="9"/>
  <c r="B13" i="9"/>
  <c r="H12" i="9"/>
  <c r="G12" i="9"/>
  <c r="F12" i="9"/>
  <c r="E12" i="9"/>
  <c r="D12" i="9"/>
  <c r="C12" i="9"/>
  <c r="B12" i="9"/>
  <c r="N19" i="8"/>
  <c r="M19" i="8"/>
  <c r="L19" i="8"/>
  <c r="J19" i="8"/>
  <c r="I19" i="8"/>
  <c r="H19" i="8"/>
  <c r="G19" i="8"/>
  <c r="F19" i="8"/>
  <c r="E19" i="8"/>
  <c r="D19" i="8"/>
  <c r="C19" i="8"/>
  <c r="B19" i="8"/>
  <c r="K18" i="8"/>
  <c r="N17" i="8"/>
  <c r="M17" i="8"/>
  <c r="L17" i="8"/>
  <c r="K17" i="8"/>
  <c r="K16" i="8"/>
  <c r="K19" i="8" s="1"/>
  <c r="O39" i="5"/>
  <c r="N39" i="5"/>
  <c r="M39" i="5"/>
  <c r="L39" i="5"/>
  <c r="K39" i="5"/>
  <c r="J39" i="5"/>
  <c r="I39" i="5"/>
  <c r="H39" i="5"/>
  <c r="G39" i="5"/>
  <c r="F39" i="5"/>
  <c r="E39" i="5"/>
  <c r="D39" i="5"/>
  <c r="O38" i="5"/>
  <c r="N38" i="5"/>
  <c r="M38" i="5"/>
  <c r="L38" i="5"/>
  <c r="K38" i="5"/>
  <c r="J38" i="5"/>
  <c r="I38" i="5"/>
  <c r="H38" i="5"/>
  <c r="G38" i="5"/>
  <c r="F38" i="5"/>
  <c r="E38" i="5"/>
  <c r="D38" i="5"/>
  <c r="O37" i="5"/>
  <c r="N37" i="5"/>
  <c r="M37" i="5"/>
  <c r="L37" i="5"/>
  <c r="K37" i="5"/>
  <c r="J37" i="5"/>
  <c r="I37" i="5"/>
  <c r="H37" i="5"/>
  <c r="G37" i="5"/>
  <c r="F37" i="5"/>
  <c r="E37" i="5"/>
  <c r="D37" i="5"/>
  <c r="O36" i="5"/>
  <c r="N36" i="5"/>
  <c r="M36" i="5"/>
  <c r="L36" i="5"/>
  <c r="K36" i="5"/>
  <c r="J36" i="5"/>
  <c r="I36" i="5"/>
  <c r="H36" i="5"/>
  <c r="G36" i="5"/>
  <c r="F36" i="5"/>
  <c r="E36" i="5"/>
  <c r="D36" i="5"/>
  <c r="E26" i="5"/>
  <c r="D26" i="5"/>
  <c r="L25" i="5"/>
  <c r="E25" i="5"/>
  <c r="D25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O15" i="5"/>
  <c r="M15" i="5"/>
  <c r="L15" i="5"/>
  <c r="K15" i="5"/>
  <c r="J15" i="5"/>
  <c r="I15" i="5"/>
  <c r="H15" i="5"/>
  <c r="G15" i="5"/>
  <c r="F15" i="5"/>
  <c r="E15" i="5"/>
  <c r="D15" i="5"/>
  <c r="N22" i="4"/>
  <c r="M22" i="4"/>
  <c r="L22" i="4"/>
  <c r="O21" i="4"/>
  <c r="N21" i="4"/>
  <c r="M21" i="4"/>
  <c r="L21" i="4"/>
  <c r="K21" i="4"/>
  <c r="O20" i="4"/>
  <c r="N20" i="4"/>
  <c r="M20" i="4"/>
  <c r="L20" i="4"/>
  <c r="O19" i="4"/>
  <c r="N19" i="4"/>
  <c r="M19" i="4"/>
  <c r="L19" i="4"/>
  <c r="O18" i="4"/>
  <c r="N18" i="4"/>
  <c r="M18" i="4"/>
  <c r="L18" i="4"/>
  <c r="K18" i="4"/>
  <c r="O30" i="2"/>
  <c r="N30" i="2"/>
  <c r="M30" i="2"/>
  <c r="O29" i="2"/>
  <c r="N29" i="2"/>
  <c r="M29" i="2"/>
  <c r="O37" i="15" l="1"/>
  <c r="P37" i="15"/>
  <c r="N30" i="12"/>
  <c r="O30" i="12"/>
  <c r="P3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CCBB91CF-23B8-4859-8899-7B3FB00DD7B7}">
      <text>
        <r>
          <rPr>
            <sz val="11"/>
            <color theme="1"/>
            <rFont val="Calibri"/>
            <family val="2"/>
            <scheme val="minor"/>
          </rPr>
          <t>======
ID#AAABCKao9ow
Pascual, Janire    (2023-12-11 18:13:14)
Source: https://www.eia.gov/dnav/pet/pet_move_expc_a_EPOOXE_EEX_mbbl_a.htm</t>
        </r>
      </text>
    </comment>
    <comment ref="D2" authorId="0" shapeId="0" xr:uid="{4B670116-0999-45CC-8241-E204199C6D08}">
      <text>
        <r>
          <rPr>
            <sz val="11"/>
            <color theme="1"/>
            <rFont val="Calibri"/>
            <family val="2"/>
            <scheme val="minor"/>
          </rPr>
          <t>======
ID#AAABCKao9o4
Pascual, Janire    (2023-12-11 18:13:14)
Source: https://www.eia.gov/dnav/pet/pet_move_expc_a_EPOORDB_EEX_mbbl_a.htm</t>
        </r>
      </text>
    </comment>
    <comment ref="G2" authorId="0" shapeId="0" xr:uid="{2A3FD799-00FC-467A-B475-765B7F72FBCF}">
      <text>
        <r>
          <rPr>
            <sz val="11"/>
            <color theme="1"/>
            <rFont val="Calibri"/>
            <family val="2"/>
            <scheme val="minor"/>
          </rPr>
          <t>======
ID#AAABCKao9pg
Pascual, Janire    (2023-12-11 18:13:14)
Source: https://comtrade.un.org/data/</t>
        </r>
      </text>
    </comment>
    <comment ref="J2" authorId="0" shapeId="0" xr:uid="{3E75CDC1-F9D3-4E01-A7EB-736B76B06347}">
      <text>
        <r>
          <rPr>
            <sz val="11"/>
            <color theme="1"/>
            <rFont val="Calibri"/>
            <family val="2"/>
            <scheme val="minor"/>
          </rPr>
          <t>======
ID#AAABCKao9pA
tc={CE891A85-F1AE-41EE-9BF2-6EBCD4AC02D4}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M2" authorId="0" shapeId="0" xr:uid="{716873B4-A1F6-4781-8BD2-15FD57163DDE}">
      <text>
        <r>
          <rPr>
            <sz val="11"/>
            <color theme="1"/>
            <rFont val="Calibri"/>
            <family val="2"/>
            <scheme val="minor"/>
          </rPr>
          <t>======
ID#AAABCKao9og
Pascual, Janire    (2023-12-11 18:13:14)
Source: https://www.eia.gov/dnav/pet/pet_move_expc_a_EPOOXE_EEX_mbbl_a.htm</t>
        </r>
      </text>
    </comment>
    <comment ref="P2" authorId="0" shapeId="0" xr:uid="{F60397A0-8DB3-4B54-B52F-B966154B57DD}">
      <text>
        <r>
          <rPr>
            <sz val="11"/>
            <color theme="1"/>
            <rFont val="Calibri"/>
            <family val="2"/>
            <scheme val="minor"/>
          </rPr>
          <t>======
ID#AAABCKao9oc
Pascual, Janire    (2023-12-11 18:13:14)
Source: https://www.eia.gov/dnav/pet/pet_move_expc_a_EPOORDB_EEX_mbbl_a.htm</t>
        </r>
      </text>
    </comment>
    <comment ref="S2" authorId="0" shapeId="0" xr:uid="{528F8D38-C62E-425D-B636-9F7D814B8AF9}">
      <text>
        <r>
          <rPr>
            <sz val="11"/>
            <color theme="1"/>
            <rFont val="Calibri"/>
            <family val="2"/>
            <scheme val="minor"/>
          </rPr>
          <t>======
ID#AAABCKao9pM
Pascual, Janire    (2023-12-11 18:13:14)
Source: https://comtrade.un.org/data/</t>
        </r>
      </text>
    </comment>
    <comment ref="V2" authorId="0" shapeId="0" xr:uid="{030CBAAC-0574-40FB-8BBE-0F9A77BDF0C8}">
      <text>
        <r>
          <rPr>
            <sz val="11"/>
            <color theme="1"/>
            <rFont val="Calibri"/>
            <family val="2"/>
            <scheme val="minor"/>
          </rPr>
          <t>======
ID#AAABCKao9os
Source    (2023-12-11 18:13:14)
https://pubs.rendermagazine.com/2022-04/page_16.html</t>
        </r>
      </text>
    </comment>
    <comment ref="Y2" authorId="0" shapeId="0" xr:uid="{5124A45F-434E-494C-925B-2650ECF85316}">
      <text>
        <r>
          <rPr>
            <sz val="11"/>
            <color theme="1"/>
            <rFont val="Calibri"/>
            <family val="2"/>
            <scheme val="minor"/>
          </rPr>
          <t>======
ID#AAABCKao9o8
Pascual, Janire    (2023-12-11 18:13:14)
Source: https://www.eia.gov/dnav/pet/pet_move_expc_a_EPOOXE_EEX_mbbl_a.htm</t>
        </r>
      </text>
    </comment>
    <comment ref="AB2" authorId="0" shapeId="0" xr:uid="{008D7FAB-FB7C-4CCA-B1EC-610FB1459FB5}">
      <text>
        <r>
          <rPr>
            <sz val="11"/>
            <color theme="1"/>
            <rFont val="Calibri"/>
            <family val="2"/>
            <scheme val="minor"/>
          </rPr>
          <t>======
ID#AAABCKao9o0
Pascual, Janire    (2023-12-11 18:13:14)
Source: https://www.eia.gov/dnav/pet/pet_move_expc_a_EPOORDB_EEX_mbbl_a.htm</t>
        </r>
      </text>
    </comment>
    <comment ref="AE2" authorId="0" shapeId="0" xr:uid="{7FF38ABC-4F6F-44C8-BD78-18750AE429DE}">
      <text>
        <r>
          <rPr>
            <sz val="11"/>
            <color theme="1"/>
            <rFont val="Calibri"/>
            <family val="2"/>
            <scheme val="minor"/>
          </rPr>
          <t>======
ID#AAABCKao9n4
Pascual, Janire    (2023-12-11 18:13:14)
Source: https://comtrade.un.org/data/</t>
        </r>
      </text>
    </comment>
    <comment ref="AH2" authorId="0" shapeId="0" xr:uid="{5F219BD4-4939-4680-9C9A-B0299C11B221}">
      <text>
        <r>
          <rPr>
            <sz val="11"/>
            <color theme="1"/>
            <rFont val="Calibri"/>
            <family val="2"/>
            <scheme val="minor"/>
          </rPr>
          <t>======
ID#AAABCKao9pE
Source    (2023-12-11 18:13:14)
https://pubs.rendermagazine.com/2022-04/page_16.html</t>
        </r>
      </text>
    </comment>
    <comment ref="A12" authorId="0" shapeId="0" xr:uid="{DDDFCDD0-19AB-4419-B440-15736E27CF83}">
      <text>
        <r>
          <rPr>
            <sz val="11"/>
            <color theme="1"/>
            <rFont val="Calibri"/>
            <family val="2"/>
            <scheme val="minor"/>
          </rPr>
          <t>======
ID#AAABCKao9oQ
tc={B94A4057-F063-4D2D-9CB5-0D7A6F2EED8E}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D12" authorId="0" shapeId="0" xr:uid="{C2A54291-3440-4BD6-9B7D-75E87703E9AF}">
      <text>
        <r>
          <rPr>
            <sz val="11"/>
            <color theme="1"/>
            <rFont val="Calibri"/>
            <family val="2"/>
            <scheme val="minor"/>
          </rPr>
          <t>======
ID#AAABCKao9n0
tc={7868D2DF-CD0A-484F-8199-465A1A24F93C}    (2023-12-11 18:13:14)
[Threaded comment]
Comment:
    Source:  https://rendermagazine.com/wp-content/uploads/2019/07/Render_Apr19.pdf</t>
        </r>
      </text>
    </comment>
    <comment ref="G12" authorId="0" shapeId="0" xr:uid="{FA364BDE-681A-497F-9788-EC0677551CE9}">
      <text>
        <r>
          <rPr>
            <sz val="11"/>
            <color theme="1"/>
            <rFont val="Calibri"/>
            <family val="2"/>
            <scheme val="minor"/>
          </rPr>
          <t>======
ID#AAABCKao9nw
tc={DE318791-6C83-48A0-8077-859295D79241}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J12" authorId="0" shapeId="0" xr:uid="{721B1F68-1246-489C-B15D-B9DABCCD2EC4}">
      <text>
        <r>
          <rPr>
            <sz val="11"/>
            <color theme="1"/>
            <rFont val="Calibri"/>
            <family val="2"/>
            <scheme val="minor"/>
          </rPr>
          <t>======
ID#AAABCKao9oI
tc={3F138D6C-1C1B-4068-AECF-5975FA13B5FC}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M12" authorId="0" shapeId="0" xr:uid="{C76DFA81-F2AF-4262-B99B-139BF64CD1C3}">
      <text>
        <r>
          <rPr>
            <sz val="11"/>
            <color theme="1"/>
            <rFont val="Calibri"/>
            <family val="2"/>
            <scheme val="minor"/>
          </rPr>
          <t>======
ID#AAABCKao9n8
Source    (2023-12-11 18:13:14)
https://pubs.rendermagazine.com/2022-04/page_16.html</t>
        </r>
      </text>
    </comment>
    <comment ref="P12" authorId="0" shapeId="0" xr:uid="{62C1295E-86D2-45E7-9664-E45C52CF1C85}">
      <text>
        <r>
          <rPr>
            <sz val="11"/>
            <color theme="1"/>
            <rFont val="Calibri"/>
            <family val="2"/>
            <scheme val="minor"/>
          </rPr>
          <t>======
ID#AAABCKao9ok
Source    (2023-12-11 18:13:14)
https://pubs.rendermagazine.com/2022-04/page_16.html</t>
        </r>
      </text>
    </comment>
    <comment ref="S12" authorId="0" shapeId="0" xr:uid="{EA91B5E7-5F97-458E-9EE9-870C9F40587D}">
      <text>
        <r>
          <rPr>
            <sz val="11"/>
            <color theme="1"/>
            <rFont val="Calibri"/>
            <family val="2"/>
            <scheme val="minor"/>
          </rPr>
          <t>======
ID#AAABCKao9po
Source    (2023-12-11 18:13:14)
https://pubs.rendermagazine.com/2022-04/page_16.html</t>
        </r>
      </text>
    </comment>
    <comment ref="V12" authorId="0" shapeId="0" xr:uid="{DFFE3E51-E0A1-4E31-BA4B-5D301189F7A3}">
      <text>
        <r>
          <rPr>
            <sz val="11"/>
            <color theme="1"/>
            <rFont val="Calibri"/>
            <family val="2"/>
            <scheme val="minor"/>
          </rPr>
          <t>======
ID#AAABCKao9oo
Source    (2023-12-11 18:13:14)
https://pubs.rendermagazine.com/2022-04/page_16.html</t>
        </r>
      </text>
    </comment>
    <comment ref="Y12" authorId="0" shapeId="0" xr:uid="{1C00A3CE-C261-470F-979D-80E9AD80D30D}">
      <text>
        <r>
          <rPr>
            <sz val="11"/>
            <color theme="1"/>
            <rFont val="Calibri"/>
            <family val="2"/>
            <scheme val="minor"/>
          </rPr>
          <t>======
ID#AAABCKao9oE
Source    (2023-12-11 18:13:14)
https://pubs.rendermagazine.com/2022-04/page_16.html</t>
        </r>
      </text>
    </comment>
    <comment ref="AB12" authorId="0" shapeId="0" xr:uid="{7923507B-869C-47B5-9973-C338B6BFDA6B}">
      <text>
        <r>
          <rPr>
            <sz val="11"/>
            <color theme="1"/>
            <rFont val="Calibri"/>
            <family val="2"/>
            <scheme val="minor"/>
          </rPr>
          <t>======
ID#AAABCKao9oU
Source    (2023-12-11 18:13:14)
https://pubs.rendermagazine.com/2022-04/page_16.html</t>
        </r>
      </text>
    </comment>
    <comment ref="AE12" authorId="0" shapeId="0" xr:uid="{FC199198-B5CB-4C48-8B1E-05648FA208E7}">
      <text>
        <r>
          <rPr>
            <sz val="11"/>
            <color theme="1"/>
            <rFont val="Calibri"/>
            <family val="2"/>
            <scheme val="minor"/>
          </rPr>
          <t>======
ID#AAABCKao9oM
Source    (2023-12-11 18:13:14)
https://pubs.rendermagazine.com/2022-04/page_16.html</t>
        </r>
      </text>
    </comment>
    <comment ref="AH12" authorId="0" shapeId="0" xr:uid="{868F59D2-B53B-42B0-AA79-A9289E660B1C}">
      <text>
        <r>
          <rPr>
            <sz val="11"/>
            <color theme="1"/>
            <rFont val="Calibri"/>
            <family val="2"/>
            <scheme val="minor"/>
          </rPr>
          <t>======
ID#AAABCKao9pk
Source    (2023-12-11 18:13:14)
https://pubs.rendermagazine.com/2022-04/page_16.html</t>
        </r>
      </text>
    </comment>
    <comment ref="A22" authorId="0" shapeId="0" xr:uid="{800D49A5-9377-44C6-80E7-0B757006C775}">
      <text>
        <r>
          <rPr>
            <sz val="11"/>
            <color theme="1"/>
            <rFont val="Calibri"/>
            <family val="2"/>
            <scheme val="minor"/>
          </rPr>
          <t>======
ID#AAABCKao9pI
Pascual, Janire    (2023-12-11 18:13:14)
Source: https://www.eia.gov/dnav/pet/pet_move_impcus_a2_nus_epooxe_im0_mbbl_a.htm</t>
        </r>
      </text>
    </comment>
    <comment ref="D22" authorId="0" shapeId="0" xr:uid="{E7F9EF9B-5569-4B7F-8B83-A42F671086D3}">
      <text>
        <r>
          <rPr>
            <sz val="11"/>
            <color theme="1"/>
            <rFont val="Calibri"/>
            <family val="2"/>
            <scheme val="minor"/>
          </rPr>
          <t>======
ID#AAABCKao9pY
Pascual, Janire    (2023-12-11 18:13:14)
Source: https://www.eia.gov/dnav/pet/pet_move_impcus_a2_nus_EPOORDB_im0_mbbl_a.htm</t>
        </r>
      </text>
    </comment>
    <comment ref="G22" authorId="0" shapeId="0" xr:uid="{ADED3C03-0B6D-42AF-902D-BF303D6E8DAD}">
      <text>
        <r>
          <rPr>
            <sz val="11"/>
            <color theme="1"/>
            <rFont val="Calibri"/>
            <family val="2"/>
            <scheme val="minor"/>
          </rPr>
          <t>======
ID#AAABCKao9oA
Pascual, Janire    (2023-12-11 18:13:14)
Source: https://comtrade.un.org/data/</t>
        </r>
      </text>
    </comment>
    <comment ref="M22" authorId="0" shapeId="0" xr:uid="{E211B4DF-572B-4111-9DD9-FFBA38ABD98A}">
      <text>
        <r>
          <rPr>
            <sz val="11"/>
            <color theme="1"/>
            <rFont val="Calibri"/>
            <family val="2"/>
            <scheme val="minor"/>
          </rPr>
          <t>======
ID#AAABCKao9pQ
Pascual, Janire    (2023-12-11 18:13:14)
Source: https://www.eia.gov/dnav/pet/pet_move_impcus_a2_nus_epooxe_im0_mbbl_a.htm</t>
        </r>
      </text>
    </comment>
    <comment ref="P22" authorId="0" shapeId="0" xr:uid="{DD45CEF2-1205-4B82-86B3-82FA1F15033B}">
      <text>
        <r>
          <rPr>
            <sz val="11"/>
            <color theme="1"/>
            <rFont val="Calibri"/>
            <family val="2"/>
            <scheme val="minor"/>
          </rPr>
          <t>======
ID#AAABCKao9oY
Pascual, Janire    (2023-12-11 18:13:14)
Source: https://www.eia.gov/dnav/pet/pet_move_impcus_a2_nus_EPOORDB_im0_mbbl_a.htm</t>
        </r>
      </text>
    </comment>
    <comment ref="S22" authorId="0" shapeId="0" xr:uid="{8DCE3181-F214-4742-A617-6F9BBECF9A76}">
      <text>
        <r>
          <rPr>
            <sz val="11"/>
            <color theme="1"/>
            <rFont val="Calibri"/>
            <family val="2"/>
            <scheme val="minor"/>
          </rPr>
          <t>======
ID#AAABCKao9ps
Pascual, Janire    (2023-12-11 18:13:14)
Source: https://comtrade.un.org/data/</t>
        </r>
      </text>
    </comment>
    <comment ref="Y22" authorId="0" shapeId="0" xr:uid="{D169E54B-9868-4550-A7DB-AF5946463D5B}">
      <text>
        <r>
          <rPr>
            <sz val="11"/>
            <color theme="1"/>
            <rFont val="Calibri"/>
            <family val="2"/>
            <scheme val="minor"/>
          </rPr>
          <t>======
ID#AAABCKao9pc
Pascual, Janire    (2023-12-11 18:13:14)
Source: https://www.eia.gov/dnav/pet/pet_move_impcus_a2_nus_epooxe_im0_mbbl_a.htm</t>
        </r>
      </text>
    </comment>
    <comment ref="AB22" authorId="0" shapeId="0" xr:uid="{C1BD7145-1498-4FF3-8FA4-1510A2370FE9}">
      <text>
        <r>
          <rPr>
            <sz val="11"/>
            <color theme="1"/>
            <rFont val="Calibri"/>
            <family val="2"/>
            <scheme val="minor"/>
          </rPr>
          <t>======
ID#AAABCKao9pU
Pascual, Janire    (2023-12-11 18:13:14)
Source: https://www.eia.gov/dnav/pet/pet_move_impcus_a2_nus_EPOORDB_im0_mbbl_a.htm</t>
        </r>
      </text>
    </comment>
    <comment ref="AE22" authorId="0" shapeId="0" xr:uid="{5F9BCCA4-5058-41E0-A069-04483506D44C}">
      <text>
        <r>
          <rPr>
            <sz val="11"/>
            <color theme="1"/>
            <rFont val="Calibri"/>
            <family val="2"/>
            <scheme val="minor"/>
          </rPr>
          <t>======
ID#AAABCKao9pw
Pascual, Janire    (2023-12-11 18:13:14)
Source: https://comtrade.un.org/data/</t>
        </r>
      </text>
    </comment>
  </commentList>
</comments>
</file>

<file path=xl/sharedStrings.xml><?xml version="1.0" encoding="utf-8"?>
<sst xmlns="http://schemas.openxmlformats.org/spreadsheetml/2006/main" count="2112" uniqueCount="654">
  <si>
    <t>TABLE OF CONTENTS</t>
  </si>
  <si>
    <t>Bioenergy</t>
  </si>
  <si>
    <t>Ethanol</t>
  </si>
  <si>
    <t>Biobutanol</t>
  </si>
  <si>
    <t>Biodiesel</t>
  </si>
  <si>
    <t>Fats</t>
  </si>
  <si>
    <t>Renewable Diesel</t>
  </si>
  <si>
    <t>Renewable Jet Fuel</t>
  </si>
  <si>
    <t>Wood Pellets</t>
  </si>
  <si>
    <t xml:space="preserve">Waste to Energy </t>
  </si>
  <si>
    <t>Biogas</t>
  </si>
  <si>
    <t>Trade</t>
  </si>
  <si>
    <t>Biobased products</t>
  </si>
  <si>
    <t>BioProducts</t>
  </si>
  <si>
    <t>Bioplastics</t>
  </si>
  <si>
    <t>Enzymes</t>
  </si>
  <si>
    <t>Forest Products</t>
  </si>
  <si>
    <t>Investment and Finance</t>
  </si>
  <si>
    <t>Funding</t>
  </si>
  <si>
    <t>ETHANOL</t>
  </si>
  <si>
    <t>PHYSICAL</t>
  </si>
  <si>
    <t>Source Name</t>
  </si>
  <si>
    <t>Source URL</t>
  </si>
  <si>
    <t>Comments</t>
  </si>
  <si>
    <t>Number of Ethanol Plants installed in the United States</t>
  </si>
  <si>
    <t xml:space="preserve">RFA </t>
  </si>
  <si>
    <t>http://www.ethanolrfa.org/pocket-guide/</t>
  </si>
  <si>
    <t>Retrieved January 2024</t>
  </si>
  <si>
    <t xml:space="preserve">     Number Ethanol Plants in the United States-Starch</t>
  </si>
  <si>
    <t>Ethanol producer
RFA</t>
  </si>
  <si>
    <r>
      <rPr>
        <u/>
        <sz val="11"/>
        <color theme="10"/>
        <rFont val="Calibri"/>
        <family val="2"/>
      </rPr>
      <t xml:space="preserve">[2016-2019, 2022] </t>
    </r>
    <r>
      <rPr>
        <u/>
        <sz val="11"/>
        <color theme="10"/>
        <rFont val="Calibri"/>
        <family val="2"/>
      </rPr>
      <t xml:space="preserve">http://ethanolproducer.com/plants/listplants/US/Existing/Sugar-Starch/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</si>
  <si>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States-Cellulosic</t>
  </si>
  <si>
    <t>[2016-2019, 2022] http://ethanolproducer.com/plants/listplants/US/Existing/Cellulosic
[2020-2021] http://www.ethanolrfa.org/pocket-guide/</t>
  </si>
  <si>
    <t xml:space="preserve">     Number Ethanol Plants in the United States-Corn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</si>
  <si>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</si>
  <si>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States-Sorghum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</si>
  <si>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</si>
  <si>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States-Other (Tobacco, crop residue, waste stream)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</si>
  <si>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</si>
  <si>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>Number of Ethanol Plants Operational in the United States</t>
  </si>
  <si>
    <t xml:space="preserve">EIA
RFA </t>
  </si>
  <si>
    <r>
      <rPr>
        <u/>
        <sz val="11"/>
        <color theme="1"/>
        <rFont val="Calibri"/>
        <family val="2"/>
      </rPr>
      <t xml:space="preserve">[2011-2012] </t>
    </r>
    <r>
      <rPr>
        <u/>
        <sz val="11"/>
        <color theme="10"/>
        <rFont val="Calibri"/>
        <family val="2"/>
      </rPr>
      <t xml:space="preserve">http://www.eia.gov/petroleum/ethanolcapacity/ 
</t>
    </r>
    <r>
      <rPr>
        <u/>
        <sz val="11"/>
        <color theme="1"/>
        <rFont val="Calibri"/>
        <family val="2"/>
      </rPr>
      <t xml:space="preserve">[2013-2021]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</si>
  <si>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Number of Existing Plants Under Construction </t>
  </si>
  <si>
    <t>Number Proposed Ethanol Plants in the United States</t>
  </si>
  <si>
    <t>Ethanol producer</t>
  </si>
  <si>
    <t>http://ethanolproducer.com/plants/listplants/US/Existing/Sugar-Starch/</t>
  </si>
  <si>
    <t>Number of States which have an Ethanol Production Facility </t>
  </si>
  <si>
    <t>Ethanol plant capacities (billion gallons)</t>
  </si>
  <si>
    <t>EIA
EIA</t>
  </si>
  <si>
    <r>
      <rPr>
        <u/>
        <sz val="11"/>
        <color theme="10"/>
        <rFont val="Calibri"/>
        <family val="2"/>
      </rPr>
      <t xml:space="preserve">[2010-2021] </t>
    </r>
    <r>
      <rPr>
        <u/>
        <sz val="11"/>
        <color theme="10"/>
        <rFont val="Calibri"/>
        <family val="2"/>
      </rPr>
      <t xml:space="preserve">https://www.eia.gov/petroleum/ethanolcapacity/index.php
</t>
    </r>
    <r>
      <rPr>
        <u/>
        <sz val="11"/>
        <color theme="10"/>
        <rFont val="Calibri"/>
        <family val="2"/>
      </rPr>
      <t>[2022] https://www.eia.gov/biofuels/update/</t>
    </r>
  </si>
  <si>
    <t>PRODUCTION</t>
  </si>
  <si>
    <t>Total Volume of Ethanol  Produced in US (billion gallons)</t>
  </si>
  <si>
    <t>EIA</t>
  </si>
  <si>
    <t>https://www.eia.gov/totalenergy/data/monthly/pdf/mer.pdf</t>
  </si>
  <si>
    <t>Total Volume of Ethanol Consumed (billion gallons)</t>
  </si>
  <si>
    <t>https://www.eia.gov/totalenergy/data/monthly/pdf/sec10_7.pdf</t>
  </si>
  <si>
    <t>Total Volume of Ethanol Consumed: Transportation  (billion gallons)</t>
  </si>
  <si>
    <t>Retrieved January 2024, Table 10.2c
1 gallon of ethanol = 77566 BTUs</t>
  </si>
  <si>
    <t>Total Volume of Ethanol Consumed: Industrial sector  (billion gallons)</t>
  </si>
  <si>
    <t>https://www.eia.gov/totalenergy/data/monthly/pdf/sec10_5.pdf</t>
  </si>
  <si>
    <t>Retrieved January 2024, Table 10.2b
1 gallon of ethanol = 77566 BTUs</t>
  </si>
  <si>
    <t>Total Volume of Ethanol Imported into the US (billion gallons)</t>
  </si>
  <si>
    <t>https://www.eia.gov/dnav/pet/hist/LeafHandler.ashx?n=PET&amp;s=MFEIMUS1&amp;f=A</t>
  </si>
  <si>
    <t>Retrieved January 2024
1 barrel of ethanol = 42 gallons</t>
  </si>
  <si>
    <t>Total Volume of Ethanol Exported From the US (billion gallons)</t>
  </si>
  <si>
    <t>https://www.eia.gov/dnav/pet/hist/LeafHandler.ashx?n=pet&amp;s=m_epooxe_eex_nus-z00_mbbl&amp;f=a</t>
  </si>
  <si>
    <t xml:space="preserve">CORN FOR ETHANOL </t>
  </si>
  <si>
    <t xml:space="preserve">Total corn used for Fuel ethanol use (million metric tons) </t>
  </si>
  <si>
    <t>USDA</t>
  </si>
  <si>
    <t>https://www.ers.usda.gov/data-products/us-bioenergy-statistics/#:~:text=Ethanol%2C%20made%20mostly%20from%20corn,all%20biofuel%20production%20in%202012.&amp;text=ERS%20analysts%20track%20U.S.%20ethanol,production%2C%20consumption%2C%20and%20trade.</t>
  </si>
  <si>
    <t>Retrieved January 2024 
1 bushel of corn=0.025 metric tons</t>
  </si>
  <si>
    <t>ECONOMICS</t>
  </si>
  <si>
    <t>Price for Ethanol Per gallon (dollar per gallon)</t>
  </si>
  <si>
    <t>https://www.ers.usda.gov/data-products/us-bioenergy-statistics/</t>
  </si>
  <si>
    <t>Price for Ethanol Per gallon (dollar per gge)</t>
  </si>
  <si>
    <t>Retrieved January 2024
1.5 gallons ethanol =  1 gallon gasoline</t>
  </si>
  <si>
    <t>Price for E85 Per gallon (dollar per gge)</t>
  </si>
  <si>
    <t>AFD</t>
  </si>
  <si>
    <t>https://www.afdc.energy.gov/fuels/prices.html</t>
  </si>
  <si>
    <t>Price for gasoline Per gallon (dollar per gge)</t>
  </si>
  <si>
    <t>Number of direct jobs working with ethanol production</t>
  </si>
  <si>
    <t>RFA</t>
  </si>
  <si>
    <t>Number of indirect and induced jobs working with ethanol production</t>
  </si>
  <si>
    <t>GDP contribution/influence (billion dollars)</t>
  </si>
  <si>
    <t xml:space="preserve">Household income from industry (billion dollars) </t>
  </si>
  <si>
    <t>Tax Revenue (billion dollars)</t>
  </si>
  <si>
    <t>"[2013-2014] http://www.ethanolrfa.org/pocket-guide/
[2019-2021] https://ethanolrfa.org/library/reports-studies-and-white-papers/ethanol-and-the-economy"</t>
  </si>
  <si>
    <t>Crude oil (dollar per barrel)</t>
  </si>
  <si>
    <t>Macrotrends</t>
  </si>
  <si>
    <t>https://www.macrotrends.net/1369/crude-oil-price-history-chart</t>
  </si>
  <si>
    <t>BIOBUTANOL</t>
  </si>
  <si>
    <t>Total Volume of Biobutanol entering the commercial market in the US (thousand gallons)</t>
  </si>
  <si>
    <t>EPA</t>
  </si>
  <si>
    <t>https://www.epa.gov/fuels-registration-reporting-and-compliance-help/rins-generated-transactions</t>
  </si>
  <si>
    <t>Retrieved December 2023</t>
  </si>
  <si>
    <t>BIODIESEL</t>
  </si>
  <si>
    <t>Number of Biodiesel Plants in the United States</t>
  </si>
  <si>
    <t>https://www.eia.gov/biofuels/biodiesel/capacity/</t>
  </si>
  <si>
    <t>Retrieved February 2024</t>
  </si>
  <si>
    <t>Number of Proposed Biodiesel Plants</t>
  </si>
  <si>
    <t>Biodiesel Magazine</t>
  </si>
  <si>
    <t>http://www.biodieselmagazine.com/plants/listplants/USA/proposed/</t>
  </si>
  <si>
    <t>http://www.biodieselmagazine.com/plants/listplants/USA/construction/</t>
  </si>
  <si>
    <t xml:space="preserve">Number of States which have a Biodiesel Production Facility </t>
  </si>
  <si>
    <r>
      <rPr>
        <u/>
        <sz val="11"/>
        <color rgb="FF0563C1"/>
        <rFont val="Calibri"/>
        <family val="2"/>
      </rPr>
      <t>https://www.eia.gov/biofuels/biodiesel/production/archive/</t>
    </r>
    <r>
      <rPr>
        <u/>
        <sz val="11"/>
        <color rgb="FF000000"/>
        <rFont val="Calibri"/>
        <family val="2"/>
      </rPr>
      <t xml:space="preserve">       </t>
    </r>
    <r>
      <rPr>
        <u/>
        <sz val="11"/>
        <color rgb="FF1155CC"/>
        <rFont val="Calibri"/>
        <family val="2"/>
      </rPr>
      <t>https://www.eia.gov/biofuels/biodiesel/capacity/</t>
    </r>
  </si>
  <si>
    <t>Total Production of Biodiesel in US (billion gallons)</t>
  </si>
  <si>
    <t xml:space="preserve">[2010-2019] https://www.eia.gov/biofuels/biodiesel/production/archive/
[2020-2021] https://www.eia.gov/totalenergy/data/monthly/pdf/mer.pdf </t>
  </si>
  <si>
    <t>Total Volume of Biodiesel Consumed in US (billion gallons)</t>
  </si>
  <si>
    <t>Retrieved January 2024
1 gallon of biodiesel = 127,595 BTUs</t>
  </si>
  <si>
    <t>https://www.eia.gov/totalenergy/data/monthly/pdf/sec10_8.pdf</t>
  </si>
  <si>
    <t>Retrieved January 2024   1 barrel of biodiesel = 42 gallons</t>
  </si>
  <si>
    <t>Retrieved January 2024
1 barrel of biodiesel = 42 gallons</t>
  </si>
  <si>
    <t xml:space="preserve">Number of Biodiesel stations </t>
  </si>
  <si>
    <t xml:space="preserve">Price Per Gallon of Biodiesel (dollar per gallon) </t>
  </si>
  <si>
    <t>Price Per Gallon of B99/100 (dollar per gge)</t>
  </si>
  <si>
    <t>AFDC</t>
  </si>
  <si>
    <t>Price Per Gallon of B20 (dollar per gge)</t>
  </si>
  <si>
    <t xml:space="preserve">Price Per Gallon of Diesel (dollar per gge) </t>
  </si>
  <si>
    <t>Average Soy Price (dollar per metric tons)</t>
  </si>
  <si>
    <t>https://www.ers.usda.gov/data-products/oil-crops-yearbook/oil-crops-yearbook/</t>
  </si>
  <si>
    <t>Retrieved February 2024
1 bushel of soy=0.027 metric tons</t>
  </si>
  <si>
    <t>Number of direct jobs working with biodiesel production</t>
  </si>
  <si>
    <t>IRENA</t>
  </si>
  <si>
    <t>https://www.irena.org/publicationsearch?keywords=jobs%20annual%20review</t>
  </si>
  <si>
    <t>ANIMAL FATS AND RECYCLED GREASES</t>
  </si>
  <si>
    <t>Production</t>
  </si>
  <si>
    <t>Poultry Fat (Thousand metric tons)</t>
  </si>
  <si>
    <t>Render Magazine</t>
  </si>
  <si>
    <t>Tallow (Thousand metric tons)</t>
  </si>
  <si>
    <t>White Grease (Thousand metric tons)</t>
  </si>
  <si>
    <t>Yellow Grease (Thousand metric tons)</t>
  </si>
  <si>
    <t>https://rendermagazine.com/wp-content/uploads/2019/07/Render_Apr19.pdf</t>
  </si>
  <si>
    <t>Other fats (Thousand metric tons)</t>
  </si>
  <si>
    <t>Consumption for Feed &amp; Food</t>
  </si>
  <si>
    <t>https://pubs.rendermagazine.com/2023-04/#p=18</t>
  </si>
  <si>
    <t>TOTAL (Thousand metric tons)</t>
  </si>
  <si>
    <t>Calculation</t>
  </si>
  <si>
    <t>Consumtpion for Biofuels</t>
  </si>
  <si>
    <t>Poultry Going to Biodiesel (Thousand metric tons)</t>
  </si>
  <si>
    <r>
      <rPr>
        <u/>
        <sz val="11"/>
        <color rgb="FF0563C1"/>
        <rFont val="Calibri"/>
        <family val="2"/>
      </rPr>
      <t>https://www.eia.gov/biofuels/biodiesel/production/archive/2020/2020_09/table3.pdf</t>
    </r>
    <r>
      <rPr>
        <u/>
        <sz val="11"/>
        <color rgb="FF000000"/>
        <rFont val="Calibri"/>
        <family val="2"/>
      </rPr>
      <t xml:space="preserve"> Monthly Issues can be found here: </t>
    </r>
    <r>
      <rPr>
        <u/>
        <sz val="11"/>
        <color rgb="FF1155CC"/>
        <rFont val="Calibri"/>
        <family val="2"/>
      </rPr>
      <t>https://www.eia.gov/biofuels/update/</t>
    </r>
  </si>
  <si>
    <t>Retrieved January 2024
1 metric ton = 2,204.622 pounds</t>
  </si>
  <si>
    <t>Tallow Going to Biodiesel (Thousand metric tons)</t>
  </si>
  <si>
    <t>https://www.eia.gov/biofuels/biodiesel/production/archive/2020/2020_09/table3.pdf</t>
  </si>
  <si>
    <t>White Grease Going to Biodiesel (Thousand metric tons)</t>
  </si>
  <si>
    <t>Yellow Grease to Biodiesel (Thousand metric tons)</t>
  </si>
  <si>
    <t>Other fats Going to Biodiesel (Thousand metric tons)</t>
  </si>
  <si>
    <t>W</t>
  </si>
  <si>
    <t>Exports</t>
  </si>
  <si>
    <t>Imports</t>
  </si>
  <si>
    <t>Percent into Biodiesel</t>
  </si>
  <si>
    <t>Poultry Fat (%)</t>
  </si>
  <si>
    <t>Tallow (%)</t>
  </si>
  <si>
    <t>White Grease (%)</t>
  </si>
  <si>
    <t>Yellow Grease (%)</t>
  </si>
  <si>
    <t>Price</t>
  </si>
  <si>
    <t>Poultry Fat (dollar per metric ton)</t>
  </si>
  <si>
    <t>Tallow (dollar per metric ton)</t>
  </si>
  <si>
    <t>White Grease (dollar per metric ton)</t>
  </si>
  <si>
    <t>Yellow Grease (dollar per metric ton)</t>
  </si>
  <si>
    <t>RENEWABLE DIESEL</t>
  </si>
  <si>
    <t xml:space="preserve">Number of Renewable Diesel Plants </t>
  </si>
  <si>
    <t>https://www.eia.gov/biofuels/renewable/capacity/</t>
  </si>
  <si>
    <t>Number of States which have Renewable Diesel Plants in the United States</t>
  </si>
  <si>
    <t>Renewable Diesel plant capacities (billion gallons)</t>
  </si>
  <si>
    <t>Total Production of Renewable diesel in the US (million gallons)</t>
  </si>
  <si>
    <t>Total Consumption of Renewable diesel in the US (million gallons)</t>
  </si>
  <si>
    <t>Total Volume of Renewable diesel Exported from the US (million gallons)</t>
  </si>
  <si>
    <t>https://www.eia.gov/dnav/pet/pet_move_neti_a_EP00_IMN_mbblpd_m.htm</t>
  </si>
  <si>
    <t>Total Volume of Renewable diesel Imported into the US (million gallons)</t>
  </si>
  <si>
    <t>https://www.eia.gov/dnav/pet/pet_move_impcus_a2_nus_EPOORDO_im0_mbbl_a.htm</t>
  </si>
  <si>
    <t xml:space="preserve"> </t>
  </si>
  <si>
    <t>RENEWABLE JET FUEL</t>
  </si>
  <si>
    <t>https://www.gao.gov/products/gao-23-105300</t>
  </si>
  <si>
    <t>Retrieved January 2024 1L = 0.26172 gallon</t>
  </si>
  <si>
    <t>Airline off-take agreement (thousand gallons)</t>
  </si>
  <si>
    <t>ICAO</t>
  </si>
  <si>
    <t>https://www.icao.int/environmental-protection/GFAAF/Pages/Offtake-Agreements.aspx#InplviewHashef347ce3-9fcc-4b72-be6a-207e60680777=ShowInGrid%3DTrue</t>
  </si>
  <si>
    <t>Retrieved December 2023 1 liter = 0.26172 gallons</t>
  </si>
  <si>
    <t>Number of Eligible Producers</t>
  </si>
  <si>
    <t>https://www.icao.int/environmental-protection/GFAAF/Pages/Production-Facilities.aspx</t>
  </si>
  <si>
    <t>Number of Facilities in Service</t>
  </si>
  <si>
    <t>4AIR</t>
  </si>
  <si>
    <t>Where to find Sustainable Aviation Fuel — 4AIR</t>
  </si>
  <si>
    <t>Number of States with SAF available at airports</t>
  </si>
  <si>
    <t>WOOD PELLETS</t>
  </si>
  <si>
    <t>Total Operational Capacity of Pellet Mill Facilities (million metric tons)</t>
  </si>
  <si>
    <t>Biomass Industry Directory</t>
  </si>
  <si>
    <t>Biomass Industry Directory, published by BBI International</t>
  </si>
  <si>
    <t>Number of WP Plants in the United States</t>
  </si>
  <si>
    <t>Number of Proposed WP Plants</t>
  </si>
  <si>
    <t>Number of Existing Plants that Were Put on Standby</t>
  </si>
  <si>
    <t>Number of States which have an WP Production Facility </t>
  </si>
  <si>
    <t>PRODUCTION + CONSUMPTION</t>
  </si>
  <si>
    <t>Wood pellets Production (million metric tons)</t>
  </si>
  <si>
    <t>FAOSTAT</t>
  </si>
  <si>
    <t>http://www.fao.org/faostat/en/#data/FO</t>
  </si>
  <si>
    <t>Wood pellets Exports (million metric tons)</t>
  </si>
  <si>
    <t>Wood pellets Consumption (million metric tons)</t>
  </si>
  <si>
    <t>Estimation</t>
  </si>
  <si>
    <t>Electricity Net Generation from Wood (trillion BTUs)</t>
  </si>
  <si>
    <t>Retrieved January 2024
1 kwh= 3412.14 BTUs</t>
  </si>
  <si>
    <t xml:space="preserve">     Industrial Sector</t>
  </si>
  <si>
    <t xml:space="preserve">     Electric Power Sector</t>
  </si>
  <si>
    <t>Heating from Wood in the US (trillion BTUs)</t>
  </si>
  <si>
    <t>Energy Consumption from Wood in US (trillion BTUs)</t>
  </si>
  <si>
    <t xml:space="preserve">     Residential Sector</t>
  </si>
  <si>
    <t xml:space="preserve">     Commercial Sector</t>
  </si>
  <si>
    <t>Wood pellet production worldwide (million metric tons)</t>
  </si>
  <si>
    <t>Hawkins Wright; REN21; FAO</t>
  </si>
  <si>
    <t>[2010-2011] http://task32.ieabioenergy.com/wp-content/uploads/2017/03/03-Fiona_Matthews.pdf
[2012-2018] http://www.fao.org/faostat/en/#data/FO</t>
  </si>
  <si>
    <t>Average Annual Densified Biomass Capacity (million metric tons)</t>
  </si>
  <si>
    <t>http://www.eia.gov/biofuels/biomass/</t>
  </si>
  <si>
    <t>Wood Pellets Exported from US (in million $)</t>
  </si>
  <si>
    <t>Wood Pellets Imported from US (in million $)</t>
  </si>
  <si>
    <t>Total Jobs Created in the Wood Pellet Industry</t>
  </si>
  <si>
    <t>NAICS</t>
  </si>
  <si>
    <t>https://data.bls.gov/cew/apps/data_views/data_views.htm#tab=Tables</t>
  </si>
  <si>
    <t>WASTE TO ENERGY</t>
  </si>
  <si>
    <t>Number of WTE Plants in the United States</t>
  </si>
  <si>
    <t>https://www.eia.gov/electricity/data/eia860m/</t>
  </si>
  <si>
    <t>Number of WTE Plants Proposed in US</t>
  </si>
  <si>
    <t>Number of WTE Existing Plants that Were Put on Standby</t>
  </si>
  <si>
    <t>Number of WTE Existing Plants that Were Closed-Shut Down</t>
  </si>
  <si>
    <t>Number of WTE Fuel Switching Plants in US</t>
  </si>
  <si>
    <t>Number of States which have an WTE Fuel Switching Production Facility </t>
  </si>
  <si>
    <t>Municipal solid waste generation in the United States (million metric tons)</t>
  </si>
  <si>
    <r>
      <rPr>
        <sz val="11"/>
        <color rgb="FF0563C1"/>
        <rFont val="Calibri"/>
        <family val="2"/>
      </rPr>
      <t>[2010-2018]</t>
    </r>
    <r>
      <rPr>
        <u/>
        <sz val="11"/>
        <color rgb="FF0563C1"/>
        <rFont val="Calibri"/>
        <family val="2"/>
      </rPr>
      <t>https://www.epa.gov/facts-and-figures-about-materials-waste-and-recycling/advancing-sustainable-materials-management</t>
    </r>
  </si>
  <si>
    <t>Retrieved February 2024
1  ton = 0.9072 metric tons</t>
  </si>
  <si>
    <t xml:space="preserve">     Recycled and composted</t>
  </si>
  <si>
    <t>[2010-2018]https://www.epa.gov/facts-and-figures-about-materials-waste-and-recycling/advancing-sustainable-materials-management</t>
  </si>
  <si>
    <t xml:space="preserve">     Combusted with Energy recovery</t>
  </si>
  <si>
    <t xml:space="preserve">     Landfilled</t>
  </si>
  <si>
    <t>Biogenic Municipal Solid Waste: Consumption for Electricity Generation (million metric tons)</t>
  </si>
  <si>
    <t>http://www.eia.gov/electricity/annual/html/epa_05_07_a.html</t>
  </si>
  <si>
    <t>Biogenic Municipal Solid Waste: Consumption for Heating Generation (million metric tons)</t>
  </si>
  <si>
    <t>http://www.eia.gov/electricity/annual/html/epa_05_07_b.html</t>
  </si>
  <si>
    <t>Biogenic Municipal Solid Waste: Consumption for Energy Generation (million metric tons)</t>
  </si>
  <si>
    <t>http://www.eia.gov/electricity/annual/html/epa_05_07_c.html</t>
  </si>
  <si>
    <t xml:space="preserve">     Electric utilities</t>
  </si>
  <si>
    <t xml:space="preserve">     Independent power producers</t>
  </si>
  <si>
    <t xml:space="preserve">     Commercial sector</t>
  </si>
  <si>
    <t>Biogenic Municipal Solid Waste: Consumption for Electricity Generation (Trillion BTUs)</t>
  </si>
  <si>
    <t>http://www.eia.gov/electricity/annual/html/epa_05_07_d.html</t>
  </si>
  <si>
    <t>Biogenic Municipal Solid Waste: Consumption for Heating Generation (Trillion BTUs)</t>
  </si>
  <si>
    <t>http://www.eia.gov/electricity/annual/html/epa_05_07_e.html</t>
  </si>
  <si>
    <t>Biogenic Municipal Solid Waste: Consumption for Energy Generation (Trillion BTUs)</t>
  </si>
  <si>
    <t>http://www.eia.gov/electricity/annual/html/epa_05_07_f.html</t>
  </si>
  <si>
    <t>Revenue from waste electricity generation in the U.S. (million dollars)</t>
  </si>
  <si>
    <t>AEE</t>
  </si>
  <si>
    <t>https://info.aee.net/hubfs/Market%20Report%202019/AEN%202019%20Market%20Report.pdf</t>
  </si>
  <si>
    <t>Jobs in WTE Facilities</t>
  </si>
  <si>
    <t>ERC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</si>
  <si>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</si>
  <si>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Total jobs (direct, indirect, and induced) created by WTE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</si>
  <si>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</si>
  <si>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Total Economic output by WTE (million dollars)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</si>
  <si>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</si>
  <si>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BIOGAS</t>
  </si>
  <si>
    <t>Number of anaerobic digestion (AD) Plants</t>
  </si>
  <si>
    <t>https://www.epa.gov/agstar/livestock-anaerobic-digester-database</t>
  </si>
  <si>
    <t xml:space="preserve">     Used for Electricity</t>
  </si>
  <si>
    <t xml:space="preserve">     Used for Boiler/Furnace</t>
  </si>
  <si>
    <t xml:space="preserve">     Used for "Flare Full Time"</t>
  </si>
  <si>
    <t xml:space="preserve">     Used for Cogeneration</t>
  </si>
  <si>
    <t xml:space="preserve">Number of Existing AD Plants Under Construction </t>
  </si>
  <si>
    <t>Number of New AD Plants that Went online from livestock</t>
  </si>
  <si>
    <t>Number of AD Plants that Shut Down</t>
  </si>
  <si>
    <t>Number of States which have an AD Production Facility </t>
  </si>
  <si>
    <t>Number of landfill Plants</t>
  </si>
  <si>
    <t xml:space="preserve">[2010-2019] https://www.epa.gov/lmop/landfill-technical-data
[2020-2021] https://www.epa.gov/lmop/landfill-gas-energy-project-data </t>
  </si>
  <si>
    <t>Number of States which have a landfill Facility </t>
  </si>
  <si>
    <r>
      <rPr>
        <u/>
        <sz val="11"/>
        <color theme="10"/>
        <rFont val="Calibri"/>
        <family val="2"/>
      </rPr>
      <t xml:space="preserve">[2010-2019] </t>
    </r>
    <r>
      <rPr>
        <u/>
        <sz val="11"/>
        <color theme="10"/>
        <rFont val="Calibri"/>
        <family val="2"/>
      </rPr>
      <t xml:space="preserve">https://www.epa.gov/lmop/landfill-technical-data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 xml:space="preserve">https://www.epa.gov/lmop/landfill-gas-energy-project-data </t>
    </r>
  </si>
  <si>
    <t xml:space="preserve">PRODUCTION </t>
  </si>
  <si>
    <t>Biogas potential from landfills (billion cubic feet)</t>
  </si>
  <si>
    <t>Biogas potential from wastewater (billion cubic feet)</t>
  </si>
  <si>
    <t>American biogas Council</t>
  </si>
  <si>
    <t>[2018] https://americanbiogascouncil.org/biogas-market-snapshot/
[2020] https://americanbiogascouncil.org/resources/state-profiles/</t>
  </si>
  <si>
    <t>Biogas potential from animal manure (billion cubic feet)</t>
  </si>
  <si>
    <r>
      <rPr>
        <u/>
        <sz val="11"/>
        <color theme="10"/>
        <rFont val="Calibri"/>
        <family val="2"/>
      </rPr>
      <t xml:space="preserve">[2018] </t>
    </r>
    <r>
      <rPr>
        <u/>
        <sz val="11"/>
        <color theme="10"/>
        <rFont val="Calibri"/>
        <family val="2"/>
      </rPr>
      <t xml:space="preserve">https://americanbiogascouncil.org/biogas-market-snapshot/
</t>
    </r>
    <r>
      <rPr>
        <u/>
        <sz val="11"/>
        <color theme="10"/>
        <rFont val="Calibri"/>
        <family val="2"/>
      </rPr>
      <t xml:space="preserve">[2020] </t>
    </r>
    <r>
      <rPr>
        <u/>
        <sz val="11"/>
        <color theme="10"/>
        <rFont val="Calibri"/>
        <family val="2"/>
      </rPr>
      <t>https://americanbiogascouncil.org/resources/state-profiles/</t>
    </r>
  </si>
  <si>
    <t>Anaerobic digestion: Biogas generated (trillion BTU)</t>
  </si>
  <si>
    <t>Retrieved February 2024
1 kwh = 3412 BTUs</t>
  </si>
  <si>
    <t>Anaerobic digestion: Biogas generated (billion cubic feet)</t>
  </si>
  <si>
    <t>Anaerobic digestion: Total Methane Emission Reductions (million metric tons of CO2)</t>
  </si>
  <si>
    <t>Agriculture: total methane emissions (million metric tons of CO2)</t>
  </si>
  <si>
    <t>https://www3.epa.gov/climatechange/ghgemissions/inventoryexplorer/index.html#iallsectors/methane/inventsect/all</t>
  </si>
  <si>
    <t>Landfill gas: energy consumption (trillion BTU)</t>
  </si>
  <si>
    <t>https://www.eia.gov/electricity/annual/html/epa_05_06_f.html</t>
  </si>
  <si>
    <t>Landfill gas: energy consumption (billion cubic feet)</t>
  </si>
  <si>
    <t>https://www.eia.gov/electricity/annual/html/epa_05_06_c.html</t>
  </si>
  <si>
    <t>Landfill gas: Total Methane Emission Reductions (million metric tons of CO2)</t>
  </si>
  <si>
    <t>https://www.epa.gov/lmop/landfill-technical-data</t>
  </si>
  <si>
    <t>Waste: total methane emissions (million metric tons of CO2)</t>
  </si>
  <si>
    <t>ECONOMICS IN THEORY</t>
  </si>
  <si>
    <t>In theory, if 11,000 biogas systems made it would generate:</t>
  </si>
  <si>
    <t>Short Term Construction Jobs</t>
  </si>
  <si>
    <t>[2014] https://19january2017snapshot.epa.gov/sites/production/files/2015-12/documents/biogas-roadmap.pdf 
[2020] https://americanbiogascouncil.org/resources/state-profiles/</t>
  </si>
  <si>
    <t>Permanent Jobs</t>
  </si>
  <si>
    <t>In theory, if  2,647 dairy operations were installed it would have a market potential of (billion dollars):</t>
  </si>
  <si>
    <t>https://19january2017snapshot.epa.gov/sites/production/files/2015-12/documents/biogas-roadmap.pdf</t>
  </si>
  <si>
    <t>BIOPRODUCTS SUMMARY</t>
  </si>
  <si>
    <t>USDA BIOPREFFERED PROGRAM</t>
  </si>
  <si>
    <t>Source  Name</t>
  </si>
  <si>
    <t>Source  URL</t>
  </si>
  <si>
    <t xml:space="preserve">USDA BioPreferred product certifications </t>
  </si>
  <si>
    <t>Retrieved April 2021</t>
  </si>
  <si>
    <t>Baby and Kids</t>
  </si>
  <si>
    <t>Construction</t>
  </si>
  <si>
    <t>Custodial Services</t>
  </si>
  <si>
    <t>Films and Packaging</t>
  </si>
  <si>
    <t>Food Services/Cafeteria</t>
  </si>
  <si>
    <t>Grounds Maintenance</t>
  </si>
  <si>
    <t>Household Supplies</t>
  </si>
  <si>
    <t>Intermediates</t>
  </si>
  <si>
    <t>Miscellaneous</t>
  </si>
  <si>
    <t>Office Supplies</t>
  </si>
  <si>
    <t>Operations and Maintenance</t>
  </si>
  <si>
    <t>Personal Care and Toiletries</t>
  </si>
  <si>
    <t>Safety Equipment</t>
  </si>
  <si>
    <t>Vehicles and Equipment Maintenance</t>
  </si>
  <si>
    <t xml:space="preserve">       </t>
  </si>
  <si>
    <t xml:space="preserve">   </t>
  </si>
  <si>
    <t>PLASTICS</t>
  </si>
  <si>
    <t>US/GLOBAL PLASTICS</t>
  </si>
  <si>
    <t>U.S. Plastic and Rubber Products Value Added (billion dollars)</t>
  </si>
  <si>
    <t>Bureau of Economic Analysis</t>
  </si>
  <si>
    <t>https://apps.bea.gov/iTable/?reqid=19&amp;step=2&amp;isuri=1&amp;categories=survey&amp;_gl=1*1r7rqrk*_ga*MTM3MDkyNjc3LjE3MDg2OTk4NjU.*_ga_J4698JNNFT*MTcwODk1ODU4NC4yLjEuMTcwODk2MDEzMy42MC4wLjA.</t>
  </si>
  <si>
    <t>Value Added of Manufacturing US Plastic and Rubber Products as Percentage of GDP (%)</t>
  </si>
  <si>
    <t>https://www.bea.gov/iTable/iTable.cfm?ReqID=51&amp;step=1#reqid=51&amp;step=51&amp;isuri=1&amp;5114=a&amp;5102=5</t>
  </si>
  <si>
    <t>Gross Output of US Plastic and Rubber Products (billion dollars)</t>
  </si>
  <si>
    <t>Compensation of Employees, Value Added of Plastics and Rubber Products (billion dollars)</t>
  </si>
  <si>
    <t>https://apps.bea.gov/iTable/iTable.cfm?reqid=19&amp;step=2&amp;isuri=1&amp;1921=survey#</t>
  </si>
  <si>
    <t>Taxes on Production and Imports, Less Subsides of US Plastics and Rubber Products (billion dollars)</t>
  </si>
  <si>
    <t>Gross Operating Surplus of Plastics and Rubber Product Products (billion dollars)</t>
  </si>
  <si>
    <t>Full and Part Time Employees (thousands)</t>
  </si>
  <si>
    <t>https://apps.bea.gov/iTable/iTable.cfm?reqid=19&amp;step=2&amp;isuri=1&amp;1921=survey</t>
  </si>
  <si>
    <t>Global Plastic Production (million metric tons)</t>
  </si>
  <si>
    <t>Plastics Europe</t>
  </si>
  <si>
    <t>https://plasticseurope.org/resources/market-data/</t>
  </si>
  <si>
    <t>GLOBAL BIOPLASTIC</t>
  </si>
  <si>
    <t>Global production capacity of biodegradable bioplastics (million metric tons)</t>
  </si>
  <si>
    <t xml:space="preserve">European Plastics
Institute for bioplastics and biocomposites
Nova Institute for Ecology and Innovation </t>
  </si>
  <si>
    <r>
      <rPr>
        <u/>
        <sz val="11"/>
        <color rgb="FF0563C1"/>
        <rFont val="Calibri"/>
        <family val="2"/>
      </rPr>
      <t xml:space="preserve">[2008-2009] http://www.sustainableplant.com/2011/05/bioplastic-production-to-exceed-one-million-tonnes-in-2011/
[2010-2011] http://biomassmagazine.com/articles/9845/bioplastic-market-expected-to-increase-significantly-through-2017
[2012-2018] </t>
    </r>
    <r>
      <rPr>
        <u/>
        <sz val="11"/>
        <color rgb="FF1155CC"/>
        <rFont val="Calibri"/>
        <family val="2"/>
      </rPr>
      <t>http://www.bio-based.eu/market_study/media/files/15-05-13_Bio-based_Polymers_and_Building_Blocks_in_the_World-nova_Booklet.pdf</t>
    </r>
  </si>
  <si>
    <t>Global production capacity of non-biodegradable bioplastics (million metric tons)</t>
  </si>
  <si>
    <r>
      <rPr>
        <u/>
        <sz val="11"/>
        <color theme="10"/>
        <rFont val="Calibri"/>
        <family val="2"/>
      </rPr>
      <t>[2008-2009]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 xml:space="preserve">http://www.sustainableplant.com/2011/05/bioplastic-production-to-exceed-one-million-tonnes-in-2011/
</t>
    </r>
    <r>
      <rPr>
        <u/>
        <sz val="11"/>
        <color theme="10"/>
        <rFont val="Calibri"/>
        <family val="2"/>
      </rPr>
      <t>[2010-2011]</t>
    </r>
    <r>
      <rPr>
        <u/>
        <sz val="11"/>
        <color theme="10"/>
        <rFont val="Calibri"/>
        <family val="2"/>
      </rPr>
      <t xml:space="preserve"> http://biomassmagazine.com/articles/9845/bioplastic-market-expected-to-increase-significantly-through-2017
</t>
    </r>
    <r>
      <rPr>
        <u/>
        <sz val="11"/>
        <color theme="10"/>
        <rFont val="Calibri"/>
        <family val="2"/>
      </rPr>
      <t>[2012-2018]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</t>
    </r>
  </si>
  <si>
    <t>Global production capacities of biodegradable and non-biodegradable bioplastics (million metric tons)</t>
  </si>
  <si>
    <r>
      <rPr>
        <u/>
        <sz val="11"/>
        <color theme="10"/>
        <rFont val="Calibri"/>
        <family val="2"/>
      </rPr>
      <t>[2008-2009]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 xml:space="preserve">http://www.sustainableplant.com/2011/05/bioplastic-production-to-exceed-one-million-tonnes-in-2011/
</t>
    </r>
    <r>
      <rPr>
        <u/>
        <sz val="11"/>
        <color theme="10"/>
        <rFont val="Calibri"/>
        <family val="2"/>
      </rPr>
      <t>[2010-2011]</t>
    </r>
    <r>
      <rPr>
        <u/>
        <sz val="11"/>
        <color theme="10"/>
        <rFont val="Calibri"/>
        <family val="2"/>
      </rPr>
      <t xml:space="preserve"> http://biomassmagazine.com/articles/9845/bioplastic-market-expected-to-increase-significantly-through-2017
</t>
    </r>
    <r>
      <rPr>
        <u/>
        <sz val="11"/>
        <color theme="10"/>
        <rFont val="Calibri"/>
        <family val="2"/>
      </rPr>
      <t>[2012-2018]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</si>
  <si>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</si>
  <si>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</si>
  <si>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</si>
  <si>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</si>
  <si>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</si>
  <si>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</si>
  <si>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</si>
  <si>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t>Percentage of Bioplastic in Total Global Plastic Consumption</t>
  </si>
  <si>
    <t>Land Used for Bioplastics (million ha)</t>
  </si>
  <si>
    <t>Institute for bioplastics and biocomposites</t>
  </si>
  <si>
    <t>https://docs.european-bioplastics.org/publications/EUBP_Facts_and_figures.pdf</t>
  </si>
  <si>
    <t>Land Used for Bioplastics/Total Amount of Arable Land (%)</t>
  </si>
  <si>
    <t xml:space="preserve">GLOBAL BIO-BASED STRUCTURAL POLYMERS </t>
  </si>
  <si>
    <t>Total Production Capacity</t>
  </si>
  <si>
    <t xml:space="preserve">Nova Institute for Ecology and Innovation </t>
  </si>
  <si>
    <t>Starch Blends (%)</t>
  </si>
  <si>
    <t>Polylactic Acid (PLA) (%)</t>
  </si>
  <si>
    <t>Poly (butylene adipate-co-terephthalate) (PBAT) (%)</t>
  </si>
  <si>
    <t>Polyethylene (PE) (%)</t>
  </si>
  <si>
    <t>Polyamides (PA) (%)</t>
  </si>
  <si>
    <t>Polyethylene Terephthalate (PET) (%)</t>
  </si>
  <si>
    <t>Polytrimethylene Terephthalate (PTT) (%)</t>
  </si>
  <si>
    <t>Polybutylene Succinate (PBS) (%)</t>
  </si>
  <si>
    <t>Other (%)</t>
  </si>
  <si>
    <t>Polyhydroxyalkanoates (PHA) (%)</t>
  </si>
  <si>
    <t>Polyproprylene (PP) (%)</t>
  </si>
  <si>
    <t>ENZYMES</t>
  </si>
  <si>
    <t>GLOBAL</t>
  </si>
  <si>
    <t>Global Industrial Enzyme Market (billion dollars)
By market:</t>
  </si>
  <si>
    <t>BBC Research</t>
  </si>
  <si>
    <t>https://www.bccresearch.com/market-research/biotechnology/global-markets-for-enzymes-in-industrial-applications.html</t>
  </si>
  <si>
    <t>* Food (billion dollars)</t>
  </si>
  <si>
    <t>“Global Markets for Enzymes in Industrial Applications.” BCC Research (September 2018)</t>
  </si>
  <si>
    <t>Retrieved June 2020</t>
  </si>
  <si>
    <t>* Feed (billion dollars)</t>
  </si>
  <si>
    <t>* Technical (billion dollars)</t>
  </si>
  <si>
    <t>* Biofuel (billion dollars)</t>
  </si>
  <si>
    <t>* Other (billion dollars)</t>
  </si>
  <si>
    <t>* Detergent (billion dollars)</t>
  </si>
  <si>
    <t>APPAREL AND TEXTILES</t>
  </si>
  <si>
    <t>US TEXTILE MILLS AND TEXTILE PRODUCT MILLS (NAICS)</t>
  </si>
  <si>
    <t>U.S. Textile Mills and Textile Product Mills Value Added (billion dollars)</t>
  </si>
  <si>
    <t>https://apps.bea.gov/iTable/?reqid=150&amp;step=2&amp;isuri=1&amp;categories=gdpxind&amp;_gl=1*14rxqpt*_ga*MTM3MDkyNjc3LjE3MDg2OTk4NjU.*_ga_J4698JNNFT*MTcwODk1ODU4NC4yLjEuMTcwODk2MjUwMS42MC4wLjA.#eyJhcHBpZCI6MTUwLCJzdGVwcyI6WzEsMiwzXSwiZGF0YSI6W1siY2F0ZWdvcmllcyIsIkdkcHhJbmQiXSxbIlRhYmxlX0xpc3QiLCIxNSJdXX0=</t>
  </si>
  <si>
    <t>Accessed April 2024</t>
  </si>
  <si>
    <t>Value Added of Manufacturing US Textile Mills and Textile Product Mills as a Percentage of GDP (%)</t>
  </si>
  <si>
    <t>Gross Output of US Textile Mills and Textile Product Mills (billion dollars)</t>
  </si>
  <si>
    <t>Compensation of Employees, Value Added of Textile Mills &amp; Textile Product Mills (billion dollars)</t>
  </si>
  <si>
    <t>Taxes of Production and Imports, Less Subsides of US Textile Mills &amp; Textile Product Mills (billion dollars)</t>
  </si>
  <si>
    <t>Gross Operating Surplus of Textile Mills &amp; Textile Product Mills Products (billion dollars)</t>
  </si>
  <si>
    <t>US APPAREL AND LEATHER AND ALLIED PRODUCTS (NAICS)</t>
  </si>
  <si>
    <t>Apparel and Leather and Allied Products Value Added (billion dollars)</t>
  </si>
  <si>
    <t>Valued Added of Manufacturing US Apparel and Leather and Allied Products as a Percentage of GDP (%)</t>
  </si>
  <si>
    <t>Gross Output of US Apparel and Leather and Allied Products  (billion dollars)</t>
  </si>
  <si>
    <t>Compensation of Employees, Value Added of Apparel and Leather and Allied Products (billion dollars)</t>
  </si>
  <si>
    <t>Taxes of Production and Imports, Less Subsides of US Apparel and Leather and Allied Products (billion dollars)</t>
  </si>
  <si>
    <t>Gross Operating Surplus of Apparel and Leather and Allied Products Products (billion dollars)</t>
  </si>
  <si>
    <t>FOREST PRODUCTS</t>
  </si>
  <si>
    <t>US WOOD PRODUCTS (NAICS)</t>
  </si>
  <si>
    <t>U.S. Wood Products Real Value Added (billion dollars)</t>
  </si>
  <si>
    <t>Value Added of Manufacturing US Wood Products as Percentage of GDP (%)</t>
  </si>
  <si>
    <t>Gross Output of US Wood Products (billion dollars)</t>
  </si>
  <si>
    <t>Compensation of Employees, Value Added of Wood Products (billion dollars)</t>
  </si>
  <si>
    <r>
      <rPr>
        <sz val="11"/>
        <color rgb="FF0563C1"/>
        <rFont val="Calibri"/>
        <family val="2"/>
      </rPr>
      <t xml:space="preserve">[Table 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</si>
  <si>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Taxes of Production and Imports, Less Subsides of US Wood Products (billion dollars)</t>
  </si>
  <si>
    <t>https://apps.bea.gov/iTable/?reqid=150&amp;step=2&amp;isuri=1&amp;categories=gdpxind&amp;_gl=1*14rxqpt*_ga*MTM3MDkyNjc3LjE3MDg2OTk4NjU.*_ga_J4698JNNFT*MTcwODk1ODU4NC4yLjEuMTcwODk2MjUwMS42MC4wLjA.#eyJhcHBpZCI6MTUwLCJzdGVwcyI6WzEsMl0sImRhdGEiOltbImNhdGVnb3JpZXMiLCJDb21wQnlJbmQiXV19</t>
  </si>
  <si>
    <t>Gross Operating Surplus of Wood Products (billion dollars)</t>
  </si>
  <si>
    <r>
      <rPr>
        <sz val="11"/>
        <color theme="1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</si>
  <si>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US PAPER PRODUCTS (NAICS)</t>
  </si>
  <si>
    <t>U.S. Paper Products Value Added (billion dollars)</t>
  </si>
  <si>
    <t>Value Added of Manufacturing US Paper Products as Percentage of GDP (%)</t>
  </si>
  <si>
    <t>Gross Output of US Paper Products (billion dollars)</t>
  </si>
  <si>
    <t>Compensation of Employees, Value Added of Paper Products (billion dollars)</t>
  </si>
  <si>
    <r>
      <rPr>
        <u/>
        <sz val="11"/>
        <color rgb="FF000000"/>
        <rFont val="Calibri"/>
        <family val="2"/>
      </rPr>
      <t xml:space="preserve">[6.2D]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</si>
  <si>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Taxes of Production and Imports, Less Subsides of US Paper Products (billion dollars)</t>
  </si>
  <si>
    <t>Gross Operating Surplus of Paper Products (billion dollars)</t>
  </si>
  <si>
    <r>
      <rPr>
        <u/>
        <sz val="11"/>
        <color rgb="FF00000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</si>
  <si>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Wood fuel (million m3)</t>
  </si>
  <si>
    <t>Wood residues ( million m3)</t>
  </si>
  <si>
    <t>Roundwood  (million m3)</t>
  </si>
  <si>
    <t>Sawnwood (million m3)</t>
  </si>
  <si>
    <t>Wood-based panels (million m3)</t>
  </si>
  <si>
    <t>Wood fuel (million tonnes)</t>
  </si>
  <si>
    <t>Wood residues ( mililon tonnes)</t>
  </si>
  <si>
    <t>Roundwood  (million tonnes)</t>
  </si>
  <si>
    <t>Sawnwood (million tonnes)</t>
  </si>
  <si>
    <t>Wood-based panels (million tonnes)</t>
  </si>
  <si>
    <t>Wood pulp (million tonnes)</t>
  </si>
  <si>
    <t>Paper and paperboard (million tonnes)</t>
  </si>
  <si>
    <t>Wood pellets (million tonnes)</t>
  </si>
  <si>
    <t>Forest products Imports (billion dollars)</t>
  </si>
  <si>
    <t>Forest products Exports (billion dollars)</t>
  </si>
  <si>
    <t>FUNDING</t>
  </si>
  <si>
    <t>NIFA</t>
  </si>
  <si>
    <t>Keyword</t>
  </si>
  <si>
    <t>https://portal.nifa.usda.gov/enterprise-search/project_details</t>
  </si>
  <si>
    <t xml:space="preserve">Biodiesel </t>
  </si>
  <si>
    <t>Renewable diesel</t>
  </si>
  <si>
    <t>Sustainable aviation fuel</t>
  </si>
  <si>
    <t>Recycled greases</t>
  </si>
  <si>
    <t>Animal Fats</t>
  </si>
  <si>
    <t>Wood pellets</t>
  </si>
  <si>
    <t>Waste to energy</t>
  </si>
  <si>
    <t>Bioproducts</t>
  </si>
  <si>
    <t>Biochemicals</t>
  </si>
  <si>
    <t>Biofuels</t>
  </si>
  <si>
    <t>NSF</t>
  </si>
  <si>
    <t>https://www.nsf.gov/awardsearch/advancedSearch.jsp</t>
  </si>
  <si>
    <t>0-250K</t>
  </si>
  <si>
    <t>250K-500K</t>
  </si>
  <si>
    <t>500K-1M</t>
  </si>
  <si>
    <t>&gt;1M</t>
  </si>
  <si>
    <t>&lt;50K</t>
  </si>
  <si>
    <t>50K-100K</t>
  </si>
  <si>
    <t>100K-500K</t>
  </si>
  <si>
    <t>Amount awarded 2023 NIFA</t>
  </si>
  <si>
    <t>Amount awarded 2023 NSF</t>
  </si>
  <si>
    <t xml:space="preserve">2023 Top Exports </t>
  </si>
  <si>
    <t xml:space="preserve">2022 Top Exports </t>
  </si>
  <si>
    <t xml:space="preserve">2021 Top Exports </t>
  </si>
  <si>
    <t>million gallons</t>
  </si>
  <si>
    <t>million metric tons</t>
  </si>
  <si>
    <t>Poultry Fat</t>
  </si>
  <si>
    <t>metric tons</t>
  </si>
  <si>
    <t>Brazil</t>
  </si>
  <si>
    <t>Canada</t>
  </si>
  <si>
    <t>United Kingdom</t>
  </si>
  <si>
    <t>Netherlands</t>
  </si>
  <si>
    <t>Belgium</t>
  </si>
  <si>
    <t>Peru</t>
  </si>
  <si>
    <t>South Korea</t>
  </si>
  <si>
    <t>India</t>
  </si>
  <si>
    <t>Denmark</t>
  </si>
  <si>
    <t>Mexico</t>
  </si>
  <si>
    <t>Guatemala</t>
  </si>
  <si>
    <t>Norway</t>
  </si>
  <si>
    <t>China</t>
  </si>
  <si>
    <t>Singapore</t>
  </si>
  <si>
    <t>France</t>
  </si>
  <si>
    <t>Colombia</t>
  </si>
  <si>
    <t>Germany</t>
  </si>
  <si>
    <t>Dominican Republic</t>
  </si>
  <si>
    <t>Chile</t>
  </si>
  <si>
    <t>Inedible tallow</t>
  </si>
  <si>
    <t>Edible tallow</t>
  </si>
  <si>
    <t>Yellow grease</t>
  </si>
  <si>
    <t>White grease</t>
  </si>
  <si>
    <t>Ghana</t>
  </si>
  <si>
    <t>Honduras</t>
  </si>
  <si>
    <t>Japan</t>
  </si>
  <si>
    <t>*EU27</t>
  </si>
  <si>
    <t>Morocco</t>
  </si>
  <si>
    <t xml:space="preserve">Canada </t>
  </si>
  <si>
    <t>*EU27 =the 27 European Union countries after the UK left the EU, So EU28 = 76,665 + 77,345</t>
  </si>
  <si>
    <t xml:space="preserve">2023 Top Imports </t>
  </si>
  <si>
    <t xml:space="preserve">2022 Top Imports </t>
  </si>
  <si>
    <t xml:space="preserve">2021 Top Imports </t>
  </si>
  <si>
    <t>Thousand metric tons</t>
  </si>
  <si>
    <t>Viet Nam</t>
  </si>
  <si>
    <t>Spain</t>
  </si>
  <si>
    <t>Italy</t>
  </si>
  <si>
    <t>Ukraine</t>
  </si>
  <si>
    <t>Indonesia</t>
  </si>
  <si>
    <t>Trinidad and Tabago</t>
  </si>
  <si>
    <t>Ecuador</t>
  </si>
  <si>
    <t>https://pubs.rendermagazine.com/archives/2024/2024-04.pdf</t>
  </si>
  <si>
    <t>Retrieved April 2024</t>
  </si>
  <si>
    <t>Retrieved April 2024
1  ton = 0.9072 metric tons</t>
  </si>
  <si>
    <t>https://www.biopreferred.gov/BioPreferred/faces/catalog/Catalog.xhtml</t>
  </si>
  <si>
    <t>https://www.european-bioplastics.org/market/#</t>
  </si>
  <si>
    <t>https://www.trade.gov/data-visualization/tradestats-express-us-trade-product</t>
  </si>
  <si>
    <t>Total consumption of jet fuel major US Airlines (million gallons)</t>
  </si>
  <si>
    <t>Renewable Natural Gas</t>
  </si>
  <si>
    <t>Ag RNG projects</t>
  </si>
  <si>
    <t>https://www.epa.gov/lmop/renewable-natural-gas</t>
  </si>
  <si>
    <t>Retriaved May 8 2023</t>
  </si>
  <si>
    <t>Landfill RNG projects</t>
  </si>
  <si>
    <t>Retriaved May 8 2024</t>
  </si>
  <si>
    <t>Total Volume of Biodiesel Imported into the US (million gallons)</t>
  </si>
  <si>
    <t>Total Volume of Biodiesel Exported from the US (million gallons)</t>
  </si>
  <si>
    <t>Packaging</t>
  </si>
  <si>
    <t>Textiles</t>
  </si>
  <si>
    <t>Consumer Goods</t>
  </si>
  <si>
    <t>Agriculture &amp; Horticulture</t>
  </si>
  <si>
    <t>Automotive &amp; Transport</t>
  </si>
  <si>
    <t>Building &amp; Construction</t>
  </si>
  <si>
    <t>Electronics</t>
  </si>
  <si>
    <t>Others</t>
  </si>
  <si>
    <t>Accessed August 2024</t>
  </si>
  <si>
    <t>TRADE</t>
  </si>
  <si>
    <t>ITA</t>
  </si>
  <si>
    <t>Value of the U.S. apparel exports worldwide (billion dollars)</t>
  </si>
  <si>
    <t>Value of the U.S. apparel imports worldwide (billion dollars)</t>
  </si>
  <si>
    <t>Value of the U.S. textiles exports worldwide (billion dollars)</t>
  </si>
  <si>
    <t>Value of the U.S. textiles imports worldwide (billion dollars)</t>
  </si>
  <si>
    <t>Total production of renewable jet fuel (million gallons)</t>
  </si>
  <si>
    <t>Total consumption of renewable jet fuel (million gallons)</t>
  </si>
  <si>
    <t>GAO</t>
  </si>
  <si>
    <t>Wood pellets Imports (million metric tons)</t>
  </si>
  <si>
    <t>Malaysia</t>
  </si>
  <si>
    <t>Thailand</t>
  </si>
  <si>
    <t xml:space="preserve">https://www.epa.gov/lmop/landfill-gas-energy-project-data </t>
  </si>
  <si>
    <t>Biodegradable</t>
  </si>
  <si>
    <t>Biobased</t>
  </si>
  <si>
    <t>Starch Blends</t>
  </si>
  <si>
    <t>PLA</t>
  </si>
  <si>
    <t>PBTA</t>
  </si>
  <si>
    <t>PBS</t>
  </si>
  <si>
    <t>PHA</t>
  </si>
  <si>
    <t>PE</t>
  </si>
  <si>
    <t>PA</t>
  </si>
  <si>
    <t>PET</t>
  </si>
  <si>
    <t>PTT</t>
  </si>
  <si>
    <t>Other</t>
  </si>
  <si>
    <t>PP</t>
  </si>
  <si>
    <t>United States</t>
  </si>
  <si>
    <t>[2013/2018] http://www.bio-based.eu/market_study/media/files/15-05-13_Bio-based_Polymers_and_Building_Blocks_in_the_World-nova_Booklet.pdf
[2014] https://www.kunststoffe.de/en/news/overview/artikel/global-bioplastics-production-capacities-continue-to-grow-1253170.html
[2016] https://www.ifbb-hannover.de/de/facts-and-statistics.html
[2017] http://docs.european-bioplastics.org/publications/EUBP_Facts_and_figures.pdf</t>
  </si>
  <si>
    <t>Korea</t>
  </si>
  <si>
    <t>Origin</t>
  </si>
  <si>
    <t>Destination</t>
  </si>
  <si>
    <t>Commodity</t>
  </si>
  <si>
    <t>Value</t>
  </si>
  <si>
    <t>Units</t>
  </si>
  <si>
    <t>Variable</t>
  </si>
  <si>
    <t>Export</t>
  </si>
  <si>
    <t>Import</t>
  </si>
  <si>
    <t>%</t>
  </si>
  <si>
    <t>Tallow</t>
  </si>
  <si>
    <t>Plant capacity (billion gallons)</t>
  </si>
  <si>
    <t>Airline off-take agreement</t>
  </si>
  <si>
    <t>https://www.icao.int/environmental-protection/GFAAF/Pages/Airports.aspx</t>
  </si>
  <si>
    <t>Number of Airports with SAF (Ongoing Delivery)</t>
  </si>
  <si>
    <t>Number of Airports with SAF (Batch Delivery)</t>
  </si>
  <si>
    <t>Domestic CO2 emissions from aviation sector (Million metric tons)</t>
  </si>
  <si>
    <t>Internationa CO2 emissions form aviation sector (Million metric tons)</t>
  </si>
  <si>
    <t>https://www.iea.org/energy-system/transport/aviation#tracking</t>
  </si>
  <si>
    <t>Retrieved January 2025</t>
  </si>
  <si>
    <t>IEA</t>
  </si>
  <si>
    <t>Retrieved February 2025</t>
  </si>
  <si>
    <t>NIFA+NSF</t>
  </si>
  <si>
    <t>Traditional biofuel</t>
  </si>
  <si>
    <t>Emergent biofuel</t>
  </si>
  <si>
    <t>TOTAL</t>
  </si>
  <si>
    <t>New York</t>
  </si>
  <si>
    <t>State</t>
  </si>
  <si>
    <t>Number of projects</t>
  </si>
  <si>
    <t>Major Commodities</t>
  </si>
  <si>
    <t>CSC Practices</t>
  </si>
  <si>
    <t>B</t>
  </si>
  <si>
    <t>Total unding for all projects that potentially impact this area, commodities, practices, and projects as filtered.</t>
  </si>
  <si>
    <t>https://publicdashboards.dl.usda.gov/t/FPAC_PUB/views/PartnershipsForClimate-SmartCommodities/Overview?%3Aembed=y&amp;%3AisGuestRedirectFromVizportal=y&amp;%3Atoolbar=top</t>
  </si>
  <si>
    <t>Missouri</t>
  </si>
  <si>
    <t>Minnesota</t>
  </si>
  <si>
    <t>Kansas</t>
  </si>
  <si>
    <t>Texas</t>
  </si>
  <si>
    <t>Iowa</t>
  </si>
  <si>
    <t>California</t>
  </si>
  <si>
    <t>Wisconsin</t>
  </si>
  <si>
    <t>Nebraska</t>
  </si>
  <si>
    <t>Indiana</t>
  </si>
  <si>
    <t>South Carolina</t>
  </si>
  <si>
    <t>North Carolina</t>
  </si>
  <si>
    <t>South Dakota</t>
  </si>
  <si>
    <t>North Dakota</t>
  </si>
  <si>
    <t>Oklahoma</t>
  </si>
  <si>
    <t>Illinois</t>
  </si>
  <si>
    <t>Ohio</t>
  </si>
  <si>
    <t>Michigan</t>
  </si>
  <si>
    <t>Mississippi</t>
  </si>
  <si>
    <t>Virginia</t>
  </si>
  <si>
    <t>Arkansas</t>
  </si>
  <si>
    <t>Georgia</t>
  </si>
  <si>
    <t>Pennsylvania</t>
  </si>
  <si>
    <t>Colorado</t>
  </si>
  <si>
    <t>Tennessee</t>
  </si>
  <si>
    <t>Alabama</t>
  </si>
  <si>
    <t>Maryland</t>
  </si>
  <si>
    <t>Kentucky</t>
  </si>
  <si>
    <t>Idaho</t>
  </si>
  <si>
    <t>Montana</t>
  </si>
  <si>
    <t>New Mexico</t>
  </si>
  <si>
    <t>Louisiana</t>
  </si>
  <si>
    <t>Wyoming</t>
  </si>
  <si>
    <t>Washington</t>
  </si>
  <si>
    <t>Florida</t>
  </si>
  <si>
    <t>Vermont</t>
  </si>
  <si>
    <t>Oregon</t>
  </si>
  <si>
    <t>Arizona</t>
  </si>
  <si>
    <t>Massachusetts</t>
  </si>
  <si>
    <t>Delaware</t>
  </si>
  <si>
    <t>New Jersey</t>
  </si>
  <si>
    <t>Connecticut</t>
  </si>
  <si>
    <t>West Virginia</t>
  </si>
  <si>
    <t>Maine</t>
  </si>
  <si>
    <t>New Hampshire</t>
  </si>
  <si>
    <t>Rhode Island</t>
  </si>
  <si>
    <t>Utah</t>
  </si>
  <si>
    <t>Nevada</t>
  </si>
  <si>
    <t>Hawaii</t>
  </si>
  <si>
    <t>Alaska</t>
  </si>
  <si>
    <t>Dairy and livestock</t>
  </si>
  <si>
    <t>Row and energy crops</t>
  </si>
  <si>
    <t>Fruits, vegetables and specialty crops</t>
  </si>
  <si>
    <t>Forests and agroforestry</t>
  </si>
  <si>
    <t>Federal Funding</t>
  </si>
  <si>
    <t>B$</t>
  </si>
  <si>
    <t>Global bioenergy jobs (million jobs)</t>
  </si>
  <si>
    <t>US bioenergy jobs (million jobs)</t>
  </si>
  <si>
    <t>Renewable Jet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</si>
</sst>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00000000000"/>
    <numFmt numFmtId="166" formatCode="#,##0.0"/>
    <numFmt numFmtId="167" formatCode="_(* #,##0_);_(* \(#,##0\);_(* &quot;-&quot;??_);_(@_)"/>
    <numFmt numFmtId="168" formatCode="#,##0\ \ \ \ \ \ \ \ \ "/>
    <numFmt numFmtId="169" formatCode="0.0000"/>
    <numFmt numFmtId="170" formatCode="0.000000000"/>
    <numFmt numFmtId="171" formatCode="0.000"/>
  </numFmts>
  <fonts count="9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rial"/>
      <family val="2"/>
    </font>
    <font>
      <sz val="12"/>
      <color rgb="FF0563C1"/>
      <name val="Arial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Docs-Calibri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7"/>
      <color rgb="FF000000"/>
      <name val="Trebuchet MS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1155CC"/>
      <name val="Calibri"/>
      <family val="2"/>
    </font>
    <font>
      <sz val="11"/>
      <color rgb="FF0563C1"/>
      <name val="Calibri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rgb="FF212529"/>
      <name val="Arial"/>
      <family val="2"/>
    </font>
    <font>
      <b/>
      <sz val="9"/>
      <color rgb="FF212529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08306C"/>
        <bgColor rgb="FF08306C"/>
      </patternFill>
    </fill>
    <fill>
      <patternFill patternType="solid">
        <fgColor rgb="FF993404"/>
        <bgColor rgb="FF993404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44546A"/>
        <bgColor rgb="FF44546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87" fillId="0" borderId="0" applyNumberFormat="0" applyFill="0" applyBorder="0" applyAlignment="0" applyProtection="0"/>
    <xf numFmtId="0" fontId="91" fillId="0" borderId="3"/>
    <xf numFmtId="9" fontId="43" fillId="0" borderId="0" applyFont="0" applyFill="0" applyBorder="0" applyAlignment="0" applyProtection="0"/>
    <xf numFmtId="43" fontId="96" fillId="0" borderId="0" applyFont="0" applyFill="0" applyBorder="0" applyAlignment="0" applyProtection="0"/>
  </cellStyleXfs>
  <cellXfs count="456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0" borderId="0" xfId="0" applyFont="1" applyAlignment="1">
      <alignment horizontal="left"/>
    </xf>
    <xf numFmtId="164" fontId="5" fillId="0" borderId="0" xfId="0" applyNumberFormat="1" applyFont="1"/>
    <xf numFmtId="2" fontId="5" fillId="0" borderId="0" xfId="0" applyNumberFormat="1" applyFont="1"/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/>
    <xf numFmtId="164" fontId="8" fillId="3" borderId="1" xfId="0" applyNumberFormat="1" applyFont="1" applyFill="1" applyBorder="1"/>
    <xf numFmtId="2" fontId="8" fillId="3" borderId="1" xfId="0" applyNumberFormat="1" applyFont="1" applyFill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/>
    <xf numFmtId="164" fontId="8" fillId="4" borderId="1" xfId="0" applyNumberFormat="1" applyFont="1" applyFill="1" applyBorder="1"/>
    <xf numFmtId="2" fontId="8" fillId="4" borderId="1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/>
    <xf numFmtId="164" fontId="8" fillId="5" borderId="1" xfId="0" applyNumberFormat="1" applyFont="1" applyFill="1" applyBorder="1"/>
    <xf numFmtId="2" fontId="8" fillId="5" borderId="1" xfId="0" applyNumberFormat="1" applyFont="1" applyFill="1" applyBorder="1"/>
    <xf numFmtId="0" fontId="12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wrapText="1"/>
    </xf>
    <xf numFmtId="0" fontId="17" fillId="7" borderId="0" xfId="0" applyFont="1" applyFill="1" applyAlignment="1">
      <alignment horizontal="left"/>
    </xf>
    <xf numFmtId="0" fontId="12" fillId="0" borderId="4" xfId="0" applyFont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/>
    <xf numFmtId="1" fontId="12" fillId="0" borderId="4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8" borderId="11" xfId="0" applyFont="1" applyFill="1" applyBorder="1" applyAlignment="1">
      <alignment horizontal="left" vertical="center"/>
    </xf>
    <xf numFmtId="0" fontId="12" fillId="8" borderId="12" xfId="0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165" fontId="12" fillId="8" borderId="12" xfId="0" applyNumberFormat="1" applyFont="1" applyFill="1" applyBorder="1" applyAlignment="1">
      <alignment horizontal="left" vertical="center"/>
    </xf>
    <xf numFmtId="0" fontId="12" fillId="8" borderId="12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3" fontId="12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/>
    </xf>
    <xf numFmtId="0" fontId="24" fillId="0" borderId="4" xfId="0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left" vertical="center"/>
    </xf>
    <xf numFmtId="164" fontId="12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/>
    </xf>
    <xf numFmtId="0" fontId="26" fillId="0" borderId="5" xfId="0" applyFont="1" applyBorder="1"/>
    <xf numFmtId="0" fontId="28" fillId="0" borderId="0" xfId="0" applyFont="1" applyAlignment="1">
      <alignment horizontal="left" vertical="center"/>
    </xf>
    <xf numFmtId="0" fontId="30" fillId="0" borderId="4" xfId="0" applyFont="1" applyBorder="1"/>
    <xf numFmtId="0" fontId="12" fillId="0" borderId="0" xfId="0" applyFont="1"/>
    <xf numFmtId="0" fontId="31" fillId="0" borderId="0" xfId="0" applyFont="1"/>
    <xf numFmtId="3" fontId="12" fillId="6" borderId="4" xfId="0" applyNumberFormat="1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 vertical="center"/>
    </xf>
    <xf numFmtId="0" fontId="32" fillId="0" borderId="0" xfId="0" applyFont="1"/>
    <xf numFmtId="0" fontId="33" fillId="0" borderId="4" xfId="0" applyFont="1" applyBorder="1"/>
    <xf numFmtId="0" fontId="12" fillId="6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 wrapText="1"/>
    </xf>
    <xf numFmtId="0" fontId="35" fillId="0" borderId="4" xfId="0" applyFont="1" applyBorder="1" applyAlignment="1">
      <alignment wrapText="1"/>
    </xf>
    <xf numFmtId="0" fontId="14" fillId="0" borderId="7" xfId="0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 wrapText="1"/>
    </xf>
    <xf numFmtId="0" fontId="38" fillId="0" borderId="0" xfId="0" applyFont="1" applyAlignment="1">
      <alignment horizontal="right" vertical="center" wrapText="1"/>
    </xf>
    <xf numFmtId="1" fontId="12" fillId="0" borderId="0" xfId="0" applyNumberFormat="1" applyFont="1"/>
    <xf numFmtId="0" fontId="12" fillId="0" borderId="5" xfId="0" applyFont="1" applyBorder="1" applyAlignment="1">
      <alignment horizontal="left" vertical="center" wrapText="1"/>
    </xf>
    <xf numFmtId="1" fontId="12" fillId="6" borderId="4" xfId="0" applyNumberFormat="1" applyFont="1" applyFill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/>
    </xf>
    <xf numFmtId="1" fontId="12" fillId="0" borderId="4" xfId="0" applyNumberFormat="1" applyFont="1" applyBorder="1"/>
    <xf numFmtId="1" fontId="12" fillId="8" borderId="12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164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57" fillId="0" borderId="4" xfId="0" applyFont="1" applyBorder="1" applyAlignment="1">
      <alignment wrapText="1"/>
    </xf>
    <xf numFmtId="0" fontId="58" fillId="0" borderId="4" xfId="0" applyFont="1" applyBorder="1"/>
    <xf numFmtId="0" fontId="12" fillId="6" borderId="12" xfId="0" applyFont="1" applyFill="1" applyBorder="1" applyAlignment="1">
      <alignment horizontal="center" vertical="center"/>
    </xf>
    <xf numFmtId="16" fontId="12" fillId="0" borderId="0" xfId="0" applyNumberFormat="1" applyFont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59" fillId="0" borderId="0" xfId="0" applyFont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8" borderId="19" xfId="0" applyFont="1" applyFill="1" applyBorder="1" applyAlignment="1">
      <alignment horizontal="left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8" borderId="20" xfId="0" applyFont="1" applyFill="1" applyBorder="1" applyAlignment="1">
      <alignment horizontal="left" vertical="center"/>
    </xf>
    <xf numFmtId="0" fontId="60" fillId="0" borderId="0" xfId="0" applyFont="1"/>
    <xf numFmtId="0" fontId="61" fillId="0" borderId="0" xfId="0" applyFont="1"/>
    <xf numFmtId="1" fontId="12" fillId="0" borderId="8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63" fillId="0" borderId="4" xfId="0" applyFont="1" applyBorder="1"/>
    <xf numFmtId="0" fontId="12" fillId="7" borderId="7" xfId="0" applyFont="1" applyFill="1" applyBorder="1" applyAlignment="1">
      <alignment horizontal="center"/>
    </xf>
    <xf numFmtId="0" fontId="12" fillId="0" borderId="8" xfId="0" applyFont="1" applyBorder="1"/>
    <xf numFmtId="0" fontId="12" fillId="10" borderId="8" xfId="0" applyFont="1" applyFill="1" applyBorder="1"/>
    <xf numFmtId="0" fontId="12" fillId="10" borderId="4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/>
    </xf>
    <xf numFmtId="0" fontId="65" fillId="0" borderId="4" xfId="0" applyFont="1" applyBorder="1" applyAlignment="1">
      <alignment wrapText="1"/>
    </xf>
    <xf numFmtId="0" fontId="66" fillId="0" borderId="7" xfId="0" applyFont="1" applyBorder="1" applyAlignment="1">
      <alignment wrapText="1"/>
    </xf>
    <xf numFmtId="0" fontId="12" fillId="8" borderId="20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67" fontId="14" fillId="6" borderId="4" xfId="0" applyNumberFormat="1" applyFont="1" applyFill="1" applyBorder="1" applyAlignment="1">
      <alignment horizontal="center" vertical="center"/>
    </xf>
    <xf numFmtId="167" fontId="12" fillId="6" borderId="4" xfId="0" applyNumberFormat="1" applyFont="1" applyFill="1" applyBorder="1" applyAlignment="1">
      <alignment horizontal="center" vertical="center"/>
    </xf>
    <xf numFmtId="1" fontId="12" fillId="10" borderId="4" xfId="0" applyNumberFormat="1" applyFont="1" applyFill="1" applyBorder="1" applyAlignment="1">
      <alignment horizontal="center" vertical="center"/>
    </xf>
    <xf numFmtId="0" fontId="67" fillId="0" borderId="4" xfId="0" applyFont="1" applyBorder="1"/>
    <xf numFmtId="1" fontId="12" fillId="10" borderId="8" xfId="0" applyNumberFormat="1" applyFont="1" applyFill="1" applyBorder="1"/>
    <xf numFmtId="0" fontId="68" fillId="0" borderId="4" xfId="0" applyFont="1" applyBorder="1" applyAlignment="1">
      <alignment wrapText="1"/>
    </xf>
    <xf numFmtId="0" fontId="69" fillId="0" borderId="7" xfId="0" applyFont="1" applyBorder="1" applyAlignment="1">
      <alignment wrapText="1"/>
    </xf>
    <xf numFmtId="164" fontId="12" fillId="0" borderId="7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70" fillId="0" borderId="7" xfId="0" applyFont="1" applyBorder="1" applyAlignment="1">
      <alignment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71" fillId="0" borderId="5" xfId="0" applyFont="1" applyBorder="1" applyAlignment="1">
      <alignment horizontal="left" vertical="center" wrapText="1"/>
    </xf>
    <xf numFmtId="3" fontId="12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0" fontId="7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4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73" fillId="0" borderId="4" xfId="0" applyFont="1" applyBorder="1" applyAlignment="1">
      <alignment horizontal="left" vertical="center" wrapText="1"/>
    </xf>
    <xf numFmtId="4" fontId="12" fillId="6" borderId="4" xfId="0" applyNumberFormat="1" applyFont="1" applyFill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4" fontId="12" fillId="9" borderId="4" xfId="0" applyNumberFormat="1" applyFont="1" applyFill="1" applyBorder="1" applyAlignment="1">
      <alignment horizontal="center" vertical="center"/>
    </xf>
    <xf numFmtId="2" fontId="12" fillId="8" borderId="12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0" fontId="74" fillId="0" borderId="4" xfId="0" applyFont="1" applyBorder="1" applyAlignment="1">
      <alignment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7" fillId="0" borderId="4" xfId="0" applyFont="1" applyBorder="1" applyAlignment="1">
      <alignment vertical="center" wrapText="1"/>
    </xf>
    <xf numFmtId="164" fontId="12" fillId="0" borderId="0" xfId="0" applyNumberFormat="1" applyFont="1" applyAlignment="1">
      <alignment horizontal="center" vertical="center"/>
    </xf>
    <xf numFmtId="0" fontId="76" fillId="0" borderId="0" xfId="0" applyFont="1"/>
    <xf numFmtId="0" fontId="76" fillId="0" borderId="10" xfId="0" applyFont="1" applyBorder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wrapText="1"/>
    </xf>
    <xf numFmtId="166" fontId="12" fillId="0" borderId="7" xfId="0" applyNumberFormat="1" applyFont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78" fillId="0" borderId="5" xfId="0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80" fillId="0" borderId="5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1" fillId="0" borderId="0" xfId="0" applyFont="1" applyAlignment="1">
      <alignment horizontal="left" vertical="center" wrapText="1"/>
    </xf>
    <xf numFmtId="0" fontId="14" fillId="11" borderId="0" xfId="0" applyFont="1" applyFill="1"/>
    <xf numFmtId="0" fontId="14" fillId="11" borderId="4" xfId="0" applyFont="1" applyFill="1" applyBorder="1" applyAlignment="1">
      <alignment wrapText="1"/>
    </xf>
    <xf numFmtId="0" fontId="14" fillId="11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2" fillId="0" borderId="8" xfId="0" applyFont="1" applyBorder="1" applyAlignment="1">
      <alignment horizontal="right"/>
    </xf>
    <xf numFmtId="0" fontId="12" fillId="8" borderId="8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12" fillId="0" borderId="15" xfId="0" applyFont="1" applyBorder="1" applyAlignment="1">
      <alignment horizontal="left" vertical="center" wrapText="1"/>
    </xf>
    <xf numFmtId="0" fontId="16" fillId="0" borderId="14" xfId="0" applyFont="1" applyBorder="1" applyAlignment="1">
      <alignment wrapText="1"/>
    </xf>
    <xf numFmtId="0" fontId="17" fillId="0" borderId="23" xfId="0" applyFont="1" applyBorder="1" applyAlignment="1">
      <alignment horizontal="left"/>
    </xf>
    <xf numFmtId="0" fontId="18" fillId="0" borderId="14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1" fillId="0" borderId="14" xfId="0" applyFont="1" applyBorder="1"/>
    <xf numFmtId="0" fontId="12" fillId="0" borderId="10" xfId="0" applyFont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1" fontId="12" fillId="0" borderId="23" xfId="0" applyNumberFormat="1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/>
    </xf>
    <xf numFmtId="0" fontId="12" fillId="0" borderId="23" xfId="0" applyFont="1" applyBorder="1"/>
    <xf numFmtId="0" fontId="26" fillId="0" borderId="23" xfId="0" applyFont="1" applyBorder="1"/>
    <xf numFmtId="0" fontId="12" fillId="0" borderId="23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12" fillId="0" borderId="23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30" fillId="0" borderId="23" xfId="0" applyFont="1" applyBorder="1"/>
    <xf numFmtId="0" fontId="14" fillId="0" borderId="6" xfId="0" applyFont="1" applyBorder="1" applyAlignment="1">
      <alignment horizontal="left" vertical="center"/>
    </xf>
    <xf numFmtId="2" fontId="12" fillId="0" borderId="16" xfId="0" applyNumberFormat="1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39" fillId="0" borderId="16" xfId="0" applyFont="1" applyBorder="1" applyAlignment="1">
      <alignment horizontal="left" vertical="center" wrapText="1"/>
    </xf>
    <xf numFmtId="0" fontId="40" fillId="0" borderId="4" xfId="0" applyFont="1" applyBorder="1"/>
    <xf numFmtId="0" fontId="41" fillId="0" borderId="4" xfId="0" applyFont="1" applyBorder="1"/>
    <xf numFmtId="0" fontId="42" fillId="0" borderId="4" xfId="0" applyFont="1" applyBorder="1"/>
    <xf numFmtId="1" fontId="12" fillId="0" borderId="4" xfId="0" applyNumberFormat="1" applyFont="1" applyBorder="1" applyAlignment="1">
      <alignment horizontal="left" vertical="center"/>
    </xf>
    <xf numFmtId="1" fontId="12" fillId="0" borderId="4" xfId="0" applyNumberFormat="1" applyFont="1" applyBorder="1" applyAlignment="1">
      <alignment horizontal="center"/>
    </xf>
    <xf numFmtId="0" fontId="43" fillId="0" borderId="0" xfId="0" applyFont="1"/>
    <xf numFmtId="0" fontId="44" fillId="0" borderId="16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50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 applyAlignment="1">
      <alignment horizontal="left" vertical="center"/>
    </xf>
    <xf numFmtId="0" fontId="55" fillId="0" borderId="7" xfId="0" applyFont="1" applyBorder="1" applyAlignment="1">
      <alignment horizontal="left" vertical="center" wrapText="1"/>
    </xf>
    <xf numFmtId="0" fontId="56" fillId="0" borderId="4" xfId="0" applyFont="1" applyBorder="1"/>
    <xf numFmtId="0" fontId="62" fillId="0" borderId="4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 wrapText="1"/>
    </xf>
    <xf numFmtId="166" fontId="12" fillId="0" borderId="7" xfId="0" applyNumberFormat="1" applyFont="1" applyBorder="1" applyAlignment="1">
      <alignment horizontal="center" wrapText="1"/>
    </xf>
    <xf numFmtId="0" fontId="12" fillId="8" borderId="16" xfId="0" applyFont="1" applyFill="1" applyBorder="1" applyAlignment="1">
      <alignment horizontal="center" vertical="center"/>
    </xf>
    <xf numFmtId="2" fontId="12" fillId="8" borderId="16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2" fillId="0" borderId="14" xfId="0" applyFont="1" applyBorder="1" applyAlignment="1">
      <alignment wrapText="1"/>
    </xf>
    <xf numFmtId="0" fontId="14" fillId="0" borderId="23" xfId="0" applyFont="1" applyBorder="1" applyAlignment="1">
      <alignment horizontal="center" wrapText="1"/>
    </xf>
    <xf numFmtId="0" fontId="77" fillId="0" borderId="23" xfId="0" applyFont="1" applyBorder="1"/>
    <xf numFmtId="0" fontId="43" fillId="0" borderId="23" xfId="0" applyFont="1" applyBorder="1"/>
    <xf numFmtId="3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2" fontId="12" fillId="8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center"/>
    </xf>
    <xf numFmtId="3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wrapText="1"/>
    </xf>
    <xf numFmtId="0" fontId="12" fillId="6" borderId="23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82" fillId="0" borderId="4" xfId="0" applyFont="1" applyBorder="1" applyAlignment="1">
      <alignment wrapText="1"/>
    </xf>
    <xf numFmtId="0" fontId="83" fillId="0" borderId="4" xfId="0" applyFont="1" applyBorder="1"/>
    <xf numFmtId="0" fontId="75" fillId="12" borderId="3" xfId="0" applyFont="1" applyFill="1" applyBorder="1" applyAlignment="1">
      <alignment horizontal="left"/>
    </xf>
    <xf numFmtId="0" fontId="11" fillId="12" borderId="3" xfId="0" applyFont="1" applyFill="1" applyBorder="1"/>
    <xf numFmtId="164" fontId="11" fillId="12" borderId="3" xfId="0" applyNumberFormat="1" applyFont="1" applyFill="1" applyBorder="1"/>
    <xf numFmtId="0" fontId="11" fillId="12" borderId="3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12" borderId="3" xfId="0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12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3" fontId="86" fillId="0" borderId="4" xfId="0" applyNumberFormat="1" applyFont="1" applyBorder="1"/>
    <xf numFmtId="0" fontId="14" fillId="0" borderId="4" xfId="0" applyFont="1" applyBorder="1"/>
    <xf numFmtId="168" fontId="86" fillId="0" borderId="4" xfId="0" applyNumberFormat="1" applyFont="1" applyBorder="1" applyAlignment="1">
      <alignment horizontal="right"/>
    </xf>
    <xf numFmtId="0" fontId="12" fillId="12" borderId="3" xfId="0" applyFont="1" applyFill="1" applyBorder="1"/>
    <xf numFmtId="4" fontId="12" fillId="0" borderId="0" xfId="0" applyNumberFormat="1" applyFont="1" applyAlignment="1">
      <alignment horizontal="center"/>
    </xf>
    <xf numFmtId="0" fontId="12" fillId="0" borderId="15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3" fillId="0" borderId="4" xfId="0" applyFont="1" applyBorder="1"/>
    <xf numFmtId="0" fontId="87" fillId="0" borderId="7" xfId="1" applyBorder="1" applyAlignment="1">
      <alignment horizontal="left" vertical="center" wrapText="1"/>
    </xf>
    <xf numFmtId="0" fontId="87" fillId="0" borderId="4" xfId="1" applyBorder="1" applyAlignment="1">
      <alignment horizontal="left" vertical="center" wrapText="1"/>
    </xf>
    <xf numFmtId="1" fontId="12" fillId="0" borderId="17" xfId="0" applyNumberFormat="1" applyFont="1" applyBorder="1" applyAlignment="1">
      <alignment horizontal="center"/>
    </xf>
    <xf numFmtId="166" fontId="12" fillId="0" borderId="7" xfId="0" applyNumberFormat="1" applyFont="1" applyBorder="1" applyAlignment="1">
      <alignment horizontal="center" vertical="center"/>
    </xf>
    <xf numFmtId="0" fontId="87" fillId="0" borderId="4" xfId="1" applyBorder="1"/>
    <xf numFmtId="2" fontId="12" fillId="0" borderId="23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0" fontId="87" fillId="0" borderId="14" xfId="1" applyBorder="1" applyAlignment="1">
      <alignment wrapText="1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3" fontId="86" fillId="0" borderId="15" xfId="0" applyNumberFormat="1" applyFont="1" applyBorder="1"/>
    <xf numFmtId="168" fontId="86" fillId="0" borderId="15" xfId="0" applyNumberFormat="1" applyFont="1" applyBorder="1" applyAlignment="1">
      <alignment horizontal="right"/>
    </xf>
    <xf numFmtId="0" fontId="37" fillId="0" borderId="4" xfId="0" applyFont="1" applyBorder="1"/>
    <xf numFmtId="1" fontId="12" fillId="0" borderId="13" xfId="0" applyNumberFormat="1" applyFont="1" applyBorder="1" applyAlignment="1">
      <alignment horizontal="center"/>
    </xf>
    <xf numFmtId="0" fontId="37" fillId="0" borderId="5" xfId="0" applyFont="1" applyBorder="1"/>
    <xf numFmtId="0" fontId="12" fillId="0" borderId="5" xfId="0" applyFont="1" applyBorder="1"/>
    <xf numFmtId="0" fontId="51" fillId="0" borderId="5" xfId="0" applyFont="1" applyBorder="1" applyAlignment="1">
      <alignment horizontal="left" wrapText="1"/>
    </xf>
    <xf numFmtId="0" fontId="52" fillId="0" borderId="5" xfId="0" applyFont="1" applyBorder="1" applyAlignment="1">
      <alignment horizontal="left" wrapText="1"/>
    </xf>
    <xf numFmtId="0" fontId="53" fillId="0" borderId="4" xfId="0" applyFont="1" applyBorder="1" applyAlignment="1">
      <alignment horizontal="left"/>
    </xf>
    <xf numFmtId="0" fontId="12" fillId="8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0" fillId="0" borderId="23" xfId="0" applyFont="1" applyBorder="1" applyAlignment="1">
      <alignment horizontal="left" vertical="center"/>
    </xf>
    <xf numFmtId="3" fontId="12" fillId="0" borderId="11" xfId="0" applyNumberFormat="1" applyFont="1" applyBorder="1" applyAlignment="1">
      <alignment horizontal="center" vertical="center"/>
    </xf>
    <xf numFmtId="3" fontId="12" fillId="0" borderId="24" xfId="0" applyNumberFormat="1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3" fontId="12" fillId="6" borderId="17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4" fontId="12" fillId="0" borderId="23" xfId="0" applyNumberFormat="1" applyFont="1" applyBorder="1" applyAlignment="1">
      <alignment horizontal="center" vertical="center"/>
    </xf>
    <xf numFmtId="0" fontId="12" fillId="7" borderId="23" xfId="0" applyFont="1" applyFill="1" applyBorder="1" applyAlignment="1">
      <alignment horizontal="left" vertical="center"/>
    </xf>
    <xf numFmtId="3" fontId="12" fillId="6" borderId="23" xfId="0" applyNumberFormat="1" applyFont="1" applyFill="1" applyBorder="1" applyAlignment="1">
      <alignment horizontal="center" vertical="center"/>
    </xf>
    <xf numFmtId="0" fontId="89" fillId="0" borderId="0" xfId="0" applyFont="1"/>
    <xf numFmtId="0" fontId="88" fillId="0" borderId="4" xfId="0" applyFont="1" applyBorder="1" applyAlignment="1">
      <alignment horizontal="left" vertical="center"/>
    </xf>
    <xf numFmtId="0" fontId="87" fillId="0" borderId="0" xfId="1"/>
    <xf numFmtId="0" fontId="3" fillId="0" borderId="23" xfId="0" applyFont="1" applyBorder="1"/>
    <xf numFmtId="0" fontId="90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88" fillId="0" borderId="23" xfId="0" applyFont="1" applyBorder="1"/>
    <xf numFmtId="0" fontId="76" fillId="13" borderId="23" xfId="0" applyFont="1" applyFill="1" applyBorder="1"/>
    <xf numFmtId="0" fontId="89" fillId="0" borderId="23" xfId="0" applyFont="1" applyBorder="1"/>
    <xf numFmtId="164" fontId="12" fillId="0" borderId="0" xfId="0" applyNumberFormat="1" applyFont="1" applyAlignment="1">
      <alignment horizontal="left" vertical="center"/>
    </xf>
    <xf numFmtId="169" fontId="12" fillId="0" borderId="0" xfId="0" applyNumberFormat="1" applyFont="1" applyAlignment="1">
      <alignment horizontal="left" vertical="center"/>
    </xf>
    <xf numFmtId="0" fontId="33" fillId="0" borderId="16" xfId="0" applyFont="1" applyBorder="1"/>
    <xf numFmtId="0" fontId="14" fillId="0" borderId="24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88" fillId="0" borderId="4" xfId="0" applyFont="1" applyBorder="1" applyAlignment="1">
      <alignment horizontal="center" vertical="center"/>
    </xf>
    <xf numFmtId="1" fontId="88" fillId="0" borderId="4" xfId="0" applyNumberFormat="1" applyFont="1" applyBorder="1" applyAlignment="1">
      <alignment horizontal="center" vertical="center"/>
    </xf>
    <xf numFmtId="0" fontId="87" fillId="0" borderId="13" xfId="1" applyBorder="1" applyAlignment="1">
      <alignment horizontal="left" wrapText="1"/>
    </xf>
    <xf numFmtId="2" fontId="12" fillId="0" borderId="4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12" fillId="0" borderId="24" xfId="0" applyNumberFormat="1" applyFont="1" applyBorder="1" applyAlignment="1">
      <alignment horizontal="center"/>
    </xf>
    <xf numFmtId="164" fontId="12" fillId="0" borderId="24" xfId="0" applyNumberFormat="1" applyFont="1" applyBorder="1" applyAlignment="1">
      <alignment horizontal="center"/>
    </xf>
    <xf numFmtId="0" fontId="12" fillId="0" borderId="8" xfId="0" applyFont="1" applyBorder="1" applyAlignment="1">
      <alignment horizontal="left" vertical="center" wrapText="1"/>
    </xf>
    <xf numFmtId="3" fontId="92" fillId="0" borderId="0" xfId="0" applyNumberFormat="1" applyFont="1"/>
    <xf numFmtId="3" fontId="88" fillId="0" borderId="4" xfId="0" applyNumberFormat="1" applyFont="1" applyBorder="1" applyAlignment="1">
      <alignment horizontal="center"/>
    </xf>
    <xf numFmtId="0" fontId="88" fillId="0" borderId="4" xfId="0" applyFont="1" applyBorder="1" applyAlignment="1">
      <alignment horizontal="center"/>
    </xf>
    <xf numFmtId="0" fontId="88" fillId="0" borderId="23" xfId="0" applyFont="1" applyBorder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9" fontId="92" fillId="0" borderId="0" xfId="3" applyFont="1"/>
    <xf numFmtId="3" fontId="14" fillId="0" borderId="0" xfId="0" applyNumberFormat="1" applyFont="1" applyAlignment="1">
      <alignment horizontal="center"/>
    </xf>
    <xf numFmtId="170" fontId="12" fillId="0" borderId="0" xfId="0" applyNumberFormat="1" applyFont="1" applyAlignment="1">
      <alignment horizontal="center"/>
    </xf>
    <xf numFmtId="9" fontId="12" fillId="0" borderId="0" xfId="3" applyFont="1" applyAlignment="1">
      <alignment horizontal="center"/>
    </xf>
    <xf numFmtId="9" fontId="12" fillId="8" borderId="1" xfId="3" applyFont="1" applyFill="1" applyBorder="1" applyAlignment="1">
      <alignment horizontal="center" vertical="center"/>
    </xf>
    <xf numFmtId="3" fontId="12" fillId="6" borderId="15" xfId="0" applyNumberFormat="1" applyFont="1" applyFill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 wrapText="1"/>
    </xf>
    <xf numFmtId="171" fontId="12" fillId="0" borderId="0" xfId="0" applyNumberFormat="1" applyFont="1" applyAlignment="1">
      <alignment horizontal="left" vertical="center"/>
    </xf>
    <xf numFmtId="166" fontId="0" fillId="0" borderId="0" xfId="0" applyNumberFormat="1"/>
    <xf numFmtId="166" fontId="12" fillId="0" borderId="0" xfId="0" applyNumberFormat="1" applyFont="1" applyAlignment="1">
      <alignment horizontal="left" vertical="center"/>
    </xf>
    <xf numFmtId="3" fontId="0" fillId="0" borderId="0" xfId="0" applyNumberFormat="1"/>
    <xf numFmtId="3" fontId="93" fillId="0" borderId="23" xfId="0" applyNumberFormat="1" applyFont="1" applyBorder="1" applyAlignment="1">
      <alignment horizontal="right" vertical="top" wrapText="1"/>
    </xf>
    <xf numFmtId="9" fontId="12" fillId="0" borderId="0" xfId="0" applyNumberFormat="1" applyFont="1" applyAlignment="1">
      <alignment horizontal="center"/>
    </xf>
    <xf numFmtId="3" fontId="0" fillId="0" borderId="23" xfId="0" applyNumberFormat="1" applyBorder="1"/>
    <xf numFmtId="10" fontId="12" fillId="0" borderId="0" xfId="0" applyNumberFormat="1" applyFont="1" applyAlignment="1">
      <alignment horizontal="center"/>
    </xf>
    <xf numFmtId="9" fontId="92" fillId="0" borderId="23" xfId="3" applyFont="1" applyBorder="1"/>
    <xf numFmtId="9" fontId="12" fillId="0" borderId="23" xfId="3" applyFont="1" applyBorder="1" applyAlignment="1">
      <alignment horizontal="right" wrapText="1"/>
    </xf>
    <xf numFmtId="9" fontId="12" fillId="0" borderId="23" xfId="3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14" borderId="23" xfId="0" applyFont="1" applyFill="1" applyBorder="1" applyAlignment="1">
      <alignment horizontal="center"/>
    </xf>
    <xf numFmtId="3" fontId="13" fillId="14" borderId="23" xfId="0" applyNumberFormat="1" applyFont="1" applyFill="1" applyBorder="1" applyAlignment="1">
      <alignment horizontal="center"/>
    </xf>
    <xf numFmtId="9" fontId="13" fillId="14" borderId="23" xfId="3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2" fillId="6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wrapText="1"/>
    </xf>
    <xf numFmtId="164" fontId="12" fillId="0" borderId="16" xfId="0" applyNumberFormat="1" applyFont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4" fontId="91" fillId="0" borderId="23" xfId="2" applyNumberFormat="1" applyBorder="1" applyAlignment="1">
      <alignment horizontal="right" vertical="center"/>
    </xf>
    <xf numFmtId="0" fontId="12" fillId="0" borderId="18" xfId="0" applyFont="1" applyBorder="1"/>
    <xf numFmtId="0" fontId="12" fillId="0" borderId="19" xfId="0" applyFont="1" applyBorder="1"/>
    <xf numFmtId="1" fontId="12" fillId="6" borderId="15" xfId="0" applyNumberFormat="1" applyFont="1" applyFill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/>
    </xf>
    <xf numFmtId="0" fontId="12" fillId="0" borderId="15" xfId="0" applyFont="1" applyBorder="1"/>
    <xf numFmtId="0" fontId="15" fillId="0" borderId="15" xfId="0" applyFont="1" applyBorder="1" applyAlignment="1">
      <alignment horizontal="left" wrapText="1"/>
    </xf>
    <xf numFmtId="1" fontId="12" fillId="6" borderId="23" xfId="0" applyNumberFormat="1" applyFont="1" applyFill="1" applyBorder="1" applyAlignment="1">
      <alignment horizontal="center" vertical="center"/>
    </xf>
    <xf numFmtId="0" fontId="12" fillId="0" borderId="23" xfId="0" applyFont="1" applyBorder="1" applyAlignment="1">
      <alignment horizontal="left"/>
    </xf>
    <xf numFmtId="0" fontId="14" fillId="11" borderId="31" xfId="0" applyFont="1" applyFill="1" applyBorder="1"/>
    <xf numFmtId="0" fontId="12" fillId="0" borderId="31" xfId="0" applyFont="1" applyBorder="1"/>
    <xf numFmtId="0" fontId="12" fillId="0" borderId="17" xfId="0" applyFont="1" applyBorder="1" applyAlignment="1">
      <alignment wrapText="1"/>
    </xf>
    <xf numFmtId="0" fontId="12" fillId="0" borderId="32" xfId="0" applyFont="1" applyBorder="1"/>
    <xf numFmtId="0" fontId="12" fillId="0" borderId="33" xfId="0" applyFont="1" applyBorder="1" applyAlignment="1">
      <alignment horizontal="right"/>
    </xf>
    <xf numFmtId="0" fontId="12" fillId="0" borderId="33" xfId="0" applyFont="1" applyBorder="1" applyAlignment="1">
      <alignment wrapText="1"/>
    </xf>
    <xf numFmtId="0" fontId="12" fillId="0" borderId="33" xfId="0" applyFont="1" applyBorder="1"/>
    <xf numFmtId="0" fontId="12" fillId="0" borderId="34" xfId="0" applyFont="1" applyBorder="1" applyAlignment="1">
      <alignment wrapText="1"/>
    </xf>
    <xf numFmtId="0" fontId="14" fillId="15" borderId="29" xfId="0" applyFont="1" applyFill="1" applyBorder="1" applyAlignment="1">
      <alignment horizontal="center"/>
    </xf>
    <xf numFmtId="0" fontId="14" fillId="15" borderId="28" xfId="0" applyFont="1" applyFill="1" applyBorder="1" applyAlignment="1">
      <alignment horizontal="center" wrapText="1"/>
    </xf>
    <xf numFmtId="0" fontId="14" fillId="15" borderId="29" xfId="0" applyFont="1" applyFill="1" applyBorder="1" applyAlignment="1">
      <alignment horizontal="center" wrapText="1"/>
    </xf>
    <xf numFmtId="0" fontId="14" fillId="15" borderId="30" xfId="0" applyFont="1" applyFill="1" applyBorder="1" applyAlignment="1">
      <alignment horizontal="center" wrapText="1"/>
    </xf>
    <xf numFmtId="0" fontId="14" fillId="15" borderId="28" xfId="0" applyFont="1" applyFill="1" applyBorder="1"/>
    <xf numFmtId="0" fontId="14" fillId="11" borderId="27" xfId="0" applyFont="1" applyFill="1" applyBorder="1"/>
    <xf numFmtId="0" fontId="0" fillId="0" borderId="23" xfId="0" applyBorder="1" applyAlignment="1">
      <alignment wrapText="1"/>
    </xf>
    <xf numFmtId="0" fontId="0" fillId="14" borderId="23" xfId="0" applyFill="1" applyBorder="1" applyAlignment="1">
      <alignment wrapText="1"/>
    </xf>
    <xf numFmtId="0" fontId="12" fillId="14" borderId="4" xfId="0" applyFont="1" applyFill="1" applyBorder="1" applyAlignment="1">
      <alignment wrapText="1"/>
    </xf>
    <xf numFmtId="0" fontId="12" fillId="0" borderId="20" xfId="0" applyFont="1" applyBorder="1" applyAlignment="1">
      <alignment horizontal="right"/>
    </xf>
    <xf numFmtId="0" fontId="95" fillId="14" borderId="23" xfId="0" applyFont="1" applyFill="1" applyBorder="1" applyAlignment="1">
      <alignment wrapText="1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wrapText="1"/>
    </xf>
    <xf numFmtId="0" fontId="0" fillId="0" borderId="23" xfId="0" applyBorder="1"/>
    <xf numFmtId="0" fontId="12" fillId="0" borderId="15" xfId="0" applyFont="1" applyBorder="1" applyAlignment="1">
      <alignment wrapText="1"/>
    </xf>
    <xf numFmtId="0" fontId="0" fillId="0" borderId="25" xfId="0" applyBorder="1" applyAlignment="1">
      <alignment wrapText="1"/>
    </xf>
    <xf numFmtId="0" fontId="94" fillId="0" borderId="23" xfId="0" applyFont="1" applyBorder="1"/>
    <xf numFmtId="0" fontId="94" fillId="0" borderId="23" xfId="0" applyFont="1" applyBorder="1" applyAlignment="1">
      <alignment wrapText="1"/>
    </xf>
    <xf numFmtId="9" fontId="0" fillId="0" borderId="0" xfId="3" applyFont="1"/>
    <xf numFmtId="0" fontId="0" fillId="0" borderId="3" xfId="0" applyBorder="1"/>
    <xf numFmtId="0" fontId="12" fillId="16" borderId="4" xfId="0" applyFont="1" applyFill="1" applyBorder="1" applyAlignment="1">
      <alignment horizontal="left" vertical="center"/>
    </xf>
    <xf numFmtId="1" fontId="94" fillId="0" borderId="0" xfId="0" applyNumberFormat="1" applyFont="1"/>
    <xf numFmtId="0" fontId="2" fillId="0" borderId="0" xfId="0" applyFont="1"/>
    <xf numFmtId="167" fontId="0" fillId="0" borderId="0" xfId="4" applyNumberFormat="1" applyFont="1"/>
    <xf numFmtId="43" fontId="0" fillId="0" borderId="0" xfId="0" applyNumberFormat="1"/>
    <xf numFmtId="0" fontId="37" fillId="0" borderId="23" xfId="0" applyFont="1" applyBorder="1" applyAlignment="1">
      <alignment horizontal="left" vertical="center"/>
    </xf>
    <xf numFmtId="2" fontId="94" fillId="0" borderId="0" xfId="0" applyNumberFormat="1" applyFont="1"/>
    <xf numFmtId="0" fontId="14" fillId="0" borderId="23" xfId="0" applyFont="1" applyBorder="1"/>
    <xf numFmtId="2" fontId="0" fillId="0" borderId="0" xfId="0" applyNumberFormat="1"/>
    <xf numFmtId="0" fontId="94" fillId="0" borderId="0" xfId="0" applyFont="1"/>
    <xf numFmtId="1" fontId="0" fillId="0" borderId="0" xfId="0" applyNumberFormat="1"/>
    <xf numFmtId="0" fontId="1" fillId="0" borderId="0" xfId="0" applyFont="1"/>
    <xf numFmtId="2" fontId="1" fillId="0" borderId="0" xfId="0" applyNumberFormat="1" applyFont="1"/>
    <xf numFmtId="9" fontId="12" fillId="0" borderId="0" xfId="3" applyFont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64" fontId="12" fillId="8" borderId="16" xfId="0" applyNumberFormat="1" applyFont="1" applyFill="1" applyBorder="1" applyAlignment="1">
      <alignment horizontal="center" vertical="center"/>
    </xf>
    <xf numFmtId="3" fontId="12" fillId="0" borderId="17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0" borderId="3" xfId="0" applyFont="1" applyBorder="1"/>
    <xf numFmtId="0" fontId="13" fillId="0" borderId="14" xfId="0" applyFont="1" applyBorder="1"/>
    <xf numFmtId="0" fontId="11" fillId="4" borderId="2" xfId="0" applyFont="1" applyFill="1" applyBorder="1" applyAlignment="1">
      <alignment horizontal="center" vertical="center"/>
    </xf>
    <xf numFmtId="0" fontId="75" fillId="4" borderId="0" xfId="0" applyFont="1" applyFill="1" applyAlignment="1">
      <alignment horizontal="center"/>
    </xf>
    <xf numFmtId="0" fontId="13" fillId="0" borderId="10" xfId="0" applyFont="1" applyBorder="1"/>
    <xf numFmtId="0" fontId="11" fillId="5" borderId="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wrapText="1"/>
    </xf>
    <xf numFmtId="9" fontId="12" fillId="0" borderId="0" xfId="3" applyFont="1" applyAlignment="1">
      <alignment horizontal="left" vertical="center"/>
    </xf>
  </cellXfs>
  <cellStyles count="5">
    <cellStyle name="Comma" xfId="4" builtinId="3"/>
    <cellStyle name="Hyperlink" xfId="1" builtinId="8"/>
    <cellStyle name="Normal" xfId="0" builtinId="0"/>
    <cellStyle name="Normal 2" xfId="2" xr:uid="{1BCD3875-66C3-4762-A236-2F735528AD56}"/>
    <cellStyle name="Percent" xfId="3" builtinId="5"/>
  </cellStyles>
  <dxfs count="0"/>
  <tableStyles count="0" defaultTableStyle="TableStyleMedium2" defaultPivotStyle="PivotStyleLight16"/>
  <colors>
    <mruColors>
      <color rgb="FFABDDA4"/>
      <color rgb="FF2B83BA"/>
      <color rgb="FFFFFFBF"/>
      <color rgb="FFD7191C"/>
      <color rgb="FFFDAE61"/>
      <color rgb="FF045A8D"/>
      <color rgb="FFBDC9E1"/>
      <color rgb="FFF1EEF6"/>
      <color rgb="FF74A9CF"/>
      <color rgb="FFFB9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8.4573444412484808E-2"/>
          <c:y val="1.4553393976080376E-2"/>
          <c:w val="0.83570771460993321"/>
          <c:h val="0.9854466060239196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B9A99"/>
              </a:solidFill>
            </c:spPr>
            <c:extLst>
              <c:ext xmlns:c16="http://schemas.microsoft.com/office/drawing/2014/chart" uri="{C3380CC4-5D6E-409C-BE32-E72D297353CC}">
                <c16:uniqueId val="{00000001-45AE-4516-BCD2-F227BFCD1A79}"/>
              </c:ext>
            </c:extLst>
          </c:dPt>
          <c:val>
            <c:numRef>
              <c:f>ETHANOL!$K$19</c:f>
              <c:numCache>
                <c:formatCode>#,##0.0</c:formatCode>
                <c:ptCount val="1"/>
                <c:pt idx="0">
                  <c:v>14.98079055256169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E-4516-BCD2-F227BFCD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3648617930356"/>
          <c:y val="3.8194444444444448E-2"/>
          <c:w val="0.86548914647520636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ethanol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B34-4C6E-9CAE-4948ADC52A4E}"/>
              </c:ext>
            </c:extLst>
          </c:dPt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ETHANOL!$B$17:$O$17</c:f>
              <c:numCache>
                <c:formatCode>#,##0.0</c:formatCode>
                <c:ptCount val="14"/>
                <c:pt idx="0">
                  <c:v>13.298</c:v>
                </c:pt>
                <c:pt idx="1">
                  <c:v>13.929</c:v>
                </c:pt>
                <c:pt idx="2">
                  <c:v>13.218</c:v>
                </c:pt>
                <c:pt idx="3">
                  <c:v>13.292999999999999</c:v>
                </c:pt>
                <c:pt idx="4">
                  <c:v>14.313000000000001</c:v>
                </c:pt>
                <c:pt idx="5">
                  <c:v>14.807</c:v>
                </c:pt>
                <c:pt idx="6">
                  <c:v>15.413</c:v>
                </c:pt>
                <c:pt idx="7">
                  <c:v>15.936</c:v>
                </c:pt>
                <c:pt idx="8">
                  <c:v>16.091000000000001</c:v>
                </c:pt>
                <c:pt idx="9">
                  <c:v>15.778</c:v>
                </c:pt>
                <c:pt idx="10">
                  <c:v>13.941000000000001</c:v>
                </c:pt>
                <c:pt idx="11">
                  <c:v>15.016</c:v>
                </c:pt>
                <c:pt idx="12">
                  <c:v>15.361000000000001</c:v>
                </c:pt>
                <c:pt idx="13" formatCode="#,##0">
                  <c:v>15.62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4-4C6E-9CAE-4948ADC52A4E}"/>
            </c:ext>
          </c:extLst>
        </c:ser>
        <c:ser>
          <c:idx val="2"/>
          <c:order val="1"/>
          <c:tx>
            <c:v>Total ethanol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ETHANOL!$B$18:$O$18</c:f>
              <c:numCache>
                <c:formatCode>#,##0.0</c:formatCode>
                <c:ptCount val="14"/>
                <c:pt idx="0">
                  <c:v>12.858000000000001</c:v>
                </c:pt>
                <c:pt idx="1">
                  <c:v>12.893000000000001</c:v>
                </c:pt>
                <c:pt idx="2">
                  <c:v>12.882</c:v>
                </c:pt>
                <c:pt idx="3">
                  <c:v>13.215999999999999</c:v>
                </c:pt>
                <c:pt idx="4">
                  <c:v>13.444000000000001</c:v>
                </c:pt>
                <c:pt idx="5">
                  <c:v>13.946999999999999</c:v>
                </c:pt>
                <c:pt idx="6">
                  <c:v>14.356</c:v>
                </c:pt>
                <c:pt idx="7">
                  <c:v>15.484999999999999</c:v>
                </c:pt>
                <c:pt idx="8">
                  <c:v>14.42</c:v>
                </c:pt>
                <c:pt idx="9">
                  <c:v>14.552</c:v>
                </c:pt>
                <c:pt idx="10">
                  <c:v>12.680999999999999</c:v>
                </c:pt>
                <c:pt idx="11">
                  <c:v>13.944000000000001</c:v>
                </c:pt>
                <c:pt idx="12">
                  <c:v>14.023</c:v>
                </c:pt>
                <c:pt idx="13" formatCode="#,##0">
                  <c:v>14.249000000000001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34-4C6E-9CAE-4948ADC5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16.5"/>
          <c:min val="1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3.5681331688812808E-4"/>
              <c:y val="0.34722830697474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94369277705458"/>
          <c:y val="5.1881944281874717E-2"/>
          <c:w val="0.42604486939132608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6319148713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ethanol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ETHANOL!$B$22:$O$22</c:f>
              <c:numCache>
                <c:formatCode>#,##0.0</c:formatCode>
                <c:ptCount val="14"/>
                <c:pt idx="0">
                  <c:v>0.39849599999999996</c:v>
                </c:pt>
                <c:pt idx="1">
                  <c:v>1.1951939999999999</c:v>
                </c:pt>
                <c:pt idx="2">
                  <c:v>0.74155199999999999</c:v>
                </c:pt>
                <c:pt idx="3">
                  <c:v>0.618954</c:v>
                </c:pt>
                <c:pt idx="4">
                  <c:v>0.84625800000000007</c:v>
                </c:pt>
                <c:pt idx="5">
                  <c:v>0.83206199999999997</c:v>
                </c:pt>
                <c:pt idx="6">
                  <c:v>1.170288</c:v>
                </c:pt>
                <c:pt idx="7">
                  <c:v>1.389864</c:v>
                </c:pt>
                <c:pt idx="8">
                  <c:v>1.709568</c:v>
                </c:pt>
                <c:pt idx="9">
                  <c:v>1.4666400000000002</c:v>
                </c:pt>
                <c:pt idx="10">
                  <c:v>1.317204</c:v>
                </c:pt>
                <c:pt idx="11">
                  <c:v>1.2424440000000001</c:v>
                </c:pt>
                <c:pt idx="12">
                  <c:v>1.3135920000000001</c:v>
                </c:pt>
                <c:pt idx="13" formatCode="0.0">
                  <c:v>1.43346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3-44F2-88B7-63B1A61501ED}"/>
            </c:ext>
          </c:extLst>
        </c:ser>
        <c:ser>
          <c:idx val="2"/>
          <c:order val="1"/>
          <c:tx>
            <c:v>Imports of ethanol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ETHANOL!$B$21:$O$21</c:f>
              <c:numCache>
                <c:formatCode>#,##0.0</c:formatCode>
                <c:ptCount val="14"/>
                <c:pt idx="0">
                  <c:v>1.5665999999999999E-2</c:v>
                </c:pt>
                <c:pt idx="1">
                  <c:v>0.17186400000000002</c:v>
                </c:pt>
                <c:pt idx="2">
                  <c:v>0.49413000000000001</c:v>
                </c:pt>
                <c:pt idx="3">
                  <c:v>0.37699199999999999</c:v>
                </c:pt>
                <c:pt idx="4">
                  <c:v>7.4676000000000006E-2</c:v>
                </c:pt>
                <c:pt idx="5">
                  <c:v>9.1518000000000002E-2</c:v>
                </c:pt>
                <c:pt idx="6">
                  <c:v>3.6204E-2</c:v>
                </c:pt>
                <c:pt idx="7">
                  <c:v>7.6607999999999996E-2</c:v>
                </c:pt>
                <c:pt idx="8">
                  <c:v>5.4348E-2</c:v>
                </c:pt>
                <c:pt idx="9">
                  <c:v>0.195048</c:v>
                </c:pt>
                <c:pt idx="10">
                  <c:v>0.15414</c:v>
                </c:pt>
                <c:pt idx="11">
                  <c:v>6.0774000000000002E-2</c:v>
                </c:pt>
                <c:pt idx="12">
                  <c:v>6.9089999999999999E-2</c:v>
                </c:pt>
                <c:pt idx="13" formatCode="0.0">
                  <c:v>2.7258000000000001E-2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3-44F2-88B7-63B1A615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45409581921042E-2"/>
          <c:y val="4.8611227232342423E-2"/>
          <c:w val="0.49392671734855242"/>
          <c:h val="6.039316605187442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419821857417585E-2"/>
          <c:y val="3.111556645051396E-2"/>
          <c:w val="0.87720006319148713"/>
          <c:h val="0.87947315179352581"/>
        </c:manualLayout>
      </c:layout>
      <c:barChart>
        <c:barDir val="col"/>
        <c:grouping val="stacked"/>
        <c:varyColors val="0"/>
        <c:ser>
          <c:idx val="1"/>
          <c:order val="0"/>
          <c:tx>
            <c:v>Exports of ethanol</c:v>
          </c:tx>
          <c:spPr>
            <a:solidFill>
              <a:srgbClr val="3182BD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ETHANOL!$B$91:$O$91</c:f>
              <c:numCache>
                <c:formatCode>#,##0.0</c:formatCode>
                <c:ptCount val="14"/>
                <c:pt idx="0">
                  <c:v>0.39849599999999996</c:v>
                </c:pt>
                <c:pt idx="1">
                  <c:v>1.1951939999999999</c:v>
                </c:pt>
                <c:pt idx="2">
                  <c:v>0.74155199999999999</c:v>
                </c:pt>
                <c:pt idx="3">
                  <c:v>0.618954</c:v>
                </c:pt>
                <c:pt idx="4">
                  <c:v>0.84625800000000007</c:v>
                </c:pt>
                <c:pt idx="5">
                  <c:v>0.83206199999999997</c:v>
                </c:pt>
                <c:pt idx="6">
                  <c:v>1.170288</c:v>
                </c:pt>
                <c:pt idx="7">
                  <c:v>1.389864</c:v>
                </c:pt>
                <c:pt idx="8">
                  <c:v>1.709568</c:v>
                </c:pt>
                <c:pt idx="9">
                  <c:v>1.4666400000000002</c:v>
                </c:pt>
                <c:pt idx="10">
                  <c:v>1.317204</c:v>
                </c:pt>
                <c:pt idx="11">
                  <c:v>1.2424440000000001</c:v>
                </c:pt>
                <c:pt idx="12">
                  <c:v>1.3135920000000001</c:v>
                </c:pt>
                <c:pt idx="13" formatCode="0.0">
                  <c:v>1.43346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A-4428-9212-0F250860290D}"/>
            </c:ext>
          </c:extLst>
        </c:ser>
        <c:ser>
          <c:idx val="2"/>
          <c:order val="1"/>
          <c:tx>
            <c:v>Imports of ethanol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ETHANOL!$B$92:$O$92</c:f>
              <c:numCache>
                <c:formatCode>#,##0.0</c:formatCode>
                <c:ptCount val="14"/>
                <c:pt idx="0">
                  <c:v>-1.5665999999999999E-2</c:v>
                </c:pt>
                <c:pt idx="1">
                  <c:v>-0.17186400000000002</c:v>
                </c:pt>
                <c:pt idx="2">
                  <c:v>-0.49413000000000001</c:v>
                </c:pt>
                <c:pt idx="3">
                  <c:v>-0.37699199999999999</c:v>
                </c:pt>
                <c:pt idx="4">
                  <c:v>-7.4676000000000006E-2</c:v>
                </c:pt>
                <c:pt idx="5">
                  <c:v>-9.1518000000000002E-2</c:v>
                </c:pt>
                <c:pt idx="6">
                  <c:v>-3.6204E-2</c:v>
                </c:pt>
                <c:pt idx="7">
                  <c:v>-7.6607999999999996E-2</c:v>
                </c:pt>
                <c:pt idx="8">
                  <c:v>-5.4348E-2</c:v>
                </c:pt>
                <c:pt idx="9">
                  <c:v>-0.195048</c:v>
                </c:pt>
                <c:pt idx="10">
                  <c:v>-0.15414</c:v>
                </c:pt>
                <c:pt idx="11">
                  <c:v>-6.0774000000000002E-2</c:v>
                </c:pt>
                <c:pt idx="12">
                  <c:v>-6.9089999999999999E-2</c:v>
                </c:pt>
                <c:pt idx="13">
                  <c:v>-2.7258000000000001E-2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A-4428-9212-0F250860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lineChart>
        <c:grouping val="standard"/>
        <c:varyColors val="0"/>
        <c:ser>
          <c:idx val="0"/>
          <c:order val="2"/>
          <c:tx>
            <c:v>Net Exports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ETHANOL!$B$16:$O$16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ETHANOL!$B$93:$O$93</c:f>
              <c:numCache>
                <c:formatCode>#,##0.0</c:formatCode>
                <c:ptCount val="14"/>
                <c:pt idx="0">
                  <c:v>0.38282999999999995</c:v>
                </c:pt>
                <c:pt idx="1">
                  <c:v>1.0233299999999999</c:v>
                </c:pt>
                <c:pt idx="2">
                  <c:v>0.24742199999999998</c:v>
                </c:pt>
                <c:pt idx="3">
                  <c:v>0.24196200000000001</c:v>
                </c:pt>
                <c:pt idx="4">
                  <c:v>0.7715820000000001</c:v>
                </c:pt>
                <c:pt idx="5">
                  <c:v>0.74054399999999998</c:v>
                </c:pt>
                <c:pt idx="6">
                  <c:v>1.1340840000000001</c:v>
                </c:pt>
                <c:pt idx="7">
                  <c:v>1.313256</c:v>
                </c:pt>
                <c:pt idx="8">
                  <c:v>1.6552199999999999</c:v>
                </c:pt>
                <c:pt idx="9">
                  <c:v>1.2715920000000001</c:v>
                </c:pt>
                <c:pt idx="10">
                  <c:v>1.1630640000000001</c:v>
                </c:pt>
                <c:pt idx="11">
                  <c:v>1.18167</c:v>
                </c:pt>
                <c:pt idx="12">
                  <c:v>1.244502</c:v>
                </c:pt>
                <c:pt idx="13">
                  <c:v>1.406202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AA-4428-9212-0F250860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At val="0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406381940927746"/>
          <c:y val="4.5071852102054395E-2"/>
          <c:w val="0.62904013023608396"/>
          <c:h val="6.039316605187442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BIOBUTANOL!$E$3:$O$3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BIOBUTANOL!$E$4:$O$4</c:f>
              <c:numCache>
                <c:formatCode>#,##0</c:formatCode>
                <c:ptCount val="11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#,##0.00">
                  <c:v>0.44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D-4E9E-B1A1-20BA17A13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Thousand gallons</a:t>
                </a:r>
              </a:p>
            </c:rich>
          </c:tx>
          <c:layout>
            <c:manualLayout>
              <c:xMode val="edge"/>
              <c:yMode val="edge"/>
              <c:x val="1.8074891974393572E-2"/>
              <c:y val="0.317658768699915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3749531306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biodiesel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BIODIESEL!$B$10:$O$10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BIODIESEL!$B$11:$O$11</c:f>
              <c:numCache>
                <c:formatCode>0.0</c:formatCode>
                <c:ptCount val="14"/>
                <c:pt idx="0">
                  <c:v>0.34350000000000003</c:v>
                </c:pt>
                <c:pt idx="1">
                  <c:v>0.96750000000000003</c:v>
                </c:pt>
                <c:pt idx="2">
                  <c:v>0.96960000000000002</c:v>
                </c:pt>
                <c:pt idx="3">
                  <c:v>1.3580000000000001</c:v>
                </c:pt>
                <c:pt idx="4">
                  <c:v>1.268</c:v>
                </c:pt>
                <c:pt idx="5">
                  <c:v>1.266</c:v>
                </c:pt>
                <c:pt idx="6">
                  <c:v>1.569</c:v>
                </c:pt>
                <c:pt idx="7">
                  <c:v>1.5960000000000001</c:v>
                </c:pt>
                <c:pt idx="8">
                  <c:v>1.857</c:v>
                </c:pt>
                <c:pt idx="9">
                  <c:v>1.7250000000000001</c:v>
                </c:pt>
                <c:pt idx="10">
                  <c:v>1.8149999999999999</c:v>
                </c:pt>
                <c:pt idx="11">
                  <c:v>1.7090000000000001</c:v>
                </c:pt>
                <c:pt idx="12">
                  <c:v>1.6220000000000001</c:v>
                </c:pt>
                <c:pt idx="13">
                  <c:v>1.6990000000000001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F-4763-A42A-5AADF386FE7B}"/>
            </c:ext>
          </c:extLst>
        </c:ser>
        <c:ser>
          <c:idx val="2"/>
          <c:order val="1"/>
          <c:tx>
            <c:v>Total biodiesel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BIODIESEL!$B$10:$O$10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BIODIESEL!$B$12:$O$12</c:f>
              <c:numCache>
                <c:formatCode>0.0</c:formatCode>
                <c:ptCount val="14"/>
                <c:pt idx="0">
                  <c:v>0.25863034148161967</c:v>
                </c:pt>
                <c:pt idx="1">
                  <c:v>0.88561298749766748</c:v>
                </c:pt>
                <c:pt idx="2">
                  <c:v>0.90128755364806867</c:v>
                </c:pt>
                <c:pt idx="3">
                  <c:v>1.4263855196865085</c:v>
                </c:pt>
                <c:pt idx="4">
                  <c:v>1.4185508836553156</c:v>
                </c:pt>
                <c:pt idx="5">
                  <c:v>1.496923860652847</c:v>
                </c:pt>
                <c:pt idx="6">
                  <c:v>2.0847211881343313</c:v>
                </c:pt>
                <c:pt idx="7">
                  <c:v>1.9828363180375406</c:v>
                </c:pt>
                <c:pt idx="8">
                  <c:v>1.9044633410400094</c:v>
                </c:pt>
                <c:pt idx="9">
                  <c:v>1.8129999999999999</c:v>
                </c:pt>
                <c:pt idx="10">
                  <c:v>1.8759999999999999</c:v>
                </c:pt>
                <c:pt idx="11">
                  <c:v>1.71</c:v>
                </c:pt>
                <c:pt idx="12">
                  <c:v>1.6579999999999999</c:v>
                </c:pt>
                <c:pt idx="13">
                  <c:v>1.9390000000000001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1F-4763-A42A-5AADF386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084208223972"/>
          <c:y val="5.2083333333333336E-2"/>
          <c:w val="0.42604486939132608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6319148713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biodiesel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BIODIESEL!$B$10:$O$10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BIODIESEL!$B$14:$O$14</c:f>
              <c:numCache>
                <c:formatCode>0.0</c:formatCode>
                <c:ptCount val="14"/>
                <c:pt idx="0">
                  <c:v>108.696</c:v>
                </c:pt>
                <c:pt idx="1">
                  <c:v>75.558000000000007</c:v>
                </c:pt>
                <c:pt idx="2">
                  <c:v>128.352</c:v>
                </c:pt>
                <c:pt idx="3">
                  <c:v>196.35</c:v>
                </c:pt>
                <c:pt idx="4">
                  <c:v>82.908000000000001</c:v>
                </c:pt>
                <c:pt idx="5">
                  <c:v>87.822000000000003</c:v>
                </c:pt>
                <c:pt idx="6">
                  <c:v>88.116</c:v>
                </c:pt>
                <c:pt idx="7">
                  <c:v>93.156000000000006</c:v>
                </c:pt>
                <c:pt idx="8">
                  <c:v>103.74</c:v>
                </c:pt>
                <c:pt idx="9">
                  <c:v>114.66</c:v>
                </c:pt>
                <c:pt idx="10">
                  <c:v>145.23599999999999</c:v>
                </c:pt>
                <c:pt idx="11">
                  <c:v>186.98400000000001</c:v>
                </c:pt>
                <c:pt idx="12">
                  <c:v>238.18200000000002</c:v>
                </c:pt>
                <c:pt idx="13">
                  <c:v>251.16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B-47FE-BDDA-5B6C1E017D02}"/>
            </c:ext>
          </c:extLst>
        </c:ser>
        <c:ser>
          <c:idx val="2"/>
          <c:order val="1"/>
          <c:tx>
            <c:v>Imports of biodiesel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BIODIESEL!$B$10:$O$10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BIODIESEL!$B$13:$O$13</c:f>
              <c:numCache>
                <c:formatCode>0.0</c:formatCode>
                <c:ptCount val="14"/>
                <c:pt idx="0">
                  <c:v>23.687999999999999</c:v>
                </c:pt>
                <c:pt idx="1">
                  <c:v>37.380000000000003</c:v>
                </c:pt>
                <c:pt idx="2">
                  <c:v>35.826000000000001</c:v>
                </c:pt>
                <c:pt idx="3">
                  <c:v>342.38400000000001</c:v>
                </c:pt>
                <c:pt idx="4">
                  <c:v>192.27600000000001</c:v>
                </c:pt>
                <c:pt idx="5">
                  <c:v>352.75799999999998</c:v>
                </c:pt>
                <c:pt idx="6">
                  <c:v>708.91800000000001</c:v>
                </c:pt>
                <c:pt idx="7">
                  <c:v>393.70800000000003</c:v>
                </c:pt>
                <c:pt idx="8">
                  <c:v>166.69800000000001</c:v>
                </c:pt>
                <c:pt idx="9">
                  <c:v>171.27600000000001</c:v>
                </c:pt>
                <c:pt idx="10">
                  <c:v>196.72799999999998</c:v>
                </c:pt>
                <c:pt idx="11">
                  <c:v>210.21</c:v>
                </c:pt>
                <c:pt idx="12">
                  <c:v>249.9</c:v>
                </c:pt>
                <c:pt idx="13">
                  <c:v>501.01799999999997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9B-47FE-BDDA-5B6C1E017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Million gallons</a:t>
                </a:r>
              </a:p>
            </c:rich>
          </c:tx>
          <c:layout>
            <c:manualLayout>
              <c:xMode val="edge"/>
              <c:yMode val="edge"/>
              <c:x val="4.3024146327286352E-3"/>
              <c:y val="0.36138588145231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00065913625495E-2"/>
          <c:y val="5.9027777777777776E-2"/>
          <c:w val="0.26136232970878642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22940787499309"/>
          <c:y val="3.8194444444444448E-2"/>
          <c:w val="0.87720003749531306"/>
          <c:h val="0.87947315179352581"/>
        </c:manualLayout>
      </c:layout>
      <c:barChart>
        <c:barDir val="col"/>
        <c:grouping val="clustered"/>
        <c:varyColors val="0"/>
        <c:ser>
          <c:idx val="1"/>
          <c:order val="0"/>
          <c:tx>
            <c:v>Biodiesel production capacity</c:v>
          </c:tx>
          <c:spPr>
            <a:solidFill>
              <a:srgbClr val="3182BD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BIODIESEL!$K$3:$O$3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BIODIESEL!$K$8:$O$8</c:f>
              <c:numCache>
                <c:formatCode>0.0</c:formatCode>
                <c:ptCount val="5"/>
                <c:pt idx="0">
                  <c:v>2.5630000000000002</c:v>
                </c:pt>
                <c:pt idx="1">
                  <c:v>2.5139999999999998</c:v>
                </c:pt>
                <c:pt idx="2">
                  <c:v>2.4089999999999998</c:v>
                </c:pt>
                <c:pt idx="3">
                  <c:v>2.2549999999999999</c:v>
                </c:pt>
                <c:pt idx="4">
                  <c:v>2.0859999999999999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F-43C4-BC98-1EB3A0F5BC4C}"/>
            </c:ext>
          </c:extLst>
        </c:ser>
        <c:ser>
          <c:idx val="2"/>
          <c:order val="1"/>
          <c:tx>
            <c:v>Renewable diesel production capacity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BIODIESEL!$K$3:$O$3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'RENEWABLE DIESEL'!$K$6:$O$6</c:f>
              <c:numCache>
                <c:formatCode>General</c:formatCode>
                <c:ptCount val="5"/>
                <c:pt idx="2" formatCode="0.0">
                  <c:v>0.79100000000000004</c:v>
                </c:pt>
                <c:pt idx="3" formatCode="0.0">
                  <c:v>1.75</c:v>
                </c:pt>
                <c:pt idx="4" formatCode="0.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F-43C4-BC98-1EB3A0F5B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 gallons</a:t>
                </a:r>
              </a:p>
            </c:rich>
          </c:tx>
          <c:layout>
            <c:manualLayout>
              <c:xMode val="edge"/>
              <c:yMode val="edge"/>
              <c:x val="2.2159573803274591E-2"/>
              <c:y val="0.340552548118985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38937320334958"/>
          <c:y val="6.25E-2"/>
          <c:w val="0.72610704911886015"/>
          <c:h val="5.9247320647419076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8225148033269"/>
          <c:y val="3.5234791332352307E-2"/>
          <c:w val="0.85725534848351226"/>
          <c:h val="0.87769393562076492"/>
        </c:manualLayout>
      </c:layout>
      <c:barChart>
        <c:barDir val="col"/>
        <c:grouping val="stacked"/>
        <c:varyColors val="0"/>
        <c:ser>
          <c:idx val="0"/>
          <c:order val="0"/>
          <c:tx>
            <c:v>Tallow</c:v>
          </c:tx>
          <c:spPr>
            <a:solidFill>
              <a:srgbClr val="A6CEE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FATS!$D$3:$P$3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FATS!$D$6:$P$6</c:f>
              <c:numCache>
                <c:formatCode>0</c:formatCode>
                <c:ptCount val="13"/>
                <c:pt idx="0">
                  <c:v>2646.2</c:v>
                </c:pt>
                <c:pt idx="1">
                  <c:v>2608.6999999999998</c:v>
                </c:pt>
                <c:pt idx="2">
                  <c:v>2589.3000000000002</c:v>
                </c:pt>
                <c:pt idx="3">
                  <c:v>2441.4</c:v>
                </c:pt>
                <c:pt idx="4">
                  <c:v>2385.6999999999998</c:v>
                </c:pt>
                <c:pt idx="5">
                  <c:v>2559.5</c:v>
                </c:pt>
                <c:pt idx="6">
                  <c:v>2594.9</c:v>
                </c:pt>
                <c:pt idx="7">
                  <c:v>2770.8</c:v>
                </c:pt>
                <c:pt idx="8">
                  <c:v>2767.4</c:v>
                </c:pt>
                <c:pt idx="9">
                  <c:v>2601.9</c:v>
                </c:pt>
                <c:pt idx="10">
                  <c:v>2860.8</c:v>
                </c:pt>
                <c:pt idx="11">
                  <c:v>2834.2</c:v>
                </c:pt>
                <c:pt idx="12">
                  <c:v>2793.1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1-4041-B5BF-7021B385760F}"/>
            </c:ext>
          </c:extLst>
        </c:ser>
        <c:ser>
          <c:idx val="1"/>
          <c:order val="1"/>
          <c:tx>
            <c:v>Poultry Fat</c:v>
          </c:tx>
          <c:spPr>
            <a:solidFill>
              <a:srgbClr val="FB9A99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FATS!$D$3:$P$3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FATS!$D$5:$P$5</c:f>
              <c:numCache>
                <c:formatCode>0</c:formatCode>
                <c:ptCount val="13"/>
                <c:pt idx="0">
                  <c:v>1004.9</c:v>
                </c:pt>
                <c:pt idx="1">
                  <c:v>1025.2</c:v>
                </c:pt>
                <c:pt idx="2">
                  <c:v>1040.2</c:v>
                </c:pt>
                <c:pt idx="3">
                  <c:v>1056.5</c:v>
                </c:pt>
                <c:pt idx="4">
                  <c:v>1088.8</c:v>
                </c:pt>
                <c:pt idx="5">
                  <c:v>1113.3</c:v>
                </c:pt>
                <c:pt idx="6">
                  <c:v>1095.3</c:v>
                </c:pt>
                <c:pt idx="7">
                  <c:v>1025.5999999999999</c:v>
                </c:pt>
                <c:pt idx="8">
                  <c:v>1133.9000000000001</c:v>
                </c:pt>
                <c:pt idx="9">
                  <c:v>1146.5</c:v>
                </c:pt>
                <c:pt idx="10">
                  <c:v>957.1</c:v>
                </c:pt>
                <c:pt idx="11">
                  <c:v>918</c:v>
                </c:pt>
                <c:pt idx="12">
                  <c:v>1039.5999999999999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1-4041-B5BF-7021B385760F}"/>
            </c:ext>
          </c:extLst>
        </c:ser>
        <c:ser>
          <c:idx val="2"/>
          <c:order val="2"/>
          <c:tx>
            <c:v>White Grease</c:v>
          </c:tx>
          <c:spPr>
            <a:solidFill>
              <a:srgbClr val="B2DF8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FATS!$D$3:$P$3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FATS!$D$7:$P$7</c:f>
              <c:numCache>
                <c:formatCode>0</c:formatCode>
                <c:ptCount val="13"/>
                <c:pt idx="0">
                  <c:v>721.5</c:v>
                </c:pt>
                <c:pt idx="1">
                  <c:v>720</c:v>
                </c:pt>
                <c:pt idx="2">
                  <c:v>718</c:v>
                </c:pt>
                <c:pt idx="3">
                  <c:v>707.3</c:v>
                </c:pt>
                <c:pt idx="4">
                  <c:v>758.7</c:v>
                </c:pt>
                <c:pt idx="5">
                  <c:v>787.6</c:v>
                </c:pt>
                <c:pt idx="6">
                  <c:v>750.5</c:v>
                </c:pt>
                <c:pt idx="7">
                  <c:v>736.8</c:v>
                </c:pt>
                <c:pt idx="8">
                  <c:v>768.9</c:v>
                </c:pt>
                <c:pt idx="9">
                  <c:v>734.2</c:v>
                </c:pt>
                <c:pt idx="10">
                  <c:v>697.6</c:v>
                </c:pt>
                <c:pt idx="11">
                  <c:v>745.9</c:v>
                </c:pt>
                <c:pt idx="12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1-4041-B5BF-7021B385760F}"/>
            </c:ext>
          </c:extLst>
        </c:ser>
        <c:ser>
          <c:idx val="4"/>
          <c:order val="3"/>
          <c:tx>
            <c:v>Other fats</c:v>
          </c:tx>
          <c:spPr>
            <a:solidFill>
              <a:srgbClr val="CAB2D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12"/>
              <c:layout>
                <c:manualLayout>
                  <c:x val="1.9929215193781125E-3"/>
                  <c:y val="-3.52347913323523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03-4D06-90CF-82DBF2DBCD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FATS!$D$3:$P$3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FATS!$D$9:$P$9</c:f>
              <c:numCache>
                <c:formatCode>0</c:formatCode>
                <c:ptCount val="13"/>
                <c:pt idx="0">
                  <c:v>345.2</c:v>
                </c:pt>
                <c:pt idx="1">
                  <c:v>348.6</c:v>
                </c:pt>
                <c:pt idx="2">
                  <c:v>346.7</c:v>
                </c:pt>
                <c:pt idx="3">
                  <c:v>333.9</c:v>
                </c:pt>
                <c:pt idx="4">
                  <c:v>341.7</c:v>
                </c:pt>
                <c:pt idx="5">
                  <c:v>336</c:v>
                </c:pt>
                <c:pt idx="6">
                  <c:v>369.2</c:v>
                </c:pt>
                <c:pt idx="7">
                  <c:v>285.89999999999998</c:v>
                </c:pt>
                <c:pt idx="8">
                  <c:v>209.4</c:v>
                </c:pt>
                <c:pt idx="9">
                  <c:v>207.2</c:v>
                </c:pt>
                <c:pt idx="10">
                  <c:v>229.2</c:v>
                </c:pt>
                <c:pt idx="11">
                  <c:v>175.6</c:v>
                </c:pt>
                <c:pt idx="12">
                  <c:v>135.19999999999999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1-4041-B5BF-7021B38576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Thousand metric tons</a:t>
                </a:r>
              </a:p>
            </c:rich>
          </c:tx>
          <c:layout>
            <c:manualLayout>
              <c:xMode val="edge"/>
              <c:yMode val="edge"/>
              <c:x val="1.5872933633710156E-2"/>
              <c:y val="0.33683547166747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172353455818023"/>
          <c:y val="5.9482447506561682E-2"/>
          <c:w val="0.5271662917135358"/>
          <c:h val="5.8453383195599791E-2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752328028945124E-2"/>
          <c:y val="3.8194444444444448E-2"/>
          <c:w val="0.86727942330967644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Exports of animal fats and recycled greases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FATS!$E$23:$P$23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FATS!$E$28:$P$28</c:f>
              <c:numCache>
                <c:formatCode>0</c:formatCode>
                <c:ptCount val="12"/>
                <c:pt idx="0">
                  <c:v>1054.9000000000001</c:v>
                </c:pt>
                <c:pt idx="1">
                  <c:v>859.19999999999993</c:v>
                </c:pt>
                <c:pt idx="2">
                  <c:v>816.8</c:v>
                </c:pt>
                <c:pt idx="3">
                  <c:v>697.3</c:v>
                </c:pt>
                <c:pt idx="4">
                  <c:v>723.8</c:v>
                </c:pt>
                <c:pt idx="5">
                  <c:v>736.6</c:v>
                </c:pt>
                <c:pt idx="6">
                  <c:v>838.09999999999991</c:v>
                </c:pt>
                <c:pt idx="7">
                  <c:v>906</c:v>
                </c:pt>
                <c:pt idx="8">
                  <c:v>1103.0999999999999</c:v>
                </c:pt>
                <c:pt idx="9">
                  <c:v>1047.0999999999999</c:v>
                </c:pt>
                <c:pt idx="10">
                  <c:v>748.2</c:v>
                </c:pt>
                <c:pt idx="11">
                  <c:v>365.80700000000002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C-4EF0-8E64-6D297D79BD44}"/>
            </c:ext>
          </c:extLst>
        </c:ser>
        <c:ser>
          <c:idx val="2"/>
          <c:order val="1"/>
          <c:tx>
            <c:v>Imports of animal fats and recycled greases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FATS!$E$23:$P$23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FATS!$E$34:$P$34</c:f>
              <c:numCache>
                <c:formatCode>0</c:formatCode>
                <c:ptCount val="12"/>
                <c:pt idx="0">
                  <c:v>96.9</c:v>
                </c:pt>
                <c:pt idx="1">
                  <c:v>102.30000000000001</c:v>
                </c:pt>
                <c:pt idx="2">
                  <c:v>105</c:v>
                </c:pt>
                <c:pt idx="3">
                  <c:v>127.20000000000002</c:v>
                </c:pt>
                <c:pt idx="4">
                  <c:v>136.5</c:v>
                </c:pt>
                <c:pt idx="5">
                  <c:v>185</c:v>
                </c:pt>
                <c:pt idx="6">
                  <c:v>243.69000000000003</c:v>
                </c:pt>
                <c:pt idx="7">
                  <c:v>310.7</c:v>
                </c:pt>
                <c:pt idx="8">
                  <c:v>351.2</c:v>
                </c:pt>
                <c:pt idx="9">
                  <c:v>509.40000000000003</c:v>
                </c:pt>
                <c:pt idx="10">
                  <c:v>1023.2</c:v>
                </c:pt>
                <c:pt idx="11">
                  <c:v>2274.3999999999996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7C-4EF0-8E64-6D297D79B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Thousand metric tons</a:t>
                </a:r>
              </a:p>
            </c:rich>
          </c:tx>
          <c:layout>
            <c:manualLayout>
              <c:xMode val="edge"/>
              <c:yMode val="edge"/>
              <c:x val="3.3417692566914696E-4"/>
              <c:y val="0.32319143700787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000482595850113"/>
          <c:y val="5.9027777777777776E-2"/>
          <c:w val="0.47564796968379425"/>
          <c:h val="9.2662741731082729E-2"/>
        </c:manualLayout>
      </c:layout>
      <c:overlay val="1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9410073740784"/>
          <c:y val="3.8194444444444448E-2"/>
          <c:w val="0.86383764529433815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renewable diesel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'RENEWABLE DIESEL'!$B$9:$O$9</c:f>
              <c:numCache>
                <c:formatCode>0</c:formatCode>
                <c:ptCount val="14"/>
                <c:pt idx="0">
                  <c:v>8.7765930000000001</c:v>
                </c:pt>
                <c:pt idx="1">
                  <c:v>62.041289999999996</c:v>
                </c:pt>
                <c:pt idx="2">
                  <c:v>52.401102000000002</c:v>
                </c:pt>
                <c:pt idx="3">
                  <c:v>113.285858</c:v>
                </c:pt>
                <c:pt idx="4">
                  <c:v>159.14120600000001</c:v>
                </c:pt>
                <c:pt idx="5">
                  <c:v>176.84761599999999</c:v>
                </c:pt>
                <c:pt idx="6">
                  <c:v>241.487435</c:v>
                </c:pt>
                <c:pt idx="7">
                  <c:v>258.34212500000001</c:v>
                </c:pt>
                <c:pt idx="8">
                  <c:v>305.48444699999999</c:v>
                </c:pt>
                <c:pt idx="9">
                  <c:v>492.00795799999997</c:v>
                </c:pt>
                <c:pt idx="10">
                  <c:v>534</c:v>
                </c:pt>
                <c:pt idx="11">
                  <c:v>861</c:v>
                </c:pt>
                <c:pt idx="12">
                  <c:v>1499</c:v>
                </c:pt>
                <c:pt idx="13">
                  <c:v>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C-4A64-921C-57E91F953228}"/>
            </c:ext>
          </c:extLst>
        </c:ser>
        <c:ser>
          <c:idx val="2"/>
          <c:order val="1"/>
          <c:tx>
            <c:v>Total renewable diesel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'RENEWABLE DIESEL'!$B$10:$O$10</c:f>
              <c:numCache>
                <c:formatCode>0</c:formatCode>
                <c:ptCount val="14"/>
                <c:pt idx="0">
                  <c:v>8.7765930000000001</c:v>
                </c:pt>
                <c:pt idx="1">
                  <c:v>62.041289999999996</c:v>
                </c:pt>
                <c:pt idx="2">
                  <c:v>102.674024</c:v>
                </c:pt>
                <c:pt idx="3">
                  <c:v>416.68540000000002</c:v>
                </c:pt>
                <c:pt idx="4">
                  <c:v>487.892696</c:v>
                </c:pt>
                <c:pt idx="5">
                  <c:v>513.14457400000003</c:v>
                </c:pt>
                <c:pt idx="6">
                  <c:v>591.17347099999995</c:v>
                </c:pt>
                <c:pt idx="7">
                  <c:v>602.72382000000005</c:v>
                </c:pt>
                <c:pt idx="8">
                  <c:v>615.33108400000003</c:v>
                </c:pt>
                <c:pt idx="9">
                  <c:v>912.38458300000002</c:v>
                </c:pt>
                <c:pt idx="10">
                  <c:v>966</c:v>
                </c:pt>
                <c:pt idx="11">
                  <c:v>1209</c:v>
                </c:pt>
                <c:pt idx="12">
                  <c:v>1718</c:v>
                </c:pt>
                <c:pt idx="13">
                  <c:v>2868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C-4A64-921C-57E91F953228}"/>
            </c:ext>
          </c:extLst>
        </c:ser>
        <c:ser>
          <c:idx val="0"/>
          <c:order val="2"/>
          <c:tx>
            <c:v>Total renewable diesel import in the U.S.</c:v>
          </c:tx>
          <c:spPr>
            <a:ln w="28575" cap="rnd">
              <a:solidFill>
                <a:srgbClr val="FDBF6F"/>
              </a:solidFill>
              <a:round/>
            </a:ln>
            <a:effectLst/>
          </c:spPr>
          <c:marker>
            <c:symbol val="none"/>
          </c:marker>
          <c:cat>
            <c:numRef>
              <c:f>'RENEWABLE DIESEL'!$B$3:$O$3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'RENEWABLE DIESEL'!$B$12:$O$12</c:f>
              <c:numCache>
                <c:formatCode>General</c:formatCode>
                <c:ptCount val="14"/>
                <c:pt idx="2" formatCode="0">
                  <c:v>25.41</c:v>
                </c:pt>
                <c:pt idx="3" formatCode="0">
                  <c:v>206.68199999999999</c:v>
                </c:pt>
                <c:pt idx="4" formatCode="0">
                  <c:v>120.666</c:v>
                </c:pt>
                <c:pt idx="5" formatCode="0">
                  <c:v>204.708</c:v>
                </c:pt>
                <c:pt idx="6" formatCode="0">
                  <c:v>222.768</c:v>
                </c:pt>
                <c:pt idx="7" formatCode="0">
                  <c:v>189.37799999999999</c:v>
                </c:pt>
                <c:pt idx="8" formatCode="0">
                  <c:v>173.208</c:v>
                </c:pt>
                <c:pt idx="9" formatCode="0">
                  <c:v>258.00599999999997</c:v>
                </c:pt>
                <c:pt idx="10" formatCode="0">
                  <c:v>279.63600000000002</c:v>
                </c:pt>
                <c:pt idx="11" formatCode="0">
                  <c:v>392.28</c:v>
                </c:pt>
                <c:pt idx="12" formatCode="0">
                  <c:v>262.66800000000001</c:v>
                </c:pt>
                <c:pt idx="13" formatCode="0">
                  <c:v>362.12400000000002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C-4A64-921C-57E91F953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gallons</a:t>
                </a:r>
              </a:p>
            </c:rich>
          </c:tx>
          <c:layout>
            <c:manualLayout>
              <c:xMode val="edge"/>
              <c:yMode val="edge"/>
              <c:x val="1.984126984126984E-3"/>
              <c:y val="0.35791365923009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41107361579802"/>
          <c:y val="5.2215660542432193E-2"/>
          <c:w val="0.47416666666666657"/>
          <c:h val="0.17253362860892388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19410073740784"/>
          <c:y val="3.8194444444444448E-2"/>
          <c:w val="0.86383764529433815"/>
          <c:h val="0.87947315179352581"/>
        </c:manualLayout>
      </c:layout>
      <c:lineChart>
        <c:grouping val="standard"/>
        <c:varyColors val="0"/>
        <c:ser>
          <c:idx val="1"/>
          <c:order val="0"/>
          <c:tx>
            <c:v>Total renewable jet fuel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'RENEWABLE JET FUEL'!$H$3:$O$3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'RENEWABLE JET FUEL'!$H$4:$O$4</c:f>
              <c:numCache>
                <c:formatCode>0.0</c:formatCode>
                <c:ptCount val="8"/>
                <c:pt idx="0">
                  <c:v>1.9437169999999999</c:v>
                </c:pt>
                <c:pt idx="1">
                  <c:v>1.711017</c:v>
                </c:pt>
                <c:pt idx="2">
                  <c:v>1.8281780000000001</c:v>
                </c:pt>
                <c:pt idx="3">
                  <c:v>2.4287019999999999</c:v>
                </c:pt>
                <c:pt idx="4">
                  <c:v>4.6083990000000004</c:v>
                </c:pt>
                <c:pt idx="5">
                  <c:v>5.0800729999999996</c:v>
                </c:pt>
                <c:pt idx="6">
                  <c:v>7.8931370000000003</c:v>
                </c:pt>
                <c:pt idx="7">
                  <c:v>14.016105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A-4831-8065-EF4B8C273ABF}"/>
            </c:ext>
          </c:extLst>
        </c:ser>
        <c:ser>
          <c:idx val="2"/>
          <c:order val="1"/>
          <c:tx>
            <c:v>Total renewable jet fuel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'RENEWABLE JET FUEL'!$H$3:$O$3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'RENEWABLE JET FUEL'!$H$5:$O$5</c:f>
              <c:numCache>
                <c:formatCode>0.0</c:formatCode>
                <c:ptCount val="8"/>
                <c:pt idx="0">
                  <c:v>1.9437169999999999</c:v>
                </c:pt>
                <c:pt idx="1">
                  <c:v>1.711017</c:v>
                </c:pt>
                <c:pt idx="2">
                  <c:v>1.8281780000000001</c:v>
                </c:pt>
                <c:pt idx="3">
                  <c:v>2.4287019999999999</c:v>
                </c:pt>
                <c:pt idx="4">
                  <c:v>4.6083990000000004</c:v>
                </c:pt>
                <c:pt idx="5">
                  <c:v>5.0800729999999996</c:v>
                </c:pt>
                <c:pt idx="6">
                  <c:v>15.819877</c:v>
                </c:pt>
                <c:pt idx="7">
                  <c:v>26.300097000000001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A-4831-8065-EF4B8C27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gallons</a:t>
                </a:r>
              </a:p>
            </c:rich>
          </c:tx>
          <c:layout>
            <c:manualLayout>
              <c:xMode val="edge"/>
              <c:yMode val="edge"/>
              <c:x val="1.984126984126984E-3"/>
              <c:y val="0.35791365923009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141107361579802"/>
          <c:y val="5.2215660542432193E-2"/>
          <c:w val="0.49003968253968255"/>
          <c:h val="0.17253362860892388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9670392348691E-2"/>
          <c:y val="2.8028683914510674E-2"/>
          <c:w val="0.88461623208770401"/>
          <c:h val="0.87787714035745534"/>
        </c:manualLayout>
      </c:layout>
      <c:lineChart>
        <c:grouping val="standard"/>
        <c:varyColors val="0"/>
        <c:ser>
          <c:idx val="1"/>
          <c:order val="0"/>
          <c:tx>
            <c:v>Total wood pellets production in the U.S.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PELLETS'!$D$11:$O$11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'WOOD PELLETS'!$D$12:$O$12</c:f>
              <c:numCache>
                <c:formatCode>0.0</c:formatCode>
                <c:ptCount val="12"/>
                <c:pt idx="0">
                  <c:v>3.4740000000000002</c:v>
                </c:pt>
                <c:pt idx="1">
                  <c:v>4.7039999999999997</c:v>
                </c:pt>
                <c:pt idx="2">
                  <c:v>5.9470000000000001</c:v>
                </c:pt>
                <c:pt idx="3">
                  <c:v>6.5170000000000003</c:v>
                </c:pt>
                <c:pt idx="4">
                  <c:v>6.3929999999999998</c:v>
                </c:pt>
                <c:pt idx="5">
                  <c:v>6.9</c:v>
                </c:pt>
                <c:pt idx="6">
                  <c:v>7.4683609999999998</c:v>
                </c:pt>
                <c:pt idx="7">
                  <c:v>8.5927129999999998</c:v>
                </c:pt>
                <c:pt idx="8">
                  <c:v>8.4123590000000004</c:v>
                </c:pt>
                <c:pt idx="9">
                  <c:v>8.4486000000000008</c:v>
                </c:pt>
                <c:pt idx="10">
                  <c:v>9.5440000000000005</c:v>
                </c:pt>
                <c:pt idx="11">
                  <c:v>9.820703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B-4FD2-B98B-5E1CAAF0C964}"/>
            </c:ext>
          </c:extLst>
        </c:ser>
        <c:ser>
          <c:idx val="0"/>
          <c:order val="1"/>
          <c:tx>
            <c:v>Total wood pellets consumption in the U.S.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PELLETS'!$D$11:$O$11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'WOOD PELLETS'!$D$15:$O$15</c:f>
              <c:numCache>
                <c:formatCode>0.0</c:formatCode>
                <c:ptCount val="12"/>
                <c:pt idx="0">
                  <c:v>1.661875</c:v>
                </c:pt>
                <c:pt idx="1">
                  <c:v>1.9739249999999995</c:v>
                </c:pt>
                <c:pt idx="2">
                  <c:v>2.1619299999999999</c:v>
                </c:pt>
                <c:pt idx="3">
                  <c:v>2.0550000000000006</c:v>
                </c:pt>
                <c:pt idx="4">
                  <c:v>1.8888470000000002</c:v>
                </c:pt>
                <c:pt idx="5">
                  <c:v>1.907636000000001</c:v>
                </c:pt>
                <c:pt idx="6">
                  <c:v>1.6723609999999995</c:v>
                </c:pt>
                <c:pt idx="7">
                  <c:v>1.9458659999999997</c:v>
                </c:pt>
                <c:pt idx="8">
                  <c:v>1.3604570000000002</c:v>
                </c:pt>
                <c:pt idx="9">
                  <c:v>1.122001</c:v>
                </c:pt>
                <c:pt idx="10">
                  <c:v>0.76126000000000005</c:v>
                </c:pt>
                <c:pt idx="11">
                  <c:v>0.45757524700000118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B-4FD2-B98B-5E1CAAF0C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3930492080098378E-2"/>
              <c:y val="0.30249808617672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6147825271841014E-2"/>
          <c:y val="5.5555555555555552E-2"/>
          <c:w val="0.45742360329958764"/>
          <c:h val="0.1217473206474190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39670392348691E-2"/>
          <c:y val="2.8028683914510674E-2"/>
          <c:w val="0.88461623208770401"/>
          <c:h val="0.87787714035745534"/>
        </c:manualLayout>
      </c:layout>
      <c:lineChart>
        <c:grouping val="standard"/>
        <c:varyColors val="0"/>
        <c:ser>
          <c:idx val="1"/>
          <c:order val="0"/>
          <c:tx>
            <c:v>Exports of wood pellets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PELLETS'!$D$11:$O$11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'WOOD PELLETS'!$D$14:$O$14</c:f>
              <c:numCache>
                <c:formatCode>0.0</c:formatCode>
                <c:ptCount val="12"/>
                <c:pt idx="0">
                  <c:v>1.8981250000000001</c:v>
                </c:pt>
                <c:pt idx="1">
                  <c:v>2.882517</c:v>
                </c:pt>
                <c:pt idx="2">
                  <c:v>4.0050569999999999</c:v>
                </c:pt>
                <c:pt idx="3">
                  <c:v>4.6689999999999996</c:v>
                </c:pt>
                <c:pt idx="4">
                  <c:v>4.7089999999999996</c:v>
                </c:pt>
                <c:pt idx="5">
                  <c:v>5.2039809999999997</c:v>
                </c:pt>
                <c:pt idx="6">
                  <c:v>6.0170000000000003</c:v>
                </c:pt>
                <c:pt idx="7">
                  <c:v>6.8584620000000003</c:v>
                </c:pt>
                <c:pt idx="8">
                  <c:v>7.2568599999999996</c:v>
                </c:pt>
                <c:pt idx="9">
                  <c:v>7.5225499999999998</c:v>
                </c:pt>
                <c:pt idx="10">
                  <c:v>8.9771599999999996</c:v>
                </c:pt>
                <c:pt idx="11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1-4605-A5E6-ACF279C457E5}"/>
            </c:ext>
          </c:extLst>
        </c:ser>
        <c:ser>
          <c:idx val="0"/>
          <c:order val="1"/>
          <c:tx>
            <c:v>Imports of wood pellets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'WOOD PELLETS'!$D$11:$O$11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'WOOD PELLETS'!$D$13:$O$13</c:f>
              <c:numCache>
                <c:formatCode>0.00</c:formatCode>
                <c:ptCount val="12"/>
                <c:pt idx="0">
                  <c:v>8.5999999999999993E-2</c:v>
                </c:pt>
                <c:pt idx="1">
                  <c:v>0.15244199999999999</c:v>
                </c:pt>
                <c:pt idx="2">
                  <c:v>0.21998699999999999</c:v>
                </c:pt>
                <c:pt idx="3">
                  <c:v>0.20699999999999999</c:v>
                </c:pt>
                <c:pt idx="4">
                  <c:v>0.204847</c:v>
                </c:pt>
                <c:pt idx="5">
                  <c:v>0.211617</c:v>
                </c:pt>
                <c:pt idx="6">
                  <c:v>0.221</c:v>
                </c:pt>
                <c:pt idx="7">
                  <c:v>0.211615</c:v>
                </c:pt>
                <c:pt idx="8">
                  <c:v>0.204958</c:v>
                </c:pt>
                <c:pt idx="9">
                  <c:v>0.19595099999999999</c:v>
                </c:pt>
                <c:pt idx="10">
                  <c:v>0.19441999999999998</c:v>
                </c:pt>
                <c:pt idx="11">
                  <c:v>0.17687224700000001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1-4605-A5E6-ACF279C45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3930492080098378E-2"/>
              <c:y val="0.30249808617672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6147825271841014E-2"/>
          <c:y val="5.5555555555555552E-2"/>
          <c:w val="0.28877280964879393"/>
          <c:h val="0.1217473206474190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9719978525491"/>
          <c:y val="3.8194444444444448E-2"/>
          <c:w val="0.86922511355419818"/>
          <c:h val="0.87947315179352581"/>
        </c:manualLayout>
      </c:layout>
      <c:barChart>
        <c:barDir val="col"/>
        <c:grouping val="stacked"/>
        <c:varyColors val="0"/>
        <c:ser>
          <c:idx val="4"/>
          <c:order val="0"/>
          <c:tx>
            <c:v>Electricity generation</c:v>
          </c:tx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/>
                    </a:solidFill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'WASTE TO ENERGY'!$B$11:$O$11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'WASTE TO ENERGY'!$B$23:$O$23</c:f>
              <c:numCache>
                <c:formatCode>0</c:formatCode>
                <c:ptCount val="14"/>
                <c:pt idx="0">
                  <c:v>144.934</c:v>
                </c:pt>
                <c:pt idx="1">
                  <c:v>135.24100000000001</c:v>
                </c:pt>
                <c:pt idx="2">
                  <c:v>135.73500000000001</c:v>
                </c:pt>
                <c:pt idx="3">
                  <c:v>135.76400000000001</c:v>
                </c:pt>
                <c:pt idx="4">
                  <c:v>134.40799999999999</c:v>
                </c:pt>
                <c:pt idx="5">
                  <c:v>133.11699999999999</c:v>
                </c:pt>
                <c:pt idx="6">
                  <c:v>135.95699999999999</c:v>
                </c:pt>
                <c:pt idx="7">
                  <c:v>130.94200000000001</c:v>
                </c:pt>
                <c:pt idx="8">
                  <c:v>134.465</c:v>
                </c:pt>
                <c:pt idx="9">
                  <c:v>115.114</c:v>
                </c:pt>
                <c:pt idx="10">
                  <c:v>114.81399999999999</c:v>
                </c:pt>
                <c:pt idx="11">
                  <c:v>113.173</c:v>
                </c:pt>
                <c:pt idx="12">
                  <c:v>108.508</c:v>
                </c:pt>
                <c:pt idx="13">
                  <c:v>103.306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8-4496-9335-874105B655E7}"/>
            </c:ext>
          </c:extLst>
        </c:ser>
        <c:ser>
          <c:idx val="3"/>
          <c:order val="1"/>
          <c:tx>
            <c:v>Heating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'WASTE TO ENERGY'!$B$11:$O$11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'WASTE TO ENERGY'!$B$24:$O$24</c:f>
              <c:numCache>
                <c:formatCode>0</c:formatCode>
                <c:ptCount val="14"/>
                <c:pt idx="0">
                  <c:v>17.501999999999999</c:v>
                </c:pt>
                <c:pt idx="1">
                  <c:v>16.765999999999998</c:v>
                </c:pt>
                <c:pt idx="2">
                  <c:v>16.309999999999999</c:v>
                </c:pt>
                <c:pt idx="3">
                  <c:v>15.167999999999999</c:v>
                </c:pt>
                <c:pt idx="4">
                  <c:v>15.782999999999999</c:v>
                </c:pt>
                <c:pt idx="5">
                  <c:v>16.623000000000001</c:v>
                </c:pt>
                <c:pt idx="6">
                  <c:v>18.259</c:v>
                </c:pt>
                <c:pt idx="7">
                  <c:v>17.72</c:v>
                </c:pt>
                <c:pt idx="8">
                  <c:v>16.724</c:v>
                </c:pt>
                <c:pt idx="9">
                  <c:v>12.308</c:v>
                </c:pt>
                <c:pt idx="10">
                  <c:v>11.939</c:v>
                </c:pt>
                <c:pt idx="11">
                  <c:v>12.721</c:v>
                </c:pt>
                <c:pt idx="12">
                  <c:v>12.244</c:v>
                </c:pt>
                <c:pt idx="13">
                  <c:v>12.535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8-4496-9335-874105B655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Trillion BTUs</a:t>
                </a:r>
              </a:p>
            </c:rich>
          </c:tx>
          <c:layout>
            <c:manualLayout>
              <c:xMode val="edge"/>
              <c:yMode val="edge"/>
              <c:x val="5.7718921498449054E-3"/>
              <c:y val="0.375414752843394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028396086291038"/>
          <c:y val="5.406742125984252E-2"/>
          <c:w val="0.35085017843617528"/>
          <c:h val="5.9247320647419076E-2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Total energy generated from biogas captured in landfill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BIOGAS!$B$3:$O$3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BIOGAS!$B$24:$O$24</c:f>
              <c:numCache>
                <c:formatCode>0</c:formatCode>
                <c:ptCount val="14"/>
                <c:pt idx="0">
                  <c:v>106.681</c:v>
                </c:pt>
                <c:pt idx="1">
                  <c:v>114.173</c:v>
                </c:pt>
                <c:pt idx="2">
                  <c:v>125.92700000000001</c:v>
                </c:pt>
                <c:pt idx="3">
                  <c:v>133.18</c:v>
                </c:pt>
                <c:pt idx="4">
                  <c:v>141.63200000000001</c:v>
                </c:pt>
                <c:pt idx="5">
                  <c:v>138.84100000000001</c:v>
                </c:pt>
                <c:pt idx="6">
                  <c:v>137.6</c:v>
                </c:pt>
                <c:pt idx="7">
                  <c:v>139.83099999999999</c:v>
                </c:pt>
                <c:pt idx="8">
                  <c:v>135.92099999999999</c:v>
                </c:pt>
                <c:pt idx="9">
                  <c:v>129.5</c:v>
                </c:pt>
                <c:pt idx="10">
                  <c:v>126.872</c:v>
                </c:pt>
                <c:pt idx="11">
                  <c:v>116.04900000000001</c:v>
                </c:pt>
                <c:pt idx="12">
                  <c:v>105.99299999999999</c:v>
                </c:pt>
                <c:pt idx="13">
                  <c:v>97.56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0-4AA2-9975-D7D09D95A993}"/>
            </c:ext>
          </c:extLst>
        </c:ser>
        <c:ser>
          <c:idx val="1"/>
          <c:order val="1"/>
          <c:tx>
            <c:v>Total energy generated from biogas captured in anaerobic digester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BIOGAS!$B$3:$O$3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BIOGAS!$B$20:$O$20</c:f>
              <c:numCache>
                <c:formatCode>0.0</c:formatCode>
                <c:ptCount val="14"/>
                <c:pt idx="0">
                  <c:v>0.94784544532000004</c:v>
                </c:pt>
                <c:pt idx="1">
                  <c:v>1.3818346454280002</c:v>
                </c:pt>
                <c:pt idx="2">
                  <c:v>1.6778588646600001</c:v>
                </c:pt>
                <c:pt idx="3">
                  <c:v>2.0842330495920001</c:v>
                </c:pt>
                <c:pt idx="4">
                  <c:v>2.1646238639919999</c:v>
                </c:pt>
                <c:pt idx="5">
                  <c:v>2.1646238639919999</c:v>
                </c:pt>
                <c:pt idx="6">
                  <c:v>2.1866800590039999</c:v>
                </c:pt>
                <c:pt idx="7">
                  <c:v>2.1870212590039997</c:v>
                </c:pt>
                <c:pt idx="8">
                  <c:v>2.3303904964439996</c:v>
                </c:pt>
                <c:pt idx="9">
                  <c:v>2.3785148286639997</c:v>
                </c:pt>
                <c:pt idx="10">
                  <c:v>2.4109288286639998</c:v>
                </c:pt>
                <c:pt idx="11">
                  <c:v>2.4109288286639998</c:v>
                </c:pt>
                <c:pt idx="12">
                  <c:v>2.4109288286639998</c:v>
                </c:pt>
                <c:pt idx="13">
                  <c:v>2.4109288286639998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0-4AA2-9975-D7D09D95A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18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Trillion BTUs</a:t>
                </a:r>
              </a:p>
            </c:rich>
          </c:tx>
          <c:layout>
            <c:manualLayout>
              <c:xMode val="edge"/>
              <c:yMode val="edge"/>
              <c:x val="1.9421009873765785E-3"/>
              <c:y val="0.37892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8142263467066615E-2"/>
          <c:y val="5.2607994313210851E-2"/>
          <c:w val="0.65615079365079354"/>
          <c:h val="0.11328630796150481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611490304116682E-2"/>
          <c:y val="3.857919716506919E-2"/>
          <c:w val="0.90413815066906744"/>
          <c:h val="0.87825897008136433"/>
        </c:manualLayout>
      </c:layout>
      <c:barChart>
        <c:barDir val="col"/>
        <c:grouping val="stacked"/>
        <c:varyColors val="0"/>
        <c:ser>
          <c:idx val="0"/>
          <c:order val="0"/>
          <c:tx>
            <c:v>Landfill RNG Projects</c:v>
          </c:tx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BIOGAS!$B$35:$O$35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BIOGAS!$B$37:$O$37</c:f>
              <c:numCache>
                <c:formatCode>General</c:formatCode>
                <c:ptCount val="14"/>
                <c:pt idx="0">
                  <c:v>30</c:v>
                </c:pt>
                <c:pt idx="1">
                  <c:v>32</c:v>
                </c:pt>
                <c:pt idx="2">
                  <c:v>33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41</c:v>
                </c:pt>
                <c:pt idx="7">
                  <c:v>45</c:v>
                </c:pt>
                <c:pt idx="8">
                  <c:v>58</c:v>
                </c:pt>
                <c:pt idx="9">
                  <c:v>63</c:v>
                </c:pt>
                <c:pt idx="10">
                  <c:v>70</c:v>
                </c:pt>
                <c:pt idx="11">
                  <c:v>76</c:v>
                </c:pt>
                <c:pt idx="12">
                  <c:v>82</c:v>
                </c:pt>
                <c:pt idx="1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3D-4E2F-9B81-863C451B14EA}"/>
            </c:ext>
          </c:extLst>
        </c:ser>
        <c:ser>
          <c:idx val="1"/>
          <c:order val="1"/>
          <c:tx>
            <c:v>Agriculture RNG projects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2.969630732264171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5D-46BF-9DF7-A54526C0DAF9}"/>
                </c:ext>
              </c:extLst>
            </c:dLbl>
            <c:dLbl>
              <c:idx val="1"/>
              <c:layout>
                <c:manualLayout>
                  <c:x val="2.5736799679622793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5D-46BF-9DF7-A54526C0DAF9}"/>
                </c:ext>
              </c:extLst>
            </c:dLbl>
            <c:dLbl>
              <c:idx val="2"/>
              <c:layout>
                <c:manualLayout>
                  <c:x val="2.3757045858113383E-2"/>
                  <c:y val="-1.760189557169583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5D-46BF-9DF7-A54526C0DAF9}"/>
                </c:ext>
              </c:extLst>
            </c:dLbl>
            <c:dLbl>
              <c:idx val="3"/>
              <c:layout>
                <c:manualLayout>
                  <c:x val="2.7716553501132279E-2"/>
                  <c:y val="-2.112227468603497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55D-46BF-9DF7-A54526C0DAF9}"/>
                </c:ext>
              </c:extLst>
            </c:dLbl>
            <c:dLbl>
              <c:idx val="4"/>
              <c:layout>
                <c:manualLayout>
                  <c:x val="2.3757045858113383E-2"/>
                  <c:y val="-1.76018955716957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55D-46BF-9DF7-A54526C0DAF9}"/>
                </c:ext>
              </c:extLst>
            </c:dLbl>
            <c:dLbl>
              <c:idx val="5"/>
              <c:layout>
                <c:manualLayout>
                  <c:x val="2.3757045858113311E-2"/>
                  <c:y val="-1.76018955716957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5D-46BF-9DF7-A54526C0DAF9}"/>
                </c:ext>
              </c:extLst>
            </c:dLbl>
            <c:dLbl>
              <c:idx val="6"/>
              <c:layout>
                <c:manualLayout>
                  <c:x val="2.5736799679622831E-2"/>
                  <c:y val="-2.1122274686034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5D-46BF-9DF7-A54526C0DAF9}"/>
                </c:ext>
              </c:extLst>
            </c:dLbl>
            <c:dLbl>
              <c:idx val="7"/>
              <c:layout>
                <c:manualLayout>
                  <c:x val="2.3757045858113311E-2"/>
                  <c:y val="-2.46426538003741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55D-46BF-9DF7-A54526C0D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BIOGAS!$B$35:$O$35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BIOGAS!$B$36:$O$36</c:f>
              <c:numCache>
                <c:formatCode>General</c:formatCode>
                <c:ptCount val="14"/>
                <c:pt idx="0">
                  <c:v>7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14</c:v>
                </c:pt>
                <c:pt idx="9">
                  <c:v>29</c:v>
                </c:pt>
                <c:pt idx="10">
                  <c:v>53</c:v>
                </c:pt>
                <c:pt idx="11">
                  <c:v>97</c:v>
                </c:pt>
                <c:pt idx="12">
                  <c:v>109</c:v>
                </c:pt>
                <c:pt idx="13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D-4E2F-9B81-863C451B14E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Operational Projects</a:t>
                </a:r>
              </a:p>
            </c:rich>
          </c:tx>
          <c:layout>
            <c:manualLayout>
              <c:xMode val="edge"/>
              <c:yMode val="edge"/>
              <c:x val="1.9761959908250713E-3"/>
              <c:y val="0.30128530755092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775684944300414"/>
          <c:y val="5.6115303143968571E-2"/>
          <c:w val="0.26804212771680253"/>
          <c:h val="0.1290759297274203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0264966879141"/>
          <c:y val="3.857912292213473E-2"/>
          <c:w val="0.84972909636295468"/>
          <c:h val="0.8782589700813643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2B83BA"/>
            </a:solidFill>
            <a:ln w="3175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BIOPRODUCTS!$K$3:$Q$3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BIOPRODUCTS!$K$4:$Q$4</c:f>
              <c:numCache>
                <c:formatCode>General</c:formatCode>
                <c:ptCount val="7"/>
                <c:pt idx="0">
                  <c:v>1297</c:v>
                </c:pt>
                <c:pt idx="1">
                  <c:v>1550</c:v>
                </c:pt>
                <c:pt idx="2">
                  <c:v>2216</c:v>
                </c:pt>
                <c:pt idx="3">
                  <c:v>2874</c:v>
                </c:pt>
                <c:pt idx="4">
                  <c:v>4231</c:v>
                </c:pt>
                <c:pt idx="5">
                  <c:v>8424</c:v>
                </c:pt>
                <c:pt idx="6">
                  <c:v>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7-47FB-8EFE-2116E2D40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Toral</a:t>
                </a:r>
                <a:r>
                  <a:rPr lang="en-US" sz="1000" baseline="0">
                    <a:solidFill>
                      <a:sysClr val="windowText" lastClr="000000"/>
                    </a:solidFill>
                  </a:rPr>
                  <a:t> Products certified by year</a:t>
                </a:r>
                <a:endParaRPr lang="en-US" sz="1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5.9103549556305448E-3"/>
              <c:y val="0.24697752624671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59253956891759E-2"/>
          <c:y val="3.8579115335066035E-2"/>
          <c:w val="0.8962308120575837"/>
          <c:h val="0.87825897008136433"/>
        </c:manualLayout>
      </c:layout>
      <c:barChart>
        <c:barDir val="col"/>
        <c:grouping val="stacked"/>
        <c:varyColors val="0"/>
        <c:ser>
          <c:idx val="1"/>
          <c:order val="0"/>
          <c:tx>
            <c:v>Biodegradable bioplastics</c:v>
          </c:tx>
          <c:spPr>
            <a:solidFill>
              <a:srgbClr val="ABDDA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BIOPLASTICS!$D$13:$Q$13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BIOPLASTICS!$D$14:$Q$14</c:f>
              <c:numCache>
                <c:formatCode>#,##0.00</c:formatCode>
                <c:ptCount val="14"/>
                <c:pt idx="0">
                  <c:v>0.34200000000000003</c:v>
                </c:pt>
                <c:pt idx="1">
                  <c:v>0.48599999999999999</c:v>
                </c:pt>
                <c:pt idx="2">
                  <c:v>0.57099999999999995</c:v>
                </c:pt>
                <c:pt idx="3">
                  <c:v>0.59099999999999997</c:v>
                </c:pt>
                <c:pt idx="4">
                  <c:v>0.66300000000000003</c:v>
                </c:pt>
                <c:pt idx="5">
                  <c:v>0.45900000000000002</c:v>
                </c:pt>
                <c:pt idx="6">
                  <c:v>0.86199999999999999</c:v>
                </c:pt>
                <c:pt idx="7">
                  <c:v>0.88</c:v>
                </c:pt>
                <c:pt idx="8">
                  <c:v>1.077</c:v>
                </c:pt>
                <c:pt idx="9">
                  <c:v>1.1739999999999999</c:v>
                </c:pt>
                <c:pt idx="10">
                  <c:v>1.2390000000000001</c:v>
                </c:pt>
                <c:pt idx="11">
                  <c:v>1.05</c:v>
                </c:pt>
                <c:pt idx="12">
                  <c:v>1.1419999999999999</c:v>
                </c:pt>
                <c:pt idx="13">
                  <c:v>1.13578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2-46FF-9471-7AA8AA4E68EE}"/>
            </c:ext>
          </c:extLst>
        </c:ser>
        <c:ser>
          <c:idx val="0"/>
          <c:order val="1"/>
          <c:tx>
            <c:v>Non-biodegradable bioplastics</c:v>
          </c:tx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BIOPLASTICS!$D$13:$Q$13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BIOPLASTICS!$D$15:$Q$15</c:f>
              <c:numCache>
                <c:formatCode>#,##0.00</c:formatCode>
                <c:ptCount val="14"/>
                <c:pt idx="0">
                  <c:v>0.67400000000000004</c:v>
                </c:pt>
                <c:pt idx="1">
                  <c:v>0.67500000000000004</c:v>
                </c:pt>
                <c:pt idx="2">
                  <c:v>0.92100000000000004</c:v>
                </c:pt>
                <c:pt idx="3">
                  <c:v>0.99</c:v>
                </c:pt>
                <c:pt idx="4">
                  <c:v>1.034</c:v>
                </c:pt>
                <c:pt idx="5">
                  <c:v>1.177</c:v>
                </c:pt>
                <c:pt idx="6">
                  <c:v>1.177</c:v>
                </c:pt>
                <c:pt idx="7">
                  <c:v>1.1739999999999999</c:v>
                </c:pt>
                <c:pt idx="8">
                  <c:v>0.93400000000000005</c:v>
                </c:pt>
                <c:pt idx="9">
                  <c:v>0.94099999999999995</c:v>
                </c:pt>
                <c:pt idx="10">
                  <c:v>0.84799999999999998</c:v>
                </c:pt>
                <c:pt idx="11">
                  <c:v>0.74199999999999999</c:v>
                </c:pt>
                <c:pt idx="12">
                  <c:v>1.075</c:v>
                </c:pt>
                <c:pt idx="13">
                  <c:v>1.0442199999999999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2-46FF-9471-7AA8AA4E6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metric tons</a:t>
                </a:r>
              </a:p>
            </c:rich>
          </c:tx>
          <c:layout>
            <c:manualLayout>
              <c:xMode val="edge"/>
              <c:yMode val="edge"/>
              <c:x val="1.9761919053979016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775684944300414"/>
          <c:y val="5.6115303143968571E-2"/>
          <c:w val="0.3293235695423079"/>
          <c:h val="0.1290759297274203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87166325308379E-2"/>
          <c:y val="3.1291320618964197E-2"/>
          <c:w val="0.89054930517986908"/>
          <c:h val="0.86667702295882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BIOPLASTICS!$N$13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A6CEE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3.9472755872815854E-3"/>
                  <c:y val="3.499215431815583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B-4FEC-A164-5859CEEB7A69}"/>
                </c:ext>
              </c:extLst>
            </c:dLbl>
            <c:dLbl>
              <c:idx val="1"/>
              <c:layout>
                <c:manualLayout>
                  <c:x val="-1.9736377936408196E-3"/>
                  <c:y val="-1.283030836650670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1B-4FEC-A164-5859CEEB7A69}"/>
                </c:ext>
              </c:extLst>
            </c:dLbl>
            <c:dLbl>
              <c:idx val="2"/>
              <c:layout>
                <c:manualLayout>
                  <c:x val="-3.947275587281567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BIOPLASTICS!$A$17:$A$24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BIOPLASTICS!$N$17:$N$24</c:f>
              <c:numCache>
                <c:formatCode>#,##0</c:formatCode>
                <c:ptCount val="8"/>
                <c:pt idx="0">
                  <c:v>47.287372660506989</c:v>
                </c:pt>
                <c:pt idx="1">
                  <c:v>11.419095001184553</c:v>
                </c:pt>
                <c:pt idx="2">
                  <c:v>12.248282397536128</c:v>
                </c:pt>
                <c:pt idx="3">
                  <c:v>7.7469793887704332</c:v>
                </c:pt>
                <c:pt idx="4">
                  <c:v>5.7332385690594645</c:v>
                </c:pt>
                <c:pt idx="5">
                  <c:v>3.5299692016109927</c:v>
                </c:pt>
                <c:pt idx="6">
                  <c:v>3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5A-4163-8472-9E42A327CF1B}"/>
            </c:ext>
          </c:extLst>
        </c:ser>
        <c:ser>
          <c:idx val="3"/>
          <c:order val="1"/>
          <c:tx>
            <c:strRef>
              <c:f>BIOPLASTICS!$O$13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1F78B4"/>
            </a:solidFill>
            <a:ln w="9525"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-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1B-4FEC-A164-5859CEEB7A69}"/>
                </c:ext>
              </c:extLst>
            </c:dLbl>
            <c:dLbl>
              <c:idx val="2"/>
              <c:layout>
                <c:manualLayout>
                  <c:x val="-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BIOPLASTICS!$A$17:$A$24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BIOPLASTICS!$O$17:$O$24</c:f>
              <c:numCache>
                <c:formatCode>#,##0</c:formatCode>
                <c:ptCount val="8"/>
                <c:pt idx="0">
                  <c:v>64.636871508379798</c:v>
                </c:pt>
                <c:pt idx="1">
                  <c:v>13.5754189944134</c:v>
                </c:pt>
                <c:pt idx="2">
                  <c:v>15.055865921000001</c:v>
                </c:pt>
                <c:pt idx="3">
                  <c:v>11.899441340782101</c:v>
                </c:pt>
                <c:pt idx="4">
                  <c:v>6.5921787709497197</c:v>
                </c:pt>
                <c:pt idx="5">
                  <c:v>4.3016759776536304</c:v>
                </c:pt>
                <c:pt idx="6">
                  <c:v>3.5195530726256998</c:v>
                </c:pt>
                <c:pt idx="7">
                  <c:v>10.083798882681499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5A-4163-8472-9E42A327CF1B}"/>
            </c:ext>
          </c:extLst>
        </c:ser>
        <c:ser>
          <c:idx val="4"/>
          <c:order val="2"/>
          <c:tx>
            <c:strRef>
              <c:f>BIOPLASTICS!$P$13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B2DF8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973637793640783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1B-4FEC-A164-5859CEEB7A69}"/>
                </c:ext>
              </c:extLst>
            </c:dLbl>
            <c:dLbl>
              <c:idx val="1"/>
              <c:layout>
                <c:manualLayout>
                  <c:x val="-1.9736377936408196E-3"/>
                  <c:y val="-1.2830308366506702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BIOPLASTICS!$A$17:$A$24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BIOPLASTICS!$P$17:$P$24</c:f>
              <c:numCache>
                <c:formatCode>#,##0</c:formatCode>
                <c:ptCount val="8"/>
                <c:pt idx="0">
                  <c:v>48.274774774774698</c:v>
                </c:pt>
                <c:pt idx="1">
                  <c:v>14.815315315299999</c:v>
                </c:pt>
                <c:pt idx="2">
                  <c:v>14.0720727072</c:v>
                </c:pt>
                <c:pt idx="3">
                  <c:v>4.3873873870000004</c:v>
                </c:pt>
                <c:pt idx="4">
                  <c:v>7.1621621621599996</c:v>
                </c:pt>
                <c:pt idx="5">
                  <c:v>0.94144144144099995</c:v>
                </c:pt>
                <c:pt idx="6">
                  <c:v>2.5990990990989999</c:v>
                </c:pt>
                <c:pt idx="7">
                  <c:v>6.0045045045045002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5A-4163-8472-9E42A327CF1B}"/>
            </c:ext>
          </c:extLst>
        </c:ser>
        <c:ser>
          <c:idx val="5"/>
          <c:order val="3"/>
          <c:tx>
            <c:strRef>
              <c:f>BIOPLASTICS!$Q$13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3A02C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9736377936407476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1B-4FEC-A164-5859CEEB7A69}"/>
                </c:ext>
              </c:extLst>
            </c:dLbl>
            <c:dLbl>
              <c:idx val="2"/>
              <c:layout>
                <c:manualLayout>
                  <c:x val="3.947275587281567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1B-4FEC-A164-5859CEEB7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BIOPLASTICS!$A$17:$A$24</c:f>
              <c:strCache>
                <c:ptCount val="8"/>
                <c:pt idx="0">
                  <c:v>Packaging</c:v>
                </c:pt>
                <c:pt idx="1">
                  <c:v>Textiles</c:v>
                </c:pt>
                <c:pt idx="2">
                  <c:v>Consumer Goods</c:v>
                </c:pt>
                <c:pt idx="3">
                  <c:v>Agriculture &amp; Horticulture</c:v>
                </c:pt>
                <c:pt idx="4">
                  <c:v>Automotive &amp; Transport</c:v>
                </c:pt>
                <c:pt idx="5">
                  <c:v>Building &amp; Construction</c:v>
                </c:pt>
                <c:pt idx="6">
                  <c:v>Electronics</c:v>
                </c:pt>
                <c:pt idx="7">
                  <c:v>Others</c:v>
                </c:pt>
              </c:strCache>
            </c:strRef>
          </c:cat>
          <c:val>
            <c:numRef>
              <c:f>BIOPLASTICS!$Q$17:$Q$24</c:f>
              <c:numCache>
                <c:formatCode>#,##0</c:formatCode>
                <c:ptCount val="8"/>
                <c:pt idx="0">
                  <c:v>42.844000000000001</c:v>
                </c:pt>
                <c:pt idx="1">
                  <c:v>20.71559633</c:v>
                </c:pt>
                <c:pt idx="2">
                  <c:v>13.366974770000001</c:v>
                </c:pt>
                <c:pt idx="3">
                  <c:v>4.5366972477000003</c:v>
                </c:pt>
                <c:pt idx="4">
                  <c:v>9.7285321099999997</c:v>
                </c:pt>
                <c:pt idx="5">
                  <c:v>0.63761467889907997</c:v>
                </c:pt>
                <c:pt idx="6">
                  <c:v>3.53669724770642</c:v>
                </c:pt>
                <c:pt idx="7">
                  <c:v>3.4036599999999999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5A-4163-8472-9E42A327C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63329488"/>
        <c:axId val="1163332816"/>
      </c:barChart>
      <c:catAx>
        <c:axId val="11633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63332816"/>
        <c:crosses val="autoZero"/>
        <c:auto val="1"/>
        <c:lblAlgn val="ctr"/>
        <c:lblOffset val="100"/>
        <c:noMultiLvlLbl val="0"/>
      </c:catAx>
      <c:valAx>
        <c:axId val="1163332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badi" panose="020F0502020204030204" pitchFamily="34" charset="0"/>
                    <a:ea typeface="+mn-ea"/>
                    <a:cs typeface="+mn-cs"/>
                  </a:defRPr>
                </a:pPr>
                <a:r>
                  <a:rPr lang="en-US" sz="1000" baseline="0">
                    <a:latin typeface="Arial" panose="020B0604020202020204" pitchFamily="34" charset="0"/>
                    <a:cs typeface="Arial" panose="020B0604020202020204" pitchFamily="34" charset="0"/>
                  </a:rPr>
                  <a:t>Final use of bioplastics by market segment (%)</a:t>
                </a:r>
                <a:endParaRPr lang="en-US" sz="1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0598521380335691E-2"/>
              <c:y val="9.91066147386013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badi" panose="020F0502020204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16332948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8954188240450875"/>
          <c:y val="7.6753729376712168E-2"/>
          <c:w val="0.35587513604247761"/>
          <c:h val="7.2999402312925621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apparel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TEXTILES'!$D$22:$Q$22</c:f>
              <c:numCache>
                <c:formatCode>#,##0</c:formatCode>
                <c:ptCount val="14"/>
                <c:pt idx="0">
                  <c:v>4.4969999999999999</c:v>
                </c:pt>
                <c:pt idx="1">
                  <c:v>5.01</c:v>
                </c:pt>
                <c:pt idx="2">
                  <c:v>5.165</c:v>
                </c:pt>
                <c:pt idx="3">
                  <c:v>5.4390000000000001</c:v>
                </c:pt>
                <c:pt idx="4">
                  <c:v>5.6950000000000003</c:v>
                </c:pt>
                <c:pt idx="5">
                  <c:v>5.6970000000000001</c:v>
                </c:pt>
                <c:pt idx="6">
                  <c:v>5.3019999999999996</c:v>
                </c:pt>
                <c:pt idx="7">
                  <c:v>5.3150000000000004</c:v>
                </c:pt>
                <c:pt idx="8">
                  <c:v>5.6580000000000004</c:v>
                </c:pt>
                <c:pt idx="9">
                  <c:v>5.5609999999999999</c:v>
                </c:pt>
                <c:pt idx="10">
                  <c:v>4.3470000000000004</c:v>
                </c:pt>
                <c:pt idx="11">
                  <c:v>5.4489999999999998</c:v>
                </c:pt>
                <c:pt idx="12">
                  <c:v>6.4930000000000003</c:v>
                </c:pt>
                <c:pt idx="13">
                  <c:v>6.5739999999999998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D-4657-A5FA-BD9058084597}"/>
            </c:ext>
          </c:extLst>
        </c:ser>
        <c:ser>
          <c:idx val="1"/>
          <c:order val="1"/>
          <c:tx>
            <c:v>Imports of apparel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TEXTILES'!$D$23:$Q$23</c:f>
              <c:numCache>
                <c:formatCode>#,##0</c:formatCode>
                <c:ptCount val="14"/>
                <c:pt idx="0">
                  <c:v>75.644307355999999</c:v>
                </c:pt>
                <c:pt idx="1">
                  <c:v>82.247087323000002</c:v>
                </c:pt>
                <c:pt idx="2">
                  <c:v>81.259191397999999</c:v>
                </c:pt>
                <c:pt idx="3">
                  <c:v>84.386292686000004</c:v>
                </c:pt>
                <c:pt idx="4">
                  <c:v>86.609650021999997</c:v>
                </c:pt>
                <c:pt idx="5">
                  <c:v>89.893039897999998</c:v>
                </c:pt>
                <c:pt idx="6">
                  <c:v>84.738049419999996</c:v>
                </c:pt>
                <c:pt idx="7">
                  <c:v>84.343616748999992</c:v>
                </c:pt>
                <c:pt idx="8">
                  <c:v>87.436219590999997</c:v>
                </c:pt>
                <c:pt idx="9">
                  <c:v>88.035916168</c:v>
                </c:pt>
                <c:pt idx="10">
                  <c:v>71.807795998999993</c:v>
                </c:pt>
                <c:pt idx="11">
                  <c:v>86.403237399000005</c:v>
                </c:pt>
                <c:pt idx="12">
                  <c:v>103.959902203</c:v>
                </c:pt>
                <c:pt idx="13">
                  <c:v>81.606597146999988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D-4657-A5FA-BD905808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1.1862735908011499E-2"/>
              <c:y val="0.34767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11051743532058"/>
          <c:y val="5.2607994313210851E-2"/>
          <c:w val="0.24742063492063487"/>
          <c:h val="9.9397419072615928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textiles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TEXTILES'!$D$24:$Q$24</c:f>
              <c:numCache>
                <c:formatCode>#,##0</c:formatCode>
                <c:ptCount val="14"/>
                <c:pt idx="0">
                  <c:v>8.1604995020000004</c:v>
                </c:pt>
                <c:pt idx="1">
                  <c:v>9.4658750049999991</c:v>
                </c:pt>
                <c:pt idx="2">
                  <c:v>9.3105379500000005</c:v>
                </c:pt>
                <c:pt idx="3">
                  <c:v>9.6473533630000006</c:v>
                </c:pt>
                <c:pt idx="4">
                  <c:v>10.024617582000001</c:v>
                </c:pt>
                <c:pt idx="5">
                  <c:v>9.7622466060000015</c:v>
                </c:pt>
                <c:pt idx="6">
                  <c:v>9.115535843</c:v>
                </c:pt>
                <c:pt idx="7">
                  <c:v>9.3394036520000014</c:v>
                </c:pt>
                <c:pt idx="8">
                  <c:v>9.5646385340000002</c:v>
                </c:pt>
                <c:pt idx="9">
                  <c:v>9.2583285190000009</c:v>
                </c:pt>
                <c:pt idx="10" formatCode="#,##0.0">
                  <c:v>7.5391897559999999</c:v>
                </c:pt>
                <c:pt idx="11">
                  <c:v>8.8510388139999989</c:v>
                </c:pt>
                <c:pt idx="12">
                  <c:v>9.4361329129999998</c:v>
                </c:pt>
                <c:pt idx="13">
                  <c:v>8.4388061390000004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6-4371-98BD-2EFD34C54DB7}"/>
            </c:ext>
          </c:extLst>
        </c:ser>
        <c:ser>
          <c:idx val="1"/>
          <c:order val="1"/>
          <c:tx>
            <c:v>Imports of textiles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TEXTILES'!$D$25:$Q$25</c:f>
              <c:numCache>
                <c:formatCode>#,##0</c:formatCode>
                <c:ptCount val="14"/>
                <c:pt idx="0">
                  <c:v>6.5358656049999997</c:v>
                </c:pt>
                <c:pt idx="1">
                  <c:v>7.3309049999999996</c:v>
                </c:pt>
                <c:pt idx="2">
                  <c:v>7.7750181270000001</c:v>
                </c:pt>
                <c:pt idx="3">
                  <c:v>8.0410699470000004</c:v>
                </c:pt>
                <c:pt idx="4">
                  <c:v>8.4601824709999995</c:v>
                </c:pt>
                <c:pt idx="5">
                  <c:v>8.6507926550000001</c:v>
                </c:pt>
                <c:pt idx="6">
                  <c:v>8.2525302830000005</c:v>
                </c:pt>
                <c:pt idx="7">
                  <c:v>8.1829451810000009</c:v>
                </c:pt>
                <c:pt idx="8">
                  <c:v>8.7653571200000009</c:v>
                </c:pt>
                <c:pt idx="9">
                  <c:v>8.214491099</c:v>
                </c:pt>
                <c:pt idx="10" formatCode="#,##0.0">
                  <c:v>8.2874788779999999</c:v>
                </c:pt>
                <c:pt idx="11">
                  <c:v>9.8263711709999999</c:v>
                </c:pt>
                <c:pt idx="12">
                  <c:v>10.257758298999999</c:v>
                </c:pt>
                <c:pt idx="13">
                  <c:v>8.7231181319999997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6-4371-98BD-2EFD34C54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2.1783370828646422E-2"/>
              <c:y val="0.37892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12639045119361"/>
          <c:y val="5.2607994313210851E-2"/>
          <c:w val="0.24742063492063487"/>
          <c:h val="9.5925196850393704E-2"/>
        </c:manualLayout>
      </c:layout>
      <c:overlay val="0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14691913510807E-2"/>
          <c:y val="2.1882928696412948E-2"/>
          <c:w val="0.87548322084739405"/>
          <c:h val="0.87825897008136433"/>
        </c:manualLayout>
      </c:layout>
      <c:lineChart>
        <c:grouping val="standard"/>
        <c:varyColors val="0"/>
        <c:ser>
          <c:idx val="2"/>
          <c:order val="0"/>
          <c:tx>
            <c:v>Roundwood</c:v>
          </c:tx>
          <c:spPr>
            <a:ln w="28575" cap="rnd">
              <a:solidFill>
                <a:srgbClr val="FB8072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PRODUCTS'!$D$29:$Q$29</c:f>
              <c:numCache>
                <c:formatCode>0</c:formatCode>
                <c:ptCount val="14"/>
                <c:pt idx="0">
                  <c:v>538.49749668000004</c:v>
                </c:pt>
                <c:pt idx="1">
                  <c:v>565.05116667999994</c:v>
                </c:pt>
                <c:pt idx="2">
                  <c:v>554.14215999999999</c:v>
                </c:pt>
                <c:pt idx="3">
                  <c:v>567.44951548999995</c:v>
                </c:pt>
                <c:pt idx="4">
                  <c:v>570.13063392999993</c:v>
                </c:pt>
                <c:pt idx="5">
                  <c:v>570.60347916000001</c:v>
                </c:pt>
                <c:pt idx="6">
                  <c:v>624.38375999999994</c:v>
                </c:pt>
                <c:pt idx="7">
                  <c:v>624.46867053999995</c:v>
                </c:pt>
                <c:pt idx="8">
                  <c:v>663.68896022000001</c:v>
                </c:pt>
                <c:pt idx="9">
                  <c:v>656.55429697</c:v>
                </c:pt>
                <c:pt idx="10">
                  <c:v>614.9</c:v>
                </c:pt>
                <c:pt idx="11">
                  <c:v>648.42777999999998</c:v>
                </c:pt>
                <c:pt idx="12">
                  <c:v>652.55145240999991</c:v>
                </c:pt>
                <c:pt idx="13">
                  <c:v>589.57660476000001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3-453B-B4E6-AEE8E9D7BE8C}"/>
            </c:ext>
          </c:extLst>
        </c:ser>
        <c:ser>
          <c:idx val="4"/>
          <c:order val="1"/>
          <c:tx>
            <c:v>Sawnwood</c:v>
          </c:tx>
          <c:spPr>
            <a:ln w="28575" cap="rnd">
              <a:solidFill>
                <a:srgbClr val="80B1D3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PRODUCTS'!$D$30:$Q$30</c:f>
              <c:numCache>
                <c:formatCode>0</c:formatCode>
                <c:ptCount val="14"/>
                <c:pt idx="0">
                  <c:v>109.224388</c:v>
                </c:pt>
                <c:pt idx="1">
                  <c:v>114.976316</c:v>
                </c:pt>
                <c:pt idx="2">
                  <c:v>122.80268000000001</c:v>
                </c:pt>
                <c:pt idx="3">
                  <c:v>129.42929999999998</c:v>
                </c:pt>
                <c:pt idx="4">
                  <c:v>138.016606</c:v>
                </c:pt>
                <c:pt idx="5">
                  <c:v>138.97883999999999</c:v>
                </c:pt>
                <c:pt idx="6">
                  <c:v>142.26030000000003</c:v>
                </c:pt>
                <c:pt idx="7">
                  <c:v>146.28067999999999</c:v>
                </c:pt>
                <c:pt idx="8">
                  <c:v>149.23563200000001</c:v>
                </c:pt>
                <c:pt idx="9">
                  <c:v>150.09849400000002</c:v>
                </c:pt>
                <c:pt idx="10">
                  <c:v>144.02315745999999</c:v>
                </c:pt>
                <c:pt idx="11">
                  <c:v>146.88310000000001</c:v>
                </c:pt>
                <c:pt idx="12">
                  <c:v>148.57934</c:v>
                </c:pt>
                <c:pt idx="13">
                  <c:v>141.72704000000002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B3-453B-B4E6-AEE8E9D7BE8C}"/>
            </c:ext>
          </c:extLst>
        </c:ser>
        <c:ser>
          <c:idx val="1"/>
          <c:order val="2"/>
          <c:tx>
            <c:v>Wood fuel</c:v>
          </c:tx>
          <c:spPr>
            <a:ln w="28575" cap="rnd">
              <a:solidFill>
                <a:srgbClr val="B3DE69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PRODUCTS'!$D$27:$Q$27</c:f>
              <c:numCache>
                <c:formatCode>#,##0</c:formatCode>
                <c:ptCount val="14"/>
                <c:pt idx="0">
                  <c:v>55.802612879999991</c:v>
                </c:pt>
                <c:pt idx="1">
                  <c:v>55.802612879999991</c:v>
                </c:pt>
                <c:pt idx="2">
                  <c:v>55.801679999999998</c:v>
                </c:pt>
                <c:pt idx="3">
                  <c:v>57.795563339999994</c:v>
                </c:pt>
                <c:pt idx="4">
                  <c:v>57.795563339999994</c:v>
                </c:pt>
                <c:pt idx="5">
                  <c:v>61.196099999999994</c:v>
                </c:pt>
                <c:pt idx="6">
                  <c:v>85.775279999999995</c:v>
                </c:pt>
                <c:pt idx="7">
                  <c:v>88.830600000000004</c:v>
                </c:pt>
                <c:pt idx="8">
                  <c:v>98.819815559999995</c:v>
                </c:pt>
                <c:pt idx="9">
                  <c:v>98.569164779999994</c:v>
                </c:pt>
                <c:pt idx="10">
                  <c:v>83.524996799999997</c:v>
                </c:pt>
                <c:pt idx="11">
                  <c:v>98.132545199999996</c:v>
                </c:pt>
                <c:pt idx="12">
                  <c:v>99.869219999999999</c:v>
                </c:pt>
                <c:pt idx="13">
                  <c:v>91.11587999999999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3-453B-B4E6-AEE8E9D7BE8C}"/>
            </c:ext>
          </c:extLst>
        </c:ser>
        <c:ser>
          <c:idx val="3"/>
          <c:order val="3"/>
          <c:tx>
            <c:v>Paper</c:v>
          </c:tx>
          <c:spPr>
            <a:ln w="28575" cap="rnd">
              <a:solidFill>
                <a:srgbClr val="BEBADA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PRODUCTS'!$D$33:$Q$33</c:f>
              <c:numCache>
                <c:formatCode>#,##0</c:formatCode>
                <c:ptCount val="14"/>
                <c:pt idx="0">
                  <c:v>75.772845000000004</c:v>
                </c:pt>
                <c:pt idx="1">
                  <c:v>76.430822000000006</c:v>
                </c:pt>
                <c:pt idx="2">
                  <c:v>74.492000000000004</c:v>
                </c:pt>
                <c:pt idx="3">
                  <c:v>71.732298</c:v>
                </c:pt>
                <c:pt idx="4">
                  <c:v>73.093000000000004</c:v>
                </c:pt>
                <c:pt idx="5">
                  <c:v>72.397000000000006</c:v>
                </c:pt>
                <c:pt idx="6">
                  <c:v>71.902238999999994</c:v>
                </c:pt>
                <c:pt idx="7">
                  <c:v>72.044539</c:v>
                </c:pt>
                <c:pt idx="8">
                  <c:v>70.891067000000007</c:v>
                </c:pt>
                <c:pt idx="9">
                  <c:v>68.156809999999993</c:v>
                </c:pt>
                <c:pt idx="10">
                  <c:v>66</c:v>
                </c:pt>
                <c:pt idx="11">
                  <c:v>67</c:v>
                </c:pt>
                <c:pt idx="12">
                  <c:v>65.507164000000003</c:v>
                </c:pt>
                <c:pt idx="13">
                  <c:v>60.674376000000002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B3-453B-B4E6-AEE8E9D7B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tonnes</a:t>
                </a:r>
              </a:p>
            </c:rich>
          </c:tx>
          <c:layout>
            <c:manualLayout>
              <c:xMode val="edge"/>
              <c:yMode val="edge"/>
              <c:x val="1.98068991376078E-3"/>
              <c:y val="0.33332813867016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5.2608018345700128E-2"/>
          <c:w val="0.57135701787276594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59614423197101E-2"/>
          <c:y val="3.8579213453513429E-2"/>
          <c:w val="0.88143560179977498"/>
          <c:h val="0.87825897008136433"/>
        </c:manualLayout>
      </c:layout>
      <c:lineChart>
        <c:grouping val="standard"/>
        <c:varyColors val="0"/>
        <c:ser>
          <c:idx val="7"/>
          <c:order val="0"/>
          <c:tx>
            <c:v>Wood pulp</c:v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PRODUCTS'!$D$32:$Q$32</c:f>
              <c:numCache>
                <c:formatCode>#,##0</c:formatCode>
                <c:ptCount val="14"/>
                <c:pt idx="0">
                  <c:v>50.905938999999996</c:v>
                </c:pt>
                <c:pt idx="1">
                  <c:v>51.114621999999997</c:v>
                </c:pt>
                <c:pt idx="2">
                  <c:v>50.200530000000001</c:v>
                </c:pt>
                <c:pt idx="3">
                  <c:v>49.055100000000003</c:v>
                </c:pt>
                <c:pt idx="4">
                  <c:v>50.106639999999999</c:v>
                </c:pt>
                <c:pt idx="5">
                  <c:v>49.368209999999998</c:v>
                </c:pt>
                <c:pt idx="6">
                  <c:v>49.53443</c:v>
                </c:pt>
                <c:pt idx="7">
                  <c:v>49.247515999999997</c:v>
                </c:pt>
                <c:pt idx="8">
                  <c:v>53.233455999999997</c:v>
                </c:pt>
                <c:pt idx="9">
                  <c:v>52.061998000000003</c:v>
                </c:pt>
                <c:pt idx="10">
                  <c:v>51</c:v>
                </c:pt>
                <c:pt idx="11">
                  <c:v>49.718000000000004</c:v>
                </c:pt>
                <c:pt idx="12">
                  <c:v>49.017673000000002</c:v>
                </c:pt>
                <c:pt idx="13">
                  <c:v>47.981530999999997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1-4F4A-B62E-07F09365CF7A}"/>
            </c:ext>
          </c:extLst>
        </c:ser>
        <c:ser>
          <c:idx val="5"/>
          <c:order val="1"/>
          <c:tx>
            <c:v>Wood-based panels</c:v>
          </c:tx>
          <c:spPr>
            <a:ln w="28575" cap="rnd">
              <a:solidFill>
                <a:srgbClr val="FDB462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PRODUCTS'!$D$31:$Q$31</c:f>
              <c:numCache>
                <c:formatCode>0</c:formatCode>
                <c:ptCount val="14"/>
                <c:pt idx="0">
                  <c:v>41.849964</c:v>
                </c:pt>
                <c:pt idx="1">
                  <c:v>41.1447699</c:v>
                </c:pt>
                <c:pt idx="2">
                  <c:v>40.3767</c:v>
                </c:pt>
                <c:pt idx="3">
                  <c:v>42.981107000000002</c:v>
                </c:pt>
                <c:pt idx="4">
                  <c:v>45.577401999999999</c:v>
                </c:pt>
                <c:pt idx="5">
                  <c:v>45.836056499999998</c:v>
                </c:pt>
                <c:pt idx="6">
                  <c:v>46.743749000000001</c:v>
                </c:pt>
                <c:pt idx="7">
                  <c:v>47.061183</c:v>
                </c:pt>
                <c:pt idx="8">
                  <c:v>44.518450600000001</c:v>
                </c:pt>
                <c:pt idx="9">
                  <c:v>44.659390100000003</c:v>
                </c:pt>
                <c:pt idx="10">
                  <c:v>43.044097200000003</c:v>
                </c:pt>
                <c:pt idx="11">
                  <c:v>45.046331200000004</c:v>
                </c:pt>
                <c:pt idx="12">
                  <c:v>43.319676400000006</c:v>
                </c:pt>
                <c:pt idx="13">
                  <c:v>40.8133713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1-4F4A-B62E-07F09365CF7A}"/>
            </c:ext>
          </c:extLst>
        </c:ser>
        <c:ser>
          <c:idx val="0"/>
          <c:order val="2"/>
          <c:tx>
            <c:v>Wood residues</c:v>
          </c:tx>
          <c:spPr>
            <a:ln w="28575" cap="rnd">
              <a:solidFill>
                <a:srgbClr val="FCCDE5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PRODUCTS'!$D$28:$Q$28</c:f>
              <c:numCache>
                <c:formatCode>#,##0</c:formatCode>
                <c:ptCount val="14"/>
                <c:pt idx="0">
                  <c:v>17.400359999999999</c:v>
                </c:pt>
                <c:pt idx="1">
                  <c:v>17.247920000000001</c:v>
                </c:pt>
                <c:pt idx="2">
                  <c:v>18.245439999999999</c:v>
                </c:pt>
                <c:pt idx="3">
                  <c:v>19.53304</c:v>
                </c:pt>
                <c:pt idx="4">
                  <c:v>20.423999999999999</c:v>
                </c:pt>
                <c:pt idx="5">
                  <c:v>20.423999999999999</c:v>
                </c:pt>
                <c:pt idx="6">
                  <c:v>20.423999999999999</c:v>
                </c:pt>
                <c:pt idx="7">
                  <c:v>21.126999999999999</c:v>
                </c:pt>
                <c:pt idx="8">
                  <c:v>21.930678480000001</c:v>
                </c:pt>
                <c:pt idx="9">
                  <c:v>22.627594199999997</c:v>
                </c:pt>
                <c:pt idx="10">
                  <c:v>19.597609439999999</c:v>
                </c:pt>
                <c:pt idx="11">
                  <c:v>24.088568800000001</c:v>
                </c:pt>
                <c:pt idx="12">
                  <c:v>14.08311168</c:v>
                </c:pt>
                <c:pt idx="13">
                  <c:v>14.295803959999999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1-4F4A-B62E-07F09365CF7A}"/>
            </c:ext>
          </c:extLst>
        </c:ser>
        <c:ser>
          <c:idx val="6"/>
          <c:order val="3"/>
          <c:tx>
            <c:v>Wood pellets</c:v>
          </c:tx>
          <c:spPr>
            <a:ln w="28575" cap="rnd">
              <a:solidFill>
                <a:srgbClr val="D9D9D9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PRODUCTS'!$D$34:$Q$34</c:f>
              <c:numCache>
                <c:formatCode>General</c:formatCode>
                <c:ptCount val="14"/>
                <c:pt idx="2" formatCode="0.0">
                  <c:v>3.4740000000000002</c:v>
                </c:pt>
                <c:pt idx="3" formatCode="0.0">
                  <c:v>4.7039999999999997</c:v>
                </c:pt>
                <c:pt idx="4" formatCode="0.0">
                  <c:v>5.9470000000000001</c:v>
                </c:pt>
                <c:pt idx="5" formatCode="0.0">
                  <c:v>6.5170000000000003</c:v>
                </c:pt>
                <c:pt idx="6" formatCode="0.0">
                  <c:v>6.3929999999999998</c:v>
                </c:pt>
                <c:pt idx="7" formatCode="0.0">
                  <c:v>6.9</c:v>
                </c:pt>
                <c:pt idx="8" formatCode="0.0">
                  <c:v>7.4683609999999998</c:v>
                </c:pt>
                <c:pt idx="9" formatCode="0.0">
                  <c:v>8.5927129999999998</c:v>
                </c:pt>
                <c:pt idx="10" formatCode="0.0">
                  <c:v>8.4123590000000004</c:v>
                </c:pt>
                <c:pt idx="11" formatCode="0.0">
                  <c:v>8.4486000000000008</c:v>
                </c:pt>
                <c:pt idx="12" formatCode="0.0">
                  <c:v>9.5440000000000005</c:v>
                </c:pt>
                <c:pt idx="13" formatCode="0.0">
                  <c:v>9.820703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C1-4F4A-B62E-07F09365C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tonnes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8.8821553555805524E-2"/>
          <c:y val="5.2607994313210851E-2"/>
          <c:w val="0.85052368453943261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965148160619029E-2"/>
          <c:y val="3.8579213453513429E-2"/>
          <c:w val="0.87270199259229408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v>Imports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PRODUCTS'!$D$35:$Q$35</c:f>
              <c:numCache>
                <c:formatCode>#,##0</c:formatCode>
                <c:ptCount val="14"/>
                <c:pt idx="0">
                  <c:v>19.542151</c:v>
                </c:pt>
                <c:pt idx="1">
                  <c:v>19.527676</c:v>
                </c:pt>
                <c:pt idx="2">
                  <c:v>20.752316</c:v>
                </c:pt>
                <c:pt idx="3">
                  <c:v>22.952586</c:v>
                </c:pt>
                <c:pt idx="4">
                  <c:v>24.613980000000002</c:v>
                </c:pt>
                <c:pt idx="5">
                  <c:v>23.685320999999998</c:v>
                </c:pt>
                <c:pt idx="6">
                  <c:v>24.078761</c:v>
                </c:pt>
                <c:pt idx="7">
                  <c:v>24.93886586</c:v>
                </c:pt>
                <c:pt idx="8">
                  <c:v>26.906649999999999</c:v>
                </c:pt>
                <c:pt idx="9">
                  <c:v>23.306733000000001</c:v>
                </c:pt>
                <c:pt idx="10">
                  <c:v>24.606244</c:v>
                </c:pt>
                <c:pt idx="11">
                  <c:v>36.694448999999999</c:v>
                </c:pt>
                <c:pt idx="12">
                  <c:v>39.159768</c:v>
                </c:pt>
                <c:pt idx="13">
                  <c:v>27.151340999999999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D-49C3-A07D-296E9FE0FF44}"/>
            </c:ext>
          </c:extLst>
        </c:ser>
        <c:ser>
          <c:idx val="0"/>
          <c:order val="1"/>
          <c:tx>
            <c:v>Exports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'FOREST PRODUCTS'!$D$3:$Q$3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'FOREST PRODUCTS'!$D$36:$Q$36</c:f>
              <c:numCache>
                <c:formatCode>#,##0</c:formatCode>
                <c:ptCount val="14"/>
                <c:pt idx="0">
                  <c:v>22.923905000000001</c:v>
                </c:pt>
                <c:pt idx="1">
                  <c:v>25.250957</c:v>
                </c:pt>
                <c:pt idx="2">
                  <c:v>25.605682000000002</c:v>
                </c:pt>
                <c:pt idx="3">
                  <c:v>26.595675</c:v>
                </c:pt>
                <c:pt idx="4">
                  <c:v>27.234076000000002</c:v>
                </c:pt>
                <c:pt idx="5">
                  <c:v>25.149515999999998</c:v>
                </c:pt>
                <c:pt idx="6">
                  <c:v>24.636382999999999</c:v>
                </c:pt>
                <c:pt idx="7">
                  <c:v>27.084950460000002</c:v>
                </c:pt>
                <c:pt idx="8">
                  <c:v>28.296900000000001</c:v>
                </c:pt>
                <c:pt idx="9">
                  <c:v>24.441915999999999</c:v>
                </c:pt>
                <c:pt idx="10">
                  <c:v>22.364104000000001</c:v>
                </c:pt>
                <c:pt idx="11">
                  <c:v>27.051831</c:v>
                </c:pt>
                <c:pt idx="12">
                  <c:v>29.972066999999999</c:v>
                </c:pt>
                <c:pt idx="13">
                  <c:v>25.010581999999999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9C3-A07D-296E9FE0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5.2608018345700128E-2"/>
          <c:w val="0.27438085864266964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40746953433422"/>
          <c:y val="3.8579213453513429E-2"/>
          <c:w val="0.87947235224937925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strRef>
              <c:f>FUNDING!$A$35</c:f>
              <c:strCache>
                <c:ptCount val="1"/>
                <c:pt idx="0">
                  <c:v>Ethanol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FUNDING!$B$35:$O$35</c:f>
              <c:numCache>
                <c:formatCode>General</c:formatCode>
                <c:ptCount val="14"/>
                <c:pt idx="0">
                  <c:v>303</c:v>
                </c:pt>
                <c:pt idx="1">
                  <c:v>165</c:v>
                </c:pt>
                <c:pt idx="2">
                  <c:v>184</c:v>
                </c:pt>
                <c:pt idx="3">
                  <c:v>176</c:v>
                </c:pt>
                <c:pt idx="4">
                  <c:v>191</c:v>
                </c:pt>
                <c:pt idx="5">
                  <c:v>175</c:v>
                </c:pt>
                <c:pt idx="6">
                  <c:v>130</c:v>
                </c:pt>
                <c:pt idx="7">
                  <c:v>148</c:v>
                </c:pt>
                <c:pt idx="8">
                  <c:v>147</c:v>
                </c:pt>
                <c:pt idx="9">
                  <c:v>155</c:v>
                </c:pt>
                <c:pt idx="10">
                  <c:v>119</c:v>
                </c:pt>
                <c:pt idx="11">
                  <c:v>134</c:v>
                </c:pt>
                <c:pt idx="12">
                  <c:v>48</c:v>
                </c:pt>
                <c:pt idx="1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3-4E17-A9AD-6BFBCFC81D27}"/>
            </c:ext>
          </c:extLst>
        </c:ser>
        <c:ser>
          <c:idx val="0"/>
          <c:order val="1"/>
          <c:tx>
            <c:strRef>
              <c:f>FUNDING!$A$36</c:f>
              <c:strCache>
                <c:ptCount val="1"/>
                <c:pt idx="0">
                  <c:v>Biodiesel 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FUNDING!$B$36:$O$36</c:f>
              <c:numCache>
                <c:formatCode>General</c:formatCode>
                <c:ptCount val="14"/>
                <c:pt idx="0">
                  <c:v>123</c:v>
                </c:pt>
                <c:pt idx="1">
                  <c:v>71</c:v>
                </c:pt>
                <c:pt idx="2">
                  <c:v>64</c:v>
                </c:pt>
                <c:pt idx="3">
                  <c:v>56</c:v>
                </c:pt>
                <c:pt idx="4">
                  <c:v>58</c:v>
                </c:pt>
                <c:pt idx="5">
                  <c:v>36</c:v>
                </c:pt>
                <c:pt idx="6">
                  <c:v>26</c:v>
                </c:pt>
                <c:pt idx="7">
                  <c:v>23</c:v>
                </c:pt>
                <c:pt idx="8">
                  <c:v>26</c:v>
                </c:pt>
                <c:pt idx="9">
                  <c:v>32</c:v>
                </c:pt>
                <c:pt idx="10">
                  <c:v>14</c:v>
                </c:pt>
                <c:pt idx="11">
                  <c:v>10</c:v>
                </c:pt>
                <c:pt idx="12">
                  <c:v>6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13-4E17-A9AD-6BFBCFC81D27}"/>
            </c:ext>
          </c:extLst>
        </c:ser>
        <c:ser>
          <c:idx val="2"/>
          <c:order val="2"/>
          <c:tx>
            <c:strRef>
              <c:f>FUNDING!$A$43</c:f>
              <c:strCache>
                <c:ptCount val="1"/>
                <c:pt idx="0">
                  <c:v>Biogas</c:v>
                </c:pt>
              </c:strCache>
            </c:strRef>
          </c:tx>
          <c:spPr>
            <a:ln w="28575" cap="rnd">
              <a:solidFill>
                <a:srgbClr val="B2DF8A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FUNDING!$B$43:$O$43</c:f>
              <c:numCache>
                <c:formatCode>General</c:formatCode>
                <c:ptCount val="14"/>
                <c:pt idx="0">
                  <c:v>34</c:v>
                </c:pt>
                <c:pt idx="1">
                  <c:v>27</c:v>
                </c:pt>
                <c:pt idx="2">
                  <c:v>23</c:v>
                </c:pt>
                <c:pt idx="3">
                  <c:v>23</c:v>
                </c:pt>
                <c:pt idx="4">
                  <c:v>31</c:v>
                </c:pt>
                <c:pt idx="5">
                  <c:v>14</c:v>
                </c:pt>
                <c:pt idx="6">
                  <c:v>24</c:v>
                </c:pt>
                <c:pt idx="7">
                  <c:v>20</c:v>
                </c:pt>
                <c:pt idx="8">
                  <c:v>13</c:v>
                </c:pt>
                <c:pt idx="9">
                  <c:v>25</c:v>
                </c:pt>
                <c:pt idx="10">
                  <c:v>20</c:v>
                </c:pt>
                <c:pt idx="11">
                  <c:v>15</c:v>
                </c:pt>
                <c:pt idx="12">
                  <c:v>17</c:v>
                </c:pt>
                <c:pt idx="1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13-4E17-A9AD-6BFBCFC81D27}"/>
            </c:ext>
          </c:extLst>
        </c:ser>
        <c:ser>
          <c:idx val="3"/>
          <c:order val="3"/>
          <c:tx>
            <c:strRef>
              <c:f>FUNDING!$A$42</c:f>
              <c:strCache>
                <c:ptCount val="1"/>
                <c:pt idx="0">
                  <c:v>Waste to energy</c:v>
                </c:pt>
              </c:strCache>
            </c:strRef>
          </c:tx>
          <c:spPr>
            <a:ln w="28575" cap="rnd">
              <a:solidFill>
                <a:srgbClr val="CAB2D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FUNDING!$B$42:$O$42</c:f>
              <c:numCache>
                <c:formatCode>General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13-4E17-A9AD-6BFBCFC81D27}"/>
            </c:ext>
          </c:extLst>
        </c:ser>
        <c:ser>
          <c:idx val="5"/>
          <c:order val="4"/>
          <c:tx>
            <c:strRef>
              <c:f>FUNDING!$A$41</c:f>
              <c:strCache>
                <c:ptCount val="1"/>
                <c:pt idx="0">
                  <c:v>Wood pellets</c:v>
                </c:pt>
              </c:strCache>
            </c:strRef>
          </c:tx>
          <c:spPr>
            <a:ln w="28575" cap="rnd">
              <a:solidFill>
                <a:srgbClr val="FDBF6F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FUNDING!$B$41:$O$41</c:f>
              <c:numCache>
                <c:formatCode>General</c:formatCode>
                <c:ptCount val="1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13-4E17-A9AD-6BFBCFC8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7.9330708661417317E-3"/>
              <c:y val="0.302078138670166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9.2826209223847017E-2"/>
          <c:y val="5.9657425634295706E-2"/>
          <c:w val="0.81807211598550178"/>
          <c:h val="5.0872647955885482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6949343913487"/>
          <c:y val="3.8579213453513429E-2"/>
          <c:w val="0.88001016630454831"/>
          <c:h val="0.87825897008136433"/>
        </c:manualLayout>
      </c:layout>
      <c:lineChart>
        <c:grouping val="standard"/>
        <c:varyColors val="0"/>
        <c:ser>
          <c:idx val="1"/>
          <c:order val="0"/>
          <c:tx>
            <c:strRef>
              <c:f>FUNDING!$A$44</c:f>
              <c:strCache>
                <c:ptCount val="1"/>
                <c:pt idx="0">
                  <c:v>Bioproducts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FUNDING!$B$44:$O$44</c:f>
              <c:numCache>
                <c:formatCode>General</c:formatCode>
                <c:ptCount val="14"/>
                <c:pt idx="0">
                  <c:v>69</c:v>
                </c:pt>
                <c:pt idx="1">
                  <c:v>60</c:v>
                </c:pt>
                <c:pt idx="2">
                  <c:v>44</c:v>
                </c:pt>
                <c:pt idx="3">
                  <c:v>41</c:v>
                </c:pt>
                <c:pt idx="4">
                  <c:v>55</c:v>
                </c:pt>
                <c:pt idx="5">
                  <c:v>43</c:v>
                </c:pt>
                <c:pt idx="6">
                  <c:v>38</c:v>
                </c:pt>
                <c:pt idx="7">
                  <c:v>45</c:v>
                </c:pt>
                <c:pt idx="8">
                  <c:v>41</c:v>
                </c:pt>
                <c:pt idx="9">
                  <c:v>48</c:v>
                </c:pt>
                <c:pt idx="10">
                  <c:v>32</c:v>
                </c:pt>
                <c:pt idx="11">
                  <c:v>25</c:v>
                </c:pt>
                <c:pt idx="12">
                  <c:v>22</c:v>
                </c:pt>
                <c:pt idx="13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6D-4042-BB9D-E5DA55E5735D}"/>
            </c:ext>
          </c:extLst>
        </c:ser>
        <c:ser>
          <c:idx val="2"/>
          <c:order val="1"/>
          <c:tx>
            <c:strRef>
              <c:f>FUNDING!$A$45</c:f>
              <c:strCache>
                <c:ptCount val="1"/>
                <c:pt idx="0">
                  <c:v>Bioplastics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FUNDING!$B$45:$O$45</c:f>
              <c:numCache>
                <c:formatCode>General</c:formatCode>
                <c:ptCount val="14"/>
                <c:pt idx="0">
                  <c:v>17</c:v>
                </c:pt>
                <c:pt idx="1">
                  <c:v>6</c:v>
                </c:pt>
                <c:pt idx="2">
                  <c:v>10</c:v>
                </c:pt>
                <c:pt idx="3">
                  <c:v>18</c:v>
                </c:pt>
                <c:pt idx="4">
                  <c:v>16</c:v>
                </c:pt>
                <c:pt idx="5">
                  <c:v>7</c:v>
                </c:pt>
                <c:pt idx="6">
                  <c:v>13</c:v>
                </c:pt>
                <c:pt idx="7">
                  <c:v>11</c:v>
                </c:pt>
                <c:pt idx="8">
                  <c:v>15</c:v>
                </c:pt>
                <c:pt idx="9">
                  <c:v>14</c:v>
                </c:pt>
                <c:pt idx="10">
                  <c:v>9</c:v>
                </c:pt>
                <c:pt idx="11">
                  <c:v>15</c:v>
                </c:pt>
                <c:pt idx="12">
                  <c:v>14</c:v>
                </c:pt>
                <c:pt idx="1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6D-4042-BB9D-E5DA55E5735D}"/>
            </c:ext>
          </c:extLst>
        </c:ser>
        <c:ser>
          <c:idx val="3"/>
          <c:order val="2"/>
          <c:tx>
            <c:strRef>
              <c:f>FUNDING!$A$46</c:f>
              <c:strCache>
                <c:ptCount val="1"/>
                <c:pt idx="0">
                  <c:v>Biochemicals</c:v>
                </c:pt>
              </c:strCache>
            </c:strRef>
          </c:tx>
          <c:spPr>
            <a:ln w="28575" cap="rnd">
              <a:solidFill>
                <a:srgbClr val="ABDDA4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FUNDING!$B$3:$O$3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FUNDING!$B$46:$O$46</c:f>
              <c:numCache>
                <c:formatCode>General</c:formatCode>
                <c:ptCount val="14"/>
                <c:pt idx="0">
                  <c:v>16</c:v>
                </c:pt>
                <c:pt idx="1">
                  <c:v>22</c:v>
                </c:pt>
                <c:pt idx="2">
                  <c:v>14</c:v>
                </c:pt>
                <c:pt idx="3">
                  <c:v>18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19</c:v>
                </c:pt>
                <c:pt idx="9">
                  <c:v>9</c:v>
                </c:pt>
                <c:pt idx="10">
                  <c:v>6</c:v>
                </c:pt>
                <c:pt idx="11">
                  <c:v>11</c:v>
                </c:pt>
                <c:pt idx="12">
                  <c:v>4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D-4042-BB9D-E5DA55E57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9.9172256654211123E-3"/>
              <c:y val="0.33332827044442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10667872203130394"/>
          <c:y val="6.3129622014840153E-2"/>
          <c:w val="0.52565866766654168"/>
          <c:h val="5.924732064741907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39352511867788E-2"/>
          <c:y val="3.8579213453513429E-2"/>
          <c:w val="0.89334034895528514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strRef>
              <c:f>FUNDING!$A$38</c:f>
              <c:strCache>
                <c:ptCount val="1"/>
                <c:pt idx="0">
                  <c:v>Renewable Jet fuel</c:v>
                </c:pt>
              </c:strCache>
            </c:strRef>
          </c:tx>
          <c:spPr>
            <a:ln w="28575" cap="rnd">
              <a:solidFill>
                <a:srgbClr val="FB9A99"/>
              </a:solidFill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FUNDING!$B$38:$O$38</c:f>
              <c:numCache>
                <c:formatCode>General</c:formatCode>
                <c:ptCount val="14"/>
                <c:pt idx="0">
                  <c:v>1</c:v>
                </c:pt>
                <c:pt idx="1">
                  <c:v>14</c:v>
                </c:pt>
                <c:pt idx="2">
                  <c:v>22</c:v>
                </c:pt>
                <c:pt idx="3">
                  <c:v>14</c:v>
                </c:pt>
                <c:pt idx="4">
                  <c:v>18</c:v>
                </c:pt>
                <c:pt idx="5">
                  <c:v>17</c:v>
                </c:pt>
                <c:pt idx="6">
                  <c:v>16</c:v>
                </c:pt>
                <c:pt idx="7">
                  <c:v>21</c:v>
                </c:pt>
                <c:pt idx="8">
                  <c:v>14</c:v>
                </c:pt>
                <c:pt idx="9">
                  <c:v>14</c:v>
                </c:pt>
                <c:pt idx="10">
                  <c:v>11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5C-4D6F-BD1D-511E5B6F50FB}"/>
            </c:ext>
          </c:extLst>
        </c:ser>
        <c:ser>
          <c:idx val="6"/>
          <c:order val="1"/>
          <c:tx>
            <c:strRef>
              <c:f>FUNDING!$A$37</c:f>
              <c:strCache>
                <c:ptCount val="1"/>
                <c:pt idx="0">
                  <c:v>Renewable diesel</c:v>
                </c:pt>
              </c:strCache>
            </c:strRef>
          </c:tx>
          <c:spPr>
            <a:ln w="28575" cap="rnd">
              <a:solidFill>
                <a:srgbClr val="A6CEE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FUNDING!$B$37:$O$37</c:f>
              <c:numCache>
                <c:formatCode>General</c:formatCode>
                <c:ptCount val="1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C-4D6F-BD1D-511E5B6F50FB}"/>
            </c:ext>
          </c:extLst>
        </c:ser>
        <c:ser>
          <c:idx val="7"/>
          <c:order val="2"/>
          <c:tx>
            <c:strRef>
              <c:f>FUNDING!$A$39</c:f>
              <c:strCache>
                <c:ptCount val="1"/>
                <c:pt idx="0">
                  <c:v>Recycled greases</c:v>
                </c:pt>
              </c:strCache>
            </c:strRef>
          </c:tx>
          <c:spPr>
            <a:ln w="28575" cap="rnd">
              <a:solidFill>
                <a:srgbClr val="B2DF8A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FUNDING!$B$39:$O$39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5C-4D6F-BD1D-511E5B6F50FB}"/>
            </c:ext>
          </c:extLst>
        </c:ser>
        <c:ser>
          <c:idx val="9"/>
          <c:order val="3"/>
          <c:tx>
            <c:strRef>
              <c:f>FUNDING!$A$40</c:f>
              <c:strCache>
                <c:ptCount val="1"/>
                <c:pt idx="0">
                  <c:v>Animal Fats</c:v>
                </c:pt>
              </c:strCache>
            </c:strRef>
          </c:tx>
          <c:spPr>
            <a:ln w="28575" cap="rnd">
              <a:solidFill>
                <a:srgbClr val="CAB2D6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FUNDING!$B$33:$O$33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FUNDING!$B$40:$O$40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C-4D6F-BD1D-511E5B6F5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1.98068991376078E-3"/>
              <c:y val="0.31943924978127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7.8942163479565064E-2"/>
          <c:y val="5.2739921932835318E-2"/>
          <c:w val="0.58248024327705406"/>
          <c:h val="0.1208266034053435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89838770153715E-2"/>
          <c:y val="3.4546970691163609E-2"/>
          <c:w val="0.88938476440444947"/>
          <c:h val="0.849272473753280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FUNDING!$D$86</c:f>
              <c:strCache>
                <c:ptCount val="1"/>
                <c:pt idx="0">
                  <c:v>Traditional biofuel</c:v>
                </c:pt>
              </c:strCache>
            </c:strRef>
          </c:tx>
          <c:spPr>
            <a:solidFill>
              <a:srgbClr val="80B1D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FUNDING!$D$87:$D$95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4</c:v>
                </c:pt>
                <c:pt idx="4">
                  <c:v>2</c:v>
                </c:pt>
                <c:pt idx="5">
                  <c:v>23</c:v>
                </c:pt>
                <c:pt idx="6">
                  <c:v>16</c:v>
                </c:pt>
                <c:pt idx="7">
                  <c:v>22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A-41DE-B534-8D5C8196BCB9}"/>
            </c:ext>
          </c:extLst>
        </c:ser>
        <c:ser>
          <c:idx val="1"/>
          <c:order val="1"/>
          <c:tx>
            <c:strRef>
              <c:f>FUNDING!$E$86</c:f>
              <c:strCache>
                <c:ptCount val="1"/>
                <c:pt idx="0">
                  <c:v>Emergent biofuel</c:v>
                </c:pt>
              </c:strCache>
            </c:strRef>
          </c:tx>
          <c:spPr>
            <a:solidFill>
              <a:srgbClr val="ABDDA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FUNDING!$E$87:$E$95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A-41DE-B534-8D5C8196BCB9}"/>
            </c:ext>
          </c:extLst>
        </c:ser>
        <c:ser>
          <c:idx val="2"/>
          <c:order val="2"/>
          <c:tx>
            <c:strRef>
              <c:f>FUNDING!$F$86</c:f>
              <c:strCache>
                <c:ptCount val="1"/>
                <c:pt idx="0">
                  <c:v>Bioproducts</c:v>
                </c:pt>
              </c:strCache>
            </c:strRef>
          </c:tx>
          <c:spPr>
            <a:solidFill>
              <a:srgbClr val="FB9A99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FUNDING!$B$87:$C$95</c:f>
              <c:multiLvlStrCache>
                <c:ptCount val="9"/>
                <c:lvl>
                  <c:pt idx="0">
                    <c:v>&lt;50K</c:v>
                  </c:pt>
                  <c:pt idx="1">
                    <c:v>50K-100K</c:v>
                  </c:pt>
                  <c:pt idx="2">
                    <c:v>100K-500K</c:v>
                  </c:pt>
                  <c:pt idx="3">
                    <c:v>500K-1M</c:v>
                  </c:pt>
                  <c:pt idx="4">
                    <c:v>&gt;1M</c:v>
                  </c:pt>
                  <c:pt idx="5">
                    <c:v>0-250K</c:v>
                  </c:pt>
                  <c:pt idx="6">
                    <c:v>250K-500K</c:v>
                  </c:pt>
                  <c:pt idx="7">
                    <c:v>500K-1M</c:v>
                  </c:pt>
                  <c:pt idx="8">
                    <c:v>&gt;1M</c:v>
                  </c:pt>
                </c:lvl>
                <c:lvl>
                  <c:pt idx="0">
                    <c:v>Amount awarded 2023 NSF</c:v>
                  </c:pt>
                  <c:pt idx="5">
                    <c:v>Amount awarded 2023 NIFA</c:v>
                  </c:pt>
                </c:lvl>
              </c:multiLvlStrCache>
            </c:multiLvlStrRef>
          </c:cat>
          <c:val>
            <c:numRef>
              <c:f>FUNDING!$F$87:$F$95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15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A-41DE-B534-8D5C8196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5798320"/>
        <c:axId val="1015794992"/>
      </c:barChart>
      <c:catAx>
        <c:axId val="101579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15794992"/>
        <c:crosses val="autoZero"/>
        <c:auto val="1"/>
        <c:lblAlgn val="ctr"/>
        <c:lblOffset val="100"/>
        <c:noMultiLvlLbl val="0"/>
      </c:catAx>
      <c:valAx>
        <c:axId val="101579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/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1.2618296529968454E-2"/>
              <c:y val="0.34714404816069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015798320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9.4793348084551185E-2"/>
          <c:y val="5.0706529925774624E-2"/>
          <c:w val="0.47050692924815279"/>
          <c:h val="5.260148119075686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10933770945963E-2"/>
          <c:y val="2.0833333333333332E-2"/>
          <c:w val="0.81766754516598317"/>
          <c:h val="0.6321244621220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CSC!$G$1</c:f>
              <c:strCache>
                <c:ptCount val="1"/>
                <c:pt idx="0">
                  <c:v>Dairy and livestock</c:v>
                </c:pt>
              </c:strCache>
            </c:strRef>
          </c:tx>
          <c:spPr>
            <a:solidFill>
              <a:srgbClr val="2B83BA"/>
            </a:solidFill>
            <a:ln w="3175">
              <a:solidFill>
                <a:schemeClr val="tx1"/>
              </a:solidFill>
            </a:ln>
          </c:spPr>
          <c:invertIfNegative val="0"/>
          <c:cat>
            <c:strRef>
              <c:f>(CSC!$A$2:$A$11,CSC!$A$54)</c:f>
              <c:strCache>
                <c:ptCount val="11"/>
                <c:pt idx="0">
                  <c:v>California</c:v>
                </c:pt>
                <c:pt idx="1">
                  <c:v>Missouri</c:v>
                </c:pt>
                <c:pt idx="2">
                  <c:v>New York</c:v>
                </c:pt>
                <c:pt idx="3">
                  <c:v>Texas</c:v>
                </c:pt>
                <c:pt idx="4">
                  <c:v>Virginia</c:v>
                </c:pt>
                <c:pt idx="5">
                  <c:v>Iowa</c:v>
                </c:pt>
                <c:pt idx="6">
                  <c:v>Minnesota</c:v>
                </c:pt>
                <c:pt idx="7">
                  <c:v>Pennsylvania</c:v>
                </c:pt>
                <c:pt idx="8">
                  <c:v>Mississippi</c:v>
                </c:pt>
                <c:pt idx="9">
                  <c:v>Oklahoma</c:v>
                </c:pt>
                <c:pt idx="10">
                  <c:v>United States</c:v>
                </c:pt>
              </c:strCache>
            </c:strRef>
          </c:cat>
          <c:val>
            <c:numRef>
              <c:f>(CSC!$G$2:$G$11,CSC!$G$54)</c:f>
              <c:numCache>
                <c:formatCode>0.00</c:formatCode>
                <c:ptCount val="11"/>
                <c:pt idx="0">
                  <c:v>11.583333333333334</c:v>
                </c:pt>
                <c:pt idx="1">
                  <c:v>12.500000000000002</c:v>
                </c:pt>
                <c:pt idx="2">
                  <c:v>14.16666666666667</c:v>
                </c:pt>
                <c:pt idx="3">
                  <c:v>13.666666666666666</c:v>
                </c:pt>
                <c:pt idx="4">
                  <c:v>12.166666666666668</c:v>
                </c:pt>
                <c:pt idx="5">
                  <c:v>11.583333333333334</c:v>
                </c:pt>
                <c:pt idx="6">
                  <c:v>12.333333333333334</c:v>
                </c:pt>
                <c:pt idx="7">
                  <c:v>13.166666666666668</c:v>
                </c:pt>
                <c:pt idx="8">
                  <c:v>10.250000000000002</c:v>
                </c:pt>
                <c:pt idx="9">
                  <c:v>12.583333333333334</c:v>
                </c:pt>
                <c:pt idx="10">
                  <c:v>38.666666666666679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6-424A-BCF1-741661C502F3}"/>
            </c:ext>
          </c:extLst>
        </c:ser>
        <c:ser>
          <c:idx val="1"/>
          <c:order val="1"/>
          <c:tx>
            <c:strRef>
              <c:f>CSC!$H$1</c:f>
              <c:strCache>
                <c:ptCount val="1"/>
                <c:pt idx="0">
                  <c:v>Row and energy crops</c:v>
                </c:pt>
              </c:strCache>
            </c:strRef>
          </c:tx>
          <c:spPr>
            <a:solidFill>
              <a:srgbClr val="FFFFBF"/>
            </a:solidFill>
            <a:ln w="3175">
              <a:solidFill>
                <a:schemeClr val="tx1"/>
              </a:solidFill>
            </a:ln>
          </c:spPr>
          <c:invertIfNegative val="0"/>
          <c:cat>
            <c:strRef>
              <c:f>(CSC!$A$2:$A$11,CSC!$A$54)</c:f>
              <c:strCache>
                <c:ptCount val="11"/>
                <c:pt idx="0">
                  <c:v>California</c:v>
                </c:pt>
                <c:pt idx="1">
                  <c:v>Missouri</c:v>
                </c:pt>
                <c:pt idx="2">
                  <c:v>New York</c:v>
                </c:pt>
                <c:pt idx="3">
                  <c:v>Texas</c:v>
                </c:pt>
                <c:pt idx="4">
                  <c:v>Virginia</c:v>
                </c:pt>
                <c:pt idx="5">
                  <c:v>Iowa</c:v>
                </c:pt>
                <c:pt idx="6">
                  <c:v>Minnesota</c:v>
                </c:pt>
                <c:pt idx="7">
                  <c:v>Pennsylvania</c:v>
                </c:pt>
                <c:pt idx="8">
                  <c:v>Mississippi</c:v>
                </c:pt>
                <c:pt idx="9">
                  <c:v>Oklahoma</c:v>
                </c:pt>
                <c:pt idx="10">
                  <c:v>United States</c:v>
                </c:pt>
              </c:strCache>
            </c:strRef>
          </c:cat>
          <c:val>
            <c:numRef>
              <c:f>(CSC!$H$2:$H$11,CSC!$H$54)</c:f>
              <c:numCache>
                <c:formatCode>0.00</c:formatCode>
                <c:ptCount val="11"/>
                <c:pt idx="0">
                  <c:v>9.4166666666666661</c:v>
                </c:pt>
                <c:pt idx="1">
                  <c:v>14.500000000000002</c:v>
                </c:pt>
                <c:pt idx="2">
                  <c:v>6</c:v>
                </c:pt>
                <c:pt idx="3">
                  <c:v>12.166666666666666</c:v>
                </c:pt>
                <c:pt idx="4">
                  <c:v>7.6666666666666661</c:v>
                </c:pt>
                <c:pt idx="5">
                  <c:v>12.083333333333336</c:v>
                </c:pt>
                <c:pt idx="6">
                  <c:v>11.333333333333336</c:v>
                </c:pt>
                <c:pt idx="7">
                  <c:v>5.9999999999999991</c:v>
                </c:pt>
                <c:pt idx="8">
                  <c:v>10.416666666666668</c:v>
                </c:pt>
                <c:pt idx="9">
                  <c:v>7.583333333333333</c:v>
                </c:pt>
                <c:pt idx="10">
                  <c:v>34.666666666666671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6-424A-BCF1-741661C502F3}"/>
            </c:ext>
          </c:extLst>
        </c:ser>
        <c:ser>
          <c:idx val="2"/>
          <c:order val="2"/>
          <c:tx>
            <c:strRef>
              <c:f>CSC!$I$1</c:f>
              <c:strCache>
                <c:ptCount val="1"/>
                <c:pt idx="0">
                  <c:v>Fruits, vegetables and specialty crops</c:v>
                </c:pt>
              </c:strCache>
            </c:strRef>
          </c:tx>
          <c:spPr>
            <a:solidFill>
              <a:srgbClr val="FDAE61"/>
            </a:solidFill>
            <a:ln w="3175">
              <a:solidFill>
                <a:schemeClr val="tx1"/>
              </a:solidFill>
            </a:ln>
          </c:spPr>
          <c:invertIfNegative val="0"/>
          <c:cat>
            <c:strRef>
              <c:f>(CSC!$A$2:$A$11,CSC!$A$54)</c:f>
              <c:strCache>
                <c:ptCount val="11"/>
                <c:pt idx="0">
                  <c:v>California</c:v>
                </c:pt>
                <c:pt idx="1">
                  <c:v>Missouri</c:v>
                </c:pt>
                <c:pt idx="2">
                  <c:v>New York</c:v>
                </c:pt>
                <c:pt idx="3">
                  <c:v>Texas</c:v>
                </c:pt>
                <c:pt idx="4">
                  <c:v>Virginia</c:v>
                </c:pt>
                <c:pt idx="5">
                  <c:v>Iowa</c:v>
                </c:pt>
                <c:pt idx="6">
                  <c:v>Minnesota</c:v>
                </c:pt>
                <c:pt idx="7">
                  <c:v>Pennsylvania</c:v>
                </c:pt>
                <c:pt idx="8">
                  <c:v>Mississippi</c:v>
                </c:pt>
                <c:pt idx="9">
                  <c:v>Oklahoma</c:v>
                </c:pt>
                <c:pt idx="10">
                  <c:v>United States</c:v>
                </c:pt>
              </c:strCache>
            </c:strRef>
          </c:cat>
          <c:val>
            <c:numRef>
              <c:f>(CSC!$I$2:$I$11,CSC!$I$54)</c:f>
              <c:numCache>
                <c:formatCode>0.00</c:formatCode>
                <c:ptCount val="11"/>
                <c:pt idx="0">
                  <c:v>10.083333333333334</c:v>
                </c:pt>
                <c:pt idx="1">
                  <c:v>5.9999999999999991</c:v>
                </c:pt>
                <c:pt idx="2">
                  <c:v>3.8333333333333339</c:v>
                </c:pt>
                <c:pt idx="3">
                  <c:v>3.1666666666666665</c:v>
                </c:pt>
                <c:pt idx="4">
                  <c:v>5.6666666666666661</c:v>
                </c:pt>
                <c:pt idx="5">
                  <c:v>4.416666666666667</c:v>
                </c:pt>
                <c:pt idx="6">
                  <c:v>2.6666666666666665</c:v>
                </c:pt>
                <c:pt idx="7">
                  <c:v>4.833333333333333</c:v>
                </c:pt>
                <c:pt idx="8">
                  <c:v>6.7499999999999982</c:v>
                </c:pt>
                <c:pt idx="9">
                  <c:v>5.4166666666666661</c:v>
                </c:pt>
                <c:pt idx="10">
                  <c:v>39.166666666666664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76-424A-BCF1-741661C502F3}"/>
            </c:ext>
          </c:extLst>
        </c:ser>
        <c:ser>
          <c:idx val="4"/>
          <c:order val="3"/>
          <c:tx>
            <c:strRef>
              <c:f>CSC!$J$1</c:f>
              <c:strCache>
                <c:ptCount val="1"/>
                <c:pt idx="0">
                  <c:v>Forests and agroforestry</c:v>
                </c:pt>
              </c:strCache>
            </c:strRef>
          </c:tx>
          <c:spPr>
            <a:solidFill>
              <a:srgbClr val="D7191C"/>
            </a:solidFill>
            <a:ln w="3175">
              <a:solidFill>
                <a:schemeClr val="tx1"/>
              </a:solidFill>
            </a:ln>
          </c:spPr>
          <c:invertIfNegative val="0"/>
          <c:cat>
            <c:strRef>
              <c:f>(CSC!$A$2:$A$11,CSC!$A$54)</c:f>
              <c:strCache>
                <c:ptCount val="11"/>
                <c:pt idx="0">
                  <c:v>California</c:v>
                </c:pt>
                <c:pt idx="1">
                  <c:v>Missouri</c:v>
                </c:pt>
                <c:pt idx="2">
                  <c:v>New York</c:v>
                </c:pt>
                <c:pt idx="3">
                  <c:v>Texas</c:v>
                </c:pt>
                <c:pt idx="4">
                  <c:v>Virginia</c:v>
                </c:pt>
                <c:pt idx="5">
                  <c:v>Iowa</c:v>
                </c:pt>
                <c:pt idx="6">
                  <c:v>Minnesota</c:v>
                </c:pt>
                <c:pt idx="7">
                  <c:v>Pennsylvania</c:v>
                </c:pt>
                <c:pt idx="8">
                  <c:v>Mississippi</c:v>
                </c:pt>
                <c:pt idx="9">
                  <c:v>Oklahoma</c:v>
                </c:pt>
                <c:pt idx="10">
                  <c:v>United States</c:v>
                </c:pt>
              </c:strCache>
            </c:strRef>
          </c:cat>
          <c:val>
            <c:numRef>
              <c:f>(CSC!$J$2:$J$11,CSC!$J$54)</c:f>
              <c:numCache>
                <c:formatCode>0.00</c:formatCode>
                <c:ptCount val="11"/>
                <c:pt idx="0">
                  <c:v>5.916666666666667</c:v>
                </c:pt>
                <c:pt idx="1">
                  <c:v>4</c:v>
                </c:pt>
                <c:pt idx="2">
                  <c:v>7.9999999999999982</c:v>
                </c:pt>
                <c:pt idx="3">
                  <c:v>3</c:v>
                </c:pt>
                <c:pt idx="4">
                  <c:v>6.5</c:v>
                </c:pt>
                <c:pt idx="5">
                  <c:v>2.916666666666667</c:v>
                </c:pt>
                <c:pt idx="6">
                  <c:v>4.666666666666667</c:v>
                </c:pt>
                <c:pt idx="7">
                  <c:v>6.9999999999999991</c:v>
                </c:pt>
                <c:pt idx="8">
                  <c:v>2.5833333333333335</c:v>
                </c:pt>
                <c:pt idx="9">
                  <c:v>4.416666666666667</c:v>
                </c:pt>
                <c:pt idx="10">
                  <c:v>20.499999999999996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76-424A-BCF1-741661C5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7164288"/>
        <c:axId val="717166256"/>
      </c:barChart>
      <c:lineChart>
        <c:grouping val="standard"/>
        <c:varyColors val="0"/>
        <c:ser>
          <c:idx val="3"/>
          <c:order val="4"/>
          <c:tx>
            <c:strRef>
              <c:f>CSC!$E$1</c:f>
              <c:strCache>
                <c:ptCount val="1"/>
                <c:pt idx="0">
                  <c:v>Federal Funding</c:v>
                </c:pt>
              </c:strCache>
            </c:strRef>
          </c:tx>
          <c:spPr>
            <a:ln>
              <a:solidFill>
                <a:srgbClr val="ABDDA4"/>
              </a:solidFill>
            </a:ln>
          </c:spPr>
          <c:marker>
            <c:symbol val="none"/>
          </c:marker>
          <c:dLbls>
            <c:dLbl>
              <c:idx val="10"/>
              <c:layout>
                <c:manualLayout>
                  <c:x val="-8.7757936507936507E-2"/>
                  <c:y val="-1.03993344425956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76-424A-BCF1-741661C502F3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(CSC!$A$2:$A$11,CSC!$A$54)</c:f>
              <c:strCache>
                <c:ptCount val="11"/>
                <c:pt idx="0">
                  <c:v>California</c:v>
                </c:pt>
                <c:pt idx="1">
                  <c:v>Missouri</c:v>
                </c:pt>
                <c:pt idx="2">
                  <c:v>New York</c:v>
                </c:pt>
                <c:pt idx="3">
                  <c:v>Texas</c:v>
                </c:pt>
                <c:pt idx="4">
                  <c:v>Virginia</c:v>
                </c:pt>
                <c:pt idx="5">
                  <c:v>Iowa</c:v>
                </c:pt>
                <c:pt idx="6">
                  <c:v>Minnesota</c:v>
                </c:pt>
                <c:pt idx="7">
                  <c:v>Pennsylvania</c:v>
                </c:pt>
                <c:pt idx="8">
                  <c:v>Mississippi</c:v>
                </c:pt>
                <c:pt idx="9">
                  <c:v>Oklahoma</c:v>
                </c:pt>
                <c:pt idx="10">
                  <c:v>United States</c:v>
                </c:pt>
              </c:strCache>
            </c:strRef>
          </c:cat>
          <c:val>
            <c:numRef>
              <c:f>(CSC!$F$2:$F$11,CSC!$E$54)</c:f>
              <c:numCache>
                <c:formatCode>_(* #,##0.00_);_(* \(#,##0.00\);_(* "-"??_);_(@_)</c:formatCode>
                <c:ptCount val="11"/>
                <c:pt idx="0">
                  <c:v>1.1000000000000001</c:v>
                </c:pt>
                <c:pt idx="1">
                  <c:v>1.28</c:v>
                </c:pt>
                <c:pt idx="2">
                  <c:v>1.06</c:v>
                </c:pt>
                <c:pt idx="3">
                  <c:v>1.1100000000000001</c:v>
                </c:pt>
                <c:pt idx="4">
                  <c:v>0.94737000000000005</c:v>
                </c:pt>
                <c:pt idx="5">
                  <c:v>1.1100000000000001</c:v>
                </c:pt>
                <c:pt idx="6">
                  <c:v>1.21</c:v>
                </c:pt>
                <c:pt idx="7">
                  <c:v>0.91796</c:v>
                </c:pt>
                <c:pt idx="8">
                  <c:v>0.94801999999999997</c:v>
                </c:pt>
                <c:pt idx="9">
                  <c:v>0.9899</c:v>
                </c:pt>
                <c:pt idx="10" formatCode="0.00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76-424A-BCF1-741661C5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352576"/>
        <c:axId val="144035113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Number of projects</a:t>
                </a:r>
              </a:p>
            </c:rich>
          </c:tx>
          <c:layout>
            <c:manualLayout>
              <c:xMode val="edge"/>
              <c:yMode val="edge"/>
              <c:x val="1.8036807899012622E-3"/>
              <c:y val="0.1894586969301609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valAx>
        <c:axId val="144035113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s-ES" b="0"/>
                  <a:t>Billion Doilars</a:t>
                </a:r>
              </a:p>
            </c:rich>
          </c:tx>
          <c:layout>
            <c:manualLayout>
              <c:xMode val="edge"/>
              <c:yMode val="edge"/>
              <c:x val="0.96544072615923004"/>
              <c:y val="0.25013447639186098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crossAx val="1440352576"/>
        <c:crosses val="max"/>
        <c:crossBetween val="between"/>
      </c:valAx>
      <c:catAx>
        <c:axId val="144035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0351136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3.2192850893638294E-3"/>
          <c:y val="0.84248195853249119"/>
          <c:w val="0.99678071491063613"/>
          <c:h val="0.1531053518393464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45214793527696"/>
          <c:y val="3.8578977659776151E-2"/>
          <c:w val="0.88067702982419804"/>
          <c:h val="0.87825897008136433"/>
        </c:manualLayout>
      </c:layout>
      <c:barChart>
        <c:barDir val="col"/>
        <c:grouping val="clustered"/>
        <c:varyColors val="0"/>
        <c:ser>
          <c:idx val="0"/>
          <c:order val="0"/>
          <c:tx>
            <c:v>World</c:v>
          </c:tx>
          <c:spPr>
            <a:solidFill>
              <a:srgbClr val="2B83BA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CSC!$B$57:$M$57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CSC!$B$58:$M$58</c:f>
              <c:numCache>
                <c:formatCode>General</c:formatCode>
                <c:ptCount val="12"/>
                <c:pt idx="0">
                  <c:v>2.4</c:v>
                </c:pt>
                <c:pt idx="1">
                  <c:v>2.5</c:v>
                </c:pt>
                <c:pt idx="2">
                  <c:v>2.99</c:v>
                </c:pt>
                <c:pt idx="3">
                  <c:v>2.88</c:v>
                </c:pt>
                <c:pt idx="4">
                  <c:v>2.74</c:v>
                </c:pt>
                <c:pt idx="5">
                  <c:v>3.05</c:v>
                </c:pt>
                <c:pt idx="6">
                  <c:v>3.18</c:v>
                </c:pt>
                <c:pt idx="7">
                  <c:v>3.58</c:v>
                </c:pt>
                <c:pt idx="8">
                  <c:v>3.52</c:v>
                </c:pt>
                <c:pt idx="9">
                  <c:v>3.44</c:v>
                </c:pt>
                <c:pt idx="10">
                  <c:v>3.58</c:v>
                </c:pt>
                <c:pt idx="11">
                  <c:v>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9D-4B45-BF4C-8EE5CE5DD729}"/>
            </c:ext>
          </c:extLst>
        </c:ser>
        <c:ser>
          <c:idx val="1"/>
          <c:order val="1"/>
          <c:tx>
            <c:v>United States</c:v>
          </c:tx>
          <c:spPr>
            <a:solidFill>
              <a:srgbClr val="ABDDA4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5714430440831536E-2"/>
                  <c:y val="-1.315683440386389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9D-4B45-BF4C-8EE5CE5DD729}"/>
                </c:ext>
              </c:extLst>
            </c:dLbl>
            <c:dLbl>
              <c:idx val="1"/>
              <c:layout>
                <c:manualLayout>
                  <c:x val="1.571443044083153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9D-4B45-BF4C-8EE5CE5DD729}"/>
                </c:ext>
              </c:extLst>
            </c:dLbl>
            <c:dLbl>
              <c:idx val="2"/>
              <c:layout>
                <c:manualLayout>
                  <c:x val="1.3750126635727593E-2"/>
                  <c:y val="-1.315683440386389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9D-4B45-BF4C-8EE5CE5DD729}"/>
                </c:ext>
              </c:extLst>
            </c:dLbl>
            <c:dLbl>
              <c:idx val="3"/>
              <c:layout>
                <c:manualLayout>
                  <c:x val="1.571443044083153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9D-4B45-BF4C-8EE5CE5DD729}"/>
                </c:ext>
              </c:extLst>
            </c:dLbl>
            <c:dLbl>
              <c:idx val="4"/>
              <c:layout>
                <c:manualLayout>
                  <c:x val="1.37501266357275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9D-4B45-BF4C-8EE5CE5DD729}"/>
                </c:ext>
              </c:extLst>
            </c:dLbl>
            <c:dLbl>
              <c:idx val="5"/>
              <c:layout>
                <c:manualLayout>
                  <c:x val="1.37501266357275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9D-4B45-BF4C-8EE5CE5DD729}"/>
                </c:ext>
              </c:extLst>
            </c:dLbl>
            <c:dLbl>
              <c:idx val="6"/>
              <c:layout>
                <c:manualLayout>
                  <c:x val="1.37501266357275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9D-4B45-BF4C-8EE5CE5DD729}"/>
                </c:ext>
              </c:extLst>
            </c:dLbl>
            <c:dLbl>
              <c:idx val="7"/>
              <c:layout>
                <c:manualLayout>
                  <c:x val="1.37501266357274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9D-4B45-BF4C-8EE5CE5DD729}"/>
                </c:ext>
              </c:extLst>
            </c:dLbl>
            <c:dLbl>
              <c:idx val="8"/>
              <c:layout>
                <c:manualLayout>
                  <c:x val="1.1785822830623651E-2"/>
                  <c:y val="-1.3156834403863894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9D-4B45-BF4C-8EE5CE5DD729}"/>
                </c:ext>
              </c:extLst>
            </c:dLbl>
            <c:dLbl>
              <c:idx val="9"/>
              <c:layout>
                <c:manualLayout>
                  <c:x val="9.8215190255197087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9D-4B45-BF4C-8EE5CE5DD729}"/>
                </c:ext>
              </c:extLst>
            </c:dLbl>
            <c:dLbl>
              <c:idx val="10"/>
              <c:layout>
                <c:manualLayout>
                  <c:x val="1.375012663572759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9D-4B45-BF4C-8EE5CE5DD729}"/>
                </c:ext>
              </c:extLst>
            </c:dLbl>
            <c:dLbl>
              <c:idx val="11"/>
              <c:layout>
                <c:manualLayout>
                  <c:x val="9.741236423557755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276752520100865E-2"/>
                      <c:h val="5.19739517786719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AD9D-4B45-BF4C-8EE5CE5DD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CSC!$B$57:$M$57</c:f>
              <c:numCache>
                <c:formatCode>General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cat>
          <c:val>
            <c:numRef>
              <c:f>CSC!$B$59:$M$59</c:f>
              <c:numCache>
                <c:formatCode>0.00</c:formatCode>
                <c:ptCount val="12"/>
                <c:pt idx="0">
                  <c:v>0.36899999999999999</c:v>
                </c:pt>
                <c:pt idx="1">
                  <c:v>0.38800000000000001</c:v>
                </c:pt>
                <c:pt idx="2">
                  <c:v>0.43399999999999994</c:v>
                </c:pt>
                <c:pt idx="3">
                  <c:v>0.42900000000000005</c:v>
                </c:pt>
                <c:pt idx="4">
                  <c:v>0.37040000000000001</c:v>
                </c:pt>
                <c:pt idx="5">
                  <c:v>0.38600000000000001</c:v>
                </c:pt>
                <c:pt idx="6">
                  <c:v>0.39700000000000002</c:v>
                </c:pt>
                <c:pt idx="7">
                  <c:v>0.35399999999999998</c:v>
                </c:pt>
                <c:pt idx="8">
                  <c:v>0.3155</c:v>
                </c:pt>
                <c:pt idx="9">
                  <c:v>0.36890000000000001</c:v>
                </c:pt>
                <c:pt idx="10">
                  <c:v>0.40699999999999997</c:v>
                </c:pt>
                <c:pt idx="11">
                  <c:v>0.38940000000000002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D-4B45-BF4C-8EE5CE5DD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64288"/>
        <c:axId val="717166256"/>
      </c:bar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Million jobs</a:t>
                </a:r>
              </a:p>
            </c:rich>
          </c:tx>
          <c:layout>
            <c:manualLayout>
              <c:xMode val="edge"/>
              <c:yMode val="edge"/>
              <c:x val="1.1802446929144776E-2"/>
              <c:y val="0.37298622785666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986885791816665"/>
          <c:y val="6.8500189347808937E-2"/>
          <c:w val="0.25283740930361098"/>
          <c:h val="5.9247320647419076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Bioplastics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Bioplastics</a:t>
          </a:r>
        </a:p>
      </cx:txPr>
    </cx:title>
    <cx:plotArea>
      <cx:plotAreaRegion>
        <cx:series layoutId="sunburst" uniqueId="{7112577A-895C-47DE-8D2D-1B4FBF910AC2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</cx:numDim>
    </cx:data>
  </cx:chartData>
  <cx:chart>
    <cx:title pos="t" align="ctr" overlay="0">
      <cx:tx>
        <cx:txData>
          <cx:v>Partnership for Climate-smart Commodities Projects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Partnership for Climate-smart Commodities Projects</a:t>
          </a:r>
        </a:p>
      </cx:txPr>
    </cx:title>
    <cx:plotArea>
      <cx:plotAreaRegion>
        <cx:series layoutId="regionMap" uniqueId="{97FDEA58-6A24-4F98-AD5E-902879752016}">
          <cx:tx>
            <cx:txData>
              <cx:f>_xlchart.v5.4</cx:f>
              <cx:v>Number of projects</cx:v>
            </cx:txData>
          </cx:tx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1H1pc9u4svZfSeXzSw2xEMupM6dqQK2WJTveMskXluI43AkS3PnrbyteYnOUie8Z33pLmlRlHApm
Aw97e7oB/vu2+9dtcrcz77o0ycp/3Xa/vw+qKv/Xb7+Vt8FduisnaXhrdKm/VZNbnf6mv30Lb+9+
+2p2bZj5v2Eb0d9ug52p7rr3//k3/Db/Tp/q210V6uxDfWf6i7uyTqryb64dvPRu9zUNs2lYVia8
rdDv791dEn7TJgt379/dZVVY9Vd9fvf7+xffe//ut/Fv+8ud3yUgXFV/hbGET7BDGZNI2t8/6P27
RGf+w2ULITlhiGOOKJLfP4/33u5SGP86mb5LtPv61dyVJUzr+98vx76YA1z64/27W11n1X71fFjI
399fZ2F19/XdZbWr7sr378JSu/dfcPV+IteX32f+28v1/8+/R/8AazH6l2cQjRfuV5f+gtD2rtl9
fUt05IQ4jFKH2PeLL8bosAlzHCK4EI/o3T8Z9+j8Wp7DyDyOG6GyvTlKVNa7rNzBI/NmOiMmVFCO
JecHdUaKCRE2EjZx7lHjj/e+R+XX8hxG5XHcCJU1PPlHqCubMMvuSl29obpQNiFUIkrkvTbYI2Mm
6QRJQWyC8UtEXiXLYVCeDR3hstkeJS43ofHDt/YxDsJCEsYPWjEuJgwQo0Q8uBjnJTqvkegwOD9G
jrC5OU7/sgnLUtcmfFyfN/D/YKsYd2D10b0tA8147v8lnlDOCSOOuMeOPd773pa9RqLD2PwYOcJm
c3aUerP6ugv04+L8c2AoBScibY4f466/uH4Krl8SLuyRuvxSkMN4PAwbgbGaHiUYW22q4N10F7+t
f+ETShmxBSL3yiBfKguo0IQyCe7lwZDB9Rfh2CulOgzQyzmNcNoeKU537btP2sSP6/QGeoMnkkhM
CcH3Bo28xIg7EwZXHIboQYO2fYVEP8HnaeQYm09HqUNXd92bRs0IdIMIKtCDpxkHZ5DrAGgQVOOn
KOG58vxSnMOoPAwbQXL151FCstLtW4bLeGJzyhxO6UFVkWTiwAWG7IfrI9//K2kOA3I/aoTH6jjj
sUtd/1+4GTqhBOyTwx/iZcgfn8dkezeDiQ2ZDqOPhvM+GnutPIeReTl6hNDlcTqY87ssK/uk2b1p
RkPtiZBAmj2kmfY40eR8IogQe4LgoC17rVSHcXo5eoTT+XFq0j4b2P/J87dMbvCEYxvIsQceRo7i
NQHcpgPRAMUPscLIwL1SqMMovRg8AmlzpJTNrix3t0Fd3lXVG/JpFE+AYSaccnLvh0aRAUcTZjs2
AZrzpbnbvFaenyD0cvgYo+NUpLM4gTw03T2u1D+PqIkzcQSBxGcfDOw/I3gkhzABWDX70V2Nsp7X
SHQYoB8jR9icrY8yfDszd77O3g4ZSiDXEUwwwg7no9ieOA4E3AQgex5L/1qQnwDyMIExHBdHCcd9
Qu3ujE7C7I0VhgAz81S1GcVvXE6QgKINY+xeoUZu5/VyHUZpPH6E1tY9SrQ24W0Q+ru3VB86EeB0
JH/knUcUm3Am4JEkBOEPdM4Ip9dIdBihHyNH2GxWR4nNx7C81VkZvi04DFg2h7CHEPqvsRsHtsAB
CvReiYDneW7iXiXSYXSeDR3B8/E44VncaajpvKWFwxNGBRaQgt4v/igkEASIUgoRnf2QIY3AeYVA
h6F5GjgCZvHHUerNKvsa7t7U9cjJ3lhx+ag0Y61hEyygMs3kQzA3IhBeIdBhYJ4GjoBZHWcR9J4K
+T8IDSBis4mk+JEEBcV4Tu2IPbEAWoOg7+b7Z+RyXi/XYZjG40doXR5naPBHsvuye9OUB4gDxigG
3/PkXF7AxCaCQkKK7QeuGtTsufN5hUCH8XkaOALmj9OjtG9/mPite28gZpPAuxH0wOmMYrZ9vZpI
5EDac4/cqDj6Gol+As3TXMbYHGf24+pEm93XNyxZEzEBaBwH+LSDUQGygUmgXEA3wUt1eY0oh0H5
MXIEinucTQQXATQzvluVyS77+rhG/5zBoUCgYQHB8kMPhxwpDRBsDoIOQkYflGqEz2ulOozRy9Ej
nC6OM6Le3n0xuzJ+w5AaMHKgy5Zw/kAKjBtx5EQgaAfZG7/vn5Fhe41Eh/H5MXKEzXZ2lE5nuWt3
Yfh22vO9AxqqCDaBYOx5FABeZo/Z3trdF0ghC3oeBfxakMOAPI4bwbE8TlVxNfR53lbhbV09Ls+b
WDSHO8gh5CGPGSWgHAI4AgkqwiM1eaU0h4F5MXiEjnt1lMpyFoRvGAFAXZSCVkAT7kNn9Di9AVhs
Cb2EP2mQ+pU0h2G5HzXC42x5lHhM7xIwX+bu7VSFyIkN1ovhx250yFWeWzFoiKJQQqAEPUQHI415
jUSHcfkxcoTN9DgdyyqBOoEOy7fDBvQFQYMnhZj5qU/gOTZQoEYUyjvOUwX78d73/R6vkegwNj9G
jrBZHWemeQV9HrC56O4tFceBJB/iLdCOw+DsdxsQTBl9iNhGUfOrRDqMzrOhI3iujpNP2+xM/7Y5
zT7ZhOALjNrInDFwMQhDD+hDf+cIlddIchiUHyNHmGymR+lqNrswe0N1oQ6oA5BmzqOfGVU9mZxg
BF1t0HJ4r070pS37pTg/Q+X7LMaQHKeHWUP6UN/G/ePK/PNAGfZ37rUErNQo54fiJhbQnwZ9HQfh
eI0ohxH5MXIEyvrTUerJx10ZwEbf6k07N2AnAbRlOFz8pMXze+cG1Nge9+WMUsvXyXQYn+djRwh9
/OMoEdrorHrTMhrlE2D3HSShgvn9M8pjkA2dgxQ2tTEytmK/FuUwKk9zGEGyOc688rraBW9oxWBv
ADQIQhLzkO6PyDEol00YFxhjNiqY/UqOw2DcjxohcX2cSMyB5g/fclM6FhMH+i4QJqPQS0DtRXBC
8b4ZcP8ZhV6vkOQwHE8DR4jMjzNX+cOEg37Tqj+dQMCLge56CK1Godd39diT+9Dt/B2YkTd5hUCH
gXkaOALmj89H6Uf2e782d114+4aUGIHNHBhoffQsS3ye4iObTRC0z0oo+j8azPvk/nXSHAbm+dgR
NtvNUWLzsddwGor/uET/PDKGrnMIfBlmP6kkQ7EFmmcRHL5hP5Azj/e+h+cVAh3G5mngCJiPxxke
n+o6LN+4i8meSCh22Yz92Ef7XGckgiYABO5ePCAzCsJeJdJhcJ4NHcFzepyx8d4SnNyZ8u4Nk8o9
bQkGC5ozH9r/RuEYh63psOkGTka6Ty3lCJ/XyXQYoOdjRwhtT47Tst2V1bsfJ1XcVxD/uX0Dggw6
mGBz5yNI4F6eKxG0mjHwS4DjA4ijaO3ja8U6jNNo+AiqjzdHCRW0Z71p0Z/BgTTQKMtt/MOQPccI
OXiCuRQUDOFL7/NrSQ7D8jhuhMcfx7mh5ubOpJBwPy7NP1caOHXD5g6G/0YZPxSUGcQKkkGk9v3j
PN70Php4hSSHAXkaOELk5jiyzdu/PaTtuS178c3/7Sl1EraYAVsGLeXf85d9ZvlcTyTUONG+r+yR
9B85nNHZcT8X6zBGo+EvZnIsB9O175a7NAcm8y1ry7ABjQk4SgNK+gdx2TeW7VkbiBXur0OgcL/4
P1KcV4l1GJd9LPBs+EiDtv+fOgB+fr7g00GM0121m30/wfHZEYN/f/X7CsDJkqOhD8t50PLdr/Tq
6+/vMZzeCEv/dDLk/pe8AOLZKWZ/GXW3K6vf31tQi6aCwK42h0oCJw/YwLS1ECPAJdgBiveHFUEb
AWgpgi3V799l+7Nufn9PgbkTdK+6DvBFEI5AGaLcn5oAl2CTiIQnRyI4UWd/kpHzdHzmuU562Cn5
tCIPP7/L6vRch1lV/v4eAf/0/l1+/8X9HKGEjuAwJAyUOpAhyMbIhuu3uwvIGvff/38kiGVa0cxe
Z7alg6J2ISe3ph3KvGVYoS6fxZRUWvWkyc28swgiM5ZX5K7rEl6qdAgzldd9uel6j0qtChINH7sh
ofQGyYTE07ZEX3yB/eu0q7kb+sz52FBabQrbr86HVlrePNSR4ysdWHzjt3DRbVgn84UVBfHSVFG2
5lE3LNPO+ZCYinyxWur1a7ssOqEow9VpE0maXZPYq/lpORSD7dYJa+tU0ZTUX6OhNyrDZed6TNtK
Rvl86Mt2OsRlPyXGJm7ASf2pjZw26FTdpNYmJqEzqMKkPJ/HgO2l7yUpcwnOdDzLEy+8RkFfKD9o
s8E1YdSwFWwELr9yo4tLRmu8KnkVLHAXfU0K2c9CHoZuaRdhpJoG40WEw6s+JvE5i7gXLeErZNPz
yEunVUfCZZWRyigDRcNZhaxdF9NOCTtK25UpueUOmSSzQmLZuY0ImukQ8MKZDdQqL5CdOJtGOt0M
VTVHq1rKQq+rQXo3Qyr4Zc4d78pUPRYr41XEmkZl7iTrpKRl4XLjRX82rQlmFsHcjRnnsAZ5o4q6
y06Y1Mm6yjmsZZ22ocKs9GwV9327rurKF67l58GMh2y4KDKfhvbC81OzjBGLFRxY2ipctcs+aods
ykXfBC71imgues9bUp3iP/OB9KkaSmu4kglPqKr8lodLatkigTxA1Nm1D6U5bs/qjOLOmrVVIsty
geuot8tV4DtZqtIocUK088vB+IBcgpTjJHKWltTFRU63g+O1s872shmTGVqFzXAhAo/NZEATN451
G7mhY3xFdZG6AZOVMnVVCpUMFglV6eB2lgxe45pO5Cqz+FXcOdPUwSu/NhunF5Ea2kHxUG9pMRRu
7cQL2qXeCY+zecbi8tqygg8dQVwZuM3cH7pKpU3/CdntMOc89OZe01/aSVSuChMEs4EV0WmRWvYq
d2g8r7wCn0grq1RconJWWkGkUtqFJ7RO9LwVOlxbST+s7AJUE7MEX8sef84qQd0C+VxFQWW5tIqa
uc54VZ1Ap2C0KsP2i9EmOTEh9dcF4/V0GFJ7ZvJ+oS3pljSv53TIYX2sYhqmVub6hSUtlaMocP0g
uHOG4k/eoUhJT+eKFfagJDWxcG0q2qmse/80c7pMlWGfL4pouKxCq1RIh0g12PFcaiJ0DtJH68jp
LaO8rspXiJD6Lk/yfioCAosDyrYs8mYa85yozB+qpS6KVdY6lwVJLmIRng7IW0hT226Eh6uQVQtt
l/KE++1FKcNVNqR4Kux+5kew+j4LXNHQ67IoFqLvNhG2OiWdupubPKlmjTeUyvfoDSNDqNosLaco
Te4SahuFs5ZNoySoL0Mr24gCIVdWrFRF5YARDMWG5qlRUdp1ygZCRkGPOf1g10E2SzuTuVw2LTxb
eYkywIMtcJmWrhXIeilMcjvwPlQFJD4nDMzlSW2IpzqPRNtAVtGyFiSYglagD35QfGiicmYJmBTw
5ttO0GiX7K1ZXHs8VyIqrXWeY3oR4oKd6LwKXADMzPMul594EfxpW2WjEtx9C6oULX1e1m4ZFoli
SPSuY3nypO5DMivBrH+oSJsrf2ByFUf8wmPmQ9tU9hzMhFjryGq5W8as+gh2pZ7ihnuNykkVbSNc
N25RxdXCBqDmti7qreM7wQXpOrkxnX0xGKua0ij9VPoYu5Gsz/ounWdFEaguyrkasvKiZBlYlyBQ
Xm1H84jEBMTTdBfQcBuTALxD4bldjOQijKqrJIvZHKeDd9nG7Sa3CuN2qIquuRVdO74MVWI1u3KQ
fzIfr3DtMHiO63yeJkmnAtzOy9asNIsWEkcerGJBtxj5xaIV5jZzemfmmKFc2hW+yj0ewwMcazFN
g6RZO0VrbwNELmqZnyZlcMNiPCicDDNb016BpZ0xS36msi1dQh033tvS3BLnoiSLMoy6iw6gS1Xe
+IULZlR8jj0f/Zk4gk0N4aBqFvUU5s2G982sKeITqO1Vc6cp8NqwSKiiycPC9aQO3LhPxCLp6mEV
6GpZ5dFJE3rxokrs0PWllauwsebgzBJ38CRXoqUyVZrW9JZagJeqtCW2/WDTD0FKLTVwU2ySOrTc
vm30LI+c4EveMeq2uD7twgJ8QptcI9osM09vZDOAY42knGFTXTZ9uS1Cnt42XbaUov8z4nEya2A+
rIt17MKBTuG66ckKmRTNaeAJ7PqOM2w7hyaNcrwin9ZDgNZO6Pjz3iK9KmuffPJ0nV8QG8WZskyV
5TMRg2VqUpKd+1ZTxkqbgLkV+LU8bLNlr51oCiWffJ7VeX2K/cxzQ4zzpaztUHnEug6sdu+eW3+q
mVSWcLYt7Cy4sbIkO7P9vOmmtE+oH6p+iOqLLLLESpbxcNI15Jp2dv7FMo3lL700q+O5w1tSKpKg
1ihKdd8swc/iWVPJ29RqzlHAQ7eibXVROtl5m1mWW8TWh7QP6rO4Cz+Whph53TF9UgzsoyhpctWF
8Qm2UDVDML0pzpLiM5hXumxR7+2iAZlZ63hmRToLzyLdBAuWsFAJkcduGlOYbNl8kr5fzjJbWBu/
aeObXFatkk0pvrHa8ae1k2PlBCTZacH7S95aTMW1+ERiJ3dTkfIbzodwannMdjEPoqvMz2zVtXa5
kDxJFSGdnnZ0r0QAWKRIR+J5IUIwyBLE802ZztLoa27iL71t8Qsps+YjKZuZLetgm9ixM+0bcNk8
ylHqitDQwB1yQ1Vum2RdDoNeRnVNIUbI/A3CybKKvdi1HJ7P6lrqC5HiwgdzG9QfrIKI5cBZ8dEa
5FJXfXfVlD6dIxnK0JVDHJ5mVfW1iMUtWOdkXkgmp7Xx6uswQmuWEbnIpemnTmuFMy9n4CBCyaYV
Jo0bAIWbuZaO8DYjJHQ1dorTCJWDguPs+9OUtnLZatRNeVDcJn6K3LpLQnSe5w26BANZdjNSk0Qo
VrVBsqAQiM9pSmNwXqWVfSq4JGuf9c48gVjwxm4N6V0tEtEpi/bkMg0I+pIlDvtCwyxQxVD5UnlB
oSyUQMBQw5pjCcZycASEx2lzwuvBUmFtTzOCzzxIVAjobWZq7ySQyTSFyMMNRNj4gZt6KG2Dtalb
Po/Txr+UFgSiaAOBlptmzY2Rw4rh9qv2GFuUqPgCxEKh0irvZrXns5WXaayGzpEKHOUCkDtxIlop
GTb5NNE6Uh2tPzcVrVw85LXKco9MnUR7yngF+MBYLwOa5ar38krlAiVLUmGqAhM1J5ndzjxDtlEQ
keuQMrNIcibWYZDqdVQFqRtzedkPwTxpCnNhgoYubPSlTgIImiJPz6LUu0a+SVVS4KlnUTJlQZ5P
S8co0UTeiWF9NuNFshwyePZS05VKSIxcbWW5G9JmKpKuAJMSOgpajxtVFo0SQxx8bmV1yiDIn9sC
ljmV+XWnMz2Dhv5cOWG6blnYTyMk0imkKxE8IhZNlM9z8IuJXmlNL2Sb0gXzyW2S1dc6750ziw0f
qhRyFVw5/bxrM+qavJrmtA8UyR2zsUzXzM1g4ZukNaWqkjS97qoydTGOwN31FlURMpYiOnGjwLFi
hSOtT+N0uE6LvJvrEuK6UHvh19igKer48GEI4UnvEqZ6m6aKdcK75ig5LYKabg2VlVsX2TcIgEsV
B+UMRYN2AyvGAGlz1gVlMB+SOr02NAqnCa39eUEzOaMUAh5cCEf1VpRsYh8MTN/G6VzaTrFlwvti
l8afyrhji6CNuw9Fz625LBly+4RD5INyeWbn0Tbr+nqLbe2mumjdoTSxCqjdb3EkTyzYue8OTBOX
N02j4OSS9lQQ/lVDzpEg6xMWw87P2YKjsj6FVLeHxYjnbTKsPBE3s8GyFknwzRJFrRAr7VNURvmy
iM15EZJ11gVgIoNCuHUT2vM8hxS3wYYsSNUssHaQIlG0hqNvwYlG9okdi2uHB0SRcNh1vL71av+L
1jE8P5p8qKsN1961boZKQUrlf7Ys3Lg1TVZVOAyuT/jpIMWfItdTI6VexOAgFfZFvvU8HCkrs9Ep
pfmHqIUIzSoj263qoQxVLHx7G3u6hRDNOq9Z0QgVp90AbiHyYLrgDQplW3kw74UoVwae4M+9Ce5I
3MIz4rW9CggujWppUjUqcNJPiY5SPQtDlG7BbdFBdZokEORpw6c4MNmHtsLVsrG6wrUjFi+i0PKN
m2NjB66Oq/wTblHodm3jQKKTF9dtLZJV0wTNCiLreCV5kC2ozOg87wd/3do1m5usvurN4KtCyzMp
6ug8Cy30zQnLej0EITvJiTBLnPTxSa29fu601FzRrNdTYfAO8vhoE2cUknzfPhsGv3GbUvunpOPE
rWHD0wZaCuisGLpuQXQnplEDGVPDqTWv4KibqQl9CAKybNFkhE79zoLEqvAjBe8Z8afAb1gqI/aZ
T2vhsjwiMxwk3hlDFVvypP8i0lqqFPMd9xNYMQhsN1mdZEsT9SvHNIMybbNFqYbQogw4+GP5Gai/
cFpAY9A0SoNGWbmTQShkhmkbw68vZevWoDs+6yDkg8x/TnGUATuAXd110TzQdrKC2HHF0yxykyRt
5mCunBlY9B6gd7JZEoeLKMjPIKESF3Vk0QWkw8C6kC761MRSQjRN7XgD7ho8UQsZw7Yv5TorM6Hy
OKJT7HFH1XHqWg2kIBrhYs370lbMT8JlGVPkGpNHKq5Ke13FRXVSavKtGOpNLxOj9vkFHsItAus+
6wY/PY8MwKhjpiIZ4xlKkta1WgsppsNqGhfCWrc0Og9xilWs043P+I0WslxAjF24XQ6Pf9l18wzZ
C78FziOpHMhnnKCf13EIv0rUWIXwKpRB5x+YrjZ93kfK9N508MkMmAbItTDJ3NRKM9VWAUwvAcqG
lK4ddGCVHdtbBjoxsyHOHQhc+pMWNNWtvcRTdl2BjXSQmUIQ+KXh0ZeQOytBi/Ou0t0qLHs8hTRy
DSb6JveabE7rbgbpFjzJqOdu1ZStAm2wtwOq8UJ0LVApAzheWpGVydFFH1krEdWzoWGxWxQok5Ds
DNnHglpAnbRtK+Y4QVdgOy9w7/cwo6aaxayF7Eu0rm8gJawsWw1DrmpgBabIC9uTADb5KYdmX7JK
yw+RbwGQwlkUbRFMWUeGa+iKOueDrKZdjvCUlPa8Kh2uqDERcyFYtqYs4b2CJCe6Sr3gTqBiWw54
HQu2IwjPc3hbDkoXdSW+mabPIdUN+1mGhsgtUzktosxFUR5Nh6L5llcmdhMr/hwUVjArKIZEM7fc
GGsNxIoAvmSIpD/NMuADAjRA6BJ5nyMdnZsADLRb1oZ1bm5TfpbWDT6xIK7PVecnWLUNJOZN0Rv4
EnjyvIlTJe28mGVll5lpUHHVFmydp2htbMdlUZdCMBYn9RyYHP8EXJaj4gHxAjx0X9Snlh7MgpY4
kYozalZhUnjnAqxapXSJjJNCeFwEQnUQlVdXFmVpOU9FafVzY8WtcQkKgG5jkCf0YD5wHc4jOAyo
wCqDNXK8HHiH2urt05oL+qWMOx5Xpx6SJbAW6vmLel4wvbcQE4B5Ch7elfT043+udAp/vr+558c/
7l+19OMnOBloX1Mox1/as/FP3/rx9p89A/70KqARp37x/X1NPyHc//biK9l4GyLTv2XjXx5M+YyR
vx/5wMjDjgqJBUMIeFtoMLP3bRYPjDzfH90M+8YcDOWZ/fuDoPj/yMjjidh3aQoYBmkVbJL9wcij
7zw+vHUAamnwHhWg+B9X4QVOUIY4wMhDRfQ5HQ+/GkFsCDt0kAM3syUUBZ7T8ZL0zIpzK1+KMPkW
aF8uLAERcijs9v4RuX+V0yvvtN+ETWzOCDTbje6UZDSjA0RYS4GHVqV2/jnPdAe+IKjdZzi88k5w
DzhzDN7/Q6nYz/lZicGvLG8weZwvqzauXWBxzsomjYAoHKDh4an88robwQnCmNoO3G7/FoiXN2qA
8JXaDPmyL+NvcRJ/86zwWwR//ze3cQRF8I4PqNKNVq5iwVAGTpcvPauVMymKQpUBAwK5C/+LpYNn
VUKHsHTgxD0E5aMXS5fbKdUBzKjxUnPa2XWsPI3FqcmiX0xq/5ue1YH2D55gGEsoOO0LVWK0drxJ
hVXJNl8GbRsrVvcXvd/dIKu/yZtGTP9+BUFb/nozAkc5AkUFO2mc0bQs5GjQTQ3sS1GKKS+hUBCJ
AuIMK9zZwk8h5TJEAbNR/e8fxf2uXYfAKdP7F7iNoGNG1zgJsnyZF6G+rE1BlCOt+MaK4P/+fo77
BfvLgjoc+roZ1N9Bq19CN9QR8Kc6zZdWXZhlWuf9LMK2d/n3dzlgLwQcRv90FzBZzx8QOE6bNlad
wF1k56yx6W6atM1OMijv/DdL9+xOo6WDtC3QTQZ3CpK6hyAi2g3agvzy1+q1fxfLaOmge0cIeDI4
nPqF+ejx0F7qiFTn6TJvsJ7mdgMZbJ9X3flA034mPVtPkTQIaBvHWdoGaKcoIXJGIOk8aQqHMbfV
vJuJzq9do7P2lgdh6kKBjUDqYaN5zeNvPRRgV/6Amk3OS6Ag8qFkCktdKJ3DV/rAS2d23GK3Bo+x
5F2RfuiNxB9jjvXK8SBEaaByM22hLLn0+AB8Y5/JRRvB8xzzjvlu2ddWquIMko2m8OmqqqAEUMdJ
Nqswzy4rK6Inthza28IDKw+pBMjOENwlonrdirKJoDApAj3raWJ/ieLAAg4P5LGwpLvUg0nHTZXP
tfTzMx8Pelo51GEuhOtepFCdyA6KsZVcMM/k88L2ullU1GJqGYi9UhtmN6RguNKIVy6vMux6HIxL
AG+5mjEGLiCDis68CnJduQ0Uo0+ASoKMwgx6jewKkq60CBdCppbLExt/9IPGWXc+ij77Qic3rIX0
oyhJ/qlgKf7owdxzxVuUf8pTWg8gU+MlKuDAQLqE9KDrwCZbITBcJrkpW+GshVWmHywrrD57sDTr
ICryM1ZH32wEmNYRwx9TEX7ryta7rNigV5BDgvTwIqh1n2Adzw3wiT7otkyC8yhk3UXUhXQFFr1y
vSYNF42fEAVhQBhADaTOTkKfCKKAuQi3PgHWIWJ+9g34erRFOoJFrBMnm2KrBVLt+2OfAJ14Mtie
OA0YLFkcwiJ4dRC5Aw16F1gW/0oMGKbk8zD+LIcOXGzR6qnnBFEK6UujBxeiTZYswgzb+QbVTS6B
lPKaPwMvt4A7R0DMusDRh4NidmYgOA2Hj8LKnKsui9NvwMBq4Bt8iLorsJxwmkGxpBGSNxqat69I
puH5cSDqDV0oJDcxkBhBo4FTTuWp6aCEJiXkQKryuthRHc59rSw/tvbpvLwpCwNqR+3BchugM2dD
L8WiInlTKydp8+Cmyiy/+R/2zqw5bpzJ2r+IX5AE11uyNkmWvMh2u33DsNttbuAGEgTJXz8PJXeP
XZ6w572ciK8vusKlqgKxJTJPnpM466itPsXGBbJp2UdB2Dl5UsazPI9ztrwxKp4/bGqrz36vJ3ky
lnLxiHvhb8etiuohUWNuNGBT7Xze4n784m7sLc/KVucgjT++m0OghLzyfGJPiQ1dOh5WaUvcBrYH
ruYZUhJOzUz4RV5/HHK3vV2yvD2C37lpraqvoMExLnYgbnkQ5+TkzXqw1nEwh6IJioe8jsEucxmf
K4sZ0oKjTwusWhGp6OAXcfZYzUrXh6Jfir/bPvYvpJfmZA2KYHvhOfpDP67zWTQdKb9YsxA2E7W3
xiu/jlk5JIM12enoSPKS+d+TBj0pxuWxHdzL1M2fdbGWt00buMCnfXDHURi+LjSbkhhwOdqOnO/n
ScXHHETl5EUTUEAf1n9ETr/d2fFyarZQpuSQ+yltTE3Koy6rMhGTZFFjFZdXxZ4+bXUVvxQ4lafB
YtfXWq6Hee6zRIzVetwU1q0xoFnOfu72Hv12m+pTOVrRywhSxCe5jNFrMU/OQ5cb523lZeJ20ayo
GoP6UceZTG0JDDO3dN8fN7ZREw3xy6nV5q/RUsAB+R7vFV4dvXYCNSSeLT/5PoZSKexHAO8D+HEB
pFRA7lk4tFniCx29zrpavXCMxpI9eVo6VsNZ2o0+VATNaePq7hAYmlZdpy7lGAEsO475q/Dbm560
TZLHo80Ktt2jKuVL0U/dqTAiYhKa/uU47H5153Z30ulZTITGukwaxwNLZnTKLDaHJtDO8cnqmqL8
c6oj5+8dkE/mfY349uYAu03lQ+Uv+WleyXmQNKmA4q3Jf6hy/zR61ZbOnXJTn0TyeQAwSGewynfl
wghtYdYeFjtUKdwNAB9mGCzCVuqScxq8nfs8S6OgbW+zTTevR43tsXKsh4FS0tZzw5jHnT6JyoeL
0s7lg8hc+3Ps6Olutnz80U6/jOpRXsbAnkGDuvjcxLl1z9W5L0Up5g9WVY0kXIvpPoO1U9rC/BHV
a3SI1q48e5vjX7a43I5tMTQve0tlr2RN6lg1h1IUX7s8yyETlO/Yz+/VbOcXN+qsY5E3QzrZon/p
rUTSHIv5GeP+2fI7TfaSQ6+OOQ2tspDvhxbLq1osjt1EztvSdvoOKNeAJzwZ2cAbIeswBydiL5PU
wRKmnNuk+VaSm5eGS3rVuS3ixHWK3iTTGFdtskqJMasI8gaWSBU3qZPbNUyBwY6TqA/LpK1Vo8g1
DZtKZC9KUlf5MNnkGs1A/rVx342N29yaQTS3XTjZPfkXPdwKOeqDdprVlYdsWLowuFuNuzQbh49U
2L8mNNmbwTWlOdh1VVhnr5yb4tZUsZiXxG2yObr1Zt21SRZoSOYpvrjSQbLFKvw6rhXIQgSE8Xfv
B3nilHl4s0Rh76RmjdWId+Pbx2FcsOtrFNYrCUQ1Ta/aIMwTVXk6BlaJ8uo49YXyDpvQztxge8aP
UW3XE7ihfDSVWCT57gBkE+faK5OeXPJtK6v6UPb2Zy/Sl76qgJpXAXvKt4qTG7C/MBzza9+vrHtH
tFZ1mMJmz0a565l96oqkq8Y10TKaLu6gp+MyZJ/qwq+PoXHro2uTIe/CwfnQTO7yoDmjHeAbRUIK
KMhKYYltD2zX/K9cho5Oame0EhkuMa6lZd2UC/conMK8wb4BuGD0c7wToiUPWM2LpX/o6fCl1qYh
abj68/nXDvZO+fvRGQWKJfZHz+Qjp4UT+KOHTd4R2He05WXgAD2Q/5rvp1zbAP4KP2HCtXxYxU5P
cDf8ijpW3R0b3r+bREOy2Il/F6ghS/z5eUAIHNiBe7B7Hajlbs4e4HnIl7/X9nqnamwqrJBPrdRv
spVj7tcj8FNkGCN2IDT0PKTdMZK7qwHwZr/JTS8v84AT1mY644DiOG7borsjJ9nd/Lo95yf3f28w
9GOKK8aCC0yuIqdW4eB4QS0xKAMZCqxEx4XfLVnESjWfJquLj/UIth34kXn1dOyYbnNIIZF1OBWO
tNKslv6nDvDxvIyc679+PvE/Pd+u5PUD6GYgSVfhSb+U0CM8XV+KpvFu9Tw2XzuxZwvMZEa7SXIP
Z1tKyUYqKmd6mAN8TafmiXsHR7ukE7gy7W1EauywukSeXPHTNqlctX/nuWX8olWVelEHY3yc5qHs
k0ln/iXPsMpiIXA9emGTPQrP9j6JwNtm6FbbfI4sJ3y9ZlC+k2xd5Hu7LKuPT6di29pxlJqtdovf
jIWzz8UPUS5z5eNR7rozBM7R1eLItckqTq/6MgUV/rY1dsm0VHlqhPcB2od1sXAbyY0V7slXsQ9e
PSFI+hXo81OcTdWaIHJ9HsQVLNOrJ5jWwAR96ZQwOdby7Ft5d9d75ndm4CfEglYAKqhdQOnCMLye
c13qOQuoc3UJPJznABw3bftgSgc3Js4I6k4ka0XwAJ12/vDrDro/jzEuCmxgblyg/IV3HQ6vTu3N
Spri4o0mzy7S6+IXVpbFHxuNazx2xl9fxpYfv2+99X0dr8NX0knmOK2zn6dU6CjK3d6qKRkkDLJj
PvW4k16tLvjf8YsKSvGXIXOy6cbKRgLXp6f/xtd+9bwWnjnH3yPG3wPI/xskmssdVDd2X6drKPqH
H/q/hFcLIObvJvon9vj3mrzvwOrnr30Dq0GkY9vlBmjuBYDzvbO9/wWrKaPJO/C2bYpsPpVs/Aer
drid2AmB1vyYpcolRP9i1Xv9J36OmzxjLvBybJbxf4BVw2O/2v3k6THUrEsQ8dAj0f7j0eAOqoVi
7atLPFulSFslpiMcdVXfEcgCCNhqmB9zf8xuO7ss9M0MTf110Vtzc65JudQkEWeYQ2yaMg0zjeHS
qiLKWfI0h35ZvoadZJMDbAW+/EBwvViGoM0pxAH/JXu7uK3/IWjnT9JZ05yfejsPmf841d32elTx
267PSY+2fe0lXSCzMfEdmLEKjvq9Np7fYpgiB4Ihu3fqJ/tDXDtVgPteum/a1tS3oyLX1oE0kPXl
iyYIrSOEteUB+02mzXKcNxlRPgRjK/46ugrORt8JTpy52dRNPleEhd5S95/EDHNrM2MMPjBW5IMY
qHrD/Kuw+Mz8l6mF6bRJFM7qxq/VFp3J4MVdWjX6ZiMhm8JR54ujb0YX9tee3gyauIn/mKttyNNW
RvaHsJm2+6Cf49R3YwjzNqx5TiR1A0JI605kTAJvbT2N5RSnpuyEToopVnBaytIl1ziKjZx1pJsD
gID1p9bCf4ymqoEQooXzQkVjbJ+N78j3ay3Jms+5dj4ogGM4CIvNr8mmWF5GvbS+boWJ00UM2W1d
LMUXS47LQ8/xcX56vnF/Kla2ghfJ/29c8rlt0jbbnIZB2JqTrXR71nqdcb37DYUAgzxG63Rst1kX
STiV7os8cnRQJHqqa/MicLOiuGTSqbdLME5KnAo/BIQSmyDNWGWQc1qrq283r7uZlTe5CTRofZrK
HOo5HPPg5PRrBGup9raLnhrWAtS52wp39UDrkMbG0S85eFEDdM0m3ytLyMeiV+uHoS/GFxGcsbfV
NkcnuBQqOAzNIG5bX+d32eAVf1Qrp4aMV//O6pnsKKhIhdcT6MwMOTCtNt86+ps7tmcUG15S+wPU
PPjnwU6D3f7cWrOeI2+Mz1K64qsJ4OOmmWqaLnHEthSH3K3K+hRX9lQ81LLjt2JA4VPQ4a+6qSdm
ZjiZVRcSH+T1+CZr4vW+3EydChCmwzbZ2X0TNCXhaW4i0MjYAUIrxHtOjPrcRIvVEX7thLFlKpvo
XDv2+Dh13gd/krBqfPuPNlpWIpN5MEVSQTnbjnMt75s82yaikCA4ldEG1Tt0+1TbdXubZ9QRhJcW
Kegasns1BhsxriWCk1nX5pVfes6tzts4gXqQHxvysTuhbzqCfm63hTfUMqldI1IjffFucQLCt2aF
JJcpuNhmAVfyxpqN4bYli8pk9amd5uXodhMELJt4N9VmtM5DL8Z7LeLq5RKJ+q61jP9q8nOomsU8
8cFwtHWSN5LIPLJi74WMh1IfDFH7h3mzyvvMcfK/VlVVmPjuRq1M/dbH9aHl+jEDC6sDFFgrEbSp
zXc+bUPMprcqXNxL3jXD40C+ujqa2SmOupgRGVh1u71b/NUGIxuKh1n0Cpyx795bgb+e3QFZ7FGs
Voc0Ie9t69ji8PfJLCc4G0VLmKhbWEkGQ+EQkhn7MAfBemeyvntdLNv4R0z/xY2XbUt10zddOB6C
LVe3OoPMb62B3pLaRDWyhNYv6f+gdYrApHPSsO1VqqRbvCXitLd0kaT1XdVUd/NU1Ws6qx12qlxY
pyLoxxT0bzkXdt4SvzY44/YACrO6N102hA8d4Pjbuoa5kmi32E6xWSoIXK2c+hRKgHqlohqCc0vm
qcO5f+0GM1ZpDHT255NlGeop+xovTX0rO3ao62wONNN9F/XA9Y/Lho1SpokOgWVjVkkjzFiNlRNG
dUF7XnLMMzGn67EdjPvG8feGpkItB5RCPImc6+3e2Gbuk8JYcfvAsb0+wDvr1kPXbdNx1O12ryLH
RyOMN/v/3aVnsd0PKtB/ZI1PYrvdS/nX7f/JWboSk37nL+3f+ye1H/w/4mJBOuzfTPw3b8lBiUzE
RuyKdM6nrB/u/TdvCbWl4H4FZLDfCl9/E9o5uErCpZpZ7FBhPg7d8D9zlX7wlPYWHdeOqR1ANguv
7TpKkUgvWsfUPkSabNLA+73XgyHa/Vxu731f9/Unz1L+iPZhHVcPqvHiFws048z+nLfKay2Ixksd
3saFv+pDjQpouJi4keO99JveWpMOLVL/2a+nitSQFQSSZZyTBXX+Dhe22xtZLKH8FEV+n/0lGjEE
D3lQYv6APAF7ZerBLG1eFmR3THvIpa/qPiG0aJoXTgg5Bhi6aZz1zoVhX31FO7In/76b0m+Rwvdq
xB+9SUoqkkr3SAZ7+y3BDNce6X3HEwidptRFUER/Z6Zrq+EyNZ70CHfmUYWXbcwnmF5b2cvyq7Sz
0s1+g3NcIT20j7O8V30k08NM/ZTX3yoRgZQG5ZfKQZwHvtaRSC72TImFVE0thuD1oIop9wrQL2vr
oe57ApQTzSSopbiFGdDuyoNuEMp5IFoe+Nuvx+hHMIaiBwAi8DPj/aprLq0Kr7KwS1FaEDCF9SVA
bmC7h3wL83A4yQg6mY1fOQXBxxo62/QbUOZqbvZ2vZjTmVpybgx99qpdKJBd2Fki+pKvrLkgme1e
jh8KL3PbPDFVqUuQoWKapqQoOtcNfoMzULjhO5hh73YIHYbb02KPOug/ZYRzfy4teynEFyuU4YAA
yNiB/4mNZE033VaG8gGyaOfci3pY9WM92jY8MnTdkkH59QT8/CRRGFG9mKtyni6lugp5irDIJIpD
9cULDFvutDrB5iD4UEaP3rGMMi/4qDRDACkE/Cj42NnrTBJnLju7N7+ZlR+RKIYFQAI+DRIg5MOU
X7ialSko7Wqt2+yvLN5aX527oW+y9UieZ4zX8xrBRHUPv+6/I66nAqRlr+DMRkW+/BM6l8db5cf9
ZH1GNR821mWB6siGICIqxg6nqvI2Ly0baJGw9KCbMBB+aRf6semDak1by1HtY9wUjWoPgw9U+obM
cjt+/vVj/ojXeCFACVVabcpNcuMBu+XKlgBLRcqG7vt5UQQDNizO2mZ+7MUI30oWJWbrsXfrYd80
k+n2l7LP9W/m56fBAhyEZyK4Og46Aen3q8eIBnecVuLLXbFhYcMrrBdsq3m1J2IBkfnY/THX3KLU
VH6LRVWIB8m7RFZlkWIbCqztbvnXgm+15YbObI8nu+Y3ZmWvjPLDBuPqNHgqYAME8jYMiX08v7O9
izBkN9tNfB4zN7CaYzWNvdSvkJcATaZmWAcezgqbmb9169DgB0X1tlqPpu+zGxiMEtCv2Tbw6KYY
WnKVLdJ3SCjaty35hlg139AniHjPzLpWtTrtrb3Fkl+tS/Iuw2+2qbPD8v8NTGKp0Cmi2glsCsbu
yOQVSMvKbIcZzPhj6CP98iGQUntpSLIMTbRKnS20MO3Z+mw9pfb4GyoizEnvZMgs0TVNIhhO2ojf
7yHv2ooDI+KMIOIHstz37tWygNg/QqrtoNwpdtFwFGMdefdkscR6J0a9MhxxNsvtPfH0uoaJLhTp
yRSDb4I3+bBlFug/uUWiUD0GD1EZ7A4CWoyGVHat/X16ulHELKF1Dv35Ta+qenu/yaAmw21LuR9a
JaPPBHVtjPYigYWBJxIhW2XuhF+tvIwbIv3o0PujGE8Ig5+y6kte4mAMT83HUW4hs4i6peInOpwH
nhxZ7O4bTL3f1J8W1JtDf4pn5cyPnsB1fqFUnZF4k41yYSXnWbNcco/D9c82apHczvbssMjCKMfP
mIe2w0X5tW24tpo7iMu92wDhYKmwPK+WhsjWNnfiXn7cnAb9CfQHO+wJGruqkzdCDwZD8esWr60R
4BgQLgQ7+KGc3dctjsoeC9MI86fY9L4YjfZ28+eOYc3hHeycpY9ZJTYWoXH1NOb3INAh6/TXj7Hf
4/LDphBc0OeGnBVo1FwKU1z1fBOzRrodNO8br20mQK9O+9bf3VAMWKOiHlvnqLKwK1/BPcmxOH3h
d/kxjyZ37hLU9wZF5uTmw53MouBxEUpGyDGNE8xvpshCXDr429LdsYhsUADby8hdeBkpFDZ7YbMO
CcPwLm6yqp72nT+T4npJgdqwXxNRK7H8Dra/tmvU3qC6BQVuUSLj4sPO/dGu1UFWkPkdw3ezbm2c
WF8pFyeW2J11SwUpz7sUjllYtksdC15yqDm7qUPmse8KXRk3e8yQYvKmO5QbVMWyd8VuIodthCk2
yLkfy/Pmr3twmBm4Pzt1MWrYnaEzsI1+M4lXli3CA4o4NrFqzCBXYl6Z6kGAk3VV676LpkKwt6Y+
3x9gsoTet+7TPob4u/JsWbHsWxxbuZsU1Q8cNFZBKHvnADHwVjfAG/kk4yr0LqVB4wZnZTVd8ECC
m0+VBcoAyHB5E4yn2gqB1fpIzegmVs4Luvubrl15mXQNKhmVP9kqkLbx936crQkmUCh1t74T+bxb
qkkNLK1NbmX312RHtUt6f+rgDYduu5+PjdU5TMgSNBIi1NagyMlPsbC0eYeXqhgOE1aC1SfmDWuC
oihmiXlG9rt105jNS+n2QKrphEdCg+WU2fyLGMthKJrcYygmcrzWlPpSV2yJAmE4/3oen90U7ved
/RvYvno+or6Pgq72KGXLuCKT88uPCDupzHK1Rx2zecEaDNbbuQlJm5+e3Vu3iJYZtC5yCxCVX7fo
Xh1He5NwYqmnxrGEDOo68LKrDq+1X8K3o3ZYIdM6TSwozn7Gx6t6r/OPmbE6RJFkMlcGXM5Zi8uC
0WOUjFrk9CoMxiirTtnkRRgDNuT8RlGNihOgsdj409JyUH2btnygcIpJFhm17BV20T4deb3sE2FV
pcNLvFbx/Mbumo4n8WtYcO+pMLDHqb/uO2V4frSJdH4/BDASDrn9nyMq3MHRyu1lfVsUKzkCcq21
AFw1YIQPgbt5aj0OhQr6KImhT1dFotRQDre21GLxYYugarlTeWN591lTQOqA5bfkf9mltC8m014A
HbTt5Bevkpt603RBoz4Z4Cnz0psdEPpDVLUxAusB/3HUJ2P8aH5QQwHBE4TfbpwXwlZOjDxGxU5a
LRMy5QQF27CRXW6Bspc0X+qZzTBvyqwyWSxUt9UJ9ar2HgM5rV4O9uhoo9E0m8LJ8N+yfLqZihDP
LA03abaNsJal2N8s9ZrpZBj7KjjNcZgj0G2sZXtrAjDw90gV8+wgQM8RaBKfdiuZUFg3h7h0gZJz
X+aX0BXTYeiQFd9lcWvbZ8c4JH9za4wK+9gj7vLewdKAa/gu7uxlebtQ82a6t0Y4hW84MUL9xVdB
oN5t4Zy3HfmUzinG1zE1hepzVoJunLbOgx6cxCRd3SINKcgwRJ+dporaL4Xbdyj1WSrr8HesJ2Ps
tJZmdKrLlLWDHx2IA3wZnLPGqoMHiiNZdX2eg94dZfF3AYoP8k3BCLSG3j2pg5klvTlq7IvXIrCn
wD62rdf3IZV1MhhMe12TGni6mvPJzC9Q4Odlecq8xmj/Tda6YrgJKq/IoxNrJRA1EqXN5liXY1Sa
OKGiQzBMhyJTG0pBk49WUZ5N2XDapHVsqBtwoKaD9j90lqa+0A2Lw1gZuXXcFudB93hdcTKtIlqC
l5JUIC+Isfc3rbKUvMCv8Ghu60Zv+LxpigbNt1Wg+ty9OItlhdCpKr/W4XlpK6eRKMbm/Vy0fauk
O7nwOVQ+LdnKlb8pRR9iP3+5mt704asqsyojT2EtLLe/qTUM0fllUAm/jJMhjndMIlSI9Or3YZ5l
1nbneXJkpKx1wGTfY7WHgmSIyFQoXzjlUDryVVWZKsqOpsIQ5EfKw0CPSjFZ+yOtswXP+GjncCaH
g41GEaJiO9mW335w4X3SHsV/4vidztFjpIrQm5FFbl9ygqQOJEN+hOfHZUmGId59eq+Ac0VgUDgt
WYeqMPuICTnVvKDTnKzHtgl3k+/N1DcK09hMHQtga/E3zqTNGj7XP3e1mPyN4RsqChQh+YvHjNZk
4RBktk65T4/TUxjB/8ORyz7OrRdXYEmWthRTYbV1VHh/DwMBzXBSZYmnlZoI9SCFQKLCh2vAkteD
fk8xLEimjBcKwe5c6M1zlvuIiho8SslM99tjwMqiBcGfhs+ZtewLLFDWPvNoQXlPxs0+NPPs8FGO
WDg2PMPcjjSbfuuPUkIMnwHcCt5D6dIFj7XvZbFIPciH/HwfFqRcjt9WD9VyYn4yrKy9c9m0Pg2G
ZtWo9JuPG/ubv/9LjH59L+xSWY/fhtp6/vg/g/z8OZACt74nWUTVqtRprWL+XJfQPBR0abHS6cHd
FtrKXZGX9iMBeN7Fif88Ud02Tyw1Im+t8pvWidfM3/k38xq8jBvdMUqz20g+4vZgbCoF5sjmOKnt
dXd6cwo68aYky0GJg+cR7Hp2EHbtuU+FWxKjpX3XBsa5rDrao3P7eWqfl0cAA4nxCbySbxz9UO6d
X4KVUl2n3FF7M4VHgSmF1nKww+IduSRPT7f0VOzD+7yQNr1qnpJO7r/ilGrkexBFBKtrnIr90Z8H
1KLsFP/opOi88GjZfltXNxuF5Zb+nO8gkn00pe7Y03GV78jHaJjfcg7d4TNswJblMyK52DuvoG4H
L0ew7P0H3Xl/8eY84kW29r4dms3fn7/VATWZ3mmZy7w8tXnE7xaDcHJxobJa6Ex34nmtlNUYT+H5
25DHEKp5nKUUNT/CCdDReNWXNef87CCstN/huVXRfOhhT7dlao95RuM+/FVCpkn2YJsSwADIhmmC
VBB2+b6dNecr79WrphjOqcZZRMYr4lEu3WXyOht6oIw9pNJJNubE+ZBtNJ8vpmHkBafRlw/NoPn/
2hhwO982DlDRAJYvH2byTYACRlW07hR5N78P2mwhCoBwt699E2PKqxMZbxcLEylEMtFRNhyxzXGx
2iweb/yYo2r500Y6g73JqYhRU9/uGU6uJkmdi5MuJPHuX6s3wgeBilkwHGfxtGcGaoAwYGNm6mx7
L4qoM9O7QZjCBJfpuetLnI8MkeiXraZHdU4W8BhstoOVm5S3Dx8F/fZVA161L/Fn/DQaa8MIoE7e
+ztBBeBFscD5/FCCPlI+RG7gymh1ahKyQBZr0NyL3lF8IoCexKKefT2yrp5BFpjDUmUn3Q4qozZa
NpCYozDIE/S289NADQfqmQFRZk5N6Ns0xE5tOsGZIw5tSDTT0wl2PyB8XkfwXA8iyFbOvBGV+l42
TgT74OlS7FCBS44aLL6Sbc7XuVONXv5pcM8y69Zko1LlQyyqHaTsNMfdfVhnIphee8BYK/L0DEpE
cQpM78vxAHSBOi4JAYGCj14O8QY6N2c1k79Z3kavgrbZj42GajuMmnKVw+J7Hslq6kCiRWlDrr41
m99k4et608Z6VDjToApbT6WZj9hb1pdl+o0RqDx770PWtxbGn/ByR6kkcpIdC4ibzvQfg3gtBuez
R3kO+RAEQ79mJ8/txsn6akqnWrIjJ5qQfjJScHGw0kg6oXoPImnq6a2dD1Wep5m/igJNBqoeMXyJ
55KyUX+OWQQ0cVY1VQ9RnbvbWL/fKF/odYnmdFgI9h2nw6cMYWtqh7x33FSxm868aYXU2qCOjLcc
vvXkeS6HnqoTfor4dt279WRupJx3+xev+W5N8P73zVuOzf6J9gm9zypokKTwHdviE8jc9w9mUIv4
BJH7ntsoZdazlXO8xexhm1anp6qLCfddGTf7X74tWXxKLBEE4f1PzxD8bk6tnKp9KI1CCAXKjl7p
gspwXWLsFsDeW6mD5d4YpAd8Kbe2HQ4cyRPx4uGWTTdUlWR9e9Qtkg/glvuT1yWZxo/fGoLcyJE2
sFSsx+eIrS2rLayTqu2197p+NlhIz/dfHlD+shosOewg5KgC5XmHBuI8ioRiCLT1qEu/p8+TIYs3
35ZuvrtxhbfQRjjL/bH004aD0sI5kmS+3jd57+5pxkNrln1NhlCT6hLJ+tg2zbGoJLvx9Dwg4MC7
0UPMv7tY3uhY1V3hUuIj+g3wdRXQg+VgH1jBUNHCAJbHVUBfTOQQwKvdx6KDijIkYU5tjUdlOszs
gNqLhyDVvu+uuRz2Z/9NdPdjbLc3z+V6AZwZLqWg/SucVemls8wYAlU9m8YKDHgffxIqkjsjfxW2
XwHo7CZ4eDZtAVnx/2AP678D0OFMDFGGK/nPGrHrpevSoc887yU1afbVHVNziBddVsxw51EsBz7s
s3H89bP8CCH48NVBhRzY4QHpcNa5++OzZLNwgW+r/JGrujBjpU/xx+E0oi8SR4pw/H6cf27Q5VYQ
pO9UGQFcjK8wi7pQqJUQFb4ZlpaDAoZRPN2Ea42Z+7azf93Ba9oxPQS7RebtUD3RIR111eAiKy9v
Jxm8+WYxTIHuqECXJVbfPy3eGM0ozZCdv9ZGrNWh0e1uzwUl2h6tcUPa8BtUbud2fgetMuaEUvv9
GgKlNrUDrqmQa2xbJlzF8EY+byqDX8ceX3SdYdfLaC6ZgsLTKzszFhwOuBZWsT8IirhBIxMaiOxP
fiM6n6pqmJY1xdQPfJz9kTkP5SqIJ1PznM/qn83sr4f1ehqZOM8Wtk/GhFJ4XH/847rh3B0mSqvO
D8VY75Zpe3KEemrU6dfUkdEeV0v9as/8T+35FAWw9/9Qg1+Bs+GCN8J1Jfrh27G3UNaySmwYaX6H
OLDM/yNoDaqqg8gdZBHDzVb9yRwIA1sLnVT18Hws4STvs0E9QvZFOw77gfHrDu725b+TUOCzkNJZ
qDspJaYqwTWeadZtKdXm15ewtVTtp2HThOJjoNgw/5mp25ti6mADB9DmCDKvTV2Tuc2q8yC/PLsi
sw86wjpyh4aXX/fqGxXju46BFdIUdajdp8R8dG3XbZu8TFgW41ltrk1BMNdfdjaCtpH0dF/HrSWH
nnZjDrZKZaSM+o1BAq2OkjF3nNZQcHLqRPUgPy9cD+zBftVkfp53lxXfwO8eMqodOsuaZi4ppz/H
ATZlflSV67XDsZF6c6cUWlcwNhR/8oHaqPPkdCJ4FT/n8+qAYES8zNrGGRbKjhVzDGVGz0HpgIlU
UDUuBBphiRDXqnqm4puDElp8raCAktmXAh46Co0keDJjz6FGjcyYlGeBrsxPCQ13N8DMroVD27kR
cULraj6AixXo8EGMcnfmrGffpic5ym63qWxHTdl6pOrqlrSwlNvyALtYVjr5B/IYODbh0j07Mk8e
FJk1w/jCGN4P8XCYQZaILWq0o33U0WRTE1XMtzbZijJP5dKMxFPg+bKS7wRubywegnWKvf6mCmzK
jt3646zAWSnxusdhsVlHMRyKWjfAriAwIVmGvV4wxUdSS6P8RNdCUUXOz1fxEPehOeZD4PnDW3+l
3mf3lnzDntHCB4TP/tBNI0mEt2jKAi8/QEKCTnAq1OA4Vdo4OJ1fV0LPMbr1g8W4Hx1/Wf+LvfNY
khy5tu0XoQ0a8CmAkBmpRWXWBJaiClo5HPLr70JV87Kbz+6jcc5Jt1mTqSIC7kfsvbbybxibxe19
LUQOIiqve02nE+bgmFUINp1d+q5uFt5b5JfminRY15hMANJbsaj44WIv8XQpRK9AMbKOnjK6aeFL
9qJZCqMSy5SaPly9KpY0im0K7jqovLqSr+BmfW0I/N8rtz/Poo59eOJe/IpzO9/XaenCLfqzzmLw
vdWJC2Rl/vX7o1H+qgZrryxo2aRAEYMqU+puZWw25wZu92wWAPOmQhvFE4d44z+2tdDKfQXY1MF5
n0yPzpKBKV2yKT4AHbSOWDLXEzTC8cgko3nwpGuGs3DSGy+D5crMeJRPMR/qo504TR/w9KUfOQTj
10TPYHEKA4u3X1rqQLPLSAm1/JXf6t8bqNwgW1v34k5ZG3l2mvLu6prc595sgw/Nhts1L5W+oypX
O3/RLdS2vVt9pu3waBp2eyVtLbmqxl7tnJ4RNNqX5Dg2g4hSMfn3Xpt27PXb7Cvruzgq0zYJFruu
IycW3RljfLVf4potcN1CeaUOXaCf5bW3n/iWJ59+7AOqw3BA9xB/daIoYeEZ5RosInf2aa43j63N
bD4oGdH0gWY1yfM0r/57iT2eVn6onibfzHa6qfSzrQsMMI2mWRebMd1eqp5QdMDr9wwPM/RKyhJf
Bqse+hmjNR5GM08zwHS1tjP6Sj30o83AgaMg6pd5OFu9XAq0xpMPMUHEqf+ajaZYTigQhs/exIK/
g0yraHOyKl2CkZj6H75yvApwqibPlUCOENkQie/n0SrokyBYOr2CchYDe3jX8769zJ6tX/WusX1C
Y2fbocJrPc+Us9e6V4wnpt/aOYN9vBGts/LLmCarhgDmGyltc6u9TW03/eg0bQ7NzFjf+z6HzCni
FvngCrsmWHCGlxBDGzlELSrw+ewOCfBUDLi4GQ2Pg5iWKhwnq7TO5O2W7VnOndyb7WBeOSXuTya9
L860fOpDHN/YBo/P2A8qYrQITjeZq9GLnKWBvQZb4qZNbfm2tEArc531dtJDlkMDUYReljhtoA2W
/c5mugkss6wPDYOCwNQrdU8KQXHfp4sqwkKp5LmDuv8KvQBIXDcPsP6MjUGX8/uxcfWZufHgzeka
2jPGQGH2aRniF8jf86pdsU7r1QsOri5o29G4FywRThALITtKPT4DU7Xfe9+dLxtLF341A1d+aKyw
pGgdHemQXFwfBgNMyUK8S42iJvKpz/LAyfvuzp3cYs9BD3sEy7R3VCi/79DpoO2YUvlsNnV7GIfZ
OOTt6L6D9X6e6JOf167C6tGB9gzyrkp+LLwgB7hlw7CjDFwesf87wEnsjo1tkahAT8fx5IoCjjp1
qAFdohfPolbiwwLq8JTLuPkY13H9MfABj0avMa9thAUHnZsi6uZOPVJfaoEz1eNFk33xfdWb+gCn
OEaZxTj5JoX/yV02cyLpeeYzD3IKIIcsZsK2r/ND4QzyGW2Xxe8PjM3Qa2ufA9J7Yy7X3YkaK66x
lOKxquR6lfR5t5s9jlza4Cq7qW1dneVgT3d1H8sn6fv2p1Xgcw/Mbhlv7KXi4WGmdWtYariapTed
smm2GuY2fn2I3cqOaI9RWDL2EKcVR/oljlN5v4J5ePYZnbx1q6+euPDhMGvSu14NTaFhcrN9KWLn
wobbsEJVYWPw1wVTkY4Wbb8mWnNXMIK/S+am7UKUIfpeTnn31qrBhgvprOtFCnu4QqhUMB2omqfE
WiFm43UH5usV/tFg5xeO7Wrf+mNiMZmX2pcWm2jQLotjr5kIl2qm1o28gZG2fykcC7gFZHBZlApj
SBtfJq1N7piylDd4auuXUsl3viZh0JsZL0D1oB4MXn4zixz5pdMa2Vk0rfl90OJhCst00q+R+gAw
NsexwwpbgvkVqeFd2XEjfYirVS3OVeq3EXtciJ4406fIF2tFLMCqxBhUVlzfNBr7/qtF6zxea1ef
lLx0AOvLvTFLYzrVNiQAa7a1e68WWQvCWwKoSUUrHzA/jtWOle+SXlVZ0QCKlgDTD9i0DO3gjX2/
Piw+3OH0sJUeeiSw0JcAwMe2mZLiXNCTyzI0PCqX0KmGeLxmWpLDSh+M5Gny1gYMsl66gJsp46PJ
oES8UjTi6sXJ6P4k5wgIRgdHEJ4DZEXHUbne2TFnvc6fVmuJTbgdcwds+mxy2Okn32YjcOjKZUMF
jr0zwDtOCly8JkAQ8je0OCnhS9tifswsVDOBSUrEfbMY2nrAgYPbRfc6U79MIp/B3Erm+NdeyXEa
IZBbo4bJ1jk3Fd4xwyvOSlvmPr8tFw38IwSJqtbnKmJOUxWbSqs1nepWKTv3VbS4OdkNDNhxyu8a
n/VmOBiLWe1ssD7pBSMxJrWqZswbrmqGbWlVC4sfb8iLY53ZTrNLWBReFxlj0gjuzXy0Esx7kevr
qcdILJfGqUggsgXt4AB5NCe2364y1Q0m0hk+aR7bfeDZhcUojpndiwH84YtYkTyySIUwD00TEwOT
jKk5QLZw51RrIK1vUrQp8FL3AQBx41GYDf6SlSEnKZ5t3jwtI0WWQ6jz3V1KtEPgJJ0xY+auPMNL
d605Nw6gVm10h2eWuVV8zDvffk/G8fu6pslzkrbfE9E6OGq6qXqc0HbsYj+WB53LQ+eQcCXrL2+9
KkE03EgrG/ZjKkXYdi1wTA+ZZhtUlVM9yrqEqS9doAV+ZnO+jqr6VFiV9l5TssZL5viaDSNcYQPC
UBetXDb2nehT69FDQCSjbGTWw+eBDwzW2mz6gmVW3Ldd3fu73vOSSw8E+nHooMfuhjkZ4xNTYwI4
tGoWp6rJOyx8XbkvNrNiXejGTii89EXsaNdmMdtXZsvSskmglwDLSJrINOPxvR684bDOJlANTJll
Feli7Ppda7jNDfrBCeminOJA9JM+g5PH+Wi7PQYWYVQxGlIEkcOpd/njdgtD7sc1JgE7Zu/dAb8B
qSp5KKdgXQp5wy3P5Z9hwY8gypRf/ArxA7dOth884YZDDQIozxLjO5O3eY9oR5C1Iaq913r5nZbr
Mhyh67zqdfVc5ijBEhq3vWfG+VszmYQJOXjy3iw9xnZkWvHm2ZpzP8wYjp7j1uSPTnQm3Nk8hjS7
1i05QMN5hKH6WaSW9zsWoTCs6TKyuY3gCzcni5HxC8N3s9jOtLkFy6x3124cW9StHI7bh9D+tIut
GV7qaru1Z7P/aEa8iztA+SxCGSY37ql26qwJe5nNil3TCg6s86bcCK2ScyRwtSx3rsu2Nz/SNCUo
wSz5HYK89FI/LPi+IeMvPhPp0jon4DGmFymcsCBwNK7vc9U26ltL10ZCQ2tZ+vffAQFC86fxqKkC
wnyba8esc8znTTewN9axGIJs0QD5OnP+MYzAoDmRNBjeQ4waqokd68LqTl5BUjbKzRNmwgnsh/aj
MNVM6hBjxpG4h3L+VGrhWeGhpE8bWqaYXyNbK+AB+Tju6ny0IJ50CZKpDGLvcZON/rCRkMb7ykvV
FfBxSS9LOaKiMu40Z6d1FZpffR2dF9WX5ZvXjnNY9FYflbrW6TfD5BmPbNd8gSqIGi5wfwHvJ4oq
qEckggAKSbHHdbOg9ETFoTU3VjoZGtzdTYm3VLrT7mQ74jBAkcKHKLTTKs3tYtwno8sqpSrCvKBI
k7utjR3DeOnwsYaOVcfra41Fq7g1G2PqI7qKuOBIE25DkI00QD4tB02HqWxDFbNieNkGuO/3Etno
liKh+XMe71mYYWu9LtLGbURItz3bMHbXtCIqxePCdZYoZX/ll3hQueVBLY1LXBVXix+bFtyngQas
vStHpkMAzpB5i2EvB8iDr0lS2NCgJx4V1ii4caxaBuPcNa7aJ9Rq9WlIB6362W+8F7DO6J8q4Eod
u7bHWDfZvRxahFKqjuRCQlJ+lw9twftga8ilhhwlMzuAEZk7f/6PiiiyLc6nz+slEm06O68OW6b0
8fewVmu3hQOM/200ahrx3F5BQthW9+gFtm0Fz+HqfQG10MG0o6teed46g0ydt6GdUi0Nap9Bl0Zn
G+dE41iS41i9DCkDBf+iKCjnGz0X+mKHQ9IPXXFY2W7xbnHlQfn9sIh2GiuCANSw1FfWwJ+3wmVC
ZdGHiF6sjXShnDZzdy5C1cw668PQLQ06pExR49A7JN2+bX1848j0oOKhQro2EXNRureCE3Mh9KVX
vn3IlFctS8sUdmSSmoVIqnBI2ruknu2s3LUTihvB7KBu/MtK6efvYq0EVReoMRYEFhh2J+ydt6yW
fWDvV720/lA+a6hrFJB1zGfw43h2dqhNqi8dhsnKlkZPZbFr3F6k0SjRqczBanYsH1cQm79U9meR
JeOdgzr2yBw4uzR6TIiP6Q7XuYETdtdaFWKtEee11WrlYy7myTt1lHBeYOEDt4MZp3p9kEpHxTj7
7VRjzhmLrxY6HbRQaVcxqFXfHiJlrctDn2nTTIGgbSEsig4xzlvHOUjXVlUU4/T90NZ4XtrASKbO
ePCLrHCiKavrTwm3VgZ9DtRdr1dtpBuROb5VygnZHweAP+NXos3bxIWK2qxD8hGSPT6tMdb21WD4
iHPMTtRhrNsNDJNF749G33hv5VjaRg8AwEyakIFi5tChQhu/qYjOI1BIdwb1ivQB2UQgW1R2IZqO
bqRAMkx0RQy3bhI6b4hFHXX49czCDY6tVXg7r3DLs5YAJekRXmOuQFvXVkg3zGXoI792yK/wNKLa
8C3wxnhzAhAfbd2xa0twAwMDs48VwQKfjVjcD3hJ+TtXfNVGO98tvNmRLWJf7HK0FT80xEsMD/M2
uZCFZvbfaS6n9N7LK7lVXZaZHalg3LPERJ59cERay8Ea7fyhmaz4Gplk8pVIg1fen9YZuVo8MBlZ
IaMFbaZPz/7sDHcTpmz+BGxsbIe9qjlMfKYxKxSOeNgCtbxI5M10MhhaZNGENubbZNn4CJ2it4+1
nefIE6XzCHKy2Suz1l9d2RuB8NAhprJcUej36xJgOVpu8FSaWWQO/YipC4ZCvwV5iPGUAFHlmK9X
5KBJPBFNNwFZRBpBNxy2tbeYezZE7FmhVmR9lIzWyNGr4XfIAvLjkBdaSU++U1Iv/bU1EMaTmAb2
W91JWm+PEKJ9mmZPoTpWNX8lagDvuw0KPIGwn9q3HaEDRInBD60DauolA74SC+QoRZelERd6jvKK
ccndWjEBCFa3bd1dMSKwiyy9ynZrN/M1iYOcDtlI1UY4rH9OPWxOMyYjcFLO8uZxWoxXs6olwSXd
6D+QE6IGfpzjdDQEGVOgymyurTI2r/y0LDxkQjHpddKIxRURb+bHUhLXM2ttf4dWLw/RgJnvuGKG
mj2DJxZS5nqSOjxAgUs0TEveB6UE/4YHPPNLzl9plVe5YZICo9zJedFiAIQ3TK4KDMzE5S1wyyrj
LRMoHoIKIcZNg8JEB7jlLDQFwsTV0MW6Q+AOIW1PhTPLKeTepKqjPo9SS3bkz7CZup2siTG0ZTbx
jV9W1muHyiIJxqF8s/qqeZUKekKa1cweUVQilEpGPvKlfEu0SU+orWYN1/hqXMsBe0/P3OV7nQza
SeY81KQqFN6tGlRzVg6BenTkxYW5gHfUYt1/YWKceXwMEvejNVdrN9t6/zBKLOJF3yjSwEZ/2qo1
vUI6UzPi8freP/ZWWuOxFxrJSlUm5kPtmGP5gFs2iyTDrUjyUSfvznKGHeWLcUVERIo2cDIAay7z
q4iVEbQ9eTgJi5ld5ZfxT2TFemQ7tnr2KfcPhh0bHw0K9FedL3ECbeaFQ/IP6sL2r2eW/Id2VDx1
/vCOQFndtYO+EBamGt3gOVjvgOwBBZKGXR24D2RNm9Fbke8hTuGrL1NnSogQlRH5M41KR3gnCRup
gcffL+3HPLXsKrSZ6p/atgaVHKC0LCzrcxmY/stdQbJOJz+4oAjpidiB42J6paOFNfwg7b6xnVuV
px2nfA8eGG2S7PA/IxIA0FB17BpYODbQ+ZDSLAcAdpt4ymr0WaUnfUirfD0h5F7Uc5zNk/Pp1HZT
HPPGr5QdxjYsfC3yR8eeJIdXgZqFnRb6CCKeMhfYgOqMlbKRoD3Ao4Ur9fk0LEQgOoFrzs7etuvJ
/w7TUHGodG1RwqObPCfVwbiNNTqFCAZBkiBosdFYIUemjEdVteCF5qFBxm6TJTOmbfND77Rlgxcw
1vfQ+rXTUmypR1lSoBaCnLiJyPkMdqxBkjxZ9e5+tHxFC5NZsysl6RJTPOYRi1ifvg/LUDYTWJc3
PbCxfnKhcu/01hr67mMo1tFYAr4LmEjIwjYlWbC2KSfDMcYmmYuQifX2l9huoovykCbz6HXfBi1Z
TQeQpF/wv6GF99z5SlM9DfNVvvRx6YYzXC5v3P+b9dzfDSIs/zBQgwynxmQr7SJ8+PsatwYCEufE
/H1CY0Bd9XvrbbqFw/pJQqVD7Tn5I8AxvbKl6QWeLDEikcWgcwsrq5695/zXouv//3v9fdvLr0US
tYtdFY4ey0N2RX//tTJnwZqUZN5X0bSbt6n6LfwgDQUwykFrWJf9m0Xl33fy20/Exs2rsXmHWflu
qIC/ajIYGvpKxy/xA5j09hPH36oay6klq/neS+0BEdyok5kWplnOsvL3W/FfmsO/iU5Ga2Pyqfxf
LcD/w3O4eq/79/6vAIg/v+RPlIOw/3B8/PiwHVFT4FVAbvNnSgMjsT9YpZuITTZLOHKb/2U5bO4u
dsdbTrIFC4KKGx+Rabls7sA2/gekK1x6f9/ko+4QJArgt8IrArP+X6UKXax8HK6ze1WZLHBxVHnG
FLnGtEwM53qtVRSS5soolu2xxWXa1ItBwYn5VQrwOpZtPJYoQrTq3FMKynmnrbO046MfDwYTFWt0
aE+7cm1vEHQxxNpXciRK7kbpRZbOAY/ORPvbay4GJ7rtyr2Mdtd/ovG8V3bmxaFBV0h/7Hr7kgBp
GE8dwUXmujxq/roa9DMp89pOGLXesbE08/VgUrbrl5rFmhPmvU5emIfmoj+WHbTTu1yLC2SLsXjr
y9VKQ9l3wxb6M+YtAXky3Wwk4hVej93wIxZ33c2iNLkZYSYykWTIsrOazL8tutp967AORppopu8Z
Be/d6iiPAcbiwEJM4dKxSSAIt7FSzQ+InmwPBQLyU86w87vbO92r2VOgbIGx4rMR/mc5Lzc+vQdE
o6JaTvwjvh4H17rNMJofgcobO5VbG36Kgo8NnOjuh7xmCKQvix6pKRmzwOZAIPJyaHCi4lBcIG/R
gNXaWt0hdOxf5rSKTya5xYd19ZZ70ZvLWRM5UZdLhkQGH7GWQcLPsy8+D859jgPH2o1gqm7TqvYP
uD3ksW9m4zLFqn5KVw+HoD+QELLaXjgidGlCiM5sZ5zR/KY1JDDTpDHrauxkoEkviTrjeAOYZjDO
pCYdo2ywh51h1sOOaR17ZC2e99YEsau0IX6EC0Ky7xpruz3JIXCNsm49YTlYP3WCqU5pb7SPNDnx
Ddus5tJoyVBB+NWWW0JC3dEw9vNoK+6I4B//VoVpj+m15phtO4SZXnkbz3okaVue8xZwd32u4n4q
m8gjljgXe1NqDyAot5qNhUE/kXuaxob++euY+O+J+m9OVLTXG6/k/z5RrzPAuYPM/nqm/vlFf56p
ZNGjg9wgHmxFNmvwnweqcP7wPPTenCr8x39ABPU/XDRg7hYNv6l8th/+z6MV9ZSpc7kiM7RQPv4n
RyvH578erZ6HZECHYoF4Dhviv9QF0nAJJuiS9LwyTUb7XCYuswU7j03yp1x7fNOTymM14TQPGWv5
m3UifLrzK90IazHkO8PDAZIraAQ7ac7FbQqyjmGjVhNI7cnDLJgZASM3AjgTbRc5PqQvBqdi080W
RF0uqZNejeXUXPQEmUTQmOUFpHBx5zWWf6iQDxxiL/YOdlESXYnTL476oXAZY6XyVFDzXA/9ljTG
Yl1jW7WQ3Y46wNyCCNxv2WA2TAsRDIWzBzDbSgdQ3JpJel7NUL3pbHvCMT9RJusfRbE278jR/Ou1
sBhdy9lXO/4PCSIjd94XmzNjimc/YcQk0H+kcaOfNpDzsZCm9jk1svvptZm4tfLaB7RVyR/JbMZd
mNIj3mVpOxyUZckH7AXTOS+grgQLGrgqtHLzB6oKEFpOvgasZmi8NTY/N4leJ1d9u2qftZtwUgPo
Nm+YANYnbFivo5i7h3zCDlWk/victko9CqFmYja1VX5g5kteScYqBBQINtwu3OmBSGdmbJRmJxIa
gHGbeIFOqSMKj/RKQ753C+y20LSnby5SU17puvwoM6WOYs3U3oBj97nqQ3nJdHmrrYlzpt5HnRCv
61Ubl2NYO16/92YfTKJ0s4Vt4DKYkjc1KV5Jf2XwwKs08N0qrd9zsZRX6B1iYkIqlz+U7WrQG/GA
xcrRjjnTuwM06/KpqYH4FfihCrJTW4sYS9S9u8p1cgNdh8NiCfk0Yw7uhuLUSXu4Hmyx9uHQ6Lj+
FoMpeorFh8kEU69w6us04lal02bhNv3McpNCtJ2tGjh52a8HnB/1XeY6MyOtxbskslkjZ10AqEu/
um6Vll9MzYJ5iVSNfObGZlwWONAuX4giAb4jhsT+6OaJeTWBdkxtS253ck2q49quiYcwAFlW49cG
yktH3CfxkmI4A56WVgTcctm40rnJGAl/1p5VnHQu/3DKmWxEqDwWMmvT+WrFHtzvc6FqjJx5/KpV
bqKdSajv8p2oPeOLPOwewKQ+DQ/jOhEEOC6F8aZEGRNsWHfDvYFB5LtEgsnKfTLe8f9LYhsXxZBy
8kr/aBNQCa3TFw0u7YX5U8XqGXtZyiRpYAP5Yo16etXpqf0xuB1Vh2Hzod0MoeWxTWr/ew4G4prh
x6KfZlGIJ7YpDRnWSCOYFZLZXdIo9s3eT+vq3UlS8SwzQPX61NIkS4tMDnf54bRywQuAD6Lelo31
a54MvRGWMlceb1Yt35RHzCkDy7ylcW7QwGiw6tBNOOKSUtdEiIHuDbYgdoCbRu2kzhAJNI+981kW
g6j3IMCPjCPZLmSYEgVRgJPqzkVjsL7Wey+k/CLeW5LwfmiY7BNsaBEsqIlWPzA5zR5MaP+HJkNx
To2lYhvRjdTfzCIlucPmRB0JGFlCgQIjP3iqLU8JOuWbwt4GjKKx1INkC8oL61X5NyIkuiXoDGVN
nGjxcIqTmfh1H4/H99FbWnm0Nb8/skZnU4RCpb+1e6l9NgicmA0b+Xi3dIvG4bKC5W+0nEU6cNtx
r/lp9x2yP7Ik1nFviMGANfUZgRRqAuwZWM4i41Cw+LlNFxGzxjPbijyUKT6lxK6A2NLbR3TlLdgZ
MRF4LrOwKgvGGbV3ttsFQ2Ndl/ci7UuwpFl8yguOzYaR/YEp31MCivPQb+vRjFKc/F4JvAjWIroz
oUZ31+HE/lqtccZuYrhdBBqV+J9mK7RK3QcOuaVxDFd22bm1Cm05tdm3VUvI+Fw8mw3uq48wEXUf
aC5DqVfIpez6YwxI1Nq5e2vkU4yPuJQPkAr0BwQBCYoThlceEJ0TyM0Xshrrhw7O7sNggOAJ9CyP
Xybp1q+WJn3CkqGintMlKV58AkM4pCYeKx82z51OpssdGx4E/jgXQ5UV9o1Iqj4kZxYZpSORDRlc
eeFcLdnNYLKE6nw0jREDvuqGxQy/rltoe4M9KS9MqbU86oLgZdoD99IBxL1dZypVx2GrxppOxY+2
L90TwNHpiVmf3wXpSEKktVWTCC8oLNVWYy5btYlEhbpzq0BhaOqfBNSTlrBI5zCrbtjPW81a/Cpf
105bj4lRLvvcXogVNtSwg50x7ICkch4NWx1sqpVKNqN0rqb8Dpi1DJytZo5/lc/sxuKHaY1PjZub
18gHWSbUW7W9bHU3nDSs1byeT3KrykW+IlSyNe9ASa/dFr/Kd9OcnPtSrOkXFIPsmM0klAaym1t+
Drym87J1AmYhp4NYhDiNW5+A4Kq6G7fegeeJNgJWvSSkeWsugHXTaKy/eo5f7cewdSJY7WhKYEwy
Ndo6lXTrWfKutG9JW42vV0/Mp56LkWwGc7qpaXf0re8xfrVAztYNZVtfpEM0PfVbr1T/apsQIdJC
pb/aKQCfTshwyNtnY17cxVvfRVs2RYUy3Ddz68rMrT9T6XZoMr2nbVuniVgeKU2zeaxp7DK4bpzY
qZ+2V92v1k+vYU+w2J/EW7b1hmC3enRvv1pGyxMdDj+XGRPqEaPTL6ZLpjHAgV/95vKr+eTi55Vv
tp5U0pzOsMWWvbV1rK1wvTCtazcOcxra1TCb/EoxlaqOSEfSV7xQTvYOA7SuQ3zBurOT0yoTCLru
FsV5bRhIpdWhSYhhGs58ZE0JPHSsXa1/7+L1jdp3/lYUWv2Zj7P5ItTgPRld0p67LnvqWFns4CFW
J48tc+gNxGZ4zfzglnB34+GnnaXvuXLfPAgKH1azrS5s6aDLcoY3T2j5EaZWedcZ5W6yK+3Cm2Pi
/2xJHClU99NanZFFRdsVqNY6y89A3mZkNzSLurecCW4qkfbEM7cSoceT7w5yV63mep+u1Ds0wxP8
hd9Tsf+2UP+mhQJI4TMh/L9bqFMzYSj5J1v0zy/4x0hK/8PANAiUxrb+wmEX7h+ubeItM70NHkJr
9c8e6leeKD4a5t04a/xt/vhnD2Xrf1guCk2fKZZvAyD5j0Ds7C3+tYcCD0+nYYJzoGOzrA1y8hf3
2VIpNdZe5p/1rmLIjIg4mgqzeJgtp/iq6pFTlzPNI6wNmwUe6bi4saxKvuW527fc/L12h0eMjU7a
LuOdjcXypVjN2L7qsnn+TFWWJyeUmV0cxvVgaWGHRGQ/sO7axXPpvSyOmu4H2VqUa+AB4jMFS/k1
jotzGRGcvKRzk8tgZcdFYeSz18JnSxYvRcYpFXZ2Gp2x3LH3IIPdhYZCFVxZ7hdjvfJHrXN3lOXK
TTWP31TW2Q9FrA1rNJBh9ZOVdnWbaL+0gilFGKZLHlqre7fjZPw2J2ydqByJd7csVKYicdCVyNm7
Q18lqmherP4ud5KZYxd5YyCkvfxE4aDdwx+d0IOPVXIzaibyLeZFLjlWvpHBCbPsi5nmBQJAxMIC
VNyQvq9UnEfUAv3O4TZ8MxYrmUPLh5Xdew7bUFG55eNipOnt4AwnwpCaZCMuJYeEzHdkivZ40Bs0
vNFaVe5jlSbkRa3YDrxgWSgjg8YwYTOnRW0QlYxO4Wsx9LndCkmPRnArTrDMgnqKiw6Yc5Hv8h4y
JbqExg3LbhZXkuoXrfLi1mBBWtwWSyNglaAZfRi9qjsmS9ocC03vP1ItJkpLZBVTKHQK7WNXTups
eP4vBi0vjigRrWrwk29pnTw98JM1v81IChpgwHjja8k+LHAHW/lXRtp4aZCuy4zMK/HEGVQDCqKE
G3xX9rW8rdHKhggDqTrBRneRPc1pQ/nTqzPkedZWbjond75qf/Z8l+Goq7VDW+pbzU9ko6Ud4KUr
aaHtVX3W0nK1Yxz75Us8wLceLfxCmHVzC9izO77jffdRassxatra2QvNogjMrc7aG42wkPJlxnS7
gl/LXzqdbnu8XzU/a8qdsWpKHTxjzB6mxUvvKhT/RvnFu2sylk0rmfHazrRFWn/RsaY02Y3uktGC
LqETUWWgvjdsNb5NzuSe/MUwnxOfnxH3JE9vW/d+psWvLSbGGK7H+hjXRruH/VvB6yePeyTn4bwo
u9j3VVHxeG/CzIaOMSkQXNYGIQPCbnZwlKqwU0YMzKRYAs1T5i6bxYAqzMLqVBhUUMK4ZkvpBXNj
Q9sRRwjhzmVtkXcvugTLoNfLkUuV133AnVcFI66aqPYZrASYr3TGMM3iRn0/WKElY7HH5KzOZiWr
XZYv3smaxXQZyDqLpq4qDp0zDAx2q7W7cikizmY+VA+gH+0ahY/rHNy8Vg+a6O/XlAezaPKf2Dif
NzeBW/rFly8bO8qJo8QZlfdPGtmtNyXigLCvuYVJhjIepV1wavlVTSvT27i73BxJyxZ0k0+JH46m
rdhmF3eWXb8I0iXJy+PBZtl0zFXy4Lp1uqsaXElExNdhnums9uae3lOubhXOhbu92s30pFvErOvj
IqBN2OvOLF3ydszcfPgf9s5kOW4ky6K/0j+AMjgAx7ANIEYGg6MoURsYJUpwzPP49X1AZXVSqupU
Z69rk2aZSTIiEA6Hv/fuPdeuqNzYnlJiOht5dKSVb21wlBMpQG1/TV+D0K4pmc5zLpePZmZZxDQg
pFUpmIipUurk9J3zyCSkv6pGO5vYpFr2lLX3lG9iGWpfdZB69BfSaLlZpWGbuIhooRMq9C2NKvdA
R9k69PSmz0jnyA2M2mjahcbS+x2jc3oNhMBEcVpfSE+P9w5xDVd0i15AQCB/RbTNKTxf6EPUHTEW
gw7zjotyN2Yq3YaLWWS+HWVcbcNMuFFh4Htf43jmIeKaWLb5ErqJPpRWnFHttDdJ646vAz637VCk
y57EL32ru1URJJaD+K1180+ALNxbqBeUpBFf/yc82QhGeu0i06m4EUMfBzO+nkeGFBmpaFb37IjI
enBQq93VtYq2oNn0XVbRYxmWzj0muoUjIEu1dCtdI2PTVXH/EMOaPLlo0F7MliVtmvV4xgxZXLui
ag8wssRNC4rGf6tD2nycHyKR2y5EORFfUFt1Zx0CJ9LKLDzoSib+kLRpgGeELTOLbjj7JoeYGcCt
Bj4J+eAAp4ayOgrMpDOMtUmxgAirUB6kSX6JjSz8oGCewcmFpvmZGQKKUzRU8dlAHXNoadKhVRHT
lxz8GAV/tTyauLj9KkzQXGU0wCLGQ+2HGlr9eVEY3eioDNEGyEzCeqvVPfYj8WBEgwEeK6kC5lId
BmJO3h+RPyNDWWzyINsyJKxo3e15ok8vKq2zR1NZRJv0tpi22IhSXzesxU9YlSdEL3eI8qhkox9l
rV4jAqb3ZY/Y/D7Nb/VvOTlN/NGSRkhhDCCp50mUriXz8lY9F2shzYirDua36rpaC213LbnDtfiG
zcEWjOCBmrxZy3P4Tv1+pGIfp6neU2IioF7Leb7KLOjXEt9ci31J1d9HWhXUayPgPyOGoou7+Tfn
YxpSHCv/9+Ox/wJZHc1r/NMh+cdv/XFGFsL6hzBdS+orjlq68t3Y1rD+QZNfX/mCbxxU5sP/nDUw
0OX0gP2AhDlmvasy4J+zBrj9Jn/QcfV1OoDB/u/MGn6BAqOhhOtuQC6xHVOHM2mtEoV3x+QOoltV
9/10KUbyogey7mHcm/CzyPwchztbk/Mpmdi6tjqZic8EnAwfUp7ONAC9ov747ur9G9DjvyAD3uz2
PLoRRujINWyuyPt3YxVzlXrMAy7sS4JYo4Xg094pUYdTzYKzGkaLEnOo6Buza3e1DyEDXRG0Lcda
mwfFq9d1+g1/Q6GSzDLxYZGaK/azLcNvAtjX9EPOQMRW9I3RY0Y0U/EeTWn84mdfr58FLhHKA1gT
3X1LKnt3/Rg0K77bubuAs4siQsCX7MNA2WXuOmcuJVzrSSQB42gXMaWNzm5OdXOfI+oS+AvK7lVN
Lc3TmHyyAF9TibQ2VzoH7UamcK7KRN2mPTYl1LJtgMPOe2pVfQXAT07EsGr2NfNisqP++nv4WSWy
LgoKNJ0JmGOzNsy3D/3uQznsY3ivsvYCtdp7KiPqk43FCaLaVEU/3Y5T4z1Uocg+/fXL/iyHkTqe
FngEjumh01n/sb6tdy/LrCuymKMWl8IlRxY8WX/BDQ7wLVRPf/1Kvw7Y1leiLEQJg2rJc9xf1llF
LNxSY9S64P21XuBTNtkePQNttrRSW72GnEW7aHZJm6Ilkf9u0awUh3esAD4oC8WggoGLQgDGry8P
HSFGg4P9z6lTCee8ly9EFPEe5JK3W9Sk5WbW+er3Y1aPODvT0vmGHB3coTdb5wm1hO6bY4JVLMGu
/QELkmEGyp3nb5VGJqTOzB5IHX7O5iBNe+l/IyL6NY5yff+MOg0BwwEuK3Kin78o3e5lITmIMQ8I
85cYFSbprFraFdQeMyjpE9nA6ZfI9TDuLjUkKRRisW+IwfneOcvCaF5FSDPKZPgWN6bzOshKOb8L
QZT/8iWDcGUR2Wjz6VtI55cOgE0PXwcmZl4nFtAZzw06Ty20WSfT23UDKT5ID/W7IZ8lMxmlHFwQ
xb41mmqfWRVh2Vmd31dEiUwbJxujj2OSl8e5RaVXybr6gOnSJfS2CJloJQgvkN6jsw2TtriMldai
ykXAGUWC8RnycaRlxqDyA+a87N5IotsIs+W0yXqnviAWeOyMXDMDezDWmNvZYG8gFH7Z6KObnDMl
3edQxwqk0PWcF7R0ZJUx48nB283xUXPpMGzG2V0CMUotWJLpa9XW3UMPmwkZco60hLqqPxJNYTzW
itAVxrec6jaLSsMvqHxw98ZFrX3uc0zZVdWiN8WdexS1l73GQ2Vz35t5+hB74eRsBoSITBeb3p+5
DkhDDe8G89m0RQBZ74SYxLDN4NTg/qTeqCk4UMbkrdlgsfFuOBhHesDsqDvwqDFGH4KejVDUyT5N
ObMro/GqB4m9Yd97DIV3WOyXF9cuG2q5KVl2Q+pGOw2F5gs+rfE7PI1K+guudgYCkTFEu6lLSm6O
cSR2b+jdXVOGTBY7Mz8U/CjEIYskd3vAjr1J2oTQbCccEfyVclo2VpeFvtlpRY76P91GFmwa2tPC
CuK2Ab2QsJK6ndmNXrufTGc626jRsxCiTt0RCYe1by6aVxUqw1ie21GbViW617CVl1+NOU86s8EY
0/eVfunSDkAFTod62cPi6EKgBjG+9sTIygcdFP8xmU2z93u+gxB3H+nmfF0YZYMiDHkedlk61lvg
9ZFOBBUV7g2ta/LmD+nsjCog7ZQDu912JitqDEuxpmnzLNzZmkrCm4Fbh1zL2q0QkQvGtPmuyOLG
26DgRL+/nbC6+VroCQ9xaagXFuSSEFwgozjGNmPmZPm2DTkV7GQR5YvvLpIdszBSLOK5arQM7/sc
tbdYKwBtlVHsftf6AVVCoJdGB8nB7d2LxE4angrT6RyqiWJq62U+tDq7G87HSDmw0tphqXde0xbx
bs7sfD7obZtXvjRQk/vOJOds30BKJTKZjuRHrcoXEeAtSpmTpbmu3eC10zjJd0XxMckJBzyajddl
2xQK1/3SM/nfJfgyxJUaVesUODUN1e3DZqiKBx7G5gmZrJHu+op3sC27LFq2rpgW5hSk143XuQuM
YatxqzRgPkR/akwpsyAKTRRLJHXxdcYOkWubgiCd5RuKZc/GjNdhVIQZreqj0GPrgP4ztX1IGLVJ
rl6MbIJmFRLrsak8oLIjSYcmJLCFOilZtCs9zKydqELs6I7ynGorSMIoGQIJCoMUCQeMen5uIxjt
FyyfCELSNMY4iDC/aZ8bxN8z+ELuI+MiFgI04o07WJr5OGej0V/syiPeuqD2vZZ9wSMpQgjLLzBp
5mpB+BXFM2O7Qp1q2prTrmVIEl8BGe8eLbS1L5LaGeE3zT4T2iHQlC0xdjFvHhwbHRcTurqPzngb
Q7h9zsaRk0USJcMDGuDxS9UoE5sdka5bN5U6hl835O/IrIRxXDQDw3n6gdZd20nxKDrsapuRiYZL
j2h2pi08zSQ+NPhB8WU7GGBuYs3xntD3rYszSeqWsX+r2tuJGtr19Xrku1FjwRsrMfCLK55g3hNK
bVZ3zi7ZBOR8TuWxa73QuE0aEA33hlt41nGykrG/7qZuPXyqebqVqWZP23LMeWnS0AggngyyJ6EM
OOuHX9/6yP7E+8KlcLFkwafoa3CIdDHKdPG9dODWqTLmNXcFAGAcuD2ngoj/x55qdIW6qYU1M1U3
K6XzdY/N1F/nmsKEwoSnxnMKjM3ckjYIlIV/R57AJ2IDwXG3npO7In/Cg+edwG7FpKrjTWJdIGh5
ocvG25iaZL43u0lvryKOuckV/cA0eXB5WuzbQheX2ovqZyIdbIabloqNU+lGXn9FZgcGiLlxapyy
0L72lcFlXX3g89c0S+Xt1Ld4hGoif9KPo51H7QHvbf4dRui6h8TMvgPqAEJ4ETSodlfZJHhqepjv
8rGKkJBabHNzM6r7GITOFQbHRAbSaAzghZm0eBwpw3tqEm2ItplRcJssWmh6R6soRf0tZ0OeT65g
SW3BJrBGEolWB2nfMmx5yIz1lWh6w/ZDL+sGnrToJzh618lnsvq8R23mmH5avK4RrzBSEFzkQjgD
CAaDPzXlYiVrjCCmjhVfy+hrqP9pNgxDdz3NDs60oa03rtMerByF/GEZV2IO5uZVz5KlZXld2JN1
1jrcX1tVF/lwFc1jpXxXtrl65CTSvurAkMDmOHE7bFLVov7wxsGteQrM9UOGWzz+JMrFdAd6JQzv
P1Qdxnz+GDSJrQLlHZ20sBq/qEjXBgC+rZ0eYxBdd1Orhcu+wZAdb+OlZ5HGBhLR2ynNFnnJ7Wp1
fVeDbl9bQoGzmTndtNsRkzp8J7eIV3uqw9jWbVuawZM5NcGQQXdA01mz+lNrQlQzh6u2J6xau/44
EiDwmKiGtcaTzntireftbeEVREX1RuWBMM2VDQK/f44Yh2sGDU+R3Uts4WMwAsqy4HZk7nBPj9jD
3hqxordVbPJtUjjM0zk2Cbk9O02lzFsQB5l9BBiPsIpxjRZdp41WjUHe4hXdcBrru+ssC3n/DVDY
XavcVAXjpOvHuba472cbFtbGCpVz/VZ4/GfS+JtOCuUWx/O/6KSURfHtaxd/7bv388Yfv/ZHK4Vc
QtodOswpw6Qopej8H8EmqdCOQf0Ne821BKZlKpJ3rRRJL4GEMmbu5ITwPv4cOXqMIaXLY3nlJv69
Voq1Di/fl3UWpStlK91ANhSpU17+XBZxKiF9qYyHQ0maDtmjOGgVI35fon+Z7fSLqw8JGB2yMqmi
PT9l0riZpjllg0orX+/cR3dw05MGcP16QtA3uCt0QrPphjRk5eoaJ5SEs/+8ujnxCC87y8z1gLG9
uVFu7aEa0IjltXvPp7a/q8KB85YKceNbbroVNU7bSPCanMAJ2BUFr6nXepCk7ach8x57GZfc86WB
yTj5YmuVHqCqbzGCE0JcDg75oEPzSaB/8Bnhm0BSaGoD9H3C+HafmOLL0PDytqw+ZSVts6jD4g0S
j/xi404ot90YBZ+HVA0oL039yRYJqP6GY9eo8fEKntcIcgocU5pzbBr3CM6y4wjIpRk4kkZdTjBG
kn43Um1COMmlLN2mDfSaP5oNXAIrjT7wEbgMunvMEQcHnOQSrL+8h6GytK2C7UBwlFEeEqupdiWc
7sCubf5vat2NLonQ628mFr2aGBkttmRmC9HMJagghm1lJ5a7qERSNWeUOC0vyYlQXkmr5u2PprHt
a96QWdlpoC/RB5CfTPic3g28svg+FzWPQbMBDxLOKbPomZO5l0Vfw0wTXAfv0dP1bst4ofJbHVvq
6jvbcU5xQYIPht8kXvuI3C4FP4MqBOPzssPQvBxGl6tnsrGzSzpHV2iPb4uE8aEbzDgigsphHXAg
u8sHYrvxLD+Orhg4cfIPgAJ3Q8ybipLUOiKs8nYiYX5TwvE5OR7jsoGHQKB3/Cxm50vcipQsi9bY
OoNKfDu0KUt4GBKsy7k8l/LCev6OtBBeFfi/TTbGX8BB8t0v/FsSMgUiy6oIxs7F3jyU/E7OVUKL
7waGUy3X0Ms8nBXNp7fvO4/wtA4Zywru77KLFEsG2xJfPXMPOvRudtJF9J2bnFVt87OuYnW6Dkul
XO+FiJb/h4zIuI3t4qsXa1t/8tzNUKUIv7hcjuU8zlQC27HmPkERFJ5GqO/XyuHu8Jz2kwNbxreB
1XLDsZhc7sa3i1FU3BSjxo9Waf4FKLWxDTn0nDIDwrgVsmizlJD3ufDEPX7XyjeqEZBOQ7S12VUV
WGvD2BKeqwc5A7ug1olVHyPVXrmtNu0j+nJntAXER3VI1lKoVeQLmeCaEkLBe5LWATrEnOuL9BpZ
oL4aeYFvDYraZo6yrc59omdDfDcoeXm7vcxkWQ46RHNMpRmZHyXB0EAQmSvnfN1oLNNTpHRygFHn
Ivhbb8OU9tfbd6vlfHwtLM42JHy2EJZAUdUeVTbX5m2Vg3VediWKnX0bWQz+CF3bAWzMglFjOb8t
gHWFc4vfMZYGrzWzjXnYqLcWqp7D29fc9UDOuoZlNKVGtx0SEb5Uq+ZYKj7qwlEXHpdgmO2Z7F74
xcG/8hWI9HtE6QTjjrtH17ibc5Msd6MQ4UknM/1M1Tld5CT37ph80aJ4HQOPxZmJaLrNHO6IftG1
QyS5T8tFijPTbG/n2CwyJBfFWQPr4C8F2xe2dTxcbA6UTZwqrL2nMgiD2sQfE+OAF8m0fafTzYCK
v93UBonuo91CuFpDm6c41w96KU0g1xGbYiTY3Ea+Os1JvX3YG3cKY8F+EcW85xAHxdIaBp85Fsk7
A29hRAW54RYpD4zY+YeD/fdtbzK8ydi+3bQU7QPxcdojf1vdyoYl0UjrzpiTeW+HOIkkPXQeO2hH
ZzR89FYwQKUlTl96BwV9RWu69E76ncRRLs3MHfB2rW1PpkGa8ydBcXk7q6A1Yk1di+RAsgVaklM6
uXm3hliou8s627th/b12+M85ZgRu+moD+m86WVoW70TTfHV1YCnEXoI8rZ2nvOT4m2rqVhv7i1N2
CQIGNzrN8RTRO8vaTASQISAvpiPB1cWk2X1AABahrmt0AVozy956rmiR2y1N8sVIyikQVeLhpdKN
R4kkImAGWyXXdCT6U0yMkbsBtYNaN4wEDqLVULtRZdzdEttpr+NAkUUOo9lpIL49hfk4zfQgUA6r
Svh2XWunKuxfIGuUry2CcCvWSxLRzSn97tamttDO0rA++Gz/4wHHfLmjapm8atNo5LRWCaSvPLEG
LYh4FAUMf8Jrj0RvbZeZxdhe6LO7zpEqE61fNy+d9mmGxOirPhqyc6g8k5zzJsMiV89pHV/kYBsz
gRhFqN0XYP9PyrEf3x3F/s2Q45dG6nqusWwIwRx6EWeBuP35XJN5cPDJSugPTjzP8G3V9zjl4WIW
7mPflCbLirvOilnpf/266MR+PU9Z2BQxLDIIc5Bn/vy69LqN2euq/iDGt82Oe9CM09di1JCWVOn3
v361X6YPPz4lbW3bYOaGy/iXV1tGsofipegP2cwCWU8CHrKqLTFN+o/P9Z8i4DdFAMf2dZT0v1cB
lxJq7X8FL2nZ/TRR/eMX/yk7tP8hkQfqktGUBJT7kxPW+oeOGZTZjiSU2NNZUv+sA/B6MWr1+N+c
zBk2vasDJMHmgtqBX/th7fo7I1XLWccff453sHMzPYOdZmDikpQjv94vTP+oeCcHWQKu3WjZx200
d2FQGvomh/ChdZa3rdjA0eG4MqFDYJnLs4aCBhdtLA4QyrRzSA2zJWI230XkQyG/XdrrEj2dasz+
RECRE1iZZ1+VfUHGQoFKl5pDu+piF5SDhVwOLNYEMg4vyob5hLYXMME2HERq327bmX73InYGYt9i
A8/KRPPt4TXgdzZKRgcMttc2YsiTAR6Z/IXwblzqm6nF2ch13Fh4pw71ev5lgg2yNLNPACKCsE+B
3Ub1ay9xAvdJ1WJobxK/MYv5OmwiWjCdHkDF/qp4TG/qrNVIw0jAmujLspclyCtaZHuAtcVHbx4S
EAZpzE5vbbOpuWnSmXyIKO1eGqMzd5mTu36FFeVg5javn/N05EoRE1+43mEmyfDewVKK0kwshyo1
mJgQ8rYZIZ0eoi65acDT+3WbLtucpK0NJgB7Y4E32AJeMIMo1iSDk57TKkr6Uxo712QLhbTK83u4
keO2w/1GcNKhIlFkE9J4AsSL/MwyGW4Yob6HiiZ8qeYn2Q2zP3Trh6hSAGqgtYIMLDlGaM3eZm7/
hdFuYE5TfoJsEV9VDUQF06CXuDg7Lc6qncRbRkabTdMWMS5JDfbBC71TN5e6T6QPPWbCb59mk+LN
1Hu5bUuC+Uy0ajvDisg9Y8B1NEqVUBZUy7EV5AhxzsUbMQlkRq02B+2kW7R8JRBNN9pPvY0vBxfz
1hPJ52qqkLxq7nEuQmZYEiR2j2tkY6LTVGaPirNGophl2jZN6seytZ/caTknBjMViGTWTiticprI
Ht87Vf6yyORzUnfWnnzFBlPFWGx1xjyn2vC+4b1NAnRGMmBNPGYtRd7IknCbCDJtUu76CGm4EYWE
pEadP8AM58SVkdLTyWNtJOLzbC3CT5v2atLSL8ts0aFTLpEoyPAO65jCXzjGcaBgLcQFwEEnqog6
XTgBWLRwfT3jv6Wi+UTwXk5E4RTipGkHv4VduRdgSLal6Vk7G3jRLjSTD41hR9eFrvKd6X6JYM2c
aHnVvqxs7RF6E3aT3lZW4GRxTJ536vrEPeqbJFWc72KvedSLyQ3oZaT3C0cYBITLdYvCf+fi04G8
o+gkwh6n16k7Wyzp0aYzNB0LXLNs9SXNtxioFC7C1AiYcVIROYl9FAaWoThyh4NhRMdODsYVzPA+
0Jjdf+iBDO56OuoBTGYHEZs3Bgy3640uS7B4MtE/YJwkYoW8H+7cetl1qiLkrV8Adi9p8UACwnwb
Vr1+Eh19f2ZptuJgqqVqa1fuGExdjnE/Qytizm264632Z+BxnM1t7QxnONuXJAxqVvolHhhh4cjM
jkPtRHgfOQ05C9ezWlp5cHCR40rSv0/ApINpLOWJlEAGBXb3oLvxETqaDTJ77dA18t4OQeqOurlS
V5GlLCMkS4vzKQRdj3ZTdh/Tnw9Ff5uRmrMifJGDxNq33FrmXQaSt+kc6ip+ngkQFNMZxwrOo50T
aQA5yDmkizm0G+WYHPyt+KWG/L6J3OWhhQl8cAYmAOCOYL3RP/BxB89bIy5xWhY1Swoy1PVsOLs+
N1682gRkFScmjpFWPoSGIh7c8bY90xWdW20/WfW3gaHmxlnwCclmhRRnQpwQ7wJSzoyB2q5qiXtN
kbJ7uXtQpn5TZsZn227PhDklx1ZOT+7YMs6M7c7PZtM+9npcPHre8DELm5HZrvMNB9noD+RG+mOU
PRqiv3KsDsKla5zisskxTZbZdYa2u9Cb24z2UQDZHbR3XX9vGiBBsQcfVC59uQc0FgfEKCXbeuyy
MwOkZk8gD3WGGaKjpVQFTfTZm13vcbbmQ5kV4mqxExikxlzvwEcMAWw0FL3L8sjcMb5tU/ucABIj
sZNCMx0JnkxFlO2aXkJYy+UDtbYK7K6Or+YaWlVT0xofTI2I4h5bmuLxovLafs7S6RNJoxxYZ+e1
7MHcqihTtJm7cT9RQOyiIlyjJwbvpsuGWz1iTI7teH3j43VF79zvpEFrAjdyspTbEVryVMeE1NtW
dhRK+9h7ULbhbr2acWWwF/b90R2Whr0mpjXNgPbA/huf1GCNe7hQBS1zTYLVRsDqZoa5jxdT7iJn
NHcGzmIfn6PYR07ycYTHAsXZfZyZdbQpbIVKi76bGpjyrMjCneaAfLcqW+xkSTIROCX9hITF2JTQ
uumOleEOH2AZjC5IvuJLZrdF98GKO7porFkN1NxhGsnVo8buavLSnrpwgGXpJ7XdJjT8WX25exMS
3TSCh1VGut5kZZLL1jzU2KQG4TuVbYQfzJ6xEWyEeUbBGm1lS/2CxbxeKiLKNoURynuQTVTRz+Uw
FUvBaHRoHSIzkbo6Eg13RmAjqY9VszTNf3rsPxw4vz1eQ4z5y+P1t/G/nuFnv++wG/Bb+KU/W+wu
VAWOzm9d9Df8wR9MBMf7h8PJmRAB1G4kWL1vsUvUikgbOV47qJnoz79vscNWMdcQa7g1MO7k3zla
/0uJRiIsKECcPUjUyLH6pUQTg10Puh6VRyC1BOGlRSRvzGasLvgd/nbxyWsxEdDXMsISbwrM92K0
oUVFVbuiODrmyNx5mMUlwa74NHMFznW9eNt3X8X/pciWyEAtw8CAjWKGIfPPxW6jUU9Urs7r5YBx
NyPOhXCTTAjhuskyjyjxbHMLiVE8sh0Zv6nwfxH8QS+ES0xCDvMR+iUYun5+8RqPy1SSlHhcmq57
zbMcoHoGgvA8i2W6n8LFY3is/+4j/0t9z6tytdbmworaWJfN+0vctV3SjDRrj00uptuU/fsVBhej
SC9upttIn//2C9qCRcrLsXp1hj7rG3onMEzWeBS6ct4BP0955aB+CWbVeSDvTO0zgaf2819/p7/q
WekpSB3YEnRHBCieARfkpxecW06+Ea6ZQ19OdUrDOkSUsCx0e2FEWojCIGYKMIOFdSQbTNzXgyye
0Ck5o6/QFjF9cFrnvpsNA8vKIHtSGCrVnsXkTZ9mw/3NKqBc4P38WbkyJnOkEPQ/WII6xfDbhOvd
BSpyz40SBPcH1HSR9ajlhgyv2ijDSh2VtRsQOiTGE0EO+BEgyKLC4B6c8atkzYHUIwoxukDmMZ8r
tAtm29gbZWesJfzb5RW5DuJC8kyuToNuMEd+U3TkBlBs4NwS6U5vYDTaaE2MrmNmYrCr5CQuQBK1
Zts7enlVgYy/Fx3C/RAxWrZZkNDKLy7AyhlAwzIN6EaoBa4Q4ky3NruEHZAzlnqHRB+0j0mmPALZ
GkC1x4ZTIwkhTovWtWQ6oYT4xiqdGGyLGCfANUX6YN1NxTyeOeQjN2IoxgkA6z4H0XUjQHTHfToN
7UTjsptuPR7Xro+Bu3ruE6N6XhrdPNrEpKKzGIbq2c1Njhoga3Lfqxe2rwkG8DYRjXwhFGG6R/+J
GCYfwurZVN10r9WaeJQdbWk0OghrPEbhR4zI07MNC7L36ZwRcNMyUrnvrYZPWqWAU/Ks5QURDYRP
BiRoRHfuKF+ynuvoLgPXrbHEY+/xpTGo957GepEvNtqV+zhqvS1JE9LcYdZCHuNNtNw3LS3/+x9r
VSURehJlxkhf4nRqX7OkRIhtcVR6NuahavftOKC00YiDUSfPCeP8SPhmnXcb2/DcftsRxvNRDaP3
5Fbsp0GX9sgocmxC9gZrsvVStm71rCJIstgUvbM3N6tOAKY2TquYlUFuouZbZFJcNVjpiXSuyum2
79FiBXRBuaTc3dXzNKH18n9IZ4Z+1Yd7SpjwoxOUFGO1ftYRYicevbI5vF1/qgXs4b1rwZV2AMa6
mmr9uvD0y9vPAJ4t/HzWE/aNRR00PuudcrohGCPP2yGhYAGr9fawu3SsDmTLhOEVwFmdyWU7krNV
T653j+BaMKkjIAmtYpe5enLpOHahSXTz1JgeKpsDN3KicgqHHcK1eRMyj2OymMVCP46icwaGLzDr
FcC0Ltb2s94nI9NfbQ7vwWLKjCa2pNeOf7ALzwYuv2f0u5iPCK9gUJK0S3w7zpoxfmy5/ApZTzGg
d1UFyh09LTcaVRiZBARkanKQXOf2sTJDRTAxzJiwgKBGpKpfq3o6jmZt7QBMmxdJ1pY/DCNjmXm6
6qJyerQJlPZVFcKhJagcsRPyNsiC4lOrG3VQqZngM1TxN5qtuvsRqQqlbTjIz7j5PKyDZjuafuTF
09VA+tjBcplFbnrdKIH8l8vFbfroFdWKuNjAUk9FrOxLpRc0Zwhrmc+iGHO+8EmDcLyQwLFnUNe9
ejH0z4A8higOWNzeyQq7qQhgvbfeBq14+GQWLexwoVkfOhVpUNjql0IQLpJk9PAO9WiyZQvHZNEB
82ZJzalsX5XgXzbsy9M9jznWMpYfFR9sLeQpvTTxHrlw9SxF5z3ls2Ki7ERuLjdyGKb7ZVIhTDXO
FpUlqmcKZpCYQzq+TAirnhJps2GWRvqYADP/mABwQSQ2S/MY6vA7Y5QIR7fySBLwPCo0HqPlow3c
domTImj5GNGOXpUrT+gyde/j0lbic95o2nJcQDy6R5p7izn6ompBpjUCOABOavPLEg3S3gJ5P/0Z
wNK0iTpG1HCOUvX/J4Sl8kbngRZ/6pASMR6l2WtDYI618Lkv/yeNpTAKyGvG1O8Wy3j6NZbFmo0a
OgnDpj9iWQpHs76QXcPPVzyxmg9SeQZiZneMm02N3rvcLS4thw2Uo95iSplq5zyLey5dHlabpZPR
p9lx4ehYhXvjUEoHCXcVjtaqSZHOhe1zObmcRapOumcTASWl6MDXWoMi3sbQ6dgsrCxqLo3bzkfk
Ue6F9DseC4RZwGyl9Hqlo+SdJdXUimVYWDSr0ea+RV8XkPm6LqU+AntEm1JcTIN59aa2CTHeJMA0
ngZyUvZ2p7xzO/LV+FlGUDkyyoT35LjEnceVxX/A/swSnMzIO9tZFedBZGApyJqhOcwYQ3J/kFHb
7mnuuWcgepqfkF+HkpmHCZArx51uQd9yLyGFy/bOzHOcHn28N8PFelmwCff+2xboqB5BGZHB69If
9UzddmPBvB3evXUe+15HWSnRfTWd1r4WJkNzeqXQUniy1vKFVveEFliuCiwZZ+ir6hLdX0YIGCeG
mRJl/+NtiUIiOa0VDtdTqGk8vhywJVd11jSHYcZ60g2cfXP42hiQM6R9BqitgqH+nFvTNbnthunr
jVc+j0ZdqRsD4zlfVl7xWcdh4SUL2qvOPX6ArOVpYZOCDpmLnnUKdBd5joNlcbLsU5+unXJSJ+aH
UCvls60EG+vcQJkaq2YirPDfBvFYCPGQMLrOirbU9FPVK+1719Qe8UcjMgfeM6ecN1GqMYFeoRnQ
8CSvvU48mk3N4ylqJkTVjWOhCY2meL2iwJCJdZMzj/UesCIPzIat6iFcv9EkISds6fNVWks0zkUT
NVVDZyw4lwPZ4pOixSxD/UloMzRnrhNHywfIvlr/MNikZ1d+PKpIufdZioiCR1XlLWubKqpnJNdp
rEWCKQKnZfrCgMA3juC4kTHG3sYEYKV+mOVxgDaDzro9G3uCFTiDOIbSTymE8gug/gFvk5ohNM51
MFnSO2XJUl3z9df3pcvOkg5K+zRpXnzSyJtBN6549Mz/zd6ZbcdqpN32ifCAoL882adSvbSlrX3D
0G5EDwEEQcDT/xPZPqPsGsf/qfuqK1e5JKWUScTXrDVXVJ9SZKFAxUL2ouPk83t0wa6x4cljXLp4
0IK3BHk+pBFHutun48GxEV31iwN03Jju3GoMoqmqnMeGbEKETRwSYDX7fOOwy96ooC4/mIT4h0i3
CfCzFjGg6jQL2RatPKfCRwM7zqrmu9h405nPNYXB2Nl3bCTtO78GwaMxEwfDXJ/M6JPCSVLIk2FT
fSi4RHdFlxHnQdSxZyNdNGJsHni3uZcbU11x8wGbrEsAo5artlEd7NO4uhlx1m1c/lR39izTL5JN
91vfCve21fXqakhtCkhMoFVcETOvIak7j1R+gNqRYH34QeJfuS6DtBwwfFxAsmnCCTXTySqWXz6+
0OzWA8GMaJ85V0YCsF0R9z1jGdpa3MCMFvFDc4JkaMw33FechpgpLmMnrDPpTp28GcqKDykohvia
6S6fyEUnvPcQL1BVz+VUoKWi7N79cxu1dkl/6UrWmRAcRAYLDiOIv7f9C/mDMTeePEn/s+jX8Lk3
/Vr4/vPP+bfuJ4oih0EFYEmb8Oq/RygTXahQxCh5quDkAFTDrfbcwfICY22c9hKsWStXn8fhP//c
f9uv83PRLvpBQGcKqfpvXSIteeUiWpAnU1TBu7Lq/lQPBnH9FGacX23dzPjy2bZsO71Wuf/80/+6
raTn4z+oFtetacCL+DsbGzMz0xMSk06Tn9CAkBsmnqP11C0+vQvY0jnzbdnTlqyVN+pHDvfPl/Df
hfj/MrFzUNL8y5v1b0zo/9PnS9v8ZRX++5f8Ma5zbJbaHgtJgN64kD7Bz38yofEdM8hhS/6pbLUD
hit/bMLdkE04X/W7fZh/w2v401zs/IawNkLJhymRoV30n0zrhPjbRwsRBY8tBBHcjg4v7+8PVN2F
wwAxYoIdKUne5b6bVF2h0qO6tXEY6EjUzJ5DtYzHUjB2sl9pj+DMl9gkhmdRe2rpNyvIXOzBC/ZI
6BANNp2MnvKA/A2WHGCMcwfnxARrBDnsxE3f0KqcCmuaLGJRSLev9ZlUG0gO8ATIm1DypqlmymSt
cxQlLL0birTCXLVWrW0gbsF8M3tJ8gwGRRKYG7AQbPURuEBItpOJd/Dt5XVRU4bXhQGi6rODe84C
tCPbnHt+9cqsxpKo1/GeRonGgzUTQ4agovVcSu2/2xIozaZRg77JEej2e2xH0zrhWXX4Mcd8dWyM
ro5G92j1MHLmZ5wTXXgLShRN0jDb+ZEsU2yiAdb/o+pLPVIcWxWiUa88SVY9B3BuIZWi1fCNiTlJ
DCu9RFMSJc2bmmbncQoy+j/kVmqXDQPkBPgThJyhVVg2Q1n3u8Lv9FcFAOglWdow2PZpJ82Z9sSs
ITo+vygBSKP4mrA4vZ58p6KZDPq955R6H6Syc5B19tdT2zproC75yFi7ODogGPhnBmHhS1wg22cn
g5su/3TWZZ8uO70a7ix39d51SM3Epx/PXa15Qbu69HShwk3+6d3zP318SL/ZeWCQ9DcSZ9+pWy1/
ZMzh/hOrEXBaLYFA/nEHzmJ1CpIJJv0teL/pgymFzVraSQ+lz9MIUZYNDoa3+b1enfmHuK+xInI4
Pzkgvi8l/s2v7WpZTGztTMhwU3WqNPaKnejDu7qembishkfMxSyDiURA5GZ/eiJToCGHWacGX0Yf
3xkf82S32ijH1VDJZApvZbvaLANgdSQBZmP108aedlZJIc5qtWYGfph842nAr9kUTvw9qTUuTppM
XR5T1YnnhA7nPPV1yF6JXJNN3CTDE8ktP+zVGKpXi2jy6RblCcjPbYitczt/+knT1VoKkMm7Kle7
aYS85UgtFrDqGxbH2bFKZuL36VId8KuSUdzfdpG9fK9Uneywmc0vYy7rU/LpdbUs1vrsrrDAImYZ
7ubWNLedXzBBU59uWaHzZOuvFloHZO+XAKEuMvCYAVecp6+qWwN1SX+pHksPK+6wEO9KIuFRtYSo
92HijRsfzM2Dn3XYUD8dvfBoxcTJkjjJ5TP7avSVvMNuEqNztKFmOeV87uKh3ZoMvZ+mV9s0ifpR
4MHbuTM7UR/m56mo4njbeuLdTPOrX/X+tinT2OxiLcIena6Ly58VrUSXOQb3Ey4aXF2b0qfu6/97
K/5/7bFcnu9/vBaff5m/JiX88RV/6sNWyBz4ANypASQJSqr/6xNx7OA3PrksWXCP/GEG+fNWDH6j
9OJficBbFzEx1eEft6Lwf1stIuDq7M91EKqy/yg54VMA9i8FLSN20hqQiTFp58zjZ/11LUBgjKW7
FlL11In+VVseaVjV/OMz+wYbV7fPLORMpm7Lx3CKbgbmdV8xPHRPskXtZffD1TiDgAJautx4Lak4
c+IGyVGvtAgIwtY7pWuL6qK1O+ZnCQeB74sUt1XoYwPwvJzLdmM1lROeF6fHCBp7pB5/IfhSMKSy
YG7j4yuRqd9EsrdDqG6aAC428ki2a7C4wNS8w7KkNlF9cur77ksVNQptPzSCyuEsMwHUApHEah9m
tjccssoT8kp5aU6Ka9GUkW1vjJhZ8OS4HJyrsJ3Fi4c+lyXJ0jot1C8PqjdAqXD2z2Pe+nYCoy8P
i+dktrASM4srdbdj4Nm+F00S/UyDAsPZIgacj+vha+tgGw1ov5+IG4L+o3gJw7E0rbhERMiv4pw4
uyTF6m2ZMCAPB43pQu9BBSFtjdoCUXrLLLnJFROCxlVUFCZCZxL5bzNhP8Ce0uyUD/kTKD5UGWYs
bjrRYC0R0wtx8UjqFIJ/p46R0yHsX2hA0+wVrBtWxFnnZ0YvNwAasB6P4yucWry61UBHZzJkcBq1
sE6DH8okE1Oi6W0p/GGLoGVbGpeUrvIFHsqqOXOKK2iK31OUG3s3KccnIhUGBBVWfRz5k1puQ7Zo
KPFwhll4iERzFHEMfDp/CSrx0UJRuixDO21wwd1CHCPpdlRvbT1c1bptTqXKubpzd2ewK2yGWQYc
rbZz6LsFrXTdbtDQv0hSbHdjb6HhrvWvIG+CmzpYkvspbln82CRDxOOYIAVJduU8lkdPe87GLJQi
BWG8mlnoNnVQdXmTzq4BMPc3kcJNEfqeDVoszw+NWfwNfWu2XYYu+g4/XgNQwQAAQNlcmX6e97Lz
rUfqF497Mf2VuEl751vqyVe5eWpqXOJsU0Eo5jI/NWUQbMbcDjZuOxP/0/jjQRG5cuZcyA7gXuMD
0GAP8Z4VH3Uw/Wr9sj6rjBzFhLNjU6ZjTmCfyb8DPWwZr2FDTFMG9+gC8c1wg28QXcxbf7HQ09lQ
HB1rwCcpzLPjN/amr8oXq0rOiNHY1gyyQz5tvfq47DduaYqrrPPjrSW9/MMd/f7buIRYtQgEKSev
ZBvTIc6jMiI1jBzUS8CAkAUIQXM7F/3cR6sC5FaaNtdHEBbZ6a4v9DKvUdvWCUzsCGpOM42tvFLe
02rXDaFofb6Kf4LDGk6yX7n+w9ZhvPUMegF+le0sKeVZK66aMe0pF1zFT+ODVS6bZFI/xgpRu51o
fV9MpcMqgI9FGuvK2UR4234S5G7b+zT05qtR5c2Jcm+e4iP4g9xsSbZag3l5teWGqYv6cKiWiaKb
EnkIzDhmH+TAQQln3tehe7E7Od2KyB/eBtK2NGxpL1sOjq7tS9bE9XHKI7nNOksc2Rbwm5UTW9UC
1nvWckoYbA+tnVp736Vahie2drWdu0/ihZFjyrpCRMtXA0rkJczJlqsK651H6lUQzskSpgRu30Fg
tDrvtiCtc9dXLBobi8TgISL/WMj8pSbkba3J/fxG4PQhX2FcwFciTr1nLvelI4w3YmDvxtfSq9or
JwYmEbr6mrpfPnpubD0xAArfBUPSXVrGjFfq1ew0phmP8YSvfZ+0jQGFMNsk+c4tMlRsGKlS6hZf
e7vn+zQHBo+I9NenduUvP9SLxrffMTe08FozptWIujxMv/Nwmhw7W8lsy3qXLBGoh6CBdzG/YTHy
T56u4x+9GB5Cs1IFSNojjzNSXwNC0zCd29ZeuPrsVeRol6PjstpypPpIWibjhaWsyzz6GdO10WFs
h1yCXR21KvO6Q+I5nAfRfJtPUXm3WLa+mXPqxWYeWRE0Btj1QMWuQ/G5M0RoGmN4tCfBUrIgL0E6
/ZG1bc8ZrG6Yya08eGR7IJr4JLLXOauSViAg1hGz0vQ4RmgHMTMROsrIbbVPxafOmKM1d/GZBU6y
bR2D7TuI6x+zbDUuImZyWI2snUSDtYP7wowrjsTwHOcFYt2onHcd8muATd05tmK80Jb8MF34hY1U
u1/iaTzYg0QaOcesQ73V3d0Y9GcjJhir7H7qcrmpQHlfHIPNepnA31cibO5YyMOJNryxjT0XhylX
9nlBxnCy/DDGmtmU7EmbnJE882oihsAVlsi2RF1y3nUBmeBsDRvGz+wx1TfRluXFlwmy5RkYZOJO
pIfMhXPNZ4Bdbe6RcFCWH2OAqcfI5RuDnjVeM+YsK2Y/uYEaAnZdFxz9ZG5/R/Q9IZJV/T3WqWSb
aWe4nbxIc7kjQg7s9K11/A8Zd788lVeHyqdg0MZ7rQm439blwO4o4lstvYeqbTTqox89Ig2HotzB
Q6hZxU/ZfetXxUMsWnm2I7Fcsz3nzxCWkGkSXIiap4tTSr9Gc8uFodynnDnAlp5qRCoTca4HefVd
NEQl1mJuzyNK+EOhw5lYFKs5MOmqr4UjkG/Pi7fV7vx9IM5wo0UQbibSADYTucIokrvohV3lcl+6
iH+5TVdpdBaOZNpPpeTla1UWbzz2pbpZ1yDPXejztQCjnvoRMm5lQAFUcfow0mHe+/Rvb4hzn5j/
kbpdpbceI+YT6+YU5V9WSNRzCX9oMO7eF6xW09b4AaFKKsIclwQClXpIpuWop3m3dARd4vJCGJm2
4qffmMbfzbzPGyGd9k47izoBxwxPsFGib1M52G+jbX4UMlF3i+1axV7rTJ8KDGaMsAPNFqUwzSp8
V5qOk0gEoWOWvb7PJ8KuHzui6x4nTPw2EdLaosQQtGM+uuuPoQdStz6oKe8p002QVWEfHKV0fB6Z
JlDtqR9imJsj7o7dnLpPZAWS+6LsawZQxdcBic73JsUxOWXJsita5LDASn6yOPOfGiROP5y0sBBt
o+UpN1Y+mrOE0wVfs8yKcQf7xfywq4jAinYcnojC7c4Jh+cN64TqGDfB/RI0l6QFLsOcXrTm5FhL
wcc50OFPsLts7MUQMsz381dcBB4oq9zf9fVU7f3cJba1lQtxnR0Umla57WPvemAVIdcPt9gTI7YQ
CXQ3siPGdLf0EYpxbQZo/0RNHVOnLw5JOBHOwnBuL3ldzGgC60iWTFIfOyThr5xm5StX3PgVfKv9
VBYKqmYR5mfbZzwyJl1w1TXaQgdtEdS9Aiarl1QgZb9oIq02IPn7K3xZPBCZPZWAEKr4Cps4PrHa
OJ/kXSI7dGrvF3voHxR5Ba92tIw/2cHpUzS08YU+XN15adZ/aV2/L3n+WkZBLluWsvaZ01BdLS9x
r9hn0j4MJBs4nLBb+qSR/LZYuhgmKtjYYG55Hi6EIoH6ichw/DIl0RJ8TUsrX3Y6MtysEdkvPIg9
Kuu5D0D7eqUX3AbsCd/AvWBtaMPxqVpIiNuRO2vdVI3J35Labw59EtXerl5MdSbogyVtVKSkSnsl
dkYgpfWrTabEg+b/ejI1x2tfx08Qr5Aek6fyvambdmdlYXEI1JJeyLFG19Zohg2q1vWzA/cH00Qo
jph+y2uiLpnQYHTE/txVzHYW/J1+L/3DhKzggeVz3xM6A4O40Dku2cIZr+sGvJpHbPoJLUt6L1BM
zI9RWPTtHZFmxt/FqbEZY2FKRg2R/6xlFs9DRB65EOA9KDfzaIQ/HnaT99SqNChZmo5zG4UkSBdx
VsebqZg1kWfGs9g2Fc6eSLymJ6si4xw1EXxcXBfuSWWB/yqivMYcOaUyPPUlz+J3hHfJzraKJL3O
GXiSIT+TE7cXUUpYn4AYvi2xw3L6qL691sqSp3GInUfTKXoBp7OOix+QcaNIMCEnWZ57PpO7Ubn5
tcSDu03EGH7UQIl/2M2a7g28VKFkr+XzUMZJ/sZYGCKUF083iucRWsiy+Ds8sdGvNpLpKRhrSnDc
qvDT8z58WUjZ3DOAXTCfDKjeBzEs7zaF9WVCUrapoB0ztLKPpJiMV4vo1IOUufyaGa9+nCbHv1pk
Pm2ZG8udj+aHJTTe7z0hKSCX1xBxG/zQ0ZR6je0r2lvP60Ax8Rq/DFSRe2WgMiyNU+xT7jqK827e
G9Gr/ViFZ0s2QLJp3B9VmseHvrTFu+8Z71SXPbz4kpOpWp03Yd5mxzx19a5vV+VATgjQphyy6Ts+
Sn2shHfnmiwmDb2/07wSVubE/Ugh5hOJCThQxjG9LmlpWRezTN3zuSHMPTb+Hr8n/Q0fSjwvRZ7t
J3K/93HFNZ7gePk2UNPjeg/rk5Xj8bAmbpJmCrC8RJUatpZtzVuvAKfUJgSDN3Fo3X3Gn8spQ61e
VjemHJutnzZAysA/VjiAs+yXJG/sJknynIO2S09Ja/HsDhz8o8QcW2XVdumR8vWl0lw60/yACD++
Jc6v3DOZD05lkPvAoRGq2EPbXuW2cx9F2HYHNgMtC+30HdtFAfweWwOFXRfdllbXA4KwIVZUibdh
IOe+faaQudMqtKoREL5ZcnjrXBJaMx0dPUSCNllO+qeNiPUE9W85zzUwaYfGk7RDNHQkwqcVXl5i
qoowDXbBUr2jVs72mndrw0r2K9LbS5aiB126n6jTvw4F3OtKjHa7Bx+GOsq47h6bKjYDlIdXRT7A
bBwMMJvUDrbUzI69tRoWePt1o0/YlOmuiV1p+LQM4dGBA7UVvZdfV2lagh4ebHs3emaMmI/a+nZQ
1NtoFMWuW8c/ZHXJc9x1FblHmhCYIrJ/TQ0tWqEKfWIrMmKs78QDg3AmArL/oTKjrsDxFBsbmc0V
c61dls2kL8kA1YCwyiuB2+HhM34+zbvv9GuUYmQDzDtvKepzM0pdblM9zK8as8CGec8NaQjJC6XU
c251HRFSKrxkAZohgg4oHNvsnGAKxBgzWv2u0eO32OluJjATm6wQL6xNgFNqD5UYHMYtqsLoNTPs
5t2uR3dlR/AnxsR/XlpQZ/5SCkKps+vcYjch4SURUPDUB84HsbnUfzPVUZPCZMtagTbSqc6ubryf
kKj7nQ2IeSet+sWQ2vchZW2BiWiiQG2YelB8GzQYmyWoH6NZgUVv0wLdoYySb9oeS4QzGmjJJp6n
xw6jYLupIlj5RwYQ08EfvDmn+K8dehzwASWiTxzWtQ8A0vXJECh0Eo6seTJFghbPQGCXOCYbSkky
lwkoTZMdb5Ukb6vw5R3eEQprp7RWtWmJ5TAQKFj2OqqcYT/ambxl+R2d+Qf+VdlEHyIVj17RcnhE
OXJKaZdXs8/l6rjTD/gSY3cE8J3uURx4gCtQgPiVuVqAyfGoOy89V9K2cpTE2rjOAmWTbucYv17o
BKtkjbDuJHf8o/CphOEycCQEpkfHV7TYZnT3DYvTleEDv2Xjb5/L1LohT51ap0LqwMruSjpaHaBj
h3vwddWV9Bn/dTG4p4ZSf0tlKsjG7q77VD/EBVqoGvjfSHb4Pl6p5R4AdAYz+NzhyrKlUtmR3oUB
IiF0d5PwXnPHGy4qgWeNTgaQB974Y2bLdJ+3tcOinOas98cBXXxqM7lQgCxK/6eckvhhtACOAc7L
EWXO38qUCGehZvcQlog/YDB+T3ztPE0RVIPAzFO/LcZ2+uUPoX7i7IM7FfgE0QOBveo7hlE2LHwn
sbwbsjos5ix5DrjDLstTHDQ3ECMBXC2uB244nwgqg+tQQ5a0s/Kq4350EJYcynyW74PTtm8+Vl+8
heABfmDzZyfnzKX13gZ1fxfaFfF6XHiEJYWhOUVl0V+HJS0SVKOCfVYOdRNd396t5/k7dRaPVoql
EqNpdNdOLkFJKht/WHnwkfbOLBG9WgPGyih+WAxhBn4O9WIrc3v6Ehl/vBci85bb3kSQ9Kewbo9M
QVdapXIlMWdwzAiXdUI4irnZSZE3cHiXWR7wO5H2YyfWrZP3PoAKLgOw7/p5Tv0vVAj+U5ek7QH9
kDrxHMzQbAci4OPoZYrwC8msEU/sN2HcZO4d0IbkvTYNqrQ6ibZOKES+q1ZdzGUSFDXXFUveTad0
dqGGUOaAn66FhJMH45XXcP5sAmXL4pgmE+siYpugnTILo6ap0Q41NDeUd1PLri+EIPrSS6+7dF0E
LI3tXGyjKmXGN8uCqAfOBXTVJDDdTrlvP2u+AazGblxex1JVxBWFCUMjBtTZJgUEd+OOEnMjn55u
a8tJHaeuyUmNkKAgubBWsNGYUjHNE1FjQiE46tVaCXHKvNVlEH5DHQV6sxwLdZIR8R6YyTqK1shD
VJdapDZ6kWue/FEqhk92KQOEOugGpbDiFxgz6U8/I359RyRVahBgzfPjXGpTQi2u8/3SGUjT4UDj
bQRXNCVoLXeo5D8myus9K4KH2aKsX9iMXUl2mjtfjjjV8qR7YG8qXouCCnzn42KlX/ed+6FrWTQC
B40eBxj4VLx92t5X4PpfgSaMVy4rtXFTk9ty08+WekWnbd/ik56PgmzomOZ1cB8GLPuPsZXQvvTk
5FwITxTf5yovr9QQ6SchXIahCKV4SlvyNQgG8KOG5Kghy3a5PxQ8lJPHjTVOTAU3LvFQxS0TfmS7
SDLd6lKQouMfVDD5vNN1sU9UnxY7Uw73Szp4xSaYpdivkvFnewnTq8LjqGyqbP6oYDK+Jc5AobYE
CpcDA6bbLGYTScR93r2Ogd8eJotbNyXugMt+anc0O/neTofiKC2Ugwj36kvPCvesJzg0SBPKa+k0
SBPL0LGv26WdviiyHTA1A4LZZRYhKQFp1xwnynqQZSdv/XmKTnXmpHuop/I4Dba3dSW4WwwRk7qJ
qtr9yvTW4hKb5LNNfXfdt910GBXVP+PMkCmNlT3OWaG3UQyU0bDL2KZyqG9GFf+wtOPsOZySU5D5
amfNi3MTax4Nkk6zfd655zZzovvGBMi7Z19fBVa4TJsgqXaeousYqRi3zJv7qwEK7A2mjPIa8vn3
JjLOXgP6OxTR/J7CNd0KD5FSEhWMFZ2kZlbWzy9W7iaHsHdAuwq2whYf9GOGZ2Cr+xnc8IClYduW
DQTumCV15hqgL44dEhrZUsuSIPOWV968pVVYTnNvyPEJnWG8j8KWObBD/M4OqYeuHo2fkZaRcdkU
UHdL5lm6vLbCDjgW6xtmrA6VRpsdnDJCaoGe3C8X/nc7eRhcM99NisBRAihe4kF8ddeQGN9q9kRn
LCtW+T1uEG3GKQuPCdkkgnLYOSiR24NwSu9E2tnRSwucFZJWwfN9vNP2skmJKSGBA1RO0b0CZi7u
g3Q8JZY4UVipo148/c0yrEGEa31FnWYf7IUK2XRWfpSai9pE43sdF93DNHYPI2G8M0p48n82ztoI
ZpV1F7nxvAVtmJ27xhbXwGV+kuQ33rSi6fFukxGaswZj0BN7X9UE7xq817WWyDn66g+I/3/FXP+L
mMsFpc6m+f9NN3nJ+zT/W1bEH1/0p/3S/w2DJd+H/fBKKvwXwmHk/sYy2wtRen2mSKyZ0X9uruPf
+CyxSraRLAIGs1kn/6nnApXi4mO0Q2x9QojgP9pcY+b8uxJzFZqFId+SV8Ey/O9KRR20bTunzimK
GCljh2qjFSgHgbuZO1z07t40ybe5iTCjMN/Mvth0eFuklu0F4v1467aAP+KejQRKFgeVTOiTfDOn
kvjSZs0UhjKByz46d4l6TrAeRTjkunebc7DPdwwX0i/oMZsXobCAyXpCp6qF1f9E1NRemCDG195s
/Pffib9G0KO5khNsw24vflFBa/0qTWi+lG5bm19xGMdhgWPNm26pB/Y9yIYoNcUFepqMjsDOmufJ
9aCFcCOP3u2oBEIYkbXWs+X5UsHjbvQeF0xKEA0DtKHO4Y+EwjW3Tm8YHhIB/a0iuxoIg9IRf5ZW
iJNjpvS6kGjWYHpQTdgCckESTZN/cDqb5fpQfvfqpbmkE1JbP1q8nQ8h7msPWX7vOwnSqDDwtxXj
/BchivmxblEvnYlWyo+trCXhlosdHkEneGfbaOtNDRX72cGYL5k9ZDvibIkIg9HahS9yyLWiNkJ+
vV/gOsmNKRK8fkmcrnztxVPirvtErFp+4Dz3XeS9j5KlG1q2Sb55qRddB7HjPBvqT/7KpbM6EtrY
eY5Ln1Z5FpPznOYKT0Ml15micisbSXurnNvBdWmUQzVQ4bkEpzE7pCznus8YxOMh69DBT+xqLg6L
NpeMaf6xcsgGgycbcAp3RN+wjcxqvsZ35zK8lo3BiEaMdQ1xk951pV7mW39EJ68gXFO/ECHnYL3w
MaC1JXLaz3gLZ0R4vumRges17s4BieDza9RooY9T2I5rZEDsnvHk+e/SVECkgTJSo/RmWC4xI0t+
T/LMLiJ1EO0X3sIvFK5/FMaxHqGdJb6DK5Y1vIDJ6Zh9hinu91WNJwFg1+j100RDLPfn3i12kQkr
b8e1FojbRFfQ1geV2LA8pEYbSB6I+lkULQalcqVqe2b9tnjPcE1UzHO7bWs1GlRwwLgHa17U8O3h
uvHP0aJWOLKA77vtJ8P/snShe/aCGpy1yXhbltWsxNWExc4iBGADk86+j0B1YDPgJwbhWJqDtgL3
PFUIOje/i5EJFVtjeUsVwfnz0WB4k9CQhXvHe7dnRp2/G/YCGwFxByJOQ7AxPdTzwvceSD+P96Xb
Ze05d3MYa0kw4nXpxIrCT92KX2uGeX+dMVZ+pQyZrZfPVxlVy5gC6oJ6sHWxZjCmlQGfMgu7+23c
gyAByjHg7xyCifcZYUK3PKmJggDq5/qWCtaX/E2KdZ6vQPdcIEi2l7lv+e/xvHoNKaGYxFotoYNE
ZPOBiAEFHcOp4oQKi47U59p25kOOleSDoSafyCJAtLhtnHUon/pWVB9bljb4jJ3a4JuUpdmasFTT
TsViOQ1LMD2S72DuNTD5N5dPGvPJdnSAZpK+7Wxij/gMFY1b+hfioH2Bi29DfwgxpG5YHc39EN4G
dphcPv1CvJkMal03dB6LbFZYRnq8kDQdA3VXgb9Q8yk+Fgy6D8SsCyQ9qf8w5mr4UViuQ3GCff8F
Y4F5igLWLqHo+WCLfur5ZfgDXAe2Z/HbsWoEw9r6zQCSs69c1KnNyhrPUwZVJvZDlspx+KOTBeh3
p2kBe3sJ08SNGACMpmkBZfTTyzmv/rc+DDlBxq7V/MB6umOE6+09nYp0byl32oguoXuAkCnJ0UNT
01YAPrc9N8YDeYDNY6Vbpsq6xIm6gdQpyF1fsUlgNn95QECvErxMpwJW0E8SKZaXKB1NeMDhWFx3
TBV+uZ2ZnmGLzGdZI+OYCzSmbW59ASfev2TCG3ZNVzJaqOIIL5/DNkYYq8J+jXSjYo5xsKN63jep
vfwiAA7EjztVwyXypxCBYREiR6mJ3nyby4JZxpQgCCVyxzmPS1/e1L4AZD5NDIUSo0CQ58kSXvtp
d9sHff2LkKnM2yPG14Tizd18Re8QEfVnPTq1BR4KIT+Rh2WkB+e6osjtHhbPzc7aRluBs+fA1l/v
kFPJm2lEPFBaY3Lf6J7TZCakPbfk+Eh7Qok7IVBV8YDIA/WAey3xk4kvCaawlymr+qdq8u4zX3eP
pAxDJSCJ75Gog/CpCSlMsRWr6K7zIvuUh5WkH8rsr+ghzQXXyfOSiuB1HLAFtcZv+6M/NeAned8q
eWIVtD7408nIuGYMLO6HYZVIsx7B6mNnNrrhhYlt0in7AWlDyyA+tPdV0aMqLtweThmVsdwT1shS
iMSN6VsiTV1tWQz4xQGo6Vif5q6qxq3leNVeu0DUImOrZ4H67C0XTKq4CgHojIVH52pb8qwDTKB0
d8U3fEryMlXjeKuE/W0dKdzIYZlp5ScjYXyiG70m1qDYaUz/T3NseZfZFM5D6QTqQ4PA+TbH+OXf
jQLC+oBTJkkvCoQSsa0lM5iu/yrmJXnIMgdNVFAmKE8c6nHlYPMbKGnCoL8aB9e663sV7Afhsv+d
w/pXpSZz3eHx3EPdYfybK/0W5UFCeGgW3Mcy9rFQTimdYAMHZ4M3QN6GJFPf2AnatF3GvOPBK1sf
OfaIOakmSlV7gbmiR2y+5aNC9dTKL8kosW/Z/YviStwzzSWZqrDfHIhSBS7ia2v2va/TRHPEMzf3
DMcGZ59YWXYB/preuTiCb8awP0Ujw48yFIRw2wQFwZyT0O6nTHn8hhGsu8xzScuQYmT+MFu3ASbP
o51n1zVu1pOonNeEHn2TEvyx6UXrsc1Q68iOXs+RLE4GIfFgmiDmpohZIaceDoOGrto5xJ5rGwjE
0n2IUi+4j9hjPrVk6nDRN3i8sLSqbbkYgDpK34BMQTk+pl8Cu6M97GnvHNfILYMeIlFVXT+hf9Jg
tCk/DgJK286Iqhj2chW30X4DQGVgnd3XpncPJTKAZ7vv9WUeXPvV6vlCHaTtDSeQJkF9yIedquMH
V9n6SJwWsV5KePLi1kv3mPk1o5+5Gab92GJtJp2i/R/2zmQ7biTLtr/yVs2hBUNjMAxq4n1Ddzpb
kZpgUZSEvu/x9bVBRVRKVJQi441zkH1KcHcAZnbvPWcfcWitqL1B6QDO1SMstYnUVR7744NeJx4a
s7R9DNrgidEyXT4bnOgCRbf/0CHFoAc0MNkva/Mgi3TYDTrTessN1Ea2mB/pUkW9XKSpjk5FOa2s
8PwFNm9C2sTLAon6hu4OuyPgBNyrTpps8XuqR8ZR2qIrhurOi3IHklzpRWu2w36nojpclQkTexrp
C32oxG2AqIgQ5CiwVhMKz2NujZa50Ek1PA6VRWPFMAZzw58ZTg7qR7V0WG++RGUrv6kED10YS3va
BcSmvBaOU+7cChp4Mh+t8IiQBNmNQL/oVOVLSAFyzbQC5hvhK0syZtpTXwhj5Y1Jsxy7sgPr5hhH
8ie78wRrwHxgf4tPTZaYASxsd0gvEbEvyzq281vEOr68ZWhnTktbc2fVR8SxIOutz7EwdH9D/5dm
f6dzFoyliK99NlkYrcMVHfB6jdTRHZC3KDoLHANOgJ4KVt7R9J8YxTCWnky6WJ7lPvutyG8ngl5w
1vnBpozb8YpYe/tcZgEEKOZAGrxmmy5bnjTHQZTjlgCG4SLspr4P+pQ2Y3ks1DSsStcor9M6r1+h
+Ogo5svqIDrb21a+euSg1m+cmpwGp7Juom5EemR3cQxbbEj9hLbO1ItN6E7TuOjho0doVTKahKkh
p9vW1IvPQ5yC/WDJS5D9ovRdmBnzjwyv8FWMABT1FBqIi+aO07UWYH9njBra7Wc6FfdFO2axw3i4
JYQKmyiLG/EMEquv6dzmIvlYmMkQHLOkdLwrM9NfcIUUp8HmIBcqnoV93NOcxNE/xiA+ooBGokHm
4scw5d9V/aJiYnrJaa5s8BcvsOzB4es/TgEKTcuslO9cfKMoL+x+OCnYQfvdD5X8X9B73qNsZpwM
TRaBVdkSFl66nxXdoPSQ2/qca52qssAjUInaYWDcT6NTf3ErEW5/fz0bQfxPnkhXt0yhbAPSqA5h
w8be9SPKJgk6Mg0Zqe6ytHKvkKcWz6AcmUlq5AeujLx9DRLdss5+p1pzX1USXcKyFlqQnlCh4C1E
UeOuZZlZ1fVbPE2qyak4VNBWH7uZidPFOQdAYN0ex7Z0drP7uulS0OPJujNAHFTrcoirXdi2HDMR
A7zkdtc3d0T1IqaeGiF6ZkGz4/HTRD2BVVgNFGy+B8MgNH1qERKaxH2Kr/O5T8b6C49M9g1GSXZn
unQtMePO415p6MWzjrt7uPKpjbR57dQpsITm3Uxa3dYbN6Jw2L7ZMkf+j9W1lRcYyqtAkMhTC5U/
v9XCqSzF+fc3Ye52/CDjJ1jeAdo0GyjRItOceXfTY07InpzTbWyY61SasBegUIiEcu33F5r/ol8u
hC+UYwBtf+P906UqKrgS1/WOeTu3uFAobZqs5P68+fTrcLZkgt6gCJnYZZ//6dWVDgoLpYilM7p4
T02CuSMcZnPouaLCuJc9qC0yt0bOjzMtYNC4qmwcigCtTynbfn9xAYzs3XdXuDF0LKrCMd1fvnsf
ERMGLDTf1QKpx4JMudY6OVB+7jPyh9OVJSRfviO7HfrIm1W1ytpZ/uM7yY4xvLh/+0D/aW/+TXsT
t+hv4XKrr8lL/1J9/REu9/3P/Ku5SXw6By+ya4X8ntHyJ1vO/uAoulbMC4Sl0/38sbeJ4ZNoF5fm
gaNTmP6rt6k+WIDZbJ157Hds8z9y5bjve5suBmwheMaFIhVGf+8yjyMCLcTklrtRjsETtsgMBV1h
Yp/E/YBrzKnSZlOU4yXJjalfsgIvdR39RebpBdo2kLKLyZzEkxe2zFEzfAZLkpb6r0MjtRXRDNES
9Cp9Cb+5ZErTsHUknyytgqOO+nuTQZDdjqbur6mM5AgT2gl3KODsO3wksPmHZkKRbjdY3Jgp7Bwg
ldbSg0V7YEwScz4AmAkdMlg0AUokSFbVcSjRjsvURCo82NG258OxYFSy2DsT+dG5VjW3metbh6oO
P0VOqT2FSUp4QJmh7CNbnARG6nCGzOaiQJByPQ0Q3tOhvukU40eor/jn+KYiMG4sY4w3rkuIEoga
jUS3rNnqfvytqKBFLXQX8wQacCJUCiyWyLaKTQlp7jbojBtpor0OHZS0OSkOqOJuQqHo/bYnZoTZ
IhiyOyBV4mqA4E9TJ+solvr5n9KrfEyvLFU8eSnDo0k0w4Hwi0+ko+wlHYVFYpo38Rh/Km2CO5w8
v0M1MD3HCQVjYTJTjFXRblqCyZYhbSQewfvB9DBAYO6MPTl/hHIhbf5qtxzMrYPI9dqMNY3s0Di/
82s3eczH1noUA9KEt9gWTATmhiyzAWtvQ0yann6rp+KiS2vaeZaG/2ksX3JLVPeFy6k8CD0am2aR
rHsyPC5Jb+8QTiLXspvyeuyC6smK1b2sw5wCGpiQIFLxSnooLib6izu3lGpdJeoBPaBWLvA+P/iW
5x+sNK8d8iXq9MZwPRQBOpKbpVPq5k1jJOaZLnUgVr0RDCTLoPFc0266MzXCzs0KiytnB/O2Thps
kwqykGkGpKPx5iyisAvnYVMHv3YAaVKVdOX3KOXEglCNnOrIVtCtGBGgZBnao+8zMd30lWY/EOIW
HtFi65+Y4tOWGBv6n2HEsJ8DaJ5vhCJPdMH8TUfnV9rNPo90ZEF21IzfwIFP2laRiet9G12nPyVG
Zc5DeHJGElwO+MMTf8m8V9z9Z6H/d0LPDRvU0w+b9C9UgstX5tZj0r28m2X98Qf/XO6tD9DFlHAg
O745Ldk9/ljulf7BFnTA2c0NwkPeFvU/Kf3GB/4rZEWMPYQL6POHWRYAUmEjxRdKsH7hxvwn6/13
asiPhyrlQCSgHaob7EdIq97Nshin11Na6LDBnQxDB0VYiM056c2zMQfHrV2Y4ibxRGGVbvpGli4t
zKrawyNjQjuVFSwCjtiaiz6/SexVwMFJwyRD9GflvjK39a57KcdjijJwRRU9iMUEkAtPkEZ1GImR
chgPXrHQTI7la5jPTJTQBCEYp1aetpow8seqHqvDCErmPG9cawfh0INnaCat/cQJ1pWL+mUd5Gl5
58eQg3Z6iXdhhZvFeSFyFGtEDKsRNrg0Jctw4cZAX+Cat0FGw24Kv2pC+K/9pIUnEnWdJ3vMkdbj
aLGugjTxsC86NXZ5zmV0pVrbN9a51tsXIJHJsTPd6Br1ZHPqcEFvhRcxmdE9K1nkTTesyfiksGTU
gUSIH2U5DGykHBWZBL0lPrkFhrcusc0HVfEzC1JwuIQBOChjBLHOgJXuDKP014bLL2+Fljj0k5te
Gs2UaDym9EafkvwStaoiU1gBZez0ODvYDtzmSE3eMu4xPBquoTdLsMunzBGI4UdHovhGGT0ROEv5
CPqtuWpz66m2/eZO1HWG+K8iDHJl0PKnHm9VvM2q1nwcktjYwH1U27Two2HZTZ6H95aAAjbteJnm
2XSy7a6+RWmkorV8Y/HMVJ565vNYgHqc7pLO3J66t0pkAvrFQp2ag5c3zDMWwfYZ0Zb/UKXmcN3V
EdoBoEBkmzZL+40TFGB/N2d2EKxND5RXlN3YOmQhFGIf4Rmi2p+pQyM+9E02k4hwX5EPrNnprgdT
pOeChlccRbdeC8OonWlG3gDXyJf5No5MtU4tLPABetcVtIeUKe2MRYpcz960MyrJ7ftXNmRtg70L
mlLQAFbiIYcJMMOW6hm7NCF8WlOz9it0thbwfPsm52lD1oXZYAY3pTPCCbTi05SG9gKbirYJDHYW
e8Y9oUyyl34LAkq0IjzAVNCeLMchWnNGRdl0T6BygI9yVI2/ZEZKVWIg0vINM9WVPDdv7KlB0kQs
yOVdtKD4VtEbpaogsJzkXoBB6LFsnLWhBdBKWimj7AekdEO4QfTeoxe3BX6TdhV9h2L13xFZowa9
En1SbPd3NpIp3L92GQfiUVg8C7Tio/Ao8UnfNIpO9MfBmtB7kXebmJvMnRGZiUQIp0QXnl0y5j+6
iJB01CACu0YFXH1mZuSa/YT6LIv2fQ6sHy05WnjGsfpkZduKs1p3R3Cr1d81cdjOgUq+Bn2RZmMX
PccxzeVshdIlA/kR2ATpYdV1MV/UmMlWPGa+/5yKEAl0FIiQ+6PlqX1AxkSq0oAQyOcUFw58fdWP
jr+C3K7UGroW8bY7fEjWM81IrJ4EVYlYwjOcXBzYSdug524yUKscBOPG5F84newj6GAkFQZ623j3
WdzKEdk9RS0izMrweLE4afxnp/63dmqKH+qh/1txcgpr2sl1iAnix7KMAfb85/7YqJX6IHSaVsJA
jGILdv//3ahd8YH+xrxB/1CR8W//VJfoH3h3nZmDQtNPotX4JzuyVL800RhqcSyg4DNJ0tDf97RC
B+BejOVyD+xsOjk+mXKaUaMSYJ8Gg9ME+q4pETssDNEwoaURiiGiQ+N0lVv5+DCxtJUovGsDiVws
MQC4YiSUJfaM4VKFpOw5owaXFy0JhtA6Ctvp6IXOyG5Tz8pA0Uwn1/H1HZ8Sw+dI7G187tB4fHUi
NcO3QooXEqpdCI2wjm5LbXQQo3oDyXL9cHnLwKOwGLdOZ3mH3J5n7BKH3hUf084wS2fFi+mS2gl/
iQS9loz3scWPuSAmRMugjrH+t9Wd8KZWO6gZDboYNYAUXzrf9OWmx7FhPGJX9cN12tJrjAgE1uzn
QCexm/W6d5vgiFctVibRNVilL6XhIH6HOdpj7kcbqDZ5PAr/lsx4udGTOC3RhfmpDian7shO0AK6
nHthzf9PXxAu/jSwVWZbWeKW9yGuY6odA/CYaCVZJkSvJhPVLs1vuA6LVBKAiC4jwypKo/8a22W+
ztmlw0XtAI9bCL9UTxMjQ22dMUhb91npbFs5rRr+E/6crnolDak7OypCRh7rvrlLpCluppCYtN7z
uqeK7E3lJtu0SvUT+SckzZH2WXUqWnaJLI9V2m9K4I6XMiAWBf6LQ5rJvMlqo4tJTI5Ifwo7fmL4
gN+NEPOlacOqbcLY/jqbN25VjUKzJEaEOBzN3QTMevYNiWjPEYcY3KEECoUOmHSi1RsYsskORVBy
S1xJfNMNpMyjZPcd5lQlx7de4sPI9oM73juQrquF5rr1ZxtT7W0aB84KQ0mIrl6ma71v0iP673pd
FxbGxClMHvKOwTYE6GALdM19lWQc0tf2quiCAqN88TsgdsuhGHXkCgqhJRJN7ZBB4IYKwUj0huH/
iCgZC59pJEBkC+NZAmXyZ3Hma8iu+ygVL5WFwGkDwo8eLyKJhSwH0Nhm/9XD3foyDbFYu+xVWGQD
n+CliYPrFFY7fHPWIi76Y2cF9jVKi2RjdhPzQOl7tAmJgNwjApI4iB3xjKJXnYWT9Yw5+2bvRnGC
6n90l62V1/d1mzMy7O18F5upeexJ4jnj6pwzIQsbd1cgzpjUoidmIdEzdxQo1tCax5bp8A4FUHGO
J4vBkN+QiUrGlHMIK3O6UEN2VykRFys6kqJbeAXS4zECPrbQmOdsNNQEJ4Xg5gaxlCSXk1diR8qU
p9HqCMP5DGpeMz6qrzo6GB8HMBbdAkiQfiriLjw1QVzet3Hbz/7j4mDGfrbWhtB9ZrYVPVadbI7o
Vl1tPbQIzPTJmYyNSIP0ArfG2xfT0G+bCTiDHrlqUwF9/2Z3FYdCR44fhwi2gO9q+ywu4E7gw6bx
SwZLG+jI6LHxi8zfG25xHG0dzadLcya22i9thonPjLNkp/sYrzO7yFdC1N22CjPOwYE+rKZBlp8L
z26POpSFDXJaoOaZ1d9EuV2eg1gR0cJR98Yb+/GphTr6Ckypu+EH8a6HvGg/Ts4I4MHq0xXvSbNC
Qxft+sRCAm1FxMKDfY4fihDNDredt0UjZMp14uKLqclmOylaR4vBI6QeiTEKtLRqLo7oMoN+woib
xugCtN628W0yApdIHIngftTHfEVn+L7AtHcKvPTCmdM9G7nhP8GxS3AnuqS5m6PWLfQx1E8yjPWT
28TumSOOcTMOHUAbGifuFRgyfMHJcJ2UbYE3jBf1gNWOKsxyUYyBshj2IWkzhyKHDecrTCf8GNmp
xSyKKJKlJkuyowYF/mCUlriTIwqOJSgfb1mXcnwNon6o+NKzNKwFTrarx7r8jNR/Dec9PrCXuGuv
zI1PEcKyfYJ5aVtC6rzHK1zf+tiUz5hU6OG15UQhRLTjQ5217nlAt3LqILm+4HPW2dEAGiThnJXG
2+NcZX0/fpm1/OMy9kt7l2V2f9D8tNsylO/OXVOZB4N4so0Ky/Kxt+36MsAaWY0WGi0zHIIbdjZU
X26bM6fLnG9jONsdZAOU23X9Lz1IkjWxiC6UiGLT56pF6VAjIBDUVVrO51y6Wq0RO0ys6IKBdPdS
pEoky87ogYVLUmEO4CbKRw/w3hrvZr5XdjqzvyQRtZklSk7eXflR+YyK1pzK08+m76st6UneqRWe
OnYq0xYJ6uV94Kqd28YGbFKD/W2RYL45N8wsriOV1qdYjDg1sTYfylxrTl4DEj+yYvvcJ2CKtC5r
PyoLIz9Z8x3hnBY4H6A0fXtT+LW6mhhbftXNNmnB1YRs1y6/8THpG+0+CGz5XIY5Sw8HZwu7rRaR
W9Y3mDImysB1o6v82okz8xzqHkbgrBtpLiYjPTPPVlunyd+eiZ7JMpTnEl9tQD85d9RLrE/FRg/N
F2Ra+UnzM/tO+X69EPpgXvWNi7vUH43LWE46k7PsNN/AQ5mYYgvJcNlh4FuhCzdOLaKAvU/nblGB
CrnkvmE+OKrp1tRYyaYsc3urYUbEFESICD4cY5XE6BC03Cz2Iw7xG8f2LVyEFZmEoikmPBade4cO
ksZ0WRsbPajEPZDEwFqmsGkusVdSzxnd4N4kfuZs+4BNttfNKwV6kNueWvqp1AUhCqhL3MYgqoi5
/FeQsqhBNAAwO68poRRoBCPXSQ2fwRvrC4774kLGVbmLApSyg2lnJI1D3u4p/aetJyrnI2cBgz4t
6EAaEqbzTaVa+5zmyt7giXuyy8RZaxHqCgNsOd9Pn1Xyvap3BkseXIsmCg4QnOHZZgYEaMdCm8Om
XU6vYVEhmalDrz8YLd6XnO1txH3BownAKo1im+gzUs1EyGbdytjCmKgqJ1qZ5cT5Y2ARPpt+WyK6
qh4h+afXXd8RtORNurVlv8s2ndXGMK+1kdmrcHYA7QGPC2dgV3DCZw5oEpduRPe4HL0d9lpv6Qex
iztOVCLe24kvljzZyaXH6ooIzhoiAAQoBtcoPkcCdOP+VlbYZvrJ7PdSH7PrJi7JcUpMWfFwuM4X
Dr7BGu+8sY11lhXlGBymB06q2QKhU3/X6Yn/QBRA8kBSg9qQAIA50PbK8hoamHucYslpxbe9ve4U
bbrw9cjUF3HODrZQnbcP266aAC+a0SFqXNQnIXjCliOmS15xCYDsq5lGTo04JG5GoYqFWaoryP8x
yXGqAlUflDcSacDJsqrx7JaVWLlxiDzNh/NETMGEf6XxnyapjpEl731JKdsa4TkLaaslpnVIMdt8
Ch2aQRXqhmXpSSYITiqfkJ0a+1Eja77rA3NV0v9YF+b0gpLwc+hoN6rAu+4GnVwB6A4WdRnqy7zJ
+i3MDODxdrIcKBGOYSJSNGhEu7uGuWlHZS3d2m1XJjpd+JvhNexl8wSc6FnUhKQNHU4pPyZ/OI5V
RY864YdJe5cW2EitbVJw546VEbxd0imAVhmgODqguL0ORst4pB2fwA0YCAzRZVZtZnscOdgDfTa8
qKsJy/QCos3WUQMJDgTLPRPuMGwBxBNdRpQ0vRvnepABSh5JTnjG4/dC32dtOLZ3nza13BWYsQ62
Uesn2n3hqvNxJSE5ZJurg3AfFo7aAJeclgUpI8sRzdiiAFFwzjRIlm4cjde2zpeLVLIOJ9pTsiyq
ZikLUtZ/qFov35uy/w/r7CUPgZ7+93/9Mv+mKCX1iZYvuaoMFd/l9gSehU2sJfkP6iplnTY43qGa
FKu0jYj+ztKz8rXgLJWxZdME+/3FqW9/HkBzcakbBjNwvBQwBfnff8jEmbA+AiQowr0Y8up1iqrs
CtpGcK1ioht/f6lfBAU29YziH3P1qxAX/HwppuqRHIKUSxVGma15R0Yy0kY///r768xT0/ffyZy9
JBT9kBDle0FBnI+jVcU019rCGzeBQrMiW2LEE3B3F7wMsXsFB0YHeGKlL4WDHpdVxQ+uNS+Yi2sv
4NP9/iP9eosd8EwWDVehqGnfZ0G1Or0zfJ7+nsHjdNLTatyaEVF1NLpdqCAoS6vXoe24z6LyDm/X
/s9I/29G+riF5qnH/90/+hjWr3lWh9mP3aM//tSf3SP5Qc0TeyYzPLHfE5f/GPO4xgdAc0T7MPRn
XC3nx/nPMY/zQUfIYjHJoTWPoYiP8UdTyTLgcCJqYlzyJvvgE/4D2Ob8xvxryEMUM4pz22TEgzcL
//z7lQOzVBCDIZNH9LjV7i1nzAbku5vGEbNGU+EQ+uEH+oul6q8uCAZQ59WydSXF/Ir/sFrQfIGQ
VKT20US0sBJdH27plg4XSX7Bzh/rv9Mg/bw6ff+CnFL4veDGzaDtn6/nRnKqEZVbRycP5EvkcgFz
zs+tbewrv/9qP7+ib5fiVnOvbRtbAeKxny9VAcvx21hYxzglUgoWZ7WzmwlNjsT6cm4wjT86cSTO
/waZ/y++JU+SjTADuz0dx3cLY1/G3ahrlXWsDQwEmULUudDsjPK+8xGJ/f57vpMcvX1RnkDGk4y1
SbCe35Ef7+FA5HPqDKF17HPJhZyi0jsoPDoar65xsIJkZlQEh3RAEIENI+jqJxr4pIsMpFoudSNz
r37/iX79+pD5lZSs1Rj5kIH9/IEiGMlt4nvWUfVzaNybE0WnH7f9/7wWAn6avvPu4FjvHiifIx2e
6NE6ksNE78Uiz8VpUjLG5kyz33+t+Xf8+eWUOoI2zIsO292v/d6Gg7jMW+vYecG3784WANN/czf/
6rdjEaJJzcVYpd7dTOYjloPuweL0isMnQojD0UuSIyYmAFV/c1AR86/z/iuZBlQvdI38hOrdnULh
I7pJE+YRcQPiNLPjmsAjcBK92XEUOXcvlhx5SUOXaVTQQHMlf33/+x/2L55g7Dgse/r8qlrG+wfG
M1AmetQox0E1Bv2pTGiAPl11VVCsL5kSIyCMYwPl3ji1bK9vLy82qnDLClLtfv9p/uoOMGp3OW5w
px393RMVk1M/pHDzjm9ZcrhY+8Wbm88qqr8LePyrSyEpZYyOgcD8RRU7FOhEKqc0j6HNz0sDg1dW
SwaWejX7u37/vX5e6lm+LXoLKLwsdhZYqu/HFQVI2KQsC+2A+R05q6ZVxXNmJkwY3lxdUCLU3zzL
5C/8+HjNl4RigwxOopHgBr8/IBY0O2ndOu5Bh9q6xd6Hsaqu6uFW9hqxdrXHfTXtabgEKgLcg0hp
nQ4NFjTmC/0Kq0i5I02+2r2tIA3AKDJfJgMjoUeyHclEMEr+5kfiiPzzZ2bjR7yHXXiO3ETK915X
Bx8gsoaU6oyw9hRrO8jWPJRkMIs6bmn7p+Pgk24FMQ3zVVSMci34y24qRNxvliw+I84GbqTHjP4L
Xebmy2DEPLpuMPFeGaXGyqtXEW1eW8zBC8J3rZcyUMMtM4EKqh5/rILDvXfwMFV4PwwcjEZUPjed
kx8p781DFfEDLvBpjRdGGaRNSvK4HuGiaog8XK8UO1Hb/NVQlEnRTt0AulFSgdlaQAM25TbJSq6h
+KVlHYyXEjK+vrA6qmhQwwVm14Ag6UVhCYLeQBKi7iBSVdKJMHO8wT5hC2MlCPZ7y0AF6Vk+O0UG
MZuh7XiLHma4aMQgYNFE4Bp+EqPLLXMmAphps6K0eCxBjz1nTSxf4pDQZjhfhv0yCrf+8l01KztS
J9IxNl6LyTN2XemUt5WkZMOqBtsp9C0UdTTi7LnFzA4jRvyrGp6pozVgvyTpSVuag8Uv6hEsSXEa
bj3TBF9Xg8vQchq0Dc5SWoaY3G5xck2PRkc+XuFa3KdUkvgohqr+EhPCAF/HRF4+1R6yD1rw7mNb
wARcUIqae7Ls+FvSaBT3U8PvZrU6uuK3XQ6mE3mgNeEI2G2DKpq1vXQqR8fhybYCzEMLcnIm5wDt
ryLxiL6KP4dI6ngfbyl4EIOj1qEnaMM9P5chMFx0CjrhZCBupsUYAcVc4mcf4YnqniMPxbxeah1K
y21tdaSjGRjKSyZGTgzvjDyoLzKHNckT7I/+Op2UOAdaOoeb2SlmWC9XJH/gAWS/aWIPe7TITJ7l
LoLgUmPIQrPeEO45MIu4FEKxFzWNg8N2TNiXFw04C3NZmP50mgj99pciTO2XLidNTQYIMxE4V8hU
7FFUd745GbsJ6p+zMnxpfcq6LrtXwHdOEFuSVQlpjVakBqiX7pVeHcIk77Cizc7lOhkGvNUTwDC9
RvSYJNMs2JQK44VjR+OZYk0HvhNACUpjohEAsUAttemKjNk03seoarEqBUWBYwzmTMYzCW9Lr7Ob
pqhh2URem37N7ar5pqwp39uMJM+utCHN4ZgDgNQS9dIvJ0RB614v6JPSHyueZBJX9aa2R/k6TA5Q
SGZrV3lNPuaGMt3p6dEWmLSiPAN63+ZnN+qA02ZTHXzyTY22GClOJxD5GEyykSzOsXHKrap7+UxE
XrMZCYX8JP0+PxBSjrdu6K3pE96TeA0nf8Im0XEbFZgoJDN99inCzNrAOMOqhS3O2c6HUSwIA53R
VVWl2rrkDLjoWiPdpIoGJwuTt8iQvNy2Mb3xLC6LfVQF9Wa02/EreKQewH+o3eA7Tp/CuLOWyZhB
FcvCeBERbYmtrnpxGov3I5y0lWfAVKG1JjYp7fMICtXZwrDN8g/nHGsnckhgKWRI5Uh8SmYV9qIC
B+Hn850v+itOumqH3G60V1nY9aS2eFyIutpbYYgL9hCg6iWIwGBuKQF1TvP2ASgQGKUuqzetHdOe
DfTXBEDok5uQzRu6YtiQfGGu2oTP4XpNesOuNMHuZ3m/klZJo8jXuaN0DqIrUEvZRW9aJK51w0Ot
SU5kL6MHBEAzIl6JmvbSsM6LBqC2HDwO2DAU8LKz2jZf/EpnQconV9yP+qxg1pvOxTjc4qRX7WDr
6zhEJEyuSKl3i9Tx8LcbtpYD9LGGC6lD2vIt1rCpXfZj1drgSIEwgot4y9vVxUBwbRw2LEFvSYgz
IOiiDdRR5LhyhJPdJO67wuLVbwObPIXBioadLeLiuSCblo/mdDjPkRUnzwYzA85zhAAthJnPiaUi
qIv0kx0Fqvg2Fp0Fwd1psK/BPVhnkdV/Jcuw9KFoafZHhMvwqAO33iUwNoJFNvh0T2EeBJ8Zz79E
hW2ubQstz9LDF1s/gV9qtTu6fbm5U/Rrzx1krKUEqLQO+p4mOo6ezaiy4mFyfaBkLjLch86u0lsG
wd+MBNg5ARXXcWM0O9ZVJ2E6UbVrCzfuF58U1C9TGPZ3futw53jjo3VJ8ClaPN8BvNUFYTwuyqR2
DtIO63w19GCUljXGIEZRbe33u8Yd9KNV5uMJhaR5K6chRPWewgpHVu2F0ZLDjvsIr2DI1oNoAFBW
lXUN1iC5LrHx3qahKpdVLupXeDYJGN7J/Jy7sjs2skDAYXtGSMCAMsNlHMxt73aitZqWCcsFrU/I
fco6jH332Su0/q5v/PhGEFR5qkLf/hT3ElFiha+RvZIpPz130ycGYwxP1WCbBw05Bcznzq9fjLAv
jtiU3DV9ZpDdUte8hdXUabUVLHm4zbMW2JIwDG8RWp4zAMTOzHsJfnXXZeYE9zjwrvSxnW5QsIDi
o8363CZN2a71urbCwxAOg71UuU5ggPJAop/loPfF1g3aGvJ3pl1FzpQ/6CGw2KUW4/5fGJqjx7uW
h+fcs8N/E11Zn9qi6LbAHsYjzpgUXqcbgHJEb2DuAxa3LTh4QeglJwsN1KPT3fhG15MvzJBqznlO
qud4aJggjYl9NYQGyyhWVrdZlkWX9SsDjre3xBFonBpnJJFhdEuh1ipxLBZEQU6CIVtvw3wLAGPh
W3vgqohqEgnqoHXC2zoV5UMrxvqRyZi17oYpXoJUwjuJ1BOiHGZojBaRszKL3gGc500B0MCGfaiZ
Jfqe1oEgtfipLt1EnZIlk1NhV/bCa0MH6aJXvXayw8b0F6FJO11pZoXdkljkTVk7NuBtI8Rh0fLs
fvOSYPhYKLN5JfLO+dLLRoYbHZEgY8FE0OyP8sSpFp4y829TM5WQZ4JpBIvYFN/sAMpvHaVI0Kew
bhDRDdDb8jwjjGQIy3Fh4QAkbha6q5b0gHaZYzdAgDmz+9PIZF4HNUMeSwtE5BjjPliQ/tI9BXIk
R9nxp+gaogOyFQ8kynUG16pZZEAHbgLN5K7hkxPMBIs+GdrHIWBIan2vYP/TC/2bXqhh0X7+of77
RfV+HScvKKlpB34PMdp/+e//+uMP/dEKda0PeDJpnfwpXafV8EcrVOgmmXsSiZxj6Mbc8/jfVuhb
Gh/dgrk/alDP/qmtg/dEnYMliovMf+4faetsG7X9D40JAi2pwVxasYJPIMxfGhNVFyvQbqI8WI02
EBaSbBoIChuqKXVjBxkAFhuuGdtoHUz2mvKq1R4g3kRfErjV7G/Y/AoC7tBuh96Wfces7lv4CpRP
ZCJciB2pPpGt6jzbYJ4PQOwSgBeRgZaciqvUwzA9GAOKcEmE0IoMuwwEUskmnQVFfiLZt5i2COW3
fk8cjz8FRrFJu75ynzvSgdVO6YTiEDc6yqeuH1p1GXGMrQiHCa4iI2+stSnJRVhiG1XhS9dowVNb
0cNDzoJPnqKBIdFVY+tB428oKuHqMSXi0LBISQwx+zMCBUwMG1XipDnnNf5pbEd1hYkmGyPL2zEq
gzixTjlhaOkhsy1bJYs53ggyQtySJ30mq8Bj0/cSfk/GnmPa9iX1KvavVdt1jljSwRP6aw8ehClm
HIR2z+A0q23iDbMoJ0g3batJGxeyzaDWZMoAwTIw/6dsCNSE3mTFLN6aljFM96wgig8MJ/hjBbp0
ir5MHqCd/2HvvJbjRtIs/Cr7ApiAN7eF8iyaKnrdIESRgk34RAJ4+v1Adc+qNTOrnb2ei+7oVohk
EYVC/uac7zh52FPMOqzxqhQkrGkP8c7Mx6i98USvHXRVtnd6Bh6AVTMSwYEggwwc5CEBar2Lndq8
zzUXYLLVAa0bFuK5gSdp6wb19NWrs3wDEWOBKE/gGCuc1sPCTAeWAJals8WhqnpSHMsFrt58ctaH
Qh58sHaIEPOtWEjsEGriW8cMaLGSYly7dkz2Q+9YqwxAAkQcRHpI+MRzVGrs7fOo8FcgJuvbInMf
80rEZytuujuVDN65QIj1mgh/RCtlsA2sk/HM/VCRsFelTwVk5rvCrKZnkqg1MyRjiSPEQ36sjHSJ
Ucyjp6Qerf2YuNqtNkJgYY6C4g9vvHWKQIbttGzB1xtem09PdePTUyxo+8Y1yvtuQhi3ElESjyGK
RWsMU9F6Y1hN83woW9NlNkF9sAFY3x8U0pWdKvL4icrSugpmj4bQqB31YAcIk1YkbEUQ1fO2+G4g
48dU780oquOqLDe5WdGZos5Fvjp7h1Y5D1njMcGQEBRsa/ROi2cAWQM1EwLTVg63Mo7NK2PErWvb
gUQWOPFekyzVnpPCLTGU4OuDW1y/YQB7NpbAgL7w/SPvNMOW2qKt62r/ep6K8Yy3OTmW0Ewg/1vz
i7RmIbYBMTTfsqrVr7S5BHPTgOE+chwFWzurP4agifYsRkgwY+jGO+hl90HuyxdEdsUzK5f02VJ9
6oRO4+fPjVYGa0VZsne1vt3pS1gCDq8eyKzL7D1zQ7HEKWStRbBCUDpHNXaBYiGag0rga7VbOOg0
Hc7CeWUQmt6VS47nqEGmCKs4JwmJDAkE8f5YrOBsdmts1NOmUrIOVYQRhOsCJxrXZBhrelg7nTpW
eoDpbXLMJ5to5tteax/Tub3Pas17h2IDrFgPcJqsHMXMKzQxkjx4bWZfCX2iyOtttiFZF60ZqRwC
u/OuF0IsHw1JRMUSVuG0evXNlbpPbtpc3VnA2t6az1gLgznlkhxaX8F1tR/jxHZCt6FTWcS8JH9Q
w18ziJSvPUmOJTEiqACEHs453OowGwHGpAtMHdDkR6HQTBMVdQKxrTaOq8Z1MkjrBXdRurc0z/Tp
eNVE0syiAM1dhdm+NzU+cXai38Ao07aU3RowYIRNZ+BF9D51bwQbeD/GzcC+MFoxCKLdSoSiGTKT
frxUyqa/ymNl3eN98t9yJRiOSNK6aGMLAtujKJkuthYBLxlK56t02oW6FdF3TT35XyupMwiJjTIC
We0nHWJRREQegrcHyEvdjRcHcmLcZingLJC/keokh0r4Q0qojcGkBr/UDWp4fKioScmtGr81nHkX
dLjTIdYi2H5JF4dxFnUHVOZgkhp7PGm9mYZEwPrf7Kp1vlea/Z7WjXkyvKEDGdIQt1IEdD4QofiQ
a/k15Z5/HVh5fqKWRzmazd8S3WxWzZKlDaXgsdLb+3HRa/lGS/4so8tVKt1km7KcgG4zB+fGaKuN
5pqJFdqd6vaxltwUOeGktkyjNR5M4xkhvL3LYgeoauN9y+bSvzQmseQJg76H2DN4giRtfVQ0qJuW
fVtxja6YNrIrodmUerzX1EIAdgXCSzzU1Zk7V2DBDdQdVs32vRk7TUcJZxSUPQBdYjeyj7zCaW2q
ugwrp6YlKHJH3IlIc7bFEqZjlFhhdZSw66nT05OG2BZ5e1ntejlKJglj/2oiP1oXPtlbA5k9fWe8
ZQ3kh/kzykeJWK7cJeTH9hsCCLoK3Y9I8KpYY/fdsIZ8Q3sg7zPddTaoTAm+jv18i98Oi3SrRfeo
iboFeAZsObAaXkVKggL7KgNRcgBGyzaFH2ptoh2UvELvn0AhV2+tbhdf4HzJbUxr9S580pGQvPG+
+v6XxC8+WpRwBwuebah7OQmfDv+FciZYTYyh90NKBpMOMnE9pIa5NfvUOOG3zb4FmU9KYZFou54W
bWV3UQGPv0BuibNgW/dZc5AUJBsJ2WZPUly39UYqL02hxYP9PVyln7FSxVg3CODBmevT3KPoBrlk
eV35rXcAmPPaH1KJ8EtOibtXg9UwgLuebVXvyyXLCkufuSV26Vuj12cpmbeV+NBpaecdj2gm2hBl
jZTRaJLQ4sAMpMIodHeT69UNa82zp3e7oGt2sxJypYtcrfWkvPhanx+xYMTbsiXRAqo7Q9sUFLOd
JMduLpYEr+LaEpp2CTq0zIUrgz3KZ+jwljhreXk3tWmy7YUOZBAgITOJ6RwsQWB5mpMS3KNN7gkx
Wdtx5S9Bt8auHKDsxJpn3Wo9+V88272HnjHzfs6iKgwc4wMxF9Ft0xI9JtCemWntcJDlBJOVljwr
FoDfUjE1eCS5/ZBo7t1xKJGTDSSuLQFngyONUA9qeRghpuyzMtbwLc/+UfTTuUidL7Tuj58Nwn96
qd/1Usik6D/+ta7kpmr75L/Cry0Bk3+NNycLavnSPz3EDmRbuh/bd2lbzE8FyZ8eYpukcmA7Ohtk
dxGGsSr7k4cL9BbhCVtAuCU/oLc/dVX8VQAPJhwTlASO9e+IS9hS/7WrokKzTcsCyevidNYtjw7y
Z6UA4/qGoJEu2yNgXMo6CAiEkHYxk39zaINx0xPvUa3g8ybuITInxiIl8gAfYXTHCNxUbjZurZn1
6IYk07jZa0VlKHJ9hlLojApYsWCV9E/TQnNFe2fcEJBmH3pbMgidlh1WUbPY4tHEAaqyghM3J33s
k8R+YvxDg9X5DCr1GVzPAJsL1n/JYQmzwf6KKcW4EYHgA1qVMUUraGm/3pk4i9tNly+En8Fioxjm
WTrdQW1gVUP/a65UvcAz+44N2ydMVaTGeGmXtRolCeedVQPLAIdFbAo2qLbyj24ABqlD2/FQQJBk
RZcwg8LIwFavhth7R7m5YDplwK/xY2lkmjGrOzrZB7xrLGlMBj9Vpcm9NSTW4+eGtbSQ9HSWTrvm
Cua18bIKXKFWA/3qFnzrpkmZLnvET3S7Opi796xduKKljYQ47VjUWtEyMx6tlr8GKaa6gqXL3izm
6whd5AX8WCiqAkqnbsXmQxYxIgglfQwI3GDktyaIqlj5uQXLNdP53YPCAXEqlW7Bs0vFVZl4yY2V
a9kJhSxhPyodr7MoHQ5WFeSHMqV7RH+8XM8fk28xAmJac1/zJz/eUHBC9NCw+YMnUy7vMO0yGyN9
7roXpkZEqCtEfAage5MQECT4eXrWBM/HVTXRw3AvsWzAWcFqJ3To4IglhINB7QbKMiJVwNaIR9C8
mEj5XjjDvs5Foj+3bmdb20LM5JUQ/vsdBQrvmz6UwdNUqEs/dw5rFNZukIhZCc6cemcPHKKNVp+R
e20IAD04hV8XHxt3reBGz0ebCSEdC9+JNST/9pKI15YsRN5+Kf8S1rCsP/qBuwEFN+9sYPWARIMJ
apRvG6B/CizblKMxS++Y/LNkHQ2LX9ZTdf+O4pF0XX3ZHCaqWdZvjKAHooGW3J4fQFdaBzS2ZYaw
OMwZr4nNwC3qroxFtVPVcAf2XsbEVMsGCtcJGuS4TWfJhlDk0XgB0ELxWyrBHRMZsnsfMVHHGwJ3
2VoMy30yBWP9Kpe3iAGjdRAO9grfgOEY9sxBdgHt7wbRLzzRYSAUc1kJw1qLnj5v4VTzuL6LUIVu
2rjJlps0cofxAsWWS6LMeLob8ffcidlkN5sQpbw1XTvA5BVw4fqqhp5bFz43jEQaflWULn/8+ZGQ
RZ3u8CFz8SZ0+Ds8fYC4jLR5ZZDa7hunhhvmSjDPtqqiJ400IsxQgBIhezSxYN1NA7xyKzKbZ2LG
dkXigGFRqeDXIUL9kHYjb2hDG8TnQde5wciI1UDpQWzaREAZHwaKp92PHQ7KP9bxSRWA+SyC09ws
DKc+nfgOwLtYlRf4aPxQeqSE3OEJZLOptbTdmz6egzXxId6ekBZA+UUGaI2GZW2pRGvRsi+aHmts
Qd3N3STJx+JDgfGsJQYVPA9PLGFWipQENmPXn/ThdALrazGZvRByaR9YfALDFkbB9/lkI+f54K+z
nkeGrkfsuUnK4AoCJLvU3OiEBeAFe83Z5+5p5+Nd1Cfmg2dxz7v5Qm/2k6yd7zt0ivZ+pBc6WNjk
T2O+7Jy1YNEjFDiiHyJ9hr4WVx6LMAu0HuqyKEONo4Mflvay0mcc1u6LNLK/dqnJo9mIJu4pyAfc
4JM787a2HXAwnRSUNBxL2qZGskbPiJXAjQJWoIRyWnG/GB3rd2Jkwa5hhFnW84DRUvx6D0Qd8Xoy
AAfRZgiWO8czWEUd7YzZW2jGUfcOCjjdpYnD3b10Zqgu2cUhv8+u7Fq2e2l44MM/73nbtPki1n68
SpNNqcW76SIoS9neMb70+D315bE3KKPpzwPO3xEnDIkKq09RQZFYy/24ZOUBTF32RIwfoj8eaVnH
Nnxde4rDyIn8Vh4yqABInD7bhtrQjDvb5dNVFHmQhVJxecELMhriz8Tg208Kmi72SWr9ZPv5ZK0I
v3CxsfjNk5FaZfmk4njKn+nyeU4U9vKU+tRy2sxEvwZLO5vJRpyNRJoh3qX3MhnZ3dX1chhgfOFw
xqaL3QY7wY2aHR5kBfWDZMuDdnE1JjhLk1tzSqY9jx9L0NPGkhJiGftURuiy7rwSZQdi1/Sikdln
lwbFec6Kj0xPC89nXavFTxyl7b7sHcFbVC4SpHzpzys+k6RC8IipVpoynSy0mtZ9r0rxVMUGqZHR
KJFgTb6Crs9g8wGZLnbN5SDqFgg/JOP6ijPGvzNKTweI1ILrbxuYI4TX9DeOvmhWkCOGYKCSx9Rr
YP2D7f/S9OZGYwN66pZAgJb8QN3D66lWUnwCF3vYi10i6ysvC1oR3ekLnDEI+meCGrd1zUBRQ0l0
VyNFyaA6Rqbt6M+TW9QknngV7uIDjazgqZrxCbddl2ZDl+a61muxBjTDcNrreifGw2pnYV2ZYm8Y
DWvU1K5pC+0cNGtpDgEBffNWl6M6spXNCcvy1IT4payTaTu5U+HtA27LNow7yRjO9JLgqidb+9Yf
e4LVsoBjLh0bQK4avBahjEfbGLBu4dC4TefcPzJk9NcF6VXYuv1qE/tIRenTaGqy3KMvHQemGlas
W6tOc8avhV1lj5MnHu3Ma4oTeHn7DFsCP2nfKdjpcxtsfVjO3yHBBG+Jj+SlU8g/Zm6yTeN46dpv
J7CtmJ72+gDhdBp7sRF+PSahbWf5Slpddu23STZdc73c96z3y+0sEQ3hqSCZO1WPQYDPK8fYvPMi
9YXUhQVl6L3hupkg0k7lmlxCc0vUF/zr3mnPHWp8yp/S3TijIF1Wmg/obQB3qK67JqxsJnR6cliM
S7FFUWDvomAAzx+k9ob57UMTSEjarUtltOlEUxENGfGIygX1iYLpDNopOkrRGrTSrYYbv+oOeSDt
U2UxVuGikZqWN879SBgFKSmNv9ECtAcZT6wVd0h+ZzcZywH/qDEcu+UQIMLXHspt7GvuoWCYeI4r
uFsM2vem1rU7fzkhLLbzWJcCuWc4hAMonbTXLsIInqFSvJ4zB1a6MNfoUPRL3i4EXpiyj0iCtNMk
6qIhjtnj6wCnum/9UATUJaY5H0mjbnDk9NVLtlhn8MgKBlZEKucPJtGme09Z2o2OwT7k5PVwDdpb
6TnTNmNec1BAJ79quXgZtQY6juEVIhxahDGA3uwlb5clAkMDudPpg0PHz+GLFyldOF6xXRQn/YFB
23udxPbGxGMfGrVeLE8r4zAxU/0ateSfr6OqG1+oiDdU1y2VYKqX6yknfZH5GBC0hicKT/5WELzG
mlxLTW+vd/DQRFJM686cSLonDkCdyAH0jFVtyYyxc+f6LdeOnctlUHlB8BATu4lavJlx2acRfDAy
LIVd7L25G6DJ5WO8hTTdrJFR1WuWvSw5YnKBW3gOVrTr3UTjwdQSKOlju37S8o4h5uRGpst0zUjW
bd3TgSS0/25bgcXgc5FavXqqXb84zFALVkELom5mnbvBSc3/krW7dQmmfFTx6HOLW6IC0ZaicyBQ
iCV7GnxDcR+fEJHdsCnrnjVij65E61+TzteFHF7RvSAh4SVQnduS54oM5pg3zZQ+d24t9QMxX0F/
1BpjNuWep1awtQJLNgr2k0blFNO4RbdRH7ApqgdwdaOTVv5r1CB92kdZpmpWw2R+BRGyxnYGQEcK
w8zIubAZ3cXM7xTTTEeX1qufCE5dU2bYqH02WvHWU5Ejrhq95c/hAiHt1D9FaQMSgnbjSGpQJBNU
W6XqKETcweZsSpu6mI66MSNMXoI7qEULEssUZTnwiN+BPX+Rsi6ts0Njz3Zz0Uv/g6ZdEumQ1n2a
ESkK0Wgtqsoan2d7lojp2aNAnhYB1UhVOkVO+Bn839/YGf7RBLXAVI3lhSCq5VX8ogxXiWtUs9nH
e2eEaLWKyi4mKIVtknnDwDmJKTajekcuRQK9vY7mclO7XXQD29B48HWJOrECvP8bBfk/uSz4OCxH
p2xHB/WrD4pZVgSxy473BL1SpLOZIuIxrahJB5pjUBUmlY8UM8WRNsS/U+R/Gin+R7/uLBeDH+8u
/1CCA+P860CjnDxCYIeZazIVtEKZ0UyY5bvGFxlvSDKR1ou71Lceci/SDsZSfpc2CABIEE1t3iJt
J9ueKMY+Tvb90kETGltm3xeB10WVJIr+5nL9kzcRSbnhIL8xoW0av16vIYhTlBF+sS+JNAWWPY2o
OJDn1hRNTuA0YUm0w8Ydu+arsPPp0vTMKpqEXj6txvYiyuZ3Gu1l5vPXSwh42bKB2NieZXAM//US
ak6jzZK6AVyuRtnoau546RlJPXWMeLqVry3tL9Dz7t2GeHuoB/qLkhVQsTOQ3qRh19VLD8aV/WnE
dvfjFfxsorT+2QtzbSfA9YVIyfnVROMN6CtF2yT72o2pUJEhVovbnQgKj+DN1OrK+zopfPswVZSt
8EmqLj+iYR4u0h6A3iQDOl5dn+iWwYZQFxuEpe0+OdKxPVO+f+rNiwiPMnE6zHrKQOeTrbEopTT1
2lFes3vo3380palQmEo+VcPlVI9g4pfUlSFDvL7UcV/TEhMiik4fjTM5BnRA//vlML1/fJ88/C1Y
fIAfucGv9OaEoN10GjxtZyUOz0BWrQiwfbm0OuXIq/9UD0+mP2j3JVGtM5nECS9rAht0D6KVqxVb
MGhC8JQohopl+8XF4t8k+CAI/hwPWeZCJFZtxpRGKhmn+ypmAhamXj3Em3hAnj5Pgp/umEDpCduc
Bu4QGoL3/0yi/y+ELOytOo/1fz2J3n1UhLL9RdTzx9f86W/U/7YggQPb+6HbWebMf46gnb8tPj/k
ZR7GQnyrP42gfxLy6H9DEs4NhpaHB5Vv/jsTZ0hQv961CziZb6a7Br4Tx10m0j/5CwOTaEyk5cXe
8uNXlSNi6bu82mAQfCFz+Z549n2py+bFF8bLpAD6S28ioGE4kvvib2atMQ+WEnRiRTCvwDA5B5Aa
xa6d9HoNB6EM+yFov08RVvgq8fx15Xf6SYuL+gv4ZP2imeD15iUKE887xnBgOdsIdNJGxt4FCLJ/
R+grZSyMhFIRxd4PEkUDs7hNp5nmeqI+Pup9GzaDuJ06k9iN3u7J+CaIsPPms8NBsa485YXGpOQD
kj1SqacxOiQpBYitGWfgBg4bpPgZeh/DFxQ1O2IpkuteT42rzOI16XqZ3hluR52juQ39ogfApHiS
I8QIa0RP0bjOXnjDV7KWeOBYg1q3dj2+pbCQr3KU4NCTSYKmpnd3KAL0TWuj+VbYeUJFEPQGrPB7
nxFZYUv0JKRTkNnmya/mMKlQ64cjo0V04CnTR/a2uD/7MkbVEECP8sqLaLptX0xb1mK3EXlDG6k1
4762kDWMXmVcgtosXvrBqZ+dIduKQJ3hGotLzsLjlBZMOlaZz5YyxA943eIOUBseUHrYkFP0Iucq
PedWYh+sTutDC1rkosMe2vvGYn1qMke/4gicvZUmHBK4YJqeoqROb1jTqBfUTCQV4OJ5wqyTs0Kr
pFq7QEpOyRCITYdO49DIwj97SuUrEjN4sBW4PPa9xYbBo2GE4eMNxVOZl84VLIdgp5PhcmOXxNGt
ZgZJ+TbmBDp5DcbYOrXIvkkDEzFwIsG2dWZdAqKOgI7OlV4el0OUrbpfeuipihx3Dq1deqP3OJQm
yrqtScjSF8+EhrUeI/hLjskYOiN76x5ZvNiMIq3ujbzCaeeOjEqX85TBafalrpdhTmCg0FgWoojq
M4254jJ9JvU0JeUPmhPTf5vwgBShKavRdk8rwVjTSQG7tA0heA3zpKcpnfS3VnKGaxZtDxODnqva
VvydZFi2FSSpDazhIUuwxXpg0FMex55v6ZnMh9d6yTDXxG705JCLne8d7HHoaaZ4ung4VdKVqHSG
ki65d1QOGI6sifeh9gu+Iaxreh0cSEACoCfBzxD1a8Lnb5diw/JWIyI5+J4p4z009MVTbZTpzdTY
3XvazMPOkFb94YzteBfJqr79fGVZlNX+liUt374wTe+MDA/Ng9M6bmhFiX/+4QQiXuJ7IRIbGVwp
Hzok7GHlTi6s8+UX7wmnvkzS6R+9UfAXYciaBwdXTbdGTDtt9AAiVabs7MvnnQbPnJ82x+yGVwaa
vqt0ZLLm20F1q1AvE3/DiJYDtimemOybz6rU0mrTC9s7twBrDtUykidQscKGgTjBRKtu72sE+1sp
4WpopG8RPBapeou8qX/vvQRYCLINgqch85ItZl4iFHEX1Whik3BHIiYKnOhLYLbNSjkiwdASjXyj
wecnehPT0yJOtPtqbobd7GbVfRNDwiaWhbni8m4hXqvuU2zePoPvqOwpkQYfVxuf3smznZPBeCda
0ZMmw9qN+fZkGcehV4zc9XTGZJ34r35Lzq3ZVFSC2XzTlcnN0Ex3EEsehoaIrMGpvpSpT4IrYE3y
ls1e3tIK3iWLKqnok73I2u+OCq4C4mJw0wCoN73L2Fkg2hIa6fkpbjtcUPronyDC8aCL0Ht2GmqQ
iYgss6wuPeeYxINRyZ2RGu7FrrPHzsDZ7Q48w3PDj9euVwPt9UobVcx0k47ouMZs3UU4akovujMQ
md4ao5lt/Sqe4Kv5brJzq3yJ1RtshGY52VE11c8wEAXeM7mgnWmN9xJF3dCYHw0hTVdNktZXGQ3h
pjSFcbBM51tr9HvCRc/ElBZhjqbpFkRw9KrF5kun+d8mWYGhLTuxLQaE02Iin1MT1rTOUC3kbAHM
ARaKW91Ly7bRIGbzuxhoqQnyXDkzBp26H+/LTNZHuGXwJ3qmKs7MG5y6xnZsyLDK1JSfctd4dCdW
Sl7QHPJxEgfdN609PMN8rfuy3owlmV56II91DN9Jq6rXRpf2asQTBAxS944tN/6Odl1fO0P0qhuC
8AzoQ+hfvjOIutSp730waUn3tmr0L56rAXPL84fe6LKvE4o+UrkoFFOr8UNdkq4UdYwa7CCym9VA
fg+1+0D4RTZbwHV99K5ztYYFf9+I7p1swGijl/50M+JlrDdWjMSFJEwTSUw54/+YBxOvleHeoFXN
z9xW7QYNu3Fnzcj2UZaVVSgY4O1zAHVru8OV2Blm/QG5Ld/MAsyOIHbZquuvkqCEdeN3wRpv5ose
Ie3VK057QooWHJX8ptv6KwFAO31qokdlMPCwrBwXp6XykPhk7bq1ncdoKnUwdcQbZGkZvxDZSKxM
Z6GZ0f2T8mW8oUjw323PGS6ekxqPOQR5aghMqUC+3Omo+kjB/GUsO2J7yB4zT+J+QrH60SFP/Ojb
tjgykMYsECPcqwZt2HKmq23e8bWxsFAL9fqNR9LVma4PvWnSUFktLjNVt/5NPdTqS6lPxRc0KCx9
e6baDhUWA070o0SXwuYUfSq9MClpR9mQ+wG73iw+QYzMjWNnMg1bJcRB3oC6llufvkPnIxE/9eSy
3roGezB4ymPDm1jpC+NQY/yZyZPntDZ3TBmxM2N7t2T1KI7BETtcBUfgaDuC4X3jiE3UNdFT0KT9
RaHAzPBeNqAq+6DUbvrYdw5UCjlelqrZpCMJiIh+K4LV2vF7KUzz1hBx/6jaVO3rxGue3WYJRORZ
uGYVl4TKU3DE7BqtkjcfcqQAV2IYtKNe8QCrDbPZV5HThXXbZ2GGbwnvL64RplzNbrKLN69D49u1
kbrNXQ1vTgTnCCNbu2uQSLG5yaOQmuF6rBg/aNoOEI0bFv78mrVtVa+J+YLMpJo2nA0UuWkCiBL0
WB+S6GbvZiCyYwqPFXwyx4AknMEpuuFuzqnxckxbnFyDfzupprhvsk4xpMu1Vwu+oFHW3QcuFAoQ
d+q3AQ3zVhYIE7HEMldARbBGrs1H3LLgjvsMOWntb0uPqWa9qBQ7XTnIfcfdqEZSwvEATa7l3WCq
MVa972e7qTR2rkqx3RnI3IYq/mDWvrN6jryhqYgrTDMJN3Acj4voLZRISg+qiU5p3FzsyIG/R7w6
5DZ3vIoyn2y0hYgNrNO15kuQ83Q1rjypuemwYftQGPUOZEeGfNrNCEI3ZafQDMMhH3Dsahpu3Thu
MCxj5iS/PSTjdBoPI/XvfHIoVfIwi0XubKYuY0Tu12aGfQUuIHzdQcpqLYAu4iTF9wYFMSecw8bi
G1XmfpFyj8I+a0hmt6IMZBjDkLqPvHneGNPc3cSZUxGd4tjXvTO/NLOVbubavaRBpYXZ3PcXsoBB
1QVOdtt4tfOGkXUCFFnOb0Zn9NdKQBBPjeGjBZK3UY45XPvDYK3JmrGPNhJXnn5Jdxeowjwpz20u
MaXKxoyAZ8EC+0JsZbRqhMy+Yg6bwlRrUVWXUXQUGsayONN17JQdWvUhHQkdZjtXRwt/tLcBb/jB
Q4BUbeUAWZgtCm0c7O+eyWDXRhJ0Qx5cWFQ2IVxmt476NDhOMc6IhftP0R9Pbf+m2wrFQu5kJ6XK
jjq+s/eWmzqHNgvu9UEG+grnFf7PfOjzA6BBv6NIsKeTnbbaGevh/Fy0enHdJeIbDWgsNpUJ2nKl
+tm5YiEHqrZMvjVCcOprjXj3BmjwKxX1/VbiA922ht6+Ur64G9O0GFEhRQ6pgS4Wyby3VjYvGELy
Qo6E+jRrHF980oCMPrnMMa6a2ipPczH4ddhMPSJSUL6EgPtW8gYvUGeYmqXjduEcolEM2oW7lvpk
ySmSVN/9WOfBQfyscUHb6D/3rQczwRLl25xUOllOkWUTN1xiGw0lroWHkqJ/A3Xcv4qqvtp2PBih
qc+HdIpKdNQ0WcBK85s0luoViDNm2MYjaccBAA+fOVMVaTEVt1BMUZJVPtOoMg36B8vUWzbdGEfL
2ULlwDk4T+GY4kHJ11YHu61tuuF70gmx9yyCZFtoevtRKz/ycQZqPEWk/1ndKW/RI9Zx619coQ93
7F3qC+P+eZ2rhuo2s7WVg9BxA+odIH3gR3B600caP2TiAY4FDafioXC1uP2Pl+uH9+o3+kP8zMvg
+l9Pfa6ZHn78bOT64yv+mPm47t8Cy3Vsl5LSZRYfMEL6Y+bjGYCrdHREDkYvA0Tb31WHtodWEWKi
7yGHZZ+gM379E2mF+YspNRhHBkngWALv35kBLROen+fLwNECC/CIHRA46CKB/OsEaIKiZvWTNnOw
bhDjONO1n93+dDX+yaj4H38EDRDzKqA5vGTnV4hVpNCZAYyc93wUV/nsg+wsgeZwSf9+zf8fP2V5
FT+NsojZwPea8FO88kunfanGj975zZD3d7/IL9woL63sshr4EZhvPf08kU06v/3vvwUyjV8JJ4hN
GSKzq2EUiJr+10VSV2h19jnLJfeg/VZ5rk5qqa7Mjaf40U6UF+jGRHTUCxkdcVfJLe3YuEH7aewg
FKsd7NH2yUwo18N0hluKeOJsOrQm+DZGdQooJbdk4Olrqx+HrTFEiOF1c2G7c3o9QCllfp952VXn
Dh4Sk/oL+3+wjH63QU467GWGUzZoAEhrULlJf/CSa/I0plXeSDKX6dyJr5DZIdEL70r3Z/dVE17J
YMaZkmu90dyrAudpOOtQMyHOY8COhRxXuIWL9QwG+yQDMT+mPf+b1Aj6UTIQQCq8Y5RSPvvklq8Z
7okd0/ET8NH+cSwn+6widN+a9HB2W212sMXSv0rD3na530BXqI1rX8ffkFn2uBrNcbhYgKh2NsPF
k0cQ6KbCVwCZHEvsdRRZfB6ygI1oJZNzlA3qW9CL6QyVnH2QG42Y+YaMn5fOH4qYipcEuVIGyaWY
H13lOtZazcZH26KJxEVh99813CFJSJHTPwUm+Yrbkcr+PAw632i5wI5tXFfYhOgymb2E7uS4a1GT
C124kdUjOuE8jpzSqzFUUQsEDnoYWWTaDeaej77TsPVMvXxn3fFoz+ZHUAYOpHQnDm2ppS895dWB
tohL0iYN8nhlf8xghAMCgZt5nzWkG2dFzZvgRHP/RK4zUeMjryMjYf4oAqd7Spd0ArSY3pXwZXJd
CxWBBmqNHdVfcqYkAhhckhEetHW7Vaav7yoEC5yaDAXCgEp945PHlYXYluKjA/JlPxsuP8CcXYS1
GSYM4ed7skSH+7ya5T0bUv5yiyFglfupAxeYTDC9iPKjDwOQ2S2g2gFU4K0fcDlXzTL/E21troFY
eTe9CrLskJmu2DJ4pfAeGzTNoWwj44JoND5PcarfZyV1Jyd+6twyWsx2SRzrO8Nuo7cIoFnAXaJF
N6YKIAkhxPbkyjZIqM2iyL4lt4Dxc8yGfJyJvJvqtjk1KBaIU5+HAx5H9y5ikbjrahSHHj3PSdnO
UyQaXPtegvVmdAZ9L5PGNQ9NiwpHyrEYQ2yk0Vs//jd759Uct5Jm21+EEwASduLGfSiLKnojktIL
gnLwNhP218+C+vSEVKwm48zzPLQ6umWSABKJzO/be22K3H49VGoltE7bV1Ps/UR74/3UolCtpSaH
ixYKx9fY15FCdNg5VwvpbqtJBVi78pf7EeqZs6H3/h0JEHdS9mO+jaNahzxkTAGHRvMyjyLrUcdY
tw0nD9wRZ1Bj7xEusLcHa3jxzLD/UoZ2fKcXjY5zxcydxZeT0G5KerEqLMP7ZmSY1tn0FtcUw8lz
5Ox3VXaRfzMas3jMfTVlKyk90PUN5eJfglOcOYulv/VuSVotXyeEn3fthGp7JEX7ms6qc2mM7nQl
G9++yNgZ7o0GdEo9KeehnoSH12OagwY0OllQuskAJJeyeOVmqO5aqsMlaiZi7VYgwO0N+oVq14ck
J1kJhKJVnFfxAz7F9DvWYhkYPYtQphVyz9SwNyOtkl091XKvKg7rG1mDtearYm073Wrgd5PSvoqr
Jn6czYKTMvnM/Jt2GMMG991wbbrlfOSnjR5NxABHzK3NhZ2a0zqHUNGsUwdd3Qrxsn/w2DHsqjR1
Nuy1/YMt/WrHRrTa1nqkkTabJXiaHGSGa7Qe845dgtrqU9seNDbpXEbjTbsQufPWDTvkm6ae++s+
VNyHsZoRmsHJuiVQtfk6NEqxjPXZHQcIbx+nYP4Vq8CXhGxmDouuGwBK6X+4OlEiJuf3CyLJy/1Q
0R+gu5zWrzSEjK/KJcQN81oS/gRRTLUap86NT1bk8dcfN0vHfqCO2x7AbxXoyWx3uBkAMtxID456
74FM2jKHZ+4ujCfLAFIFbZohAY4Qu4I8nPP5ZNIXFrnSv5JBJJ9dytub3o75o1YrtC3pCNNVSUbS
2pSReW+VY/g5hSX01CdFsVd+V+6pr4XQgw19lWrkVFHu8tf62GVHwICvJG+ogwcSOMP4l9ogeTI9
SIeFejW1/bWvdG5fGdvatjX8BGHO2F8ZmorwbhnVGKCamNB91wYByKbgsKt7fXFMpTECN6ocmlgY
peaAoE9+YH2EVOHTznkwRqm/KNnPd4kleXQA7Qn3rb1y7w6LKHauO4ZNsiE8jjOHMgPfLWK3Rnus
E2cYwBPz6D1BZmXlivbQES7+3Tf40xk+5oeideyL0Kj8feRIuaF+Se5BE2rent1oexC1lj0NfuLv
y7JxHgh5xPVktf7aU6rcR5nPkWb52JFXJVe/KFeD42pbsIP+uvKlWBG3Pt6KdrJeqSrmWwgY8xF3
X3acmdFrV7cUUV96+YMzfXcA/SwfZUZRmIkU3aKyim5U2vkUQYt+7VjS3yctCTBeK5wXxYaUXCvU
x5f5QPNiLTnT781QG2+VymbimPX+R1+G2qfCrcM15/fU2KC5+/s5ZWokwVHnhx0tMex0C5U+Yd0E
jobZdEvlbzqmudltEfgln8tOend+1Y87Te/sZ9FN1nPfatZzatfTNV8qZxc3sbaZkkTbQKSPAzcM
q6s50tr7KkbxYbZlsdUyMV7/uuuIZONNJT3vxsyQjWNb5MMn0wvcKcaqqeDxl+BjwAyR7YfNV79w
GzSYpZ+qQzEpsa2bAr1wq1u8xK4/HTtzym9Cz4gO5HpQIfk1l9GuzXe+ZoEl5YRyMXvJeI2VL9wW
uQvAy1J9s7KJNL/Rm7Q4kEbjvPjE2uxVqFv2ykv4GBL3xeOfm/kKE8B8Rb/AX0fYHUGAT1nMEmgY
99g5vuJKH69ZFKaDWYfljdvOM6Z8u4tWk6ynJx2ou005FwDJ3E1YDw3EFICU01WHipMY01jbdcIk
lqIDVZsOiC4Md9DQ+tYjpRbJp9uNyXB1Ac6LJf/WzTYm4GV8JOQCAW/J+wOWyxnkgSXrq0HlpbEu
3bJ67Kqx3HUsOOyBSldeoPxSnLyp/badA9shzmc80UZ9xM837LB4AT1oslJ7lLpOVpNX9OyYLYFe
GmvnWo/A7KzQ3NMfkYmdbryekNgFSLNXxE8/6R3TqYBpdxR+YnzVI2u6suixbgiz079OvmeS3psQ
i6BZMjzGkhczgRF6JIFlvmszF3jRYBHNpqb2QDJbD5J+6muiTMAM0VnvK1Y6is3zne6MvPOaQA5P
yqEzPuIkjyhlh3F/2SkogSF/9DYVBrwaukNhQL/E2ie6mJGmhyjLMRksV3TjxiMQd98m0ZFcI0p7
SfFgjhlVQI9Qibn+5SetFGmo9mR+mcrJQ3RbNg+iF7DAs0S7iML+FmSeC/u9of6aaj+8Rrk7wypf
RJcDwk9xonMZZA3oFSunHcl253ntsMU0bu6Bf/WUukN1QSGx7dZ5o7tbdojxsZ7tYq3AF5o1aQ6Z
dIpvbql9k7N9A/lO7MxxKJZ9W3PwYpfmx5w8DlU8rwGSIVdD58qN6NdkjVEaDosWQrz3opWiXatU
oNRNqEJviKKKVploFY0SmBTE1FjAsGqut6xti10VsjhW7PJqrMOruowjujw0dx2QdcmqEn23nzH7
f4k6Gs/ZaOS087uRmAtvrh5qCxU4+cp6I1eFGV/EqVPfksNcvyC5gkRnTsVnqdXdt7p3nQfXaK0R
szIZtl0/zcdFa7C38rgLqKTa4wY3noVTuZ1v08hpH+oIrFZfoKZYj2OLVGcmrwSb25I6FMd71BTp
rm8yjuRggo8RdT5amqr56rdzcWH4mgjmLLf9djMgaKUhCbosyy5k+ZXtPRlJTuldGX6n9HVr2hV2
iLSlI0cL/jac8V6riXY6JV7EAx4hEmZRUCfLUGUu1WieIi1w+6sVW81AV2uebixDpXelTbGsQzX7
2WnZX61GXH/Xk+crMpBj95hZSfkcTkj84XV04klfvpCOUdT4Dr04GMuyu4gTzyIbQCLSV8LG5dgM
x9yO+otBm7JvysIPt4qBhq4qwv5ue7cuvhfS1dc96pVX+GmVyStSu0cjM61LPKEEiGkcsFdTT/TL
OpFWt500ZX2iaQiQNoSqRmZEH19X2vQj613vxaxcolb82VtHUT7vbJnTRqDjjVqWmKx1Gxdxt+q0
EanC1LKSpXkapHWPDRBFDI+Xr+1x4lSBmEXMq8HwNpEk3kQmxSN5DS9jCa4lYpVfUbhBhudPHIqN
+rkVqdhkTj4kK91ym45cWF/tgY8Vjwizq0s15+YB4z1bqW1U4PXAyp/VXqcFUJO1IuC45Gg/qIwu
9djWPhid4z1RhSUWse68PaeYAYZXEn7KhaYu+Sjmt2wV09cRbNyntMmal7rDRLmvNZsUmSRskgzQ
oR3aqyxjS2NpqrzD5zqUxIcm4xdwPSamw3ZIj73Z/YhggpKO4hGaTSbChWBn+62sdWdNxVJuHC27
nqseXIEUWr5XGQTQgUd1mdHJQhjd1OoauW50DVvDIekuT+XW8+zmqoUSsJb4PO95/7+rEhV1xzfN
X3WuSccvVPMRqX53m+kUGawoj5/GFlikPuG4N8oivJMA9r4Krf5i0Xz4Yk3jA0JJae1ch3a4Vg7G
Pm1mVvZaE2RCdfmDt9BA1nHctPe2nktSmhy5A39J/m6PZMBmxgeaV1l77O3upZk5E4sLioxDjHY4
SFMz+mpPtkStggnXFlpEd210Hznq8D2J/OJLWLiEgUf+M1S/4UKnXwUxx6FrOTbqgdDZ7y6aG/QR
avoazWG/67PBo/IrpvTK9+dh37cud6zyvH1DKOwS8cZNEaH77Pax9Zj0VUtmbMIL2/p4A0r2VPj4
/Z2t2XslYvOWM8jTQmO8GevZOTaNA4ljUM62zsvwFYPojO1u8AKtESlQOCTIK1vjFGO27G6JYWpo
aA7lPSrJiB2udlcUhSKvbiruwkRzbt2GjDEnddAzx734aUQwkiqE5duWRNBjWMbdTWmP8WVuZ/YD
TX6/jNbTHBKok0I0CONM7guW221fi3ozq1G/C8POCfKh7khHySosjCJ/UKy4q24s660PGWXf5t1j
1NEcG13dOYqomvZqaL/QyXGDNIr5YrERPLKQakEh/P6SrRwAGTCc19imM/a/VfmzUxTjicqpv4om
rT9LQKkNRwBS/b5WeprqF0bdhReAbwHnaITAEFRjPnamNk5rPHW2f53kbWTiam6acSXoFAKBK8eZ
o1nc+tfl1OaPZUE0TGFP/j5OZLSpKWE9Oqb8MY7U/fWZrUrbCLRq8/CNznJBOI0J6tG2OSQ1/YSe
KUsPeARgT0gjQNqWHnn/7Re3cJ4KrGNrrK9RwK4w31Du+CbNpNuQo0c3E8SwiTAv6EYHxicrd0qX
rdXv2EMtAirKRFrnGd8sPx8uLLxhW6ehOUG2MY7q0Ah6Xwt/xo6wb21dM+/k6P9sRkt7ImNHfkK2
A4DDllWDwqkl6FnSCIaUY1d73R+7rZk05cZREXE9pLFcv18IfVsFNZEWIRADoG94pntSayUq1yx7
bJvBAN9j1WsU45K6Yk42e87jxQfq/TeVXW8ZzTcEXHxKUqdhBO5oj0TsuW0wVZG90iW/JED7t3lU
55v3L+zcUISjkmJum7b9xqmgY+eg/GhwYbEXPUKz5pOR9saVrvrsAzn7qSaZAAffMF0T+QnmEqSe
f5bEjcxGSCAYqmzL7jLLVRY4iIfXIZN31URjsa96Jtc/v76FCSeow9kg4k4GtbHjmFqVyAD7rb0y
LX5xWkp2nEn/pgt+G/8r+kGsGLrmqvxdg36qXl2ujxeaFoZr6RgcFvfDbyX/jMV/xiTZBsUUiwUi
hI5Ea2hlZyYVzZzyxy0wHyqI+RxfdbCJP7i/S2/kj97JMr4Q9G8cYoTMRRv8+/jwF+pYzyIZeAWi
PzZdFDKa4dP79/PUwrFcJH4S3bMJbUAcbP45CBwBNSkkZIFSlG7dIWYXEbkivM5NfUbvbY4rursA
b1Hj794f+tz8EXAyTN2nefPGvoHJeDTIfmuXIsm0rYWN5SxdCsEgBvCoiYgdGKED4fb9YZcZcnpb
hbVYVniypmPQ+vr9tgrpIxRNGNZt0vxoFP0njLtzEIF8hTrL/H1/uHMvpGCNIYLEWyJkTm5w1Da6
oXkTw2EUeGzMBt9iOG4buJkfrDIneQ629etZ4sm3OIGz0JxmF/gYxv71LJ25G77JX3NzCrvvo2Ju
atBCrygp63vHm/VX7GoUkwZK8e9f7rlJK3zPgYMq8OK+eWnoPcP21lGhupF1Z0Pbvqojltj3Rzl3
U3mES/tKp/F5mpRjgRLtrIKl59cq0KchrQjcNCsDrtsHz+/cBVkoJECxUJWHnvLndMnQEfRTPrCg
Ir2BOFV9cbzqy/uX89EYJ4taYivT4UNNVq2prman3Vtecff+EGcnB/PP4OEwPd4EW2Cb9YaWVPOg
Zu96FXW6eUSeT6OM1J8XqIpMybLXb6KWNgtabf1APMhHK9rbV0/ohKdgGSOM4m28iQWOQGiV3wSR
QTKaqpSzHoysucw1AFRgzsrN+xf99r4yHlxmMr9tYi9O372GY5UHJ7AJCtTlF+jr7tzYcD/YSryd
i4Ieuo2ty0E46Z1aqHxi/uY2y3FZqwiSXY2UjMzDSxdc8AdT8cxIXISHPgbaKoatk2niSzK9p8mr
ApY2RCqavBCT+1i36dP7t+3MYzJcy9QNnhUrl7Us3L99+Jy6yAQ6mCqY8Vy3+SuOtXWalXgu/w4z
+4+fWPPtN1b8MdTJN5YalRMWDkN1vU/hvrRwHQ+uUqsRuRYM73L+NNnsx2z6H+2msaju620TfnY4
sm4Vhsgt9vtyb0rKaEUrKIAXuLuONkb2oxKjdoiGeL4Kc86BVlMCl8RXveVcpba5qVJ1xAMwXg9V
RwV76px8TZkN4Q9iyH+ltv3HC7XgQp18dfiC09cjMcYG+bdIPn6/p/BsNOLUO+6pjNWzX5SwC3vv
HjF68lrMHfG+8B9WbR5+bkGT7FySRelZO4clxDLBUrY2Fjid2X0qQg5GWIzXZVXc1wP4SyDyyO8z
XCsZhOwmES50zRSxH5kB/artTfcIH7Rbj1ZlBfS2h41SnrlmnHRDCc+9zCy0DGnmh4imqhj+MxkH
bjRuLK4QhXtkLnTFWepfcdyXH3y0zsw1k+wmFBx8s9jyn8y1sOgbdh8T9yXV5GVv+OLAUx/RA7cp
hvlQDMH7k/vthgedo2tZ2EeRvfinG56msvp+qIsq8D1lHai3FtsmatWlI2q1D71IXcaUXh+tBIPN
+yOfeX3ZzekO+U6e+/bMge6v1+LOIXM3maaX3hmMLw39nkfMj+mP94c6c5EIPFiNqHXwn9OtI31R
zptTVwZF39IV6Q2aeHSCEL+mZXtwZJag+afBPuHtpGj//uBnrpN9Fek5us3JAJ3Jn1PdzaKOslNZ
BijscQWjiYtGguYRQ/+tGfuPb9XbkXC78T4RKMfxCsLhnyNRA5JRZaQk23ve8zQt4HcPWWubC/GP
pynbDQRTCKM4feinuUC1xCATYQ9DV4DTaHYovIr0ZhhsB1+O8/2f3kBLF1wY7G3iLu3TzxYumxqf
csNl2YUItHoqK3qI9HQkRqaP4krfvoAMxtaGrYFNQ/v08wW704idruDKNOsxFtpzM3vfcYw9RoPz
wR5keZf/3HkzFMdSh0vj82KfbIXB0CdTqSHEEHW+FdRKfQBxKzfvER6W/ZEy5Ue70fMjEumIjG15
6U4/L1btetUyYmP0x8yvXysoQ6LNcC/E0IsB4nzgWz43I9l4i1+7DkY8mZG25NyhQjcLtK47TnkP
2Di7SRz9g2HebmzIXAXhB0nQZfdxWlBAxT0mCf900GumBvugBLg38kV8fx6+XUUYxcC8ycqsO+wb
/3y9RgJ6S+IZs6AVVLSo9KzztPvpls5d2iga6t6MzeujDC7z7ZeSUVk4XIDyPqvlyahhMSufY18W
+PZEFRw6Cd86LNVXo0+XHrosGSyTn5OpWFmQRNzZh5IndXevRgJNcvrIu4FtEVCX5h67aLaJ6prN
wbItaCpsW8jinE8+NENMhdL+YI0/+2A8wGs0Az3fOn0wSBLiJUE+D6hOI6Ce/PSojdQ5338wZ2cZ
ukpKSr7pvtlyFlbDZySq4Agol0ynqg/0DMyDqz7atZx5YbHgs7dlHcJ7fvIobGJ6yropWYjGWiBk
CePD6Ojj7v2rObcCOWwBPNPjUM69+3OazalujlGnZYiHJB5Xl8/UaHdqK2X+tU+tf76L5syITJRP
BqJ5/fSE6qnE6RFcZZwdw+/LvQPUcle04fP7V3Xu5YHU55BgRP3GPJ3GoyTHcK54ecC1egTFG7TY
Qvs7zZZq10a2940ImvRAtVB+8Kk6t+ahiIXHwMf37aGH0ikoTqvPAuDqN6rUXueUWIH0qU7nB5br
D0Y7N+E59phMdk6Wb4pkOdfoOkTNB3VUZ/sCNCp421TbvH8z36A+PETS3ETX5HMkkDmfrKt+Z46d
Tck98KBVPiXgrHcaimOk+5jH6M25w6fU8Kp1V6n+psH7eG3nrtjHHprOeaodGstpvTGasNvm+Pt2
cdelH51ujbN33uWEzZtJ3OHpxqcNpY6ZquBrM1q0CVTzaii/AhntyUPies/dSHUC8BJNjFIkT9nQ
y0PoV19iFB2zU6tjPRTWgSoSnqsJwrkfcx3v38gz7xo9bbag7gIhYX/457uWu/wMych2mxi17/Vs
qJ1eI6YEB+1X0+v7Y525HcYvjTE5ZBSIT7cxpjHBOyBmMJhD47tOwWFT2PqrnPIywC2RbimVqw92
GGdeOsOgY8eOhi/Wm7J+32IGaqOKy0vtlziJtLWJaoc+RotR3pyaT007LATrsg/++bUaBlVMKlJs
EE9XSkvzkRt6sgo4q103DlRcp83vqMZHK8hFT5MH6+39Ec89SbZslAFMg9PvKRGEd2VQksCqQNMj
GI9GjyqhFOpuIC81KEir+GC8M98cLpA91EIkZrN48gYWUDHjpOLWjn1E58IiWlJvqmYjUMT+b4by
CYHxQCZT5z/5INSulaii5Ihm+FV5a+cYU1pXORdJZxgfLF/n5qhYQpQXBs5SD/7zfeiRxJUzlYFA
Ft1jF1c/bLt5xEvarnCv3XlkYvzjwxELGKYL0zZM2ienL6Ax0msz5VwGszmj8XOH+7ZrNwSJOh8M
dGZhpqSu20JQecbGsTzP34o49TygAAs5AuaR/QxMYE8yy+P7UxAA9ZsN/R9jnMwJX0uz1LIYA0G/
sbLgFR+lLe17s3NC8mWIakgifSB+oq030kmjTxX4HsRC9Go7r80o/nWoIaHA46AdUcABbN4O3pQH
iVDtcbas+M70cVmXE8bjsNbLfSERZ3G6BeTWR5A2bI8mBdbDWxseEVg92vf3s18gtipJbN1VBcg8
vSdNmAPUGN2kuc7usEqwymcA+ePRjfdGK6dDbiPR7EVcXPVa28Nt80EuZXLNHSYOhlpRu4oRCgaI
E4tVNcz1NiRgD7FwNlxWFqluAybI3fu399zc5CvuGswTSOOn66fTyEZNDnMTmfBrM6pXqN03ltDI
Qaq2IWz+/8Vrx56bzR7lexpCJ++CHU9lI6KpDFQTLzWn68HMDoMqP9i8vi35we6ga0jhb0nY9U+G
scYsFu3olwEi8ru6XuiVg0f8xSea0FcIUtadbX6J2vKDI5M4Py5VWu4oh+vTDZlfFw1ZZDY1EaJv
XuJRxyXUWtodRhc936KZ4YyDARmPXdY3m7xEJKh1JQt5Y/YHG5W/nQ7aQeidtjOUVa5DhKFMuHpP
v5MOtp9+tYFrroYRKWDmztHGV1Bak96dN5EB0SSzSPWY7WaVqdQiKG6uo23Kz7NRef0Dz4dxm3r5
vK+xCO9wdPH/FxD0YqnSLcRr86kR9keP4tya7gjmmE8bjgey3LLf1ohEl3ZRZn0Z6ERc0l1aTYO+
z8BAfDCzzq1Fv41zujHq677IK38oA8/OdfI5nW5dxPH2/dfl3AcRYzKnVXj5hrOklv1+MXpj1lVj
tWVA04mke7tccRh/rrIYTb2cPjCdnR2MeiVnFh932+khwmlZjEqCUNHfOQUn0XnfW/UOBShaavVR
UPu5hcCh7M/XAsvem81vPk14oVFRAWlr70zpOmt4ys9V3v5QCZqF2PngThrn5sXS8+YAi4TAPfWI
zbLOub/s09KRuKFkNo2jN7fDwaQWv6mEFgdW3Sz5H764T/QwDqDwyn1UJeWVt8Sg+JU1fXKxBGHP
CMGtfTCdzv54LIiUkajf0r7+80kPYyi1LGabMzT1D+FHT7HZP+QCHcn7M+rsOC4EF3aUZ/CGstem
uEaPF3ASranmqNdy0oZN1bUffEjPbVspTiHa0Jdf3JP3UIDBtkO0l4HCMxJLJK5DeddW9jH1jJu8
ah6L3P+gUHFuAv825OmGNZ2tHI2eXizhO/uoq374pLdEoXNsq/6DM4c4N385kdIkY/vIWfikjKAG
z6rn0S1YZszpi4rrn0PiO+uejOc15dtordVasi5YkbdJs3gNNGNRZraI/oB+PxNhGz+HsDmCzsSx
gKsNn1Gs2geYDtXGK3PAn6H0dqM7eE+ezapJ1I9EMKXJcTNnS2mzMn/qg4mdhXiesda/pFV3jRSn
3iq2fInXE0Ix4efviskkAdWw+diD+3p/Np27C/7i1KXEwbw97c7neS0J2qzZ+dXzAbQrdAXderZr
+4Ka6TM8+eGDAc894sWZhVDGpdh6etvr1Iimhs1QkDQ+GI66a+vdzOl3I6KQMAW5aNLfv8Rf2omT
Ci+KGZMLxGHKMfPkSUcaSGqAQUXgFLO/jofOebBio1+XhJRdxFUO3Inco01qoZz8ZRfwFuBT0c1q
q5D07bVhQLn+/g915r6z2Vgs0D7GwDdHXt+ZvEKZIg8WZD6kkMm5KokpDKa0ks9pa8wBusiv749p
nCliokqg6rOs2u6bsy9JI3Md9rzRcg6RsorI2iFIFTsZtoQYgehbMVNQTtr51o+I3proyeC8IDrx
/R9EnFnDFl84cgyDY451Wt7XkUY4EF2AApSpoDWy+BoSkc93aKtBn3Fn3INKUSNjsZKrCGf/1iAY
nuAiuGC3gxj03TSF+ktssfE21ay/sC0u9/HAlMIxlYHr8+09kvwfkKVXLNn91nLSGPCcZm1arVRB
7DTudow7d+NFF2aViYcM2NsNry0mNHA183Psdf4x193POvyODw7m566fDhgedDhQC/rwz28F5baU
3DzB9efZ+BAjSwtGZ0yeE0OLd+/f63NDIbxGa4Abnc/GyQaEplPTFMtnya9EvKkbb3HzjXV29OM8
en5/rF/P7fRNW6q/gtMrn8HT4z/4xLwbioTDQU+owErRMMbsNVvGPiSVa1O6uXFhkOp+q0ZzuDZN
LbozF76WJfJ6X5d6e/j1A/1ffNRH+IZFdfXbs3sTxXsovyevf+ZG8SYuf+ff0E7rL3qXkB3pMFKF
WARG/2Z2evAbEK84tI09WiEmv/V3bJRl/OVS9UHd4lLKRu/BZPt3GK/7l8tvLH/NXybjPwvjtX6p
Pf6YaWy0+CnwpiLWW7a8f75BiN7jZCZ/54CTjzDeJs9fbVzKEeY63axXMQguQj3kNK9lp/UDqYqm
cenEbYGSKbTGtYHNaBvqSf/d7YziZoZR98VHWVzhZcgiBOqdVmzGKlRQd+YSszqBNvSkzBsoTg64
zb4VVxAZaTZBncWoLv2cY5XjPZB2mt+3Izmiev9aVC1HdBlnTwoI2OcqS3oNbVNezvtMr8dXiZV2
xNaj0VPSSEcKNxxBETgJ5UbZtnaa7GuMAy9CgV2A9p0A3oOomRKQac0Isyz3O9Rz6BF2HXAwa2O3
pocbqGLxX7fCTw1Yl6nYN35MfNsYh/GlADDpbVHoJIuqOXfEOtOy6lst6/pzpfT5upMTJH2Ry4vI
l8M33GTlZ4u80XxNWMV0kQxZczcBa3g1Y9NcJYQHrwqYW323WPiBuUN/8YZr8lerW5s+HCUOb2za
1YSAZp+PSXbtiWK8s3LxyxZLBGF1cF24vljYunVfdhxtrWk/mIl7u3yLyXwQxbcRmeBKjIV3Sw+l
PoSIZB7EBDYrkVJurWESQTgTxbgqic47Itl0N+k0dxfeOCThYZaENvdzHkPSiWyfeHO7cS89vTDL
dcvm4EkUdffQWRlpvp0xzDj8euMlcbPwRWn1eOB83mxLAvUuhxlyE8hmB4faZK3Z88+Xc2R0zznK
mAZCRNFeDmHbXMSe1//0WyxNq2hSWraRuRXf9FaZ44OkzAyu2sfKwvagv8q1scXN7nTZa/MLbSRJ
VdlHhBuS0ZcO8guWHHaTQ9g0qG8ohtyWfCWNgNcluY/rTDybUZHc+UuI64omQPtgAJjadU1sXRjY
nHU6ylWMNEDBI5pgfpmqb4KB4ux9FBf52iFY6rNWRu0RxIb/Y2gHt905ehFZKwNQebKFPevf+6mD
uxNsbKW9pJFwbmPMTxnoLti1K1/O2TeEOfQ+uhiIXaTPxQZgg7HG9Fk+8hyzT4Mh41t3TOWVNKb4
6EIS9LdGNTSXcVhaGw3nSQFxI60ePdEskj9VoQxp+H2jiqwrgmm6akt2WH2dli5aa0JdecvxH2ET
TPGsAUZYxEnstmAP9onOf1WlEf1LtTWlzr2siLLKL0tdx7O0MgG8zvC1lszpHvP8/UQ25HSM7TjF
aO/cGl6abWrLpZssEjyhGIgfxpy3ZythFXwOQ39aGXnY5xu3s3y5zmoTB2wh7Yeus/EsTYmh1sqa
GqB1iX5t1cVIgDYMR6I17BW5XNAXMyDXfkhqpyeIsmt5X+5DOQIfxcGVfxrDQRSXTqf09NZNwC/6
aJ/mTn+wZglRFY2CU9rXptFowdC1TxjvBpIjPZ9M0FYMB9H2R4x/zlVV1+2+UBkYsHEp5XCeuGsq
zzx0KYLmiiYAxk2Z3w2taO/zIR0xYpG/GQo/37o1D1I4PlHNkvyeJr4uCMnpCmJ1dJVc9indoYR/
SWh4F92w2fqJ+dkJ0UjbqXbEPrTqmkpfGcR38c9oMCAaaT3FlrAOoWyrtcFtwejvyZtEtz77XR1B
ERGEKw29dpXORhhEy2o9dfpzaah6FZInsMqm760EoTJzD0OlX6SJqaY1yYHYkmX8aRSwKPO0evLc
yT3AcfkG0S/fgo67hybgwxLLnyLR3jhDmt6qpnzBxQk9YLpwodHuSHh66BOBZG901XrQp2KlD1m/
Mcscr0I31iSOxOBIJoJ+Vl0vG8i8sXMFa0MeWyEvFHvbHbbZfo9f3toYckLXQTlDh1SVxUciX62E
y6vnz/FI1os/DtYO0dXKZBpdODztSz1qiUimynevj02118hG3ZPnwGyaqvl6IuuaYxJQGuzOdn3X
TJN/L9B6xgTcqfwuw8l34/jtd7eK9WOWRMbFXPgNoIzBK9a1PRrLMgutlci9KXp0AXhtqL5WGLZs
czsnsthETjRd5yMGpKk32k8z0ikyYywJXTG5s1ut4ZVA49D2vbwu2qxYt2zNH/o8DO9sMwRUAhdm
hQN82ggekx8S4Z6ZIn7Nx/AVFVtzZ9bucGuO/niRYG+7dxK/fOgGYgGVcI7SLUokf0wdcAbPtoyp
cWr8EqdjuEYWAIczc78NYy/vPc131zNY6p2YZn/XDW7+k3yJ8noetrKbu8tBsbPkeCGta9YY7TJV
CbbbJi6ae/DK+aZxy+xCuGTZ2KFZ7/1Rxt8sPBSwSAixX5PkcM8kzK/9Ss9v08U86JSOu02cWW5o
+d26lrQ2oCTaQzELcZvT/N1o3VTf2Mjo7L51to2hZQ9Y6UjZUi4HahzHO0kJ22BmxCTSsC+gcGa5
5W5KTAyrtnD2Rt0mF1rv+EdbDhO01mQ8gFqIVnBLnIOWG87fB7L/2yd/sE8mnmORpP8PcuvNPvkB
1+35mNW//+rf22XX+wsNgO4iSIH29WtP/O/tsgBej+2BSrNL7/i33bKw/0JutsiYhHAA0bMl/p/d
svkXTWiO6agHl8oxp7b////+ECDKk//9u2XI/tW9+H23jGwJZZa1SEscXEqnVR6AE5jf0mRpk7r/
zd6ZLMdttIn2VW7cPRQYE8DiLrrmKs4URYncIChLwjxkYsbT98mS7ZZItxS+6z8c4VDYIlGFKb/8
hnOscRsmuTOuKxB++6SSzU5UttuvqzgL7sLUQchip8CuR9Asm6EglNkop8eDF6XOR4T2820t7Or9
0Aowz66FSHNhHPvgI2k7NEoLSkhdAqI2hnrj51U9ESflzA8DNM5QYDCz5VwGBcbu3KoNgFWu55x6
ANVyK8M0pqo6QzfAZCoSEmVDVn2jCooIDmaEu8uN1r1JrGy6zZPIXRv1NBhb+FrOSUG5hYgsPIIr
g8HQ5DhMLSTEmsyKbagIRrJNDN+XjnMawSwewwlP0xZG5/BklnyojSyj7itH4c2q3Cq0IMQDLmCU
XqZgwhAwf3doTlEl1DoXXZ1vU2P0DinbJX+LWKv8lnLBoZXh9mNpRtoIoCD6sghPUl9B7fWxWeAl
rSM+2Ue38dqP1Wjm0EZNKOJgVm/GPqoemjaob7pWDfMFQX7swR+yGYmNEp8es6IsYDqZll5Ul6QJ
7qaczyUFyJNVZkURi5WTAvolO+nfLXBmnq04CG6jAlMJEAplWpuIsn21YTay3vlB2UJt9o9TUzY3
uSXDW963aXKZQe87tJy/3VBLsBciRXCdJFpRhS17SgaUtqlXgYe3ZHBnIMq7zvKkXIe0FBxKQDfk
PhVKRogOICa5OkyK09bc+/VNriQ6kMUtZ4wLmXXC3z6uMTb17ialS7Ol47Ps+M4WtO0qheWzlPJJ
9bX9sTFn11mHiwSn7sVe+4WUEEjILunEKhjn8G5qkKrNsxu+t1Ua303sDImvJkWCwRucZztiwV1x
53lIyBJjfAmQzQFpsMLLpmEwaNfPZgz0NKvSQ+TLbjn20HnmfRr1xiWMFnaRo82QvQP3u8Jvxv6q
o9abeyM97U1/D57Kw2nvTBj4AsNyoNoI8aGyZub/v7umnLN4KvhuoRJnJVUMIQw/lfGnreqsrprP
GiupjVbGWW6VNFp0lZ+lV8iHejluSfUEu5g8od2jf1JGd+pEgzKrkFqfZTeaZk1GyKP/gtvnkx/F
xvt5VO3azqMrvyyRp2sjV4KaK9KOruKs68q+u7vs7yavuDT9auNrwxcjBMjPFyRgpvZ/RdoEZmon
WOeYxVEu8fiYdna6MaBxXmE8pe2/6e7ZTSUb+oZRjPmZbQWrnHvoUQiyfwceb+Oh0mYy9shIynqP
Xdja1O4yNpUSkQs+M6ODevQFBpxdHGYzpYt66O1+MzM6dmEEZnase9PbzGF1D8nustOMX8ZK23UY
1NNJF7+3/pQWW1dTgWU97ZksMyDA8KYpIgwa0bKfAiBoLL3Wam46/xpB6nviynjjx+M+6DLv0VL0
o2d9368W2Og3I6hixkBhFmt6sdFiqYtdiMZEPw2vCijHSLDWbeZVF6ZGIFP7vzYXO3qSKh8PVFGL
95UAmZxpePKsMcquBipbGq0MKQYFtcYtu2K5TsFd7QuNYqb1v9jNGs88GfyUlUPLSc/05hyOcw24
bU2G+2Zp1FWncc+NBj/nZwS0hkFnZyy0BkQLjYpO2/pzqOHRVQpGOj0DpTVaGuwZOGcL3DSUbIyd
GkGdaRj1XGB37P34uYa2QtUYJGyu4dV2CPqwAKn3cczkeGDD2H3IekXzlhjhTAO/7pUo9nMCaLBT
I/oGy46endwj9py0jVtkbplh/bPNYy/qkQ7s0iXlizp6F4YKTFRD8Y79Su6e2GUCzzUM/65v4Hik
C0tTViKC6JjD4a4Qi389n5nckNbgcwca1R1+h3Z7PLK6gk6mKrlewkB+ruocqu5CNuJTgxFwZ/X0
KUWpHezgdMCqXwaE32NkfgTQw0DPwOaspjXtugpQBs+SsbvSKYM7WCrVVasR4y2scT/W1HFLA8hj
jSJXZyp5P2lCuadh5UhN6KGLNcK8ONPMCYpBskgNOXc17tzT4PPBBoHuRFBBEJRpHkIDnNevo2Dv
N4AJDRUXqPrifiXh5D12jdl+5I6r5Cbtx+bCZAsnNGd90sR1h/mojR4oEX3BbQCR3QRDs4Zi4h5s
ckmroXWNo9IMd0fT3PtSY1kSB43kcEa+Kxf6e3UGwWeaCS80Hb5O+uE+AU3zZdLs+CaUwaWM7Gcj
7L+lGjBPBYLJTg2db13vQ6Ux9DxTzAlpNP2gIfWLxtXHyt1PTvYcwbEPbFIei0bbLxpy76Tzp3mY
Q7oQAOD7vnqRJYNIg2Me8fXkW6Vx+XHkD6s8A+wPTDY7gO2Aq2+Tl9mS4rNuC5yCWBnG/K6CxF/F
XXVZajg/xQVzXtlnZv+YKFgOLQDDa9I00baB7t9nycNcbwiliC9SgKKrkW7Og49TeeNFpi3JdvBy
zT0YOYnWB3SualfTWSlQRemLjWXAsEW9cSCxPSdaQVBrGYGy1H0/WN8AItLiARkvNPynCqftRnqo
DCYtNQhnEkqNFh34jnyqtfpgwYEwahlCnjTNlp1bTsVicCiCI01whubozWgUMmF9SLVYoeCeh82M
bIEOItBiWsDQmNleYYk41bgZXC1psLSuocDb0GuBQ0f8ydarr98D+KcQczY9RFr6QC/BsPUEVMZZ
KyEYxCpXygj+iGL7E2ZYvAvSc26YZ6LYGXh3ErcEPWZ/lFo2gfK73TZaQNFoFUWPk8IvR1g/1heM
ZNgqei2usCpNjQd8uWpdQEappDFi0KoLIhb/HrRVvEnISexMrcOwtRhDYchQXHQ6DdAom9fJ3Lpr
ZtGcNb228WaGDrVRWrXh4NyY8kbcR9R59hp52a98LefoyYetM3wd8Lz5dgg8XJb0S0Mi9WgBuXVo
o3WwKa3qpvY7pnhxgdDH8c1L44O0S0Y0DPMmGtubpUhXRdK1a9X6q6wpn1UBE2Npp4cRiktjdTed
UYEg433KLwaJ2GGGnece+9DQQwrR8B/vrDLxnNTTwA8MJ5V2nYgSkVSCFdOefUpgKEyXW4Bs+feC
+382fr/Z+FlMw/xq3/dfxcvnl5LW4u+07OOX//d/v//I/5RH9PA1RQ66T2lrN6ng/bXhC965dMc5
lFiZ4+ffbOv+rI+w46M24umOCq1X9qFY/73jM9/ZNs3qIb317BbpFfo3Oz5d1Ptpv0dxlf0mHjaa
4N9WlzMSwG4LAv6Am4DkaEoy/NCHbvvwwzm5/f4Lf9pY/sNh2K0B2aCUGbwpwixWq+ZhwZfWUuJ7
yGs0Sk5vBjcl2bvyNwVzXRJ99ZXoY6awaPM6EewJfy74cC0y+i6c6ACXMrwxhRquqAU4J5dGy9tG
lOzRfv3lnDcNR6F2YrL/NimNWcxI6nL6D41oUw4eyIJPdgAARmUpknV3Waue90VtlLW3DkJtcwyE
Y+9M5vAcEFeQ45D0jHa1lx5ZM29Ap07SkCW8oRWbGuxEWDOHyvxcTam6lCwlexnF4X5cVMqgwmwT
h03VaVZWeVfkRbgvDNV9sDpRkdSmVcKIUHhFc5deuzFBJl0TVbKHclweUUeyE+za8s423OUrrd/L
Y5K76tFv4itq2OTx/QIdQFOYtPk6+RX9uSJYJxTgad/qy2+Ls9Q3bOWzD7aZZqvKjIqdB8NxjSme
uaq6IsarcSLIRdr7YIAHpeQ8bi2qyYSBpD59q6uvVQM5qyty58UsYuNQCFrbF2WMB0mMGq/cKaT1
IMBy/kcblKS3F6pBYb0kIIPkiEMWbApZXFs9pbkRjuSyE+W3wKznMR7bJzgT3txeJlWT7fyz3mA8
qw7Ms/bA1AaEXvnNU6atCBlpt/sw1qqE0WzDL1nQQkG0GCKnDceeCQEN7VhQDK5psCnmhRx5p7dO
mXO8Mc9qBjrW60u/x9fA3Or4GGiHQx6lamNrrwPsU0oqrrY9IGO7T8gowJnJUH5LnBCttkOUfj3s
anCmu+Asj5hqUX5R2iiRoJaYFfMfMcP1FNuwHq2sBfLrtuXkJFVUXEltqGCoy7hjK7xcmmeBRTtZ
+VFARUBrkWYRRPLaeO9q60UEguMAzaqlvpfml2YW91/iVnSfc0vXlZazPsPQJg1OQbsBc/qH7Cgs
WaO6hu+FP9kvvmBxG1cCJUek3Rx5Hn8IW4OBWe3tMLTBg/35tIaES0wMBwPONdUw8IMX2Vn+MWkP
iDCD7AVrUsRf9p8dbQtJtDdk0gaRCHA2ldj21ptG8t40oLnc2jw95J+HKyd3bRQfw9dJm0lINndX
ubaVdNpbwpX1PjdQ/27IGKPR0n4TgicD91JwL8kebXtv+WT0yrlGSGVvbW1IMbQrZQzF+J4SHv4U
C5PKjFKlQq0CUgbJSvrduALUCf1KdVaxsDyjZaEkpx0tc6CFLVDlh01+1rgIm5YQ9lxa7xKcVS/F
d+9LEkvThPqjhTCEntoOM9m9dsUsBlMJPW7S7MFVGQPdyMiziR6vB3/uki0oWp88PIjtfG1EeUr9
RJpiFWKah0s8LMLHYO7Gwc6fc9ujqDG2JjtrYw52bdam0kVm1oldnI9LfD/kHn/TadIhvhZS0btU
l6oab2MEGYED10+2CWl58nPUuTE7PdlNolP2JuDZZDuqKbQfs340QH7RRuN/8aeEC5WQaDFO1Dnj
Xr3PGfiHSmWFbf5keE3+PhzKdK/wRuqD+d5hMKmy+NFsqHXk2BEj3b1w2AcNJK6wg4yg57CB771O
p+PsiCIfJoODXRpUvya6RuYNvVrWg53U1L1bqf+zH4noPcHT+AfpR7pLQDY3Ozd3nGNNYVmT9Kp5
k/cFU6ct+sNUi/A6uriqdSkj4I1GMGJEc91Wrn3SoDtLtPXmLAD0mhB/V2siAaC5suQKROHzpPiT
JH57v7Qm8SllmL7ZMKZfkllym6+6/+GSD4IEETRjfdHgFlw2vYDat1XzWB8D+NQ3hZeKF8Y/+XxO
MVi7iPLGnTHmfr7Og5LPZoiG/+dpKaAdKGrRZjfdFjnV1k2woMKLUeg18MRrNI9TjcuQ5/ZPPNd/
osDfRIGgejSq639P/1+lfzCP9VL9GAf++UN/BYL2O9rXkI9aQPHOCf6/A8HQfMd4IEk/kqW03OGv
/TsQdIN3dK/QIYUmnLGws0j6z0YZemi0m5beGt0BT4+c928CwdfTf+x8dczkEDGxX2VuSYdVP8Qw
cjKmThatdVE17oCXeaBVYDooNJ37KDEr2sTrBN3cZaazix/SiZntqaHBWNHl2ngvUO8r29pgMXCg
+XrcleASvuvKY1uSrgqjCouprFo6CH840/8QXL4K+GhU0XAq3ZMa0Lv2hqYUtP1Ikm5RF2B/UFQm
lYEUDgUpwmnzejRmvJS/PqCj251+jDE5JOQGJlRB1AVCR5k/nywjLZzG6OuYOmx4WXc+UGKeWeYl
mCfizU7zhSEPljKbp3CUoZzWvTugy6R1Y4h2XgzG9Rj5qeabD/AmVkgy+mVvd9DEgyr1nW1d9dMt
Y7DWQ2HD59m7UVVfZK3mYMRpRd3FyiMlVlJJMjAUrZFlxmOFGt4Qw3RfLDLY2IQIL+DW0aBnMuBQ
YRLhwVbI9crN6MGhW0FYR54puCJyXXZt3/PSMearWaT2g7IcboLRKbwX5fDGnl0jBMLRARJXAe1J
az9OaUqgE1pXL/QnNxMXA/lZ925Z5ENWqd/y3YCYyicjQWEQk+1LWebSYCLPZjdP9oAjby1QaSU3
U1LyicLZc1CtESl+UFJTZ0le2bzcs8Rqab50ffuakSXWe+HPovlk0w2RnDrVcv/FLdpww9ZqwkVV
9gNsHnv62ATWZDw7dseZS1vQNKu5q6f6SPBJZWKgBWsBdGpw6KIZ+L/kEPl09MIgDp8WSahjAMFM
biOSxfTyADpPSMFpITsZM+8lG+PosZ9F+Dj0ih8PR4vEmGQimyERfrXZ4pjdprPLVRBu17WfkrEa
mgN7kbLcch4dQv/U4bSkRoHFePI6ubyfl1on1jQU6oIm8SI5LfqS+PrkoBbMuX7QXS9CacwWa3tn
UNtmublKYkjbZLsThCUTDy9tu0B4JR0HTKOrmYewCC0+pWL40se+aJPwjogmCnYvkK/HaX4Qnd1d
G16Iw6XM4I3jKujrlzjrvKt5jsWjwXp4PQ5NcUtln9au0SVpZRRusE7JubxUcT58bBwzm8gcccsm
I3uuYRw6vX0YOeMlkpL5ZE/Cm7YgJcNHtNFtd2enC25hb/C5beC8cnrHtBTqhiXOo+vYi+lAW5e9
dCwg1C5WMYe2Ldew/xjLiWuXOo07fpuzuW+e+GOZfWMMabpPS5NipKBTd13H3COtXdn9OqkJF2Zb
X/kiN6RYGSRoxIqAqCi3C8KZJ84MD5ePAYXuu6Yeo11rGk37CWH2dE8JjwfBWHxOcGpTsdjnEG8v
POJIuk6mFi3xkOFfziJ7ugXKJg89lOjp0sGnEqNC6DmKgF2EWJinLdziSea8sHmmHNqDyL+oktxW
D/myGMYjyp5FXnbU+9XtPIV8kmJ2eP0uJWWsD6lrlvl9NGTqMJWGQng5EOMsA73OJE616l4hC0jX
kzkSGYRhzIlozFIdoiIopp3LWwUSuWTYbX2+kfPJ4MJhcuA5FoN+KDrl8lum0eEdWrm1/ZD21KvW
gRUk4tNUBL19k0UhL4ogxv/8h++M1nUigiymelZyTCOPswldQKyyZ9KaY9ys4OZ3X5wo6PKPijeE
hfgnWjx1U5dVJYLVFBtRuPXZEeLtyJmuoE5pZie6Z7jmXaGs66xbnOlj0Ecy/+r5lU2eleYp5HKl
Odj2Tcn6s8iV3YMSP0aVHSDcqGthmsfEpvtlBY4H847BZOdzOi2MeKZxcF3RgP3JG/pIWwne+4wI
j2urrPsPcz0b27xrkw03Rrt2+jg5OkUYbUi8p/mqTJm9oAF1xh7ll96B3hmhJyozaaQf48Tt2x3l
W1Flq7rRAr2iqY9NE5iPLRLRtVOaz0Y1pDQKkrPOZ5rN0mScggMI7/hzgTL160Tdi/hVVTcgay/7
kY30Ni/UdAcEMn72nKHalixSm5oC9H0go+rZcpNyZ1dmHMEWKcG1dr66DWO2IX5DT+AK71BxlTZx
8cHOyEWGZtvtFr2DM4aJUVVEA6DXR0TVxVJeei4YM90tc5fEdvOchX3yfnCL29E3J1LFtGjt5Az3
18zqaj+kdfqebWTxAQ5AG+9UV1WXkE6sTZHL5VQYYb4jGZWi3WTridfU57U3OPUDi07zqfLKJkHj
3la7IDXrj4kQ+tTC/cWG5lFYEX4/XTdiclZxOtB7BF/7W6p8tSl6lyqFxkSwYbSvYfD77iYxvQpy
+Uw4sGnpILyQbVnvg4LkwjrDenrUcoBd7Fl3WVQ3e5PM7waOcfMpy1UzskoN4ljNkTVs59Lvr2Xn
Ru/DJhF7gw5GoNIMAEElWwLGC4S4NpJOXvDCng/M1c3H0bBCZmTyEY+ngsmvmyZkP2eHpGrFw5AO
yxfTLLILGqCXC1Wp8HcY3VdDI8Qnvu/wj8XLKKSP+lXTs6xLJ8BZhTSlaxT24AiIwOiwCLmGYn7F
JM0e8ZQffh0XvUomno+qhwfAoADWBd/xc1TkRkviJ6MXnmTBWzRlDF6uGwqzwW9mw19NKpyPA0sD
2ArRng2F4efjDKQI+jaMo5Ob6wiDzjTe2dXUPHlTxAvj11/qnw5GPzppPQJkRlBenUqLZ5jNMC1W
QcE2sa4pR7bAl6j49OH214d6G8gGsGQ5byRJGbt5zQOTceg3CG0geYvZuq56Qm+P2bo1TG689Hr4
618fT7cgkXqmOx9+3atxJ4AjPLZF6Z0WOr4fvy9BFcxeDDxVSzTSpvBJf3M69en6ITvLtdMZYOYE
6VXi4r3eZsw0C3eh6tyTQvc0rGDlEvzwQmUFria0USttinTWRjnwZ5Nuh+lf36SB7rIis64lgsCu
fr556spF6Fbk4tT35FnH0XCOk8V+/9en9u2jwFEY2QnhDnn0bL66a4rIHtnwt+IUdwmYV7qk9n7w
2xG5fzoKG8rAgwQOP+71Yy46h2qowXcJZRtsREp1DdTR/8dtgpbToTrAboft5qszlkuSElhKvJMd
kXpmsIqbYphHAOBz1FnXXTMNy2+2dG/fX7zTeYfxtVw9c/jq9KHMjeaxEO7JqCPxyerR4i3mQCiC
5zzcIlSnkinahVvk15ft7cPOyEnoUD4w4cu8eSLAaqXm0iCtyXue7ghb9EVHE8ZmyUTwm4H+f/iK
3ByMdBGDM2v4+mXpw+TlUKV9OqePwOPVF0vbNU+0//PG1ju4Sd81//77MfocgL2gfPQGzTeYaeUk
VDJOBem+Q1W6zrEwg2TPRue3T/pr6BGPekh2goFRl/qVBnS/etKSQAUm75PTotowoOuspAGKWc/i
HtWyuq6zgtpyBKL7dhqJ60ZirfZ6kMMU4R9vXTYXtfeCRof+raR1iDqXqkhug1yQYP71aXn74mUI
3mEWmzeSIEHzakGpUm+k+SziDqfpz1mnUUphQLfQrAB46aJ5SFj/60Nab59dTfAirqSUB1L4NWov
LsiXRKxxJyMwiHUnqgrNinal7kugLJbMpIn0/Z6l1rXsC/k0DAipNk4aTveytWWBBYNeyB1REr0t
s1Ukm19/wH86J7zDzsxlrt3r8VuT1O8yBDz15RIQdJteRocgDXpAHKt0NUrzd2mcN88eA1/6aSCV
wy0KYPHn20WmrQ76sQMNboTQhqIEc0yy4jadGnbjv/52/3Qw8kagMAEDshy8OliwYDyIJXKxCbbM
bVah7DLbgF2OZzbskn59sDeXWo+ygQCzTPq9eJ29iovK3LCaNjJn3HAeG0u677mzeBDZJf76QK/h
gzbEIUfo4MHjy1FsfnUjY79LJ0HPPBGEonBisoejIz9oO/AkUB7aiyYbyIS4MRnpZEwYKSsa31Er
WehlsJbTfUI1rVgZI5uldWstyMJ9pQ4myeenkKyXszOBeLI9Zwhr2Z+VlV1Vh3R7/PqbvL0+GnEH
ZIh1jUmk16FQiour8cu2PdGmE2xGyMMX5Zik+9hEw/zrQ7250an+cg/Q80zCFj71q1uhi027Gyge
nhQt0cfAzvj+kKHCLfzI+kJ7FH+XP9Sr1w8xEO3dvA+RFvBvasZvrlK1lI4lleeeBKS1r9DOhpNy
o/DxnBARPuR7SqeF96GeJvs3bzr79S3icmTGiGnuhpaq+81flcfdIupSl47Hk2WRSVo2ZhYIgEYz
0H3HpgE7Cj4LK8/dDX2HVnsdxjVPoKPi9MDsTBWt0K/M92ZfkkVccp2vkaC22Vj0ij8vPveRKkWb
7YFdpbc+8uyK30RLDR0GcU5RNcc5eudl7fJITyrLncFisJ87haZuUMhFV7Zo4SGNE6mxNsrJ++Uk
jqJVKgeG9YKYkYgrdCy52phWXt6NZBuuleiM/YTD9BZAqrHsEVnlK7LY1QKiStom1qfMxN/kez1W
X1c1l11OU8TaL+BMbWowA2ygl/TEDJu1dofCwzFLRyrzd0wlpR4W09ocxvrFWTK61FfocEke9YwR
Wl9Ghb3zMjMynpdwanQydI7z5HaYJ/7sG3Kpj7RF6bF5hcHuALyRXVElsQxsF+n/GXwOeUTmJSx0
XCMbnrWkKrz5G9nylIlUK8aPs5opt+VHAODTfYMlMLml97bAJBXLobtrnZYLwrgMT3dtlU1On6vJ
eqH6zpI7yxTTfW7awWUsRJ3f+43Vfplak28xOpm3fHVE1btXSlo6FTUiRFpNZsoP8tW9F2/k475v
rNANt7mduZcDZ3Mgo0EnLvhg/Mk70cwcnjwImatuSUiEB+UsnC1tGPxGOngj6/MyOtVRTllvvJ/w
py5rmTNpuQnNyiWFkxROa99U4+B191aKfY0Kak7ilf0qqkJr9sdmbRj0hg8DLVT5pu/0gGxTNdjI
bA3QYrqyOVUVwwZMSI2pf+kOkTUemfwFFtFN1pBe16ogpxU0fUs7L7ACm/GFkCxj3JuTerAqTxV7
RqW4wSAsYHIyUsXacI4DyNlz9y0xchyIADV5M0v4znyBBmMKJNm2evoWdkt0GyzDdPs9BecVPR/G
SSbrwc1s7yWNkoTmUqq8zeH7YyVs3i1YOp3j6DtZ8FJB+8Na50H5tei9TA9ke8nN253La1wJj7tI
BoKdWVJ4nFe71TlzJ2v7z3PKINxuSsnDfy/NwMV/iTxHBxKxS2wX1L77UlqZzsQq0vOrc5vJhKN2
WZ+XP1/0JBkTclf+pYc3d1nl9FFnO7SGZntRhjGPadkYVBqK2eXEutHgOrsstOP0jq5SPohlkjtB
KW23WLIsOT33k+8YA4keL8/vA4Yq+ytvKqwHkWWVu8Y3nc5fA4NKxjYLpO3ezVZDFjiZiY1B3Vuj
X7IeUwZIakyrpME3oUs1J+cJ7hz/I4F5jnLFY/yzcVZFOjRGtoqipSQ3bxRedipUS7Z+LkhK0uNY
LQEpicyNTqV5nuskQ94FJMiWfsjG7yv+f+qkv6uT6kXth+X3zZjU9dfx/xxeyobhEPX1p2Lp95/8
a0rKfPd3v5xNbPBnx5xvv/M8du3kD/RGlKzF/xRKvXcEc2y4Q/I0cJ8cerD+KpTaulDKX4dDoIeo
aOh7NRP1qxmpV8Gctu7wi/QmyuRTmK/RWa4hplgG/kJWzUvWDh3ErFjx4w8n5R9Kmq/Cn+8HIShh
U8/3fLM57OrBaNg20IuX826c/HYhvzz4a2zQ3W/CHw1n+jEY0d8Hoh3pJhfy0JstYV1Gk2RMe2Hi
KyX/XKT5BWT+aGXVTcmwdNoxpqNYXRfPRaQ+1785/JvTCf6Z/T14E00DJR31c9RvF0vgjYJZgqwa
H+zS/xggFf/1yXwV4EGr4BCMuqEB57q9QRkrJveBHljy4FnjA/Wkxza0QO2SF2NGRX799cHYub0+
oeyubfiDtHVQmmeC7edv5MTSFVPYtgfqhPIU56XVrOvQKGkEj8pTMbgf3GiU5YpCcWcyxllnmF5x
mqpVmWOp2rQ16l/fji1ClSzAmDr6IaXKegjleioKmgrbNsyqlS0tEtUQW1aKt/DRzkrnMxSAfTy0
3bfK1SVf1Zk2MvKQpXMO+3KTo4i9TmQfbhwG+za9OU+PtBary1TEtB4hnkBp50JgfRAezJd09usV
pALnLopr78brqvxeMPizGlxV4iLp4ut+qCw6iiiI1EHP/K3pSQgPy3LMg/iqz4wB2mP5zfWL+zp1
/xBLcNcpxndHDEGnxpyeY932GJaZ2Boev7NE577Jm0Xuc+mhHK0sDHvZ+FUloTz6WXIDadTYpGHN
HsYu++1Yj+J6mpycHnkRnezYefQNKzplSdqtZes3ekCe6MYIHyZiqc1sZRmTHTJ+6IRbrPsgX5vh
wBBPHRPyjNGAM6aIthnlgKuq1V3vJCEjEncXXmyKnJYngwHyeJzjEPdj1k+7lCLmgwSVsUmQ7Kzt
gMiDNnq8iVVjRdaumpQSH9zKNz4m+aBuqtri9wRE9g/QtYcL2or6A40fFKKUItAkoZdc0PmvrurC
9LboiAF4jiG3SCmzW1nT3JaNmFCHubd3Q1qYj26dB5t5kNPaSFK7f4JrIq0YFah1SZUyfkgTuWyr
FPd2JEoKIxJWE8NDukLBtOMlAyTqrlkqdVuq9hJYgfOEQqF7cHsHErSRWFfW5AgURNwLkjr0ru+q
aV+VzlOSKw+Fa9rHu8x3poPbpuGdKeJsbzhMGOEHr2/7Yt7YbT9fxVMN9yKkp3SnmAJ6qoWHnTgV
TbyyJo+OsNDtL9JozFdUEcQtlcFdFDnsK6POh3lhxc9ZnydHfuwjBN+TW0YSFNp418w56Ow2pnyV
Mf1eVoz7twK1bTKQveljSAcRslPbSaGusbc/zCVjLl7TyosZvhDhV+zVN+XMusEdTWaCcnBs3jmR
nF9aozZ1jbi6xCZtXHSxsPcM7SUbwWhgxVgRwVAeSX8jTcnRYiapeF4MjKq1TRIrahLyC0YQPQV5
B3AzoHs3jqLxYsqybE0leFwLtML7dqD/scxLJMQu/aVu1E/r0svDlYMU97TYiXbLOsEuyugzAGGc
rcs8xS3pJy9O5HwMrWXeQq8w7yFjmwebAUZakS+xHsXv89qEzeFzph2cQEwNMdIfQS9ZsNpuohFv
tQyowIoluzJa2SBGoGWMaP8LRdE2WFELmFdBFA/HyIh7yFrm3TT3O1os4wNKHqqaYTPul5xfC3tP
fiCw9EteT6OxaaRCiGzXzks7UNysmUzcttNONrHz4NFGt66sXFXHyh/a295onBfe28ExLUdnb1oJ
I1wDbZlJ0uuUDDCL66jIO2LdqJk/1FZQXPJCWo4WJfFVY3tPqgbWa4eBsRqDqF5T+bI3rZlcxgGs
LxaAVTmYQ7eKYzaSBaCR67YMjsVgf8jLxFwxf1Wt40CdXPTaGwrv0SbKjeAqjnLIpmG2XmS79Xvb
felNt/mc9c5w07htGa68gmePV4K4SedsuiSzWhxFiY7QCTDRAtodP9VUz1dEQ7qcEWYzox2CBwik
zpR9CwlUP1rk0h4if3Hv2F6KDdVla20VZdau0Is4e5+xkS1dvC3PiZi+lOVs3ORIDTjN1TpXfvbo
JVBh5zCti7XECLu23Mldk7f0tkVAnrBffPeycNJRrpxmGW7KNjAOyBLEWkr/D3jwuNWHkOsuIy87
BlngQ5CerD2bkXKrbHemCXJm96/7bS0RJvh/6vqiBmh/8DrPuxEploDEiOPnwNuWdAXtiznh9A80
8Vi8uTa2GwYMaM7Fg0ObwNozrYYME5iR964UW8Hu/iPGH/d5GkRyLZRYPraVs6HHCJdj1ih13VtN
t8tLCMXd7GcHlwL4inZxY8Pi+a3KW5uOe5XvRBy1R9bH8ThkDGPRdgXb/6KzoCJiviva/ntc8Z8g
/zdBPo2KxDT/ey/kf6n8pWpf2h/D++8/81crZPiOcqMwdXVHQKD9YSYmdAn8BYUR2wVpEFB3+jvC
d8Q74AiEccRUf5HG/ozwHecd7Xj8bWJ8Zmag2v6bCJ9X+88hnGbwk6uFqqClQnxSHbT+2AuZshtt
7J51oggCgM7GcK2qbtgvUTKdilh6zJ7XqDbrcZy/eHXLjjnXs72BZY33qJZwNLeN8VL4hXmV0/V5
vVSRo7e98IFEIyrE6K5/nRSQSWbsyw/AgIp9Tr33WMb/zd55dMeNpFn0F6EOvNkikZbMpKdIbXAo
SgUPRMAEzK+fC5bUrdJMd03ta9kmSSUzEfGZ9+5zjc+NiP0tBKH8RDW77bGrfkEOnh+4S1okEzlo
9LAbxPKui0JjW8G9hJuA56ntMnB9dVkzl7B48q0OFlZfnxvHzDZBGVcEaFWMLlQ3HuuMBOtNpblW
ZGqJd4LNxWMZl9NNI/xyL0ofBWWHlgmiwWTeTdoQXLys0M/GnOnn2Zrp7FVjyZ3pGeXeaMzkxQiy
4ALG5JaTajjHCPcWHYOkgboxrKUdaDg3hPW7Nc8EdDMfQkfEEgQoTNvfQlPgpqKO2Fq2A7GsLbNh
D25ZfB0po3dWa4G3zhjQMAounqSdu/RFpZ3v4QLlh6Dr+2jEGxvp3mxsesbenxo/i2/6AdZR32TL
ezCP80vdDtZdAn/9QKx4e3GtfLpjQ55tIN5nOw7A4UqfXPmlsoYpUnXi7ci3V3sPcVNksCkI7YI4
GVWPjOkKe/iqBRZ1mzNvrEBcmXXCVIQkyoGyjOlJg/LEic9VIaojS55jiZY7SmSDU0O1ci+lcn5P
AmLiOmgz7Bntce9i8T+aVVrdGou3mLsVUX/CtxhrYCPy4UrYc/6czFnw6kmS9XLqp1MscCwINcrH
ILaz8wI6/Izof1pD6q3sU9zb3XUOI/zBbmyxr1YlLeubRj8wiyEtsGCof7eAeTsnoI53s+eVnM7C
9+7rTBgqrHtWkVlnqWs2TfotRmfv1CQ98fQrhPd9mCZxiV2XwmoarCu3ZzlXCTd7HXwve5EiRciQ
COeuAg5+mJCBXnRNWVfm6DQHYA3JDUVJ95iDctpMVVceK204ijoeYYPUjn8xpTBfQWzATWKMdcyM
UpA1X0Kxrwq87qOdOjelGK/MdLT5OrLU1PR+O6RJ/5YOPvbdeSqMrSli701a4zdHTtUxmYUCmFs5
x0bGNmwLNuYzQrJnyy7e59ESEH0T23z1/PqxUdby3HVi3i96rd81qJLqlY+nnRyNAiOkLsNYqoDS
b0akjG8AUmFwJYUsQ9uygvcsZrtaK16U0Fk8oWyilbPY97Fwra6QqFXbEWzY6rt2I5jV1YNndf0X
hCgYzTGEP/ZNfUzM0T3BP9vXte8StQL3iEY9L+5YZJf3Tlwe3Hns2S4t9dEmuy7qkLGGA4fla98E
2dHD1A41yJKR1yH0iik97nE+2N8WsFEbizHrZknX+AHhFC+erk1PXi20O1i3zYYP1NNDdv5mJF1D
MI+dkFm58kq2ys83QcCMOK/2cTfqZ98PWEuWdyqO1QtldxMV7CHucj2xDjUVR7cpR11d0H2071ZP
3i0+pAiFqLdvjHHaAlQmTyFlRfPSezMIO6GvttnRY+hQL3Nys3RNsUemjix4nh1v06rJDTb+GiWQ
xPN2qJcOwWozDH4UBOopweEN743cNMwbieSY6zIksEO1XDXaJM9sM/QtUuWX3Cxan+JwsbZZGWAr
cSV2pbZ2NyUyPjw/0DL0Tt82eo6wMC+aL6WbLldxkwZ3TuW7x65zpiqk4envspXh53k1EhrRvbm5
N+3Znfq3egfHdiMqS7+wVdU3PkFhZWj6pbutrCZ4Drg1Loudpp9a384woKvPwdK7B27EBftvpy5d
Ymd8lcb8ustdMjRnLbiuBru9BSQmz7k+ymctzspLV1SCHQACPPJHkoj+QWydTlqf2KOYBxf15LaN
/WaXTrn5jQZxOCPZEm+2JdfLZVjsl7Qqs6feNFQZ4nEKdlYeJJSRabFtZsI1abDTW7Y7HOKB7YQq
kdODPvCnr1Nniea5xygPXe+K4YiTR1PZpDeWx4jVgmxDn247kk+W7eGcWANsiak/FsEinsoh3meG
yLcF3vbbQln2ViilA8iDNplvBq22iUFi1yBBfBsqMU90hcXnUZpFNK6NmzK4biE2TlcdjC58+P7U
oMRvg9eCmNKogqHzglEgPnAypaAhzWg2Xed2YUzxLmxPP4ne13ZV4nU3RlaXR8fW4h2+vu6unEf/
KaG1YJMi9YcUaCC/zos1LNqau7NSr720M7iIbpnf9WXg+AdvsaBxnOwEdMFoRAupwiEowSun1k1a
kbrNJmL8mtGh7zPqQc840TL9DvVUy92f58nj4EhiG/JBljME6qC/k4ksDw36ZVT0IB4AU3TtWGN3
8iUISVEcYTCZoT2N2nVmVtvZr6tbperi0DvDq9OS4cNZK9OQEKrhS9G7r06WvhGy8rtXLq+AUO6J
/MLTtLBqqS1ZHdvam7etzB5NmYiTSD3vUYnCfC6YQLyzzJ8+tTEvVDU+gjc3Y4lXnETCuxhQFXes
pfalOzEzOFNq1YkbLmZBU5KZTW9v3QZ60ATrKhrGafBvZS9n9wVS1O/Ei1r+oVQjHxwmKxMrK9bh
Tdzo+wGBN1uIVDQoWKXWvAoOUGqvQEXGFBc7CaiuOrFSYIo25mZEkVdcgRGvT2wnvVdnduRnHTVy
DkUpLa+81DFaYnOWNN6XyGIxWU3duLDNTHon/+rD3dOeHBlPDt5VhXy30bKiOUri16Na02eGFk29
U273CU/eGLYTxA0d+kzYJ/Yn4gfHg5sJb8PEYQAMV68LPo9yEj1/1trXAJJwsepa44QF89dnzcMf
TS3yVC9puU2Jhzpxg2gPKVrlawyXxiYBEXRRWAcvLZ/maenxz6bZ+GYXCBnawNVAI2jD3qinGZjP
Wm5ZUH9CNuztVZYdi3hXeO7MOjbuD35p2ZtC+tm+Qx6xmWP7rgL4EKFcTo6LnfTHIY7jU1uZ2anX
k2s6WzSkniGAcLp9NCee/DwwoNj4kwP5SKpsl/cdS/NEj7dtVjbbMbbFROPPuKGPRbfBpuIfBl2g
Ki9NIpH1WP/dHmLKaFGIbMKggkXpq+ujAv/U6UPtde+D7cnCeYqlTcVBfjPI7e+7+H+auL9o4hCe
MSf/z03cht1x+/a1+bmJ++M135s40itAz1GI8PVZ0318esLvaxpDD35DX2YjrGCy/wev7t/gZx3k
AbpIwsaQqKzLnR9NnPtbgPaKrQedH5saPfg7TdxHIvVPew0UphiCoU+vSgtarF8lhDqnhB5ri3bl
97HMAy5DthfDS6sCu25PuV55HK4FzWSa7ymLsEVfW0FZjVum2SQS9HApZ1swaQxiv7DOtWayf5qZ
W6SJnkNwYnBLDFSR91O8L9gaZ9m1k4yK43Xhv42BbcmF3/WkO5TmZGUlQzVM6bWhKnJBGcD6nham
1C4b+I0c1Kc1LXUAxjSW2RxiQ1X6q1m3cb9p3L4V80MuF2SLW99ORu+Oo2lIg5ss67djH9gMySrf
1KoNOnkLl8HQLtqMEx6D8IbxJjHNf8hz/nlq/uKpAcZh/tfH5om+4udH5vsL/vXMrA8Ga0Oma99p
jf96Zgz7Nzozgs4MnXmYvnLMfzwzPGgok1ZF+L8fFg9AyBrUi12F1SYLrr/zsHyEC/3pYQEGh+SV
BxJVNiq8X7ZwDdyZtJn9+RzUi7YUG38U87yrXLAV1SoSLSaIolhCE3HVwXf9aswzIKJVbfCh0Gsl
Amq4N6glVt0sLDCEZJTotxVCE90KV9s1T1FojfqgYCmT7xeP95o3T7XcDIFCdv+UMmmtxGGocNCz
jVofJL2MtZugslV1atocEekGBVfj/24Jb2ZrMnJxTeqYwGWH3R17uJdOHAdS0Q3zR37Q6sYzt8JO
TXub5GO7XPG3tK0bv4Cto/Nr0zAReOeTykxkSPM79/dtZaNX4Rm8IFxBF+uZi7UZ8Wc+1pWZPi59
Yx14U9jBl0H7goIue/RzG+uVqNL8bmqcSz+18rgAANqlTTy8BQb1AEIEfOFZ0WYQD3KEQo2CcYFe
aAEzdMohTDkezv9inMztSIskr0xvqUjwymt/uqSY6rTjxK4L13qhJfMDvr9h0SMdhQwYORxGprc3
sxVepGK96bGeYv8xaHaqQsliundLPWvPYuqamk+hImylUv8EKPxB9PmLEwExwmrX/s8X6eXbl/at
K95+PhW+v+j7qRAgXUCyQFbVv+3f/7pJORWQRCMz4M5ETP3vQ4GRp46alNvyQ129qq9/6B30v3MW
kAH25+nnGrjDsWJDz2Ffvsq3/zz9LK2B2jZO1TV4Nx6S81K0pObw9AIkn9mFeZk9M9JCo59+SwcN
+VORFeOj47d0wksfP5SVHy9hzT//3Bq5e2O2nXs9saS2Kf00gW6pTEHHWq22Q3U3vLBKqXAVezKP
FKzAHTCL7GKiiN4UTst2AoUgzzEi8A0VvHXpk8rZILySO1351W1R6PVtP47DfVC7HB7YkotnuArj
aTU7DeGE0+QFZAxGXT3VGNyhRLoHVlvdt2b/7PrFcuxwCTPk85JbVzrLvW6U7f3qvNtZwOyJfOin
rTZaoNwEzTj7nGKjXGPa2qntsbdl2PM4ZPn05nmVPEBNBAFkL5yNUoruFgtA+klWxTBv9AaIi5Uo
5nqph80QZs69M7n5VukrAETT6+m6ReB47cvuiR4cdZOB0apFyog0U2d781j3IMF0Y/rCidwy3VVF
hzhXZdcyq/MirIXTfcYgPkKx5DN8Ag9RXfxRpexf0oVqfhW9peT5REBrvFX45SPMj7Xs1gy6/KCV
yc1Y5BBz8qmIltTJoZEFwUHn7Lme0nq4rjUju6RGRbvd40F9mHsohgXCxE3vFuaN307dYTZlffak
Pl7bXT0foGJZb7ltNac8MPoHFBol+03CJLa1KfqC2ZLpHythD8RkSB2WmqdFGNbqO63XrYd+tvtX
vBrl77PZ6Y+mGrKV+FmzxnK0i5V5ePj0/oW/lZg3cqqDW6ww1YvVZmpn+KKOaih+27EuUCvrjkZI
Zzt9lWNHj98LhJtTP20CS62NNl8cHNxaELxbFnhKlmlg7ENtsfAeEyRXbG23Tu9q1rVF6Aayx/5S
LSEYeLXzEcuH3GJvylT+1YdzC+uvuNgtm/ihZuinmQvW4475xWRoAcMuInevBRmhBJxCiteVW37L
ASvf6gLVaVYky03h5EKEwMS1d7+xfFbhCQjaUI5uOYUUC8MV+D6P8yuloSxAkWMhzqNV+/aSGZX+
qZ1YSbpAg7ep3Q3nzBPQ69nCq7sW7MyrBLfqhFoppivBdfUY2IVz4wOIaX2R7JXy6lsSFvt7c93E
Fg4Du5DLu6j4TtYe1bFEIpjiz47cjviesBtrbQwz342PVp4zxQ6M9ugwuSpDXxrgS9EZgWV127h6
5hgRt3PNRLhOpL5VQ8VYQBP62UuNetwPShA0LTOYveksb0hNSW7a1DYjV7rW55IZHepeBpGfOljH
gHP8YX5wXdJPNqIute2SG+nBcRHbDIuq1yA1b4w3SpOO2tVi1rEsMzgFVF8X1YUchOTZM4Bbs+do
gD/bUsacJJlYIqgqX8EuMusZ3Go6W4sHezMrHFa7+ay0Z5Q2dLw5orSYSWFCukxm5GRh57WEfczk
owqFL6Y7uLjGpxbcPGtyYbZC7kqX8LrpjCzLBzsbWgm9gblrlaD5WOUlrp9sJ2Zq+kPczebsPiVe
Jfr73oKoeWhWQ1Z9WgTjpGWDDKWaRGQrsxgf2nxK/Hc7KWJoXCnrp9F5qpA3EmHlC5xiO20Y+vzr
7AlhFHufj6jl4uJy+6cz+Ks6ADcjzoH/XAfcEC/9pxrgjxf8WInqv3HlBqvPxsOO8CFf/F4D+PZv
PtU/8V8++Rlr0/zvIsD4LfAcLEuE0dKY8LJ/FQGW/9t6gSPzxdK0Ng9/ayX6vwh3dNJQChFfGhbN
xkde088b0XjUYF7VjgMrXRdxZOZLcZ+uBmPqByisM4jyAO3WjkCCZccwP8Yu22MZYQ/15NS+eCVV
rfukW3VHmLNubn/6S/4fcsn/ZagIApNBOEi3Ff/i/poSFwx+i9Y7sGE6282bk9rcvXpaX9fOhApO
ZuW8D4SuNp2AM/4XThVqrj/XS3giLQfNH8x+Ha0mI5E/10txapbCHTJ5JHPkBYKURQMxZMG5CNrG
jVzheNfoBdkmWLPrXU12kD0ZeZt9nhZC7L2BQWkkltk6JSX5q3Cbyj2cgwF2rWzcOy/1udgAokNt
G6v+2hAWLCtd2OHSDjGcjwq5iK266iY1Z51j01DGRvelBKRleExXh4VDi4A7TRIWBW5X5a75ii4G
TQ74bUbIfnPldfaybZtyuMegXu8YfNQrUdwiCxWTFFQ8nAs5rF1b/6Shptn6hfc4TEtbbuxFIi73
XFFfWhuIugYuHSp+Y6nDrFUxmVGLFeZLP4Dy9WjqWNS4cGZB2m0qc2Ihm68SbOjYxjXMnjhy27n/
5I94+8NMZ1sUIgZik8kH4B58q5h3Y0p8FtyxbKPZJqIfRkzyPhi0/E7vssyIci6U17LRXRwdnt5G
TEqC7ThQD+yUNfmc3zxK97hcEtZPUrolWqi0fzQIPtrWvTcOR0QGZRLVZt3fT9ngpxvDGjv8J65B
5gvcHXhicV9YkCxcYWh4qRbrCpWfDtw9ycwR/G4whHm72HysuWYfHKgUWljaIFpHx3nx8tnfpjAh
bklamHZdIs2VaU79YAPXZk+oT8YOAWELP2F0bufS1PYLk+KvMjXVDk0+5bFSEU9qcGRGXN0v5qys
sG+G/LSQihT55Ie8pV4vDkulL9ugFD0G5LZZdr3Zk5oAYJ3VOylJU79ROExWerkBxM+fToFvxM9W
DineH9MRWKPnpN9sGtIbo0GlF2a1V31DoFE0YCSwpKDRJEqBNQzZtfA9HSt0vdbNI569hzTRcusy
IA90KGJiZgkPsHEyEJDSqxvm+Ujskg1RLQhIferAr3WexhllZZvvTb0ZvxaFqoxQkRZAo47RQ+nn
TgZt9obqkS1wUCvbvOm6Nj4tw2KxobNy9UI2YoJuwTGbt4Ucq2ETB8PU8lRIrX+vY4KMohZeCZK3
viFepx/aWtvCzJ7PajbqedPpXm9sB6Ut2cNsNfN8QFm5euig2MVhU5OuhqcmTcRnOxgpuRAHktQM
tqhec8ALgJkySbkKYEi3KdSVSOpW89Y1GH2Mdi75qk96c5zhFtwzjFgPw5T3D4m8vsmXwbuYA84z
isWA39au721OY+eBNQthHNLpYkjSyu6IW3VzCjWYW9p2ShCjw6xfDnhAxCuQmuZ1pI/qGPwroaJ0
5EHeMlGftBCjy/BFz9tBP0MZdfRLQHTUAAdeNG9tVwZOJLRy2X0c5QHvPN3Y+WBu+3xVExdary5T
Zi7PZQeyqNkUo7VgHZtibCwgr23bmN+cYQB7dfL/yNUqko+wrXI2ElaxjbGM6qVOppJQLo36622Y
+4qvToszsWlBocvO4F+M1rnRduPQAxelzhOYXszyZq5TyGLsjcyO8FeEG0OWmDc2bJc2ZLpU3rRO
KSvCSaitIn9WCkOjh2YQ4V9aXcPHQeww8i/gu0u3cawRFKmLLamSw8Vy4iECTeZ91hB3gPHP2iLY
lMmCALnx3Zl9Xjr7JPRJb3xtDK2BcgPFL/Jd5Bsx0zx29MxuihFkfmf0T6Ax3aMiVN3ZG30w3g1u
aZWRVmCa2fvpWmQbPqzU0GwoHW3yCCHL68U5tVQs+cvQZcOybh/NYpgAEaWD8+6wZUN4bRnpDgD+
ljQ9ar/ScKZrmwSrK9r19BpYED0heo3yODHzdZAZt8aVpZX9MTDNhaIdIcljwT2DU88K5sgG798Q
1lV55sZ1OhSfQ4O/j42rV8/7erRmTj/l5i3K8SVZszTsHXs2oF6V1X36p3Cs+6yf/6pwtFB3/1Tu
/B+WGfX29c/joz9e8mOovE6OLZt5DQTh7/Xhj/HRaqL+aYqsg4ShULTXNGGDqdWPzctKmwYETSdj
M5pymCX9DYMM65w/F0TMtr311wBSYAkMce2XaXLa25MiKto6e0Asn+fRdo6zZWiwl5ZSh7teyVW7
3ZzYEUmDU0GqrQ4fd4uXE9Ga2clr8PmD+cKlWFwar2zTKzmhB9iYQtJvDq09P1vKVi99gV8CjiyN
qIAjsGGSzBxFEPoYTW5aq/1AeOE9MrjmtVaxulmwYE4IRupx4MxtPcyrcTvussouDl6bM/ltCwX7
Xcz93sXN2YQiZRKySRJscZE2WxC95tlz0U74Y3LAV7MMESwvHU1w2c1hORfFV4np8yZLHFWFI3iy
mzhukKcDqOK9V6JadTZTVnjHZm7RWy0GSXF7mjz+V2ulQp2AXcy3MnXkfAR7hoICye+knXz+gdiR
Y6i6IR1gZd2ZvmjuAjtP7pe8UDeyRAudeyVCuLTyk03cNWrP2Ns7VEHJnD23myU5ILeYbhmLkfeg
2S14IEC65lMvRO8tIiLKYh0fx4aD+q6K8VN4e58+Odl5LWQMPQJW1hLXUKxzaeuPGXVPK3y0O6NB
cyQSmbobAiSg0RJ65JdaSZcuShjjwGapOVt2iSzPnIxoo0tBERLA7SqzNghFk7TVjn6ZpfhgYXPn
vNHSPL6JjVnbqRhFy7hxOpAn/DEH5fXXQNkUoSrgb73moHejEV+ZbVrGkbQ7tX5xuBeXCXvrjjwp
jAUFNUipTn0/DEK/GHOV91bLLdupkU69GCknjZeEct5cXunK57r92o+yr6rQgcZWxnf/HHj/nwOP
RdO69f3PnfLjt7r+1nXfvv3cLn9/1Y92Gfap43msl+2Pofj38y7QmaSzO0ZUbCAT+9hJfz/+UA+7
Pj5nTjgdEMOH0ezH8Wf/hrSAOSbSYccH1fC3MtRs75fjbxVQruttWzdAtrJV/qUf9ObW0sBg1UeN
6awh9giFklxtY9Lh0T5UkGBDzMPmCNcPO0AFIjIyugmlP0izg6wApMVO3FVbFuvGpZO2+0jkR7F1
Mx3hcOJiSxpbC6W9O71UTJlkNFuO9RagDjmaQsfVFDgEZWH73Xqx93WoRX9UVpfsKdaTiHm33Bgx
qYwLXdl+VmCoMTzaTbgQarhzUkqoki1RGRJx/GILiSuZ9dVxmJJlp2fubujoKnXSCDcKOfONgZbs
UM9ZCYGZMWpIUAxja2YSzUtqDHJvUkqfsICs8Uem636JfU+QMFwJEkWrNknODR3fE2t0nw3Bot+D
uDOjuvTu1GAEZ5ZlMvIrvAVl2q1qywKHljeA185IL4lzvd0DNK0PY4aYpbXmu0Y0Hrols965Gt4V
vL3GDfT3U1IXkdNMxS12HOI8YrMIDURdW1ruhhRfSY3NcGI7SkDlOlPZ6yCfuiNGce2AiIDwsSLV
TmVXCxzwctmkGj61Ltebs3Rhnm0BrGKLYwfxaGSEk5gMc66TuHL2tjCg8UnL4ad2y51QZncG/EpI
y2A+ulM1vc/k121RKxHc5hXd3QIJIGQAWO7coZkiTUzzPdx478vAzSXq+bNeoTtgCpAfBjRwe8sM
4mflZ82Ooav71SfTfj6TRpafE6ciM4/5I4TFqYc2WpUqylLfP3Ru2+4kUiNwvYa5BS9lhokPaLwl
9fSLDwH8d2aQwQ7J6+QTflXVW54b+86ex668nnPxlA5G/oS8bn7TaIutsF4c/aw1+Nl8DYRBU+l8
yFmA8lBgJArxueOPI0TtFOtufWMZqjmXo/GUTproybO25cFH1s3+VHLR1dhrzKoNrmxAqlPI7ZG3
m4wMN+8waKjDdm1XQLgMyGEuNsswjSeCkXZ5baogXKbW2qW28FkV04kB8jCrwzygVK2XAAGcaQ+A
IEoTM6QFXdxE74SvvzPoQiZzqW7pSg6BI/GYD7U8t6751pTSi6+lVU7pFcSHTy7MwXtCHfZ0zIZ2
7LLBjs09sQZ54YUqGOvgfYFHmW2RpC43Cwl+t90AhfKdvG4ye+waLbzfD0+OmKz1Ik7bYYsy/NGO
u3wbtIOxTco6OI3srmmt4w4DHdhBcS8mrUJEmc0qOaBWLNonsxztYoocvaj7NCJutPFOmBb9Tosq
Jzd1VJcuf/dKiWUXu3lNyhE2R/11SeXYb3ShJRc5e5X3CX2qKdttB3fgrp6CIf6KopRlW7YEISdc
mBq2Zm91Yn/45joFi46KMOSgtUm3nVQJ51Pvg/yLp0FxP/gEDjRHpylHLcQTOhTRH2jcNVvHPo8M
uJ+rGWB0QYnKNwWbYnI00l5HaS7H6ZYZjP11tq2+2BPDp5BxzswLIqVlDP17ggvBfzkFv3Ipk9YN
qwnEq5UAzCWfr4QYpI8i2/+BPOiLGGEMjTAUAHxJuRUq0gCaG0BsZuMSFSxTq78qytHRowbHdZh4
k5dsGV64N3iRpp1jA+kA1IgHonX4G29cI54fy9E3r1okj21YNC1KYVJzR8DPlnuuA1seiyzguZ+c
OHKK0u435kARNRgmOnBsovsGcv9tbZbEgQc4kFsSdVmtraZPITx6u95OGRb5Hg+VQuQYDTU8956h
3VoB7h0NlijPKrs+I3GzbZs0lrbTvUx/AGaSb12zW4yNNTpa6Gp1faF3bO595bmX3iW/kk7TJNLK
Cq7QWAJNYMUVFatGtf+Qqy4f0tVqVbGC9fzCHbV6JGx3N65a1+xD9mquCtiEwOXdBDrmyVn1sfaq
lIUtVmK/Qj3brDpaIgf0kyIb5H1ZVbagNKPOc5MjR2d8qPhRL4VnZBEuOv9VQYtoUAmi2s1X/a6H
+eFsOyaibMkiUoxzTj6WRTzaqv21WaJB27fD6UMYzFKEkjJf9cL5qhx2gzzfpkWw78paPAH07Y+z
q5BFgoDYU5UjP84NoiSXTlObcVUn4ziizG5XzXJmccSDCWMQ0qKkGldt87SqnM1V75yYKJ/FqoFW
qxraXnXRLm9gJ7oCsbSBHYGjEQW19SGmVquuWvlmf4Y5a3xT2CFRy6O/LnAGH9xVk61N/D5z1Wmj
lMFHmxHd1dZ9eSlWPfewKrtREre3DkuDa589FUr9Or8uSBDZSytVlwIf5MYxS/dQIhmXq3Z8XlXk
8aonj2Mj4Id0LpXAKjcfVuU5bFD90sHbRlG5KtOdVaMemG775iNbl5hnI4tQuDuo2oja7VXfXpE+
c1esmndjVb+PDC1DMVU6Uu0Grq6efIpXtbxRk2tXkgK3jjDQ0n/I6nUE9tOqtB/TRp5Z0M5MJFYh
Prc/bSBW4cgmZi4PJ+Ymmjn0fjR0CWpyG8BgsGr7uw+Zv3R0MNdo+LKwTkzc3SjePDfUC9dI+Gn6
6COx5qFuVR/hoHfeEBBQU9jklkEIzTkJWmY6FU8VaZTeg/U9WwPKfZI+du4ssn/q+/+fIoZA4v/K
ADm/Mel8q7/+XN5TlK8v+l7eewwkoD8CZ4OOBYnxJ4OgF/zGmsyxIGOwbVl1bz8GHFbw24oGwWTC
KgbQ2prb9aPC935DDLouyRwPIT+6lr8z4FjHFz+J5dYt3cesRA+o7iH0/aKPqfUhb6u0WA5eYjjs
tZVdXydTMj9VBqF4SeI4m5/an/9jvbX+wF9+IYMbX0fGBYTT/hU50lM899rizgdY4e0dXa/afGD/
/vtv+RUEwtsCw4GzcjU8Guav/L3e6RCeOel0mHuZ7Udzknfcb6T8ebbY6trI+YbdADxErt13ozc9
/fdf7xBc9uvbNFYBJJWkjyVY/5WIOQyzn6nZ6w9NicJhN43psiu9VD8o2LV4BUC0oWiAgTTHHpsB
wQYBn6AgRoGxveU8NEy2kvBjmN/BihNhYtiID5ax2IF75/9bNjOWR6vUqB4ngYkmpM+aHVboM6wt
PMj3QJjQvUyAV1LbYUfhufJUuY58iTM572NVMQYXCaMDRjAWWc1Mv5aDLiE8Qa0Vl3bEsWVOarrt
rSE+jW4n3sgZIOyJWcz8Oy3MslN1qZ7Lgflql0/1dWyQVwoJycdA1pjMfZnAfE6zWbwaic4LxykL
rjvJcNkgDvc+UB6hx6oT6xbB6+EiJgYNJXABBoR7sip5m7rXmVtvyUzSKYHneRNXnCOXGi55wMoC
omYZCi9r75pSWaBcParBvPf8sOOEPwNXJ9VYr0YQ51kLCNWUd13Vr1sW7glX4nCXPXos8iHUMzJq
9SzzxX3g0zG3S8dqtzYdelCMH+8zTKpNwkZyk431/JT2cfM66AufjBS1fkBdyjM0suSw+jrAYaBl
BynT+fdxEPOT3vKSWW+7T27DQR5PiX2USW88kqvQfcr7sb6emgYLVOXzFwlyLKFcViPTMRdtJLbG
EhuSAHw91srcNriE7oULLGWgbtowPm/f7Zj/mBSoqjdJbjIb0yZ6ldoe5PvU8Tj7eNb3bjaUx8bn
w0U0QUADG6Q06qy6rbc6KbkkCKGg6hcH05etTXu8UcV9Mhq40f1UXmy2/ZsSdta3AmNIWIPj31Ul
LTd5Eg38eameYzLNzoFU/CiLQF9RsWA01qsrGDWclcX6sCNducFYoTZ2wHtxqTvCPiB0SBUFX0UW
8+qbUWC8J57YvklsPolYQVy1UbtEFe1VFZVi4O9aJOLNY8uDhi3O86hnO15HTRrH964ey3cn0Jdz
PabzkzkS+VGD/sI59z/snceW3EqWZX+lfwC1oEUPHa7dQzPIiJhgUUIDBmkwfH1tc77X9TKzVmbn
PIcpSEa4Q9g995x9AJAYTBg/zMK3PgH1hj6WsiOyDD7bIeV7RPvko9aXaNUs80/V89uvpdI63co3
4fqtOrgW1z/iKsC/NEiYpMt3aQzTWYMRHtLwF3ZcJoDcqH36spPaPmWD92Haqnuzk2T6nNpcmxvb
KHO9Gwy3rlt9UF0x/xzdQNyLwuOiXOw5XjK+KD8wxj2ZEfFA3M59iFijPkycPz81+SDeJ1pKP4wR
mMEalOue8t32w8GTfykcw3thQ4xZ3ihCcoUNxL80DMAs5KSdmXeicnv75cKMm2BoB+N5UaJBa86L
9U6GavgiBqN8Vu1Ig/WM4BtbTCznpUJZ9qWZH8eWsDR9BxzevCXvv4sK6AVXbTmREmIt9AaSMboW
piIG7dtOx6HdTkP7S1jS2+G/zzTrjd/zfnLfc85aZXokndq4x3xcjWbnmKac7igdhmMrida5z+zL
iRK4i3q1QqWDBBPAXVZGtLSQytpzHXrmZkTHJ9lEqnJPS/H91EaIVFxhuCfLx9EcjKcWYq/hTfcu
6vU+zALvaWUc2njB4hBESl9Qq+5ro3PIXnMTpRRhnGq7fMUozia1SigQcNW3PATX487TjzKziUM3
6Xc1udkpW33qb6xJXNt6lrvKm6mMS2iIsPKho+tmuCxjR+sFgODzspbR1lJ9ELOXTrepSOk2ZNa+
MyIx0/m2Jme/CM9GydSUVx3wRxEl3QlBEPyDAROjg/VCZUM5t5u6qn6lYh1DrAUN49kA5oJgyLNq
gnxn10Z0KVjy0tlcyL2fccN2RW1dcpWQ7o5CElKKL5KEpHkyG2M+Ut5HjEnvWVtp2LHQbj3ISMUh
MwP8rkZtXqSXR8cptV5w6UXECoPhajWRU+1sPvvvg5CSsvouMnAUrnyHm7Qa56MtMDj6lvxoWihN
02BXcWOb0ymVkUUbRoQr1wO8slXJ8N1p5XRIvZR3Hi/wcD/D791k9jLuGP27Z1ig6I5jOezTeaIh
JitRrKJwgdrBfIundcHFkM4EW8ryPTKSNoj9xcc4w9gnYxwehGo93BDB7DqsvJzuidNZuHcn9NiT
4PnKZoeHCJJLKdjQCu6rOxrLxUVS1LxrKSA92YsYIE9l3FXDLiUkvWmwwbFttLyz8PvldYVGGbOH
meNwQNSrts5stGcLJMhXwEHeyVb1+kkUrApia4iOMMmiUz0l6jEvnXU7J1N3Jvzqxr5d1VzulEhX
Mi13g4t4hccFy0uCc36T9rLemCLcd8Zc76g7WXFmUGJMSKJ4Y0bNNyTH5d5NdJ15NBv7LmNNOqUU
bYLAiYfclKc8dxYHY+68TY00+lxBNjlUOVe877TZKQRivaOuxb2DjYugW0rjuR6X8N7qVnVmk8y0
6HpR5u46v69/ukT6smQNrtEy2j4twrJPNxV2p23tZuWdYKY/iawOujjP/P5SrYnzPhWBov3Zk6y1
bVkNlwzfc0i1cWH+FKAdqq0bNP4C39WcTyudh0QUjB4hovLeZTXlOfjWvLii1g7fwW75gB0Gdyao
ZDVW6r1HCMNHmZVDvgFkMNC+vkA7IjE5f2sL8GljJfW5QHRPiIsVzsy5aXch3X4XA0gZFCdILQGX
X52demfurxDqWzfGHowfVLZeflyaMBniIgcspuwkPzLXim+2CA06koUiy2nMJmQEjkhF4fAeqqwV
cWCgUcROaFRF1UbsTIiqYpgGpGyWAy8cwVP4V1NV4VYQfnoWZaDvgZJjQpBo31rqkQ0Pspy+vkx4
D2ueG89GKzCqzbmT7XGrwPNJgbvFNYc8WGj+Ir4tYloFlh2+JItizY2aOBX+Pnx1OZCLwlLDDzZv
BaVbXsbvZ9UJzNFFKQhGufBflrLjWKYPjM3Onl3co1jGTqhzzbXq1/Xosrza1i1uJ8wvaFi1sLtk
m3kDL/eobo3nJo2mz7ntpA9Y38ttg/Pono5O/VNE3Ztj+BxLMTPphzJur1/YNULU14DjSdR11iOP
weaHI/x23hqpjw2OY+LZT3kQMYTz4yjNN8gsY/qcYbpCWeqMsInNuleHlKbZizkX/P7TLFk/8C5v
OWy9iyGt40Hp42/kt+/BuFQnGwgAXlbX+hTWi/oVMlPDDUxI7xe0uFi5ZEWqdDM6LmSnOpV21P2e
ub8v/zf92f4vk5L1v80QenmiF92htioyY/yF3NLbUdmm5PCPqWF35yTiYchxWOsaRdc/VfpEszoA
LWa+mI9BUYbSQLdNwMl6/2qgsf7elRiZv38SNlS0h1DR97c/y9SCLxNFNx7dnJM/kK3Jewj80QbW
JTH2uBwIs4hPFgL1AjOihecxeM6RjNFHmjRcmISwz4A31KWRonubJtd9mHN7eZWcuPf/fPqy/n5p
pX9YuouxT4LRYRf2dz8sacqS/LEzHI3cMdniNP6LEtxopgV1z5i46ngVcYFZM1d8OVI3YfKeOpfN
0n4tBOfmwOUQ9M9/qNvI+beDr+MFuE31DxW4/zD4plPHNUJdMYkxpyM2FTnJdoAzeF2lMR96jFj0
zVXrTqG3sT+ZOEEVguE1yPRt6s7lcyHd7uxUPiRNfFE/RM5mKfRTND6K1ljt9G236UbP2P7znxxD
xT8MswGZWMQLhmrHD/6+AMSbELbABvTHpeOdBl4FcbarI4W5cuHplDdyG2VO8GvGvXfMQyfdG5b9
NSzEF9mkaGcexyXDk+l2EnV7N/e2+44rvrnLVyLtplk7HzY7qeVOpALkXZ9l4SmB2701Keza47JT
h5pHyTGNcu8BDyWqIhVhz0tVR1cOkCtcQujFbsZpvu8mGNj6CcNyxHiekdVfDC9QvzARmAifDeru
BgsFI43rc+6VbXWaJh5gGZF8BmmIxzGOc/5PK0ynZtPrPN3vs/rSrN1TU3X6mRLpY3vJgT6qgR26
rBJfXKdE/FwScV86VgikpuMMaiE54DWeP6erwQIH02/10TsTJSdjtQbztUtoEfsiqe3ilQTOZOeB
2zbjSdBRZhx1csPpEURHGiQgj01gXdrEtTaIrQASAp+1AQr9nG+TVf8XCQf6ZGsSAPJj+omxhMGY
QN+nL2L4EVTOQiBAcqbvzaxotrAS+Y3TJmp3Cw9hhPqFo3wARZk6WA75jNPmkembR2yIS48KAz+2
G8uLyapAsa4jsd7d6j5CVlTfFETDfZ+PuQ48cD/RQHdM1pGBgg3E9HnMK0B+zI/rYol32oOdfNur
HP1bf3ZRKcP8vK58+Lx0jOceAPnJ4sXxVLKGPbDg5aGHFbQ6jV7Yfl2U0X51qYngvE9JFl07fJ/O
GPa62TC80guOOiwZ+v0Ki3ZTM8ssi+WczIWn0ahnuyajiQjReJaYfis8uaqSEy1/KZyIgbbNomFl
wdkpeKqdfvpsWvgG6dvDjj3QGmO6TFjCuvkvm5U3wIif44tdICh1BFHuxyAPuINdniZj0oRbJxyZ
jBLXHYMYhZt7RCMBKLa1+B+R/bvvt8IninEB4TEdbrzcJU2S8U7sBBkujkS8csCw8grNah6XnsJS
XNV29yZVEF4ticwyiCy6ppboz5BOm6tPDvPQ8wI9gOjw4pZN1ueQrO5mlKRdQ60ARWyv7+sSfQiE
CAqBbNZf8GvpTMtDYPalD3BjCcS3cRoZt02P/XhDiSLVBajjLn9pY+iDs/6pFzdCxGJxy4XRVvo7
IPp9svStCpCXXXtZSnzhvKbYiEz7pQeSuoHyYu/ghKGM6OE1h9LebLPF7Z7MpuebAUrGZavfxaJJ
obij9ahLSYiQ3UUv0XUcn49KixJtFagLPHN1t8yoa7fL0CaalHN5d+ZxmSgCdVMUD2dQ3dNN8Wkc
Lp+aMjj2YCgnXc0UXDVWfqxcDlRV6IfXKfE9gOPIA0Zq8DG4HZMtgiMfvRby1jxU+1IgCMks+9WH
q7pbud3AbsDtSDYSVjtNgqhXJt3dz51w9QKCVQ5zCkeyqQ2Wx04HiLNm5CtOpYnRceU3MsHGIeKs
3IItFZyfbEzmyH+l6cViMtpdhN3+0CDcyV0DWSdOl9p7sEvfe+HAYwJT82c8tQVBQZ5hZfe2Oi5C
mYf75zvODRvz7Kheib6h29h9ha+DiwLoAI81JvrkfFNqDEqJNiFHjZ5Vc87fVNuIPd3KI86x+Odv
+s3tJbmUVLY0ukiM8qufJpAjjsuBwddX1RyWusEs978vzRzpUtBHcIIam+hYYnMVLbibDqLyNRyH
7q210NDYHKGpTfqsLGsne8AYzXMrNUce7gb1OW0VtR9LymGnN7voKgOes60E1rPBZdZ/N1m4x7Is
WT3f2EEAQZAqCu5pfT13hMW0JtMOl2qoUCSjPODMC/t1pXW8U6zMOPBlWvXmXKLfAgxoH9reynNi
Gn5MXdJ+zawkfQiAt+ytXl8/JbWhjDqIkT6/TqLVr9vxNoxQSFOMYs81cNL96vKa9NkTf7q9G6wR
CRh7HBs7HvnoToios+G5D0FqeLwqZBReu4hjSEf3+SfZqznW6XEaZjkJu4zDceYX1ifhO6QLJr5I
3JTVSVVmc11pkr16NjcOXRMt4NEcJ/Uge7Hv15bDucQnYbvpjJuRY7IgNnk124qW2ZqOpoTn2Fs7
kHKhGC45o1/48U0SnAHB0ChCTCZtMrktFo6fA08TgQdxIFsRLlwh2rlNm4G5qbmxDyM0MNzcFTeF
oqbvA/s/AjW+tc9OnjAqjBycHZ8KABtxecfLnovn9phdtGUX5Uhd+tZNvzDVK9BJdq3niYE8DsYI
jH+INq9CG+Og/CBZzFA6HwKTx1s2cx+VEbZe058FM57DtWaYyTNO5vaDyGadnxrQTWcpKkRE/aik
h8be9aVTPqwhfpoKhAaqlzHsnC7i/ZAhmXBP9qjTLPXVXRBZrOq7YPoZNMlyGPnRWfmX3Lg50cOt
oDPw21D3HDm6Ya1ORcNNllN5/mAHzcc8e3xqt3oRO8y4VeaSz2CsTKYh+BpvnEowxE8LueUNdawR
55bJy2l/NnnIyo7jRNsSzMHTDv8GC8hVkfu9K20k9dt/vN2YOAJ5xRjW1H/3JO9UYpH4xFcMk4tt
gEPIivzQypYbOudUmRKOEJvZ48p2RbBSJIBh4k74KxOZDNR+Gcpfk7u2/i4bGGBvQnEwEBywmUxl
j3yrFtbZW0Ey9ICQwG8sT0FVyOMUuu9rn2bbVW9iRgSV3eQF/GOAdsPzmIztf3Ae/1+rSscnePWX
k/0/eK+//BzG//M5p92myb/+dV/5x5/8c18ZsHr0qZJyiOmxQdMRsD8siSHlAx5LLRdH4J/Amz8d
2ZQccI+wxmQ21EF+htX/WVjqTiLTDHxOmrr9/d9aWIZsRcVfBykmKCKAYGvIEaJi3ara/jIWp8ql
1KWgu3agzPTCyYaoDunr4eIokOC4VFpu/smxngfL2Kg6ZWqGyLQltyqPZdYbxQ4VPtj3VDe+EBJC
DHeq6HOOZ+yQ0esDXXqKNBMY+jtR2RFbUJl5pwFJq99PxZRgUTBc6fMe98jAEDT2t3OksOSJejkC
YTzjOJzIjam0B8cRpq9WM0QJN1efxJFfvEVSfraGKvGhYw/qdR3nlXN5pfb5bJhb5OrpKZWtdYaW
iE0D1LvcjYlRzTEs5+7Zw4515Y9YghdgMB9EazzliSgGjk7cbr3TtXerVIAdB8f8svb9zDLAVJ+A
TTt71Q+ZTsfDG41W/ZtXEIeRiCHKkfbFphcQzdhkUtUvaeZ5e1vPDFgu8i2EAusSWflri0lDm3bm
u9BV+3CuxtjozHabEnQhS5G740uJfvSIx9l5SuiMI6bt465iVpz4javQWLe4sijCRXzd2dBNNr7q
qi0/M16NYXRjt41Axxs4L5LF+TKVpTjiV7kGrrIP1pSxYVmxRRAQdKttQJ6bzAm8zIYgiHsdjX5O
Ngz84yb013GT1OMRG9v46g6qKDYiX62dMds9USDl1PilG4/vw5uuPPU5JpjvOeU224nfZVcm4+ek
wfdDNupVlcrlgWs2HwDf1ZmDbQB1M8ywRcErt0ZvWxVp+jy4IIu2c9BWdySZu/uqIR/Ap1xnwYbR
16edZ/AfSwcot5EF8zsAP/tJdW3B4OcvV7WKnyPKGMQztfq7pMvTx1UWw3mJcHwUvhOjEi3Xyi85
DUOixU9lJE8sL99wfkJpJLp+QlNN0osccXo9LTTzdF8xpg4fOHCmX3kxW09+LTxgnZ3zUrJ825Jc
mq7EZTpe83PNRyZF3d9NtvkhF3e6N4Rt7Gxp/nSb+iOQsh3i2ms6qNTuRE+NYz4Af7GGLfpa+M5p
Zvq0GlMb08xW7XwA7BOOsmmqjybaeoFzj45WXDVSfmT43Ew2IFPOvs3ohmVTFr3FkRWhEWJVvcs1
nOBpbtcqLs3MvIqOtpR4sVTyNAv7UXrW+zpE72Y/bbC7Rrs+MEHuRFDqotgNsq4/zCQRDiZO3S9e
En5KE/HTtBHYN+QKkBDoRDl61TyHD1nlig1vaLp2INUhM/Ds4G8gCuoMGabl/EJWRdKs2tRwzH03
W+IpHaR9N0TDmh7CZOkBI/TivSb3Pz33gL35kYZ9YUzJI3uodsPeUdyRbJy3g/biTWZ0wBaYnUq8
n92TTSSyRtOxyMsT/y8Ycmgf2rHgg4xOxM67Q0pLdoEW47M6sXadgJbHZtDYWsIPv1BgoTz2tpfG
DIxjSsE3EK8qpSLBNvaeFv4jvQJo3IKBaKnKt0UvCOqikxcaHvZuQ1WDuC0TQr1XKPvCe8rautwJ
vXXwSWDE4VyCYSerfy70dgIsKVZwOhLi2arTO4quJJ9Asa6fOr3a8JjF7xZzND6j+WRTdSEPlm5r
FijVJk/bcIdTqt4X4uKrhZ3oQr61H2zGH5Yrnl6zVB5uZKtyiGICroQQ3d12Mt5tP1P6c8iTqu+e
nKh3PmGDR4/0ER0yz8pkrMgf42fVO59Ir3/WggiruwTUXrgW0n8/fwC6L8ge6s2RF0T93tbrpGWd
76s1Vb9gKHLgm4Ngj0yO5orcNZELHNixs52iqQDzZubrMJ3eXiU1Jdycx+gdqaYPXiwYDMdqPqIW
sfiqEqJtm/G2EMM7MX63b2syjD3DldqHaD+zREsDPzw6eq+W6w1b34TFoQpY/mdrfxxEaEKpiMId
pRUKWxobOpvYyonjMVaJiB4JX7rLzsdzA7EY0Zo3dsjMZdpk6Kzosugt4GJXz4m/gr8f0uAgRUQ8
Lulzzaec2g0igotQz7NXwkndRo7dnbrIAghSsNjamgvmXtYkRrvYKvb0ljLT+8qcurC4rATkUL3N
hMttnfHbJKQdu8tS1x1JqGWAKd4vcVoLuSvwMVwZCsBD6X1pv2LQjkYgxl7/o4soZZhK+Q1G17Qz
LcW+deJ1Y/VsoPohPQKycrYYCu5nxscRqv69U9vNJpxm70kytO97Y7hPVfE86T2vzIrHhc/1DPDS
5m6s7tOgXveLX7IgJlfLqo452d9769Aj5RE42HjzNMYEv9Ur0h6J84nP9bkjmOmTRR4V6+jBTFsM
jqvVU7a2kJoG6qIYKF3GD5Neg3AFT5IgjL1gk4mMNznYi9rmqPvrNvcGsDfkhghqgXGuKhINo2Wp
I/0mL2XZBsV2vaWOB4y293NpEUhv0eJh9BbkMk3yxj/VLbhsTmv3YLe2kW0F0ewvjpiWL3VrLudA
h58nHYPulIERZq6DBa1GlfOZwhfJo79q+AzmjBC1jlPTkCeOYWn4X5UOW3OeK86zGU3OBvdW/Ryu
U36uzZo9p+PtWApIvEc6vG1PxoHRz3scVNjtJUiUvXPLe9cNj9eyQyPYlIoqPdyU6WdXJWIbFPWI
v6kcOHRgZDjmvc6Um6s3sUGbLLnh7bbKTesK59KLqc52o91jI93Yih01nPjZ3Ht4/ZNNiLkAlE8w
5UDGwI+qwSIKsobDPJ3MTE0X6DbGybjF4cFyEuQicBg9WJ7hYxsY1y7fl+ymdy199f02cyafdr7O
fB+8IrPIhJkFRMK+ey6iQhI79lUeI0x4hyFPlj0lwP5xvcX4YZEx55qs8NkX6KR/BcBxm+j0f30D
AVR8+agvubsn5nJwRja6m/xGD8CNQd68zBOsVMAF0tyAM2DkQ7pzMMbfu8qn+Z0TUFfFNfGgk6th
Bei1BcgVM8nidHKgGYgb2WAoRzPO+3F84+G97ijf8S9tZH3DVV9yY3sm22HOWx3saBqSMH6U2U6O
U6E2/eTZ8Tj6K7Kwn9UPDbAhCzkjm3ajl90JT4p9pDENUgMb/Bu7oXFC72m4ER0Gr6kOrjbiR3xp
5/DGfqgaV/0ASJB9RJy5XwnnB5fERQLWXv+AlBtHs22SWml0V2OMjG0VvI06f0sVHnUCKZlcHG1p
bC+eeepttfYxZQH+u4NyJBGiRX/MnYDnQGVHdxUNJD8ZQNOY0dL6yvM0P+fSsHaKnNHbTGBJEaSp
g2RvdGRFtNRKNmSs+71qRud5slpn5/lAh1sEyB0yTnSIFlYV3jLPF+R5eU9ngHymobHfMM8uceGV
rPtKkX3FmQLx2G5bd2/l7ehvBMrrrgOGHNct+FcnGbud4Wf+3p7N4AeixnIVQ77eh90qXgQ0C+TT
oC1+Ya8ZPkWNWb3hfQPVAGQoOkOmTs4UoJtn9rzdPuB6vZhd6lOqMspYmqI92avJP7Bijbe0pRGr
h8XZ3/R3HunvmKx4VvJorpu9hNlxKCqjOS0mZ3ERVfIT3ZHO3oDNPIquIN7ZZ5sCo8J9EQT2hYfE
vOUG5GYJyJQMlDMRq4T2B3WDxJCut1KuBU29nFVHOkZHB3q3uIicM0pVmx0HqLH6nqFIoixXmdzl
3eT/mkcwCJCHsjAWVbTcAZJYnL3s3fb39u8/0J5/lb22aAX8Z/P/XduMX5u/mfzt33/mz/C1Sfha
L03pJTFNDe75f5O/Zfm4mHHVkgJkyHdtxvs/J38woCb2YdNmsemx10Qv+GPyd93/cnysH2wPTY+O
dtf6dyZ/V9ce/nXyJ9ZNHJtQrWbU0Mh+I3/+ZfIXa1vioFOofEJAiqmMWgfVMlYRXkdU7Bi0pdNg
fEgRtza5I+5whxpxhSn+x5CEa7sJWOehV5pZt+DW6qgeoO/E/76yat8hfnIKwhemrm0HgexLvrrd
tR1W80fhpAs7/6mE+WV6VqCNiPPsHHLDb1+DcQzs09BF83xenLyXdz2tKLuMKtkGzbLihah8fC+E
LGNrSmDxKuNqTvgJeB8SbbaKZqWPQPUfZCr6nW1n6LuQiRSk/ND6CRd08jZQ7tx9FJLn3SVSdzXy
xM7vqpl+oKmagqPRT/1pbmtgvn3eLE9zZxzsYrI5o0YsYQlkZpATqEhJW/1TqbX4sniDiJ2JyMKk
lmvGbN8fC442lrXF+ZuM26mtyA0yBPXeiJFG70Fbaki1DFGu1oZvnk8ZQLz1mNu5d2ZlTjpMyMK/
6Mfbdz4R1jW0+yX9p9UX62ns3cFwL0GfLjAfmPUEKgp5cRBtMMJBTsg7dE98RxWPDWVZJrnHNaxB
ABFFyUbnWEAFpdY7HkoxT8GFtFzTwzC0BsCCC5GMcioyZp2U8Mt8surSiqikkxHFIiO7NrrTb43D
QSCQKT1W0I6NRjSo5bHCqrb8iJpA6Bora/il8HVI594mgVbDNmTm2vtjHiAsUUocvAk8Ry47o2i+
Yskqz34z0fUc9JDKYlVNxSl3Ccjt+qp8gvFKP0Ze95skK+XDoKoZOSovuCwXeliUKCnosC3rHBJG
wUdmkqLP8/JQ4nMmfrk8j/7ksuA1KnubRz0ktKob03MYjgFKicOnHdtFmBxNiijGXQW86kSMrN+v
0Tp8bW1RfbfHznL2UckmhDl0zTZjCGCE92DRo5txXMGWwTjpOml1Luq8sI7E+j6ywuVdtrau9wjc
DzGck1n6kfaueUkLt97Xi2cciCk1WLLN/q7yHXGwVmt5anijHTLJhPXgWgkqSRdqQIFtUsUJW0du
pD3M27D0m9PMUvE+H5PC3mC7cq+0X6/nJlnNzYptdFtO2Vd+xmIfonvvpyq997OBCN7k+lczCIa3
bCmTj4w6xX3LIuwgClJTZVcCyLcC8Uor9z12SO9JX9kE7wcTEYtYLK7vuxW/GT1mYoxDR3j7MBdw
i1xHmL9aC6Ze65XpW4pYdOk7V17buayOQ+WzgqBb8lAUc3lIcjBKCUzMH7YEG4PjL3pJXcPbII7C
vCyDzyuhxcYpupgooX9l0PeuIu8MGl8G+YXsl+SlWy7yuuSO/Y5nl0KeSa1tupHQf54BX0w7hEPn
lxGEDOAjn8a+ZA45TbxcSYZHcZ8nOFeMSXXRppx990U4knysHcztdzdU6SevcFOT80rvfRvrljVd
NAz8HYL2nrCyY8cRxoYVZHWSpt+ey4W0dMiwgd+a/m6nScPjAnkQQaiZNTWQ/uTRSzmSB8BsLlaE
1sMOq4wrPp9PAwkLLmvyebbC7Z0ZsVcm0dFA6Q83IZuSc9gTe9xgYgp/LLAnH6MqzI+gEJofBP4i
5FlyDYhk5FV2qnVxUpoWLpDimfNaCHJjXrYlV/cLvBq6XC2p7CODShLLcX0NzcLaqsVLg00AavG+
qFAxyYw5H21Fl0GdTcZ2kRZq12L63rsXSkpDLbE+t0uUIxb18kuZDUyATtHeAUAraVsMlu+4BOfd
bDvjrxTPI/xWuidbstu0s9vOm92s9cNq5dHDjG0EAqTX7q0qHR/tvhcgqCQpRquHPz3Q59btW8AZ
u6HtzK90djNyLmQZ2TC2Y6xk5sQZVeIb1xrTX8uK76KZm+DdsceVCj8urd3KIyfOoFP4G0Q2uW1a
nvyhpAwwCGf/jhh3GnNHOns3tezXtKPBKZRedm6p0njsKHzYjp0588lGmfqZq3588ag6KeKOECDl
gooAe2YNNc1bnY/aMNuntVdqil27+4lu4eyspaXDERTV3VKIImbz31/XppVPCBW7SZXRXTfbHl2v
Ks+AZhJYv8tMq9tadld8VMPM1nOoxF0gQvViShABG07H0bOLSfQ4h+Nyapckd/G0uqzDWGQ/wI8s
v9RR231hp94/NpivWVUm+WUCvYlEHa6vFuyUXQaI9qD6We0StAe2582A1ZHfto1ZyprjCTLnzP48
mF5d8lkw0wC5bo3ca6AEuWyo0RYfaVfFpxRQt3hupEHOtS6luniFqktmKx0rb12Hz3GUbyhJHlJB
5h/UAswLUSxZz1Zu+d9t/n4jbpMmf0xHhCi/MKMvavWA2rorL/qQsJU2eAz5niYa/4quJOhKnLHH
0heL+zlNwtzdhnK5Tl3bI+Hg+PmdvvrP4fhfHI4tHzn3nx2OL+zYpu+l+ute7I8/9D+YDqAahPQi
kne3roc/t2LRf3kBzGtOzVFALEsjgv44GxPjwwkDFl0fnH1b10D8eTaG4YHdJiL7Z7lExfSf+nc4
RX8fq6MJ3EIKgKsNpugfA2+O72RYUJL0jDpGuNshP/gkLTAXDtuPQ96BjZgh+xhyOYnOddFb0D+e
2XOMxz6o54PTWd3BHHGQ/Iu8H/vBvz21E4Djl/PMkAHBdmna0NbSv5zaF6L4zM0kb4PZE+1DBMT3
IVz9iZ/hlsAHV/iSWzqVnyPvjKkTUdk2s2e4pfeB71hPA3BZQv3ilvDnBZbeq1vu380G673mcIgK
Uc04MtbZN8JtdSMGAFXW+ADXH43wKMtk3bq/6QLWb9ZAi0TSv2aaQdD+5hFEQNeecXKDKUCgZT9E
VijixYWZpLVVsVv66FP3m3IQydB5XC1/eo1aVG3ZdxDQospGdp+oBP5GJZv57FL6eyuY5olJJwEP
n7D0ICLOCYf88+i0VcnST9FRh9HPfUKA2ZYyRanvk89LkhoHAKT9uUsL6zBNzvA9N7OeDgFv2QIg
pQuoPYvWHz4F9E49WtGiDsEwjReEIiYRY6ZbOlg72kXhft93rqOuTQo7Oy9KARHCap8Nl/WJU4Cv
g/PdYqGvMp1QYrXFyCHvjJTVIv0f0RIH1PbtZD4vV/h8L+aUAqhjc4NmzqF5M0hiy3t0RPcbdBWC
GCIbNguz4hpPDv6+ZzMsxfOcN06Mfls/evMaZIBWyVbdwaMenNdCSxDasPWwrt0OwdDed1qoUFqy
aDIH8ULLGJUWNMRN2yBHMcVsOP3dqqWPhTJdYoLUBDlaGIHr2p5cLZYAzvCf+NQ7djhlT7czokpq
ORF9W4jD2U1zSbT8IrQQ02pJprupMyVFvi+dlmwcLd44WsZJAwQdV0s7FEwyvmm5p1IzQ9tNA+Jz
d/fI/ihDtABlX0stFzk26veoJaRVi0msbOU98Pj54skBWIYWnVx8vztCsdSgS161qxanMi1TkS9E
sOq1dlXddCx8RGhaq5a36Ih3Y+IJBsi+CM0qktZXO6X9rr6pYiC67ro643WyLP3Rvcln2KD89+Em
qiXAqU/2jYbXSk3GW2+UvPlGzIPlyHrAvpH0vBtVj/2a2lY31p6vsXveAlsSnKGG8S1g+SLhtR42
Ujxsc6C5fdjpsmvKIf+yZLzPHLqRWHLPBa5w+O2Vsr0Cckjifq8puvQpAJQMiRw0rxEqKh8fJNY7
T6MEqZNLYorI9d11Yw2mleYOQhiHQWhrHGHQmLl3CMrWP5Vj/xplcv0WzOvCoDy4JxbuLbhTzTcU
GnXIk1C+zzf+oQh9XG71jYtY3hiJqdS8xHYAndgkQTRtcZRBVGxvdEVHgxaXG3MRSgJBFevGYlQ3
LiNenPnU3miN1J9ykC6YsR68G89x1mjHoXLR3/uZ4/N6Yz+qZqgeXG4M0snU9qCCa05kP1gwI4XG
R/o8Di41RtV8Q3F0/Tn5b/bOZDluJNu2v1L25ihzAI7GB28CRDA6BpugRImcwEhKQt/3+Pq7wMys
l2Ldp6yc10SWZlUMRONw+Dln77W7or7Evdmh180M8xzUY32t1agdNo5Zi9vYTcpPDmOBbKP3nCPA
jtbXNmuU0ag+R0eGC815NKKIcn1MP1ckRzM760jimgHIMJ5Jt2zPbL5Wm6ZvSQiVgrNSDOdMMxv7
ro3nTPtagScZfThN6mKYiHa3DF1DSfRIYzdXUuTqe4Ml4Tjn+giXl+hrSKTDRe+Gek9m+mbB3YEo
Aj7tXhi09DF3RfIUqQFK/zg0D2QgL4kX6HZ0jzbF+FIOeXwhWSXX9y0zoDspJRT5Ye7SjDonap+Z
uwBtlTpZAbtmTrJtYPfpS1QrWHwWDvZzRwOBREWdwzBNlBUFlc4dJoBpjTa0hpbLcWYffrC/qwsB
5uNV7djts60pLhHiIb1Gj2FeoRZIDk1Km6EerXrL3jAdEicNvg7poPMPi87DDEMr1CTbdcZlhAR5
oQpSgiEVjePaucaJpJgpz0bESKLV66OaRrJeBlIHTp1r2+8/215zo1MuGi3yepMPOejOto3sNzQc
42Z0ZUXO2WQ+xgD/DwnitztlRjBXzfzNqFvcjspKzVtIRNfQNthyLMLFZzfAA1welNPjJ7Y0hnF6
rm1cAa2jqmRyM1uls5OlVvEHy2TcFtzo0htjd7yxEAL4hkEjKY9mQuUb/oldoT3DoKvvG/QhJ3R0
EvMsGOQnWoHD22Di30rxQmwaWuG79Vzymmlp+cYqpeMvsQ+wdSTgY7bwYKNr3OQD6YsuuW6mW9Nw
soggNOnqLI6kstBmuRnzRq3iFTitm2npxaOddF2B3axOXxFV44qb6bdMxN4ANdkkrQZEsaPdRbJA
5IwvRUte665CKa/5/SCap7iN0keOcPxc0Ysmk+FWEzK9zMJ+SKeAdnkCpn9rSqCKPuWEeW7jkR6S
zsHrNkgLSd5iVD7PRM9ddb2Wb8pO8HsFAsoYN0tSPJtWnfOa8fDN0GEHChsxOA/RJj+ThqFft2xn
3EXtvKApJGXB49xlQCgm3YsF4hjpi66cp1bTbeYBOqzIMVHVkTaP5njcdZr0zHmi10RNNBZbDYLi
ZYxEd1MmyXyPeCt+mLJBmBu7JRCd9GFkAH3bXkI18rAmqPocWWW0mUhSNghXJN1pAy6tbemzgYzx
rFyGW0WqyYY8O+dtTKaaMW1dIWlaNHV0JEACDpgWzco8KdV21pcOfi+ZRASuA27yiP+0r2HDLRLB
TdbT3dEWp4bVnOB40BeroqVghpgjC+AXOMqTBvE8AV/39JNyuet56N9z1zIOFKwBvIcwFI5DAu/S
l3Fc1HssaHKiog+igEer5PxVZqb7gMhfbkqQlVgyktk+uXi0KRUVrSm3tLPkTAJDOvls7fnNGkb0
SNu3vugIHJ/rgJl7aYdNt+a/aG+0roB3lU5d7OoWtwkhujlosEhfeGTUgIh2MclJdwatZTIaK5oA
Ye9UPxjkyNjPRCgOlZtkwgcOTZAhM0Zok78hmuzfgE3vtcp/y7q/KOuIGlqdav9//OJD2XfRPzYv
adn9NPj4/Q9/L+0UtZjEFWNRj/0xwvi9uCNbiygzXFvsXRJd5J+KO2n9UxFIAONjxSxijPtXbSeN
f0rXMmwyBjlG/t3a7j174ae5h+IlDCYybDBkAzBg+LmCUkxNuyCotRNU6uHetWS+XWRDp5egz61T
9S2D9MG4YA2DyFwyBQZQoA6ujj4tTEuO0WjfT2Zr5ByHO3dPqOlgARxMCtannvh4N6Nt2oWXsDL3
Mu0GvCorDl8Wj2Of3o2G5K4YQ9fXUiNiF0wmeKySXl7OUw7FkACOIDPjgQMKcPPKAG1ECMiNHIf2
E1mvCO6dTm6gGWXfhNZ7s8uBn3O2WdGvcYL+flZzd0lK29rxcJWFh+0pv4Ah6I+kt9enmWKBBj6x
QzScl3iTQGa4nkfbIWB+wmcIkf8oG7Q0XdubPm30xQbPKMRNY2vG5I2UE5uBZO/cc/CvcQwQBPks
ohFbUcnAr6zauhYNKa2ZcakEGDOzUzpJ5/oJaXeO0B39EIJHiNgRFMa6Jjm3ExX5hIr2kVugdajp
D3rxWPthil+LHys/sSXiMLY0sug5dRP4GuReL53qajLCqcAwbOKkslpSBohqfcDtWm/GOXokOd74
POaWfZgk+sBCL4k4YpKyEQDcg5uK56/YgvmKG+XXGuXLaSgCc3koiJRP+208lq72lmYTjC72xF5b
kLC2CUz+gkGWL6xSIjSgO9Z5Hd2tS20W7o3imKNtUXHwBMVmUI+73GibPSxkcqTygtAZqnPndsoJ
EdCcTnS0wTXmw567YOikYCdtkvpGYNeGBbzV0kXDSzIo4k0TsIY32swoTtto8D3DZVdyuG0aJj1Z
rEWcxuCh0FDjhVoHV/eAy644QsGkon/CjmJdGlqfceqptozJj/eajvS88Z7QgnxX1KXrhJABl2EY
r4h1QBmzk0vVdBf1W9IMEX2teNCG9wwa5hg4Bn3jt3waaGHvcTXpb+k1Y1zMZNnU78E2ZC/rX0qX
tBtqOXC683sIDvImAnHIrJsQy64xORoPVbVF2KA9Ru9BOmDJyafomHKfU3pChCuo+pu1hDWKOTqt
lyKLSAxjJyGghyo8egx+i+1JZkP3GTwKEIujPSCBWEN+eF6UeFS7ojjOawoQZ0ptGy8O0UAjMkFA
+hGBQeaaHZS+xwgxBDWfOVAblGqkDEGfqW/tNXmow23p2+9xRLwBcV5Ea8FcJa1oWnOL4jXByG6b
4lHRWwUZXa8RR/I97ggheHNAghQcojUNya0cgpGsloKWCRL8al3TuwV1Em0ARMkEKiWWSbiSji6X
1mzbXaAbF3f1msLkQIqP9MG6VckQfgres5reY5tI6V2e/vtA/E94xEr/dXDPJm67Jn7r/lH++Ae2
uD5//dkK8Nvf/+EEIMQWwzsPNxfiE/5znnC/PxYd55/6qh1gYgZs+KccH8J6yEEAFYxM1nWlY9MO
/V0PwP/kCsUjEzsAXmhcBn+r57n63/9sBEBzYAlUApYhie0110/+58YiGRepHs2T2KdTyWT7RxZq
t5hmDhADVif8HhHesSXBWQX9Vz3VvMRs/8Iardbe5ce3QGcXRQKfmUbvh95mieihcrEW7yH/giiU
X2dVXQPsxpqH9YszvaC626gKeaHMgnNVhQT0GhI4r/FEyhUAxE1BO/MsFs2LS/eqQ1taQUqGPB54
0ho8MuQ32oDGUFRvEgdhXFIYFiS5pc8J3sL1P2eJbAEXZbuUnErJk9C2s6X2sqS4xjdoXzP5KcAH
i67skb+2JnCbtPdns3jEOOQ1rIn9RAZeTq3AYOsU9pQJPH7vZdeu2cCo71xt7cbgE+zMFl/dtdT6
+4wIPfaPVaimuntbPemmtkVd+rK0vIM80dHOUe7Zjp8zoBRRtEVQwIM498kDukxa8AkBcrNNgUMP
XfXcc/LZUS3cha1zSvTidQl7HzSoXwM632F1dr2x64gXK4q3fJJilyYE4MxifCsk/By7b69xSlgY
piq/slsuhqWUWjjEOv7fIcp/5DDSmaH88rR9yLK4KOP2pyHKb3/0xxDFYerhGNgUQObhFFrFQr9v
KUr/J1GdZIO6bB3GmgP8rzEK52kL2yuJDrrt8HqSA/AfWwp7FKmhLgp8xh/AFY2/s6XYH5O2qQIM
h5kMgib8/SYDnZ/3lNiOZZLpbXScat2JKVRxu3BSsk/Ve105ryWm7BP1UKV4vcG8Qv9H1uvSkw/b
rqz3DcCUwHfXknV5r14R6VDJdmtRS5Of+lZ/r3XTteyt3yvg4b0anoNVYTCgjrjOxtxFsBnQffH6
9zoaAqoNxnutrtu10F7ea+5iLb+XDIXOdiBEhqp8LLFstgG1unS1+lWtBby7lvKdq8JtuCCAIF4i
61p/poDh8R2O0oBCA3O5Vbl9HiV93XzoL+3aNHDe+wdIVuglIJGPH6q1wTCtrYYmNPJLnjAi38Lk
05iDulNoeYUlQtezk+qSWdWw4+Xrrb6U8z4cbXU0SFQ76ZFL2rLB6DoqIX1bsAd8g4YMX+ZopChw
LSSPdHUMBLX0z2OzyR7Q99hbCEPPIUZQ2qqz2hSLad71mFWRPdEiinTjLrKXdmPBjt5y5LS9ifif
O9PRMjr448USIxToLMMLXU1O9GYD6N1JpzT9xinSE1LobAOhu74MjenwtUdxeG5Bad2MUWHy3vql
vxbkFqH5vAmqJv+RDDby/RQTVGvFrh+iA74YtnqzyMjYwMQNfFuLoCq2/IM9+YuSmu4xayvQP1rH
YYTy7IBwfiAL2ryYk5pOZuWMd3Er6vsqjV4Tw4xerNIeN0s4nbBVzBurb8iTNgK6LXZFu6Sc8oes
SckJSrP2xjAB4Xd8I6sr4L7Jku5Gm9joY+7YzynmCk+iR7+Z45ZeOKr4rW7xTrUJj4YYgvDTQop7
ThMKeTdhqpiw/ILkLoqkitydqBbHWfTfMv7/9Dpkdu8Af4xQXQTq4sRWde8y1PCWJkgCqJLLciOJ
rPKTatB2qZjKHbag4oL/xiBgre+ujVTKE3lgXtWYaGhZ9udyMpenAUhEvNW6LkJQhh67kinaBNMc
5KYGIrCDIgxdhI4ppXd7FJF9Hoa2drzFphalHkiQsEygMwBTEuPJGkTyATahD7QOaE33qGnZVdQu
FzeexVXgnOSgJngaxdd57JO7yGxutS57BMymNiqTF0Jcsy2Rf28tvdYD7a7H2YQ7lxntc+402VUa
Gx2xB7GBuQSFBnFQp2z+puE1YmrQAfbuxRfZM0GjIA/21ThosPWU2gZ9FW4SIZ/YDNtbA+fgFQzu
0s/SkHyZupWP0tZoESYO1qqgAclhGtxWGqVRROkeG08EMdCHdvIGq0htHDCJLR3GwLwDWsaJfC7i
myIAeCVtxqkN1MR8SnICuSvk77T0fJkmLbNOM7uvXCvEz8XXjI3DPIDTof020TEtutTYVFXV7JZ0
ss+yGY5zY46HZpZBukHEMWK86B57Mk32Wj1bNyPw44IbrGwl6peCwLhMbWq9MRKQ2aOZXwPLukHO
80pGu7W17UV9SsyZCECDKUMEAeuOFn18C3fqpWBkdaCLWnsL0m67GtAgRo3ontuGjyzyCPtjlRkn
+PL5FYQLlrQIGTfkMttmc5TdzWy7XjSx32VlU5Y+jvLnpVeEOgTszwPRodfxPM3PasYN4nFUrB8Y
9jwUAm8kipP8tmR6prxBZX11F1qBfjCrEe1PZVDFwzNjeMHwoDxUKRomwuTghpVVoS5d4vyoSjH6
IQSKqzFys94jcZFMXvwHroc0NC/XPmZOCIVf9lbS0yS1NeAj0ALAa+dXjLYnbvECyc8ExSrD4CBJ
biu6Y16IqOfZotVvAO9KJGwMJyjiotGwb9PG5XyXlBMNHjICFnDRjX0/8cB+MJuAWyQdWXqHphus
ry2SuGMEHYSErcVEHsbqj1GnkjLgw8J06P7blXOpM801NoEumiNeJ/dYz4HGEZVo331Qdwfq+hDz
XJ89uMTj4XkbNGcXpUiffEVq81MFNwb9lMzxb4bRi+tSHHi52yT4GOZOXodMgFEMYTi3vWXsGYVU
HDRHcxgISZwW7b5ia/9RpJI4QlMiD+2Gtr2bJ6NGyod1jHEFg5+QkrOndSGZDHwRgVm/1I2In3gm
c+ge8/7cmgi1gsFSP8QE0HxDqo55Ic5k+KLRe7nJhXNwdBKL4TLZ36xCoWKKI7Puvd4asm2oZEwC
wHBgmAEkjPPDvJmzBiaiCvgWEc5H7mM/zBa2zDb7puEfCY55b4BxsauYTgXD2keeI2pboey66gGp
IRJChBr4OuVLeGjiaXpLY7gBbEZh8KjSYsC6BN8Rh2mk3cWJzTHcMPPmCSR8emNmFdHOQwAt1DdU
vhwUZKlv9HTSSzUWD3AtRsOPlyI4pHqab/Q04matKAZul9qssZyMLQdnAztLvp0NJc4VGv0na5zH
7/g26mfgu0QLa4lqPGCAIeAZzERHss+Hu8JivwGf1NAgF3N7OzdFGNCBcNt978x4M2gOVM+KBhfw
8iXoD5XemaAi4oQET+XkyZcahZP0SICm4ScD5FDaZNY3dldlB+65ONkxbyIidJZT7fHO1dZ0GvEU
qC6Q2yIWJEToQDJ2PXPzC0YrsavN2fGLvidJAF48SjAzok6x9AE2cmo49Am7Grtut2aXSqiOA83S
bGWt4wEl/txtoBYKq0asZXRbKyL0wNPb6l7v227TWpa6zjQSnWlTlqBRnaQ6tI5s4KFkRfOEUbKj
UsLTq/s9E7avcGKrYttJhTECWNryfR3AnANiHDamYb/KMFKfnajIX0r8uldmlGG2Y4unNTgPaan5
o0rZEa1pFocY8vdZAaF6xjee7asIUj+tKwuRwGzO5iuo4ejUBbr5qDoAH56bmxOS5GYA+lsa5R4c
B/+ZIt9w9wks3oubQibxAU/rLwPgXb8qrOo5RMxwb6lOMaKcDPHUA9IItiHsVdaSaHvPRVzxTdWI
+LakXobrTCQJvsaqKz7PS2e3yESj6dS3PfCSRMORxvC/9nPHTA9YB+9Qh8df68LBlzfA5oWFObhr
q7GP/GLuFBWmEje9sxZwKnfijaUq49bOOBu6Oj7FGgoH0aTNIF+VQ/KCJ8sqfMRihHo3QTmA+UUz
dUyRbSx2KgvDm7YzFmrrhchuRKC7RVrdZoHPh5RC9Ne6Fm3tHiNdlBhkose97Xy3iUeMPBhx0Sa1
0Q+ElhO82rIMroZSMMvl11xav2qIdIc/ioKcY1brBYElKg/WAqAOcGHJt0ooNKfN+k9FX5OtxUTO
DkL0SxZM2afYEtEOnYJGfRD01001KQQEqe2eMCiRki04I+Yjuu4l11r0PzWppbGifkd2n35tXZSk
XhSMDEqj2OoC5raGvUV5uJxSTa+OI9aLaz5hdm0wIXsLlri7wm3a7WFaDlcYmotDnYXmxkiXL9U8
jb2vG3rzEpq1cwfJUfuui7g5/LcF95+04BjRuOavZlLXZR+38Qcnzu9/9UeZTKMMOR89JRD573LD
/1cmM4+SeHkpkGk7rV25f5XJpol9ByEgZTWsdmWsxevvZbLBCyoqZ2pvtnTkOn/LiWN+UBvqOkNn
w5QkP1m0/um/faiS52bsy5jOsMUw1d0kiaZfMNUsZ6JSq6uyTlxsLpUjXlvNCT7hmG4OM97Qo4Zm
/diiSfEdqAHXJWrdXSphGaFzyHLPRUP2ya0wnCIbpwwoRad8PUomyGNa/z1pDJ14mTB7RJbcbasc
xz7z1+BcCjz5pBw7w6apmcBAm2/GXZdry57ZuP1A7Mx086ef7O63Ft8/ij6/Kzm6tf/3/6wIyT81
/vgGQDjSd+RrWPsZ61jwz71Hco8bxJNVdUD+NN3Z2D536GiYLnTd+rl437++3gfoyfv1lCkINCCv
wdE/IhgNeF0TVpPqMGrYNqYwe0WIA4seyfBfXGntcHz4ZPi1aO7qqEnJw/zwyZbe1hcUJ7gCyE0i
HB2nKJHA2s4Fof8wGJnczSQZXv72x3NoDKFhZTG59HU/fJ3CaMccRdSht5nRe9pa6MLfd2BxTFYz
e3//apj9cUnosGxoHv18tVC5jHvyBEKdGK30TBDy6gxv9PG2z9SnX19LX7vQH75Pcu25iGPSVKKH
9vPFJiJqozwV8aGOpgyCR4S+FE5gXm7cRqdEmaPptkdiej2Su7Onm9NVoB8AWP36ffz7AqKp5ToO
DRzFv86Hn5WeljPnPSqmuk+BASM+aTd2GASflE258hcX+/c1ZDGtRj4CfIHz4jsL9U+S3wbxptkR
ns0BcFnuS/z7m07jDuYYA69gbmMiipxCpe5fXPd/+5COrTOUsm1k2uLDvpSGyYhdv0oOxVgj+h/4
NUezH0eviPvk712LGCVeXynmePy8yAQ+XEti2mbKpeJDjMZ0U094iL1KNPMpnEfz869/vPW1/rSG
3q9lQSBHpeBAl/yIPMI7j24OPRGo9mUEPIGC5Qh8ZdA3v77OR6n2+pkYpbjKZpNhuRo/r1WSndvG
xr98CAQgdRQ2aNwYBBYGGQ+EkkRxjIt/YgaL976pkmCL+i/6C1Duh7WzflZoFmx09HoNW3xcOwgG
yUO0Ot7D0K5JUkONBhZ86jmA73QsQ9fatLY5/8V+/v4VfviKDbYgG38WDi1azT9/9AGWdLkETsyc
MzC/ANvJj7YpZ/IYimjXmFVBqayt5slxJqTcD8Z+Hg6jXUzfqB0BD1YMvI9pUAT7UGj5MaC8OgZL
ot3/+hf6396nxQ+j8CIwZRP2h6FXCglmBB2n7YXp2K94dGTjD3Wm+Ikye7T3VG4IuOcEfhLKsDE9
C6i869gkCA59WsoTp/3gMEHpvVGa3ULkH6Iy4XCugEn9+r3++6p1ifgxBc1+TiTkH/38lQpVIE7N
xpjILTFjR18Rgejp2m776+t8uOtZMYwE+MkcB0gxN8iHHTbWDL4UYrgO8OyWexUvgD8LMFUwHqX1
8OtrfdzO3y/GvMHg6WgxqFhdJX9+8M9ua7VyStjOyybdhG4AxYJAEj/jVrmipxz61YR3iCRk5wmg
YrhDZtf9xRerC2u9E39ersiOhCMwafND44b++W1kTaUZ3BnB3unHZga1Z7CZdgooySEETXmvYeR+
taIg9uO4p2ifCX8O+W+6RJ4NeuH0zk1XfT/fIdUwenqgSdX4ddbRCDLSfDljdAuINKmNy5KZwY9h
6rNHd84I1cmaicTEurEfHBLtjkbuWqehEWy4bT4aFwu+8QPMUrEnOkS/jqjX+o0g2ugTsoblHraB
CToKEfQtgMTuJQtm8bpoHONarUK4qQhY+5G7mlUdi7yGQVMMVbBfaIJBVEJ5F3n0BNYzQkljCOii
IV8iWjFvHObMzyOmxtqb1nAjH1Ck/JENnQR52U1mtG3dJDqHJne2tNha9GaIX/uIzRtrnvUDt4Nr
+EXOsRGJoMCwBXU37K/oMcsdcxEOQ4UDzsZ1gAEXSe08ucwv3QsKKtYbd3+YXgHn5/J0TDXa4XAj
PGpo52mRgUWytgrPzvq3LeLLczhbuFXreGxHAEOZ9kmV5nzmOZM91vU83r5/vYE9dnCHI3FfwQRP
j+UCT+EQEPpjHg16oOeUsrnfYuqFvO6871Y0Y09Nt7BDQQrTiNpIWZGwYXTC7NbUAXBbfHez5cZE
EwgRfZJTLL/0AHI02guiuFu7JsUmkbzOGMXRmd5MuKHDHr82ApIa1CDAdju1rEETjOWthyQ0zc/g
hRvD0wy+29w04lcEKAZ41FK+IH3WUIlZQEPoW+fLvTUivsbP2kx3Yqin23iWJF87Uo+fM7tja1r0
tQEP3W1rruswX2dabp9AmJojtyPqYdI5wECgAPw9ZKwlUqSWczjO5BQElF4ocNphuc8tDTPT2uPc
9BGhAH7CB8CZkJDh4bcssK1oo+olGtfp/eSyeq1UQhUNoqnc9xEVg22V2icb0Re/Ywj0KNSy5AhZ
a6tQOG2mRk63pZbVV7R8dQZcy4q7hTIPnbq5xwEYHwTxsycMPdKPyQXf2EZLMIVZLMe+BiODDij4
FHbOtpRo1mu7SM8zV/PpLTi3+eLs0hg0S73yRQWBn0/olQhFl/lOlDNBsyAON0KbFoTwhuHrdtFc
qYmhEu2pDNfiLI1HFQ/QPYr5mOjqKopqeBt9VB7xkOEA0noYnPm4so/5WCCxGj9K04wWWdfTHpRY
sTDJM9Uyz+QK3jYT3WugB9NmmF2Jatcwr6w6/mwHNn3EtjKAdmU+uB0wxV0x7ognJFodVA4UK2Ej
gUBSRIjupY3mV7o8L1UPXDXRcnMz22j+DASMIITdrzUGk8IbzCoDKeryVOsr4zk35XFhqMx4NL6J
bEDvqbQ/DUNwKgsn/NpVdH0iOU/HKMvZgOV6RsqN+caOTfPcLW19r8dZe9QG0P/LghvbqddoJJkz
X1HpuomE7fdaQBqc9ZKOfBEMEHPm0EyOeilL3Qu00LnurYw3VGZADfEgGMtnUFgm0W5rLFA3GOoE
z6m+5aAko81or2YuR2SfGzp3n2lrjg9zaXF+KFuoD141wIsm0cNc+2ow2NLO/Yb7vjlMmQ2bol55
2gGn6HMTigtU7vHijPO8NZe+367PH8vDT4H9NK7q/A451uI73GmQIzB1GZ6RMmNoZs4iqYuBKi3s
1reFE7MVFSMy+YAnghMqZ18llD4962+Tc8y7UotAfz0O2AyayshvW9E9OtmCjRfz142sF+ZrIcET
xG2BPU6u8NnlJ60C/1skqXUn6IJCZutD+NPheDL7adMRa3JMxh7VoIHt+tkEKRF4VkH/2R/YJw8F
UIOjWXNux/1EI3kZchZmwtmBEiHT7jMAS9t8br6S4GVdCZjtT70s3B+dnFBjgmEzPhm55XyZRpAH
O2HF0Mj6cfKYmHMeK6Z6Xy2Lupm02mYminvKLMvK17ra2VNBq72adKPzKji53ysCGbcALOZj3Zln
J5firIKGsZ6E6YQ+uOAIs+YrOZm6z4IaOi+pfSbFfxKB9oga/ZMWa3QfyDIiaM9RD5PFuIGHcNZ5
YNvk24Tw7t7pNLoGQLo2LqLADdIrTCtJAVwgCK3dyLyauLVuoEsay8/p3Ja4iVvTg0GRHIKkNs58
g/HGpJdaD4G+GyyLha2KM0BX4Qe5Mu7COrP2OE7MawX60WuqxSLXqtY3uTuWu0ws1RWxc+5Lv/Z9
2Whqf2gxnvku2krifQLL3UUDqb5eMWJXCkFAPxYw4G564Za3Ygk49iuzhHnUakmxnVOtlCugK9tl
0M2erNSmiVPW4WnSoPWTM7ByqTU1f+8ox8G/jf19J4mn88xKYfPEY8kzXULZXNXy1g0Ve7VLc8at
Ablyx0yfO+6urjqPSZ7dVbbV3brtNO3Nuo0UuGV3n09LcxjdQvMwv7onECHBGZ62u4Nxnb+mBY6e
bVqp+osMYbradpL+UFaObqNysAkyl6aXlGTNowPQGLz0tG3qEkuLshYiquC+Di8IhZORTaDVDmGF
252HqyC1NSqsDdiT/kSUcuxjRN/yi8cwkoy3kRyvTdxXAaFWCtFUEYYrNbovX8m9HY7LlODAUTwD
yW1edrOFRhkzWHeni6F9TZqUPbvOeGqwCTRpCMpNOnVqfe4IDnDaN1tSK3pCFlP0I9Lm2u/iNkPs
JbuCMqnTftR2VJwnqzJuYuimnxlID6+yid2nsFeML4pCYRObxOKu/fU5z5zcpyNS7DVbzkfDSBCL
5PbwhTSr+Eakeb3RIL3qXlKvbjrwMD6nKEy44LvgVpNmAjEwWHOyiZESsptAiCTiLMc422TpyDMD
e9UMVr/vbcQesE16T0/qaa8HY3eEbFf1cG+Nku1sXsIH10zgDKJQ6A+WIpmXZjWnpDTAKeKH7aJ9
Qu0qIJqU/G48FHamqLoj6QL9W0VttDp2sk0BG+hH3bjxc2CsS5mOkjhHTgUx0MGRubeFGTzOlmG+
aEal/TCwI18H79CMYkl8veRlJzkp2L3x4Bm91TwHlYw5TgqE1238mYNxsO0Cm9ibtL7Y5mOIj5AB
OtsreUksqvxRWAV8OFe7OMOUAh0tEGA7hIxhgvOIRZ4ZwYvcmzicbBwnQlhfQAJwqbG9wpSlr6b4
Nc0MiC8adTKClA5cjB3ujUkzUHWP35ncqh21PFlwGFmuUt11/DS3j0abW74eD7qXW/2VywzPB6ek
bZyA5SySST/NVr7rF/1lYYqACqd3d4QTpl4OynInu3h6qG0DkAh0+nNSDD+0CusLOugCZOJgHGMa
u9uWbtYxbuZsrwTtAXJCZ+7npt9VUSde004H8GtKnjochI6yL+W2VXF9lY9dey26idRnfdqlNsJG
kwOXT1Ftb7pxuh2xUzDWnuy91dQRuU2gR9q62mS9S2YiR8G7SW/xDWZJdeV27feuIRKh0splp9sx
UXi1em5mDRjkXNkn8GaGB07jAMkP8ZX2EtvyqgyimXOKuoHmeiTq72nMl9s+DeAt25+rJgDzWNIw
yuLuZDfLj6QOH3WFxsUoYC2nFaKY7EWJeEQUQZPS6dSrbgmoSE2I0FPTrc9lFqOaKY3XSekcrLSQ
TT4yDpndEO1piKukr3DFOiMhbPZbPiiGu2DRQg98h9yGY99/WczlbRrig530GKGdjMw6PBLhF1G1
4eI1jZtieEDjNYOpRN1jQt7ZDnX8lbBWJrFddG3Vn4U79JjVAR1GbfyAaDzaO8wX/aYe+q+a0QBh
HTH/D9Qw133fMJiakvU2B3hsmbHz1YZljJy0tt1NG43NIUaHeYu1fS0nHBVNwON1jtD4ZiVjeHuB
SW1pzVWUTxecMeqbsHF0HbUqo6EDi791xc4YgCqdcGS2RLCBsQe8ZDTr6xl1mrzMNJ1HGhfwCw5h
3rGinTHFkkhXUyadJ5DlXREOEZVeynlo75i9o910PWErm1YrE/QViqap3Y6UnClYl6Y3AojEafCj
DWxuQK7KiAESMIWI4VJIbQy3pCwKWfb9pmR7oc+0zjTmsg+e+pACIdAIl2CcCi85Xqabmmfco1sH
81mTFlVyDPqkm2tb3CSaFQ/bTs2UHb3DtjS2iekX+lqd6DE5oslijLeJPTOl08k60cMmPcKDCp7C
XKPJHUpHv+it1W1tpp3QSpZBvIJ4sa1zFw1ryas64K+RVbVoBgeODplmi12lm82Bsz0vrdmFto1K
CnQsg2AfHJ18EYFr8dkmKGYTNxz/iB+p7qxm8VN9KP6HvfNqrhs5w/QvwlQ3gEbYyxN5mMQkipwb
FCVKyDk18Ov3wZFsixSX3PG1y1XyaEZiA40OX3jDAeREAu27BN6PStc6bi28ayOFA0hLku+h+Xh2
7NQcxxsqG1QxQt5I8lj0bFKaq8jE5Q/HP+J7uXmDwqhzi4ypv3cVyn+0SasnvHbJwXRjUiXwrPHT
OBP2GCSb9HpmXLn8lMmk/6rAB3do5CyF4irTtFE0Dkt9ym+zPK7EKo4jf29gmXWaRyOCWzgL7R28
l76UcccLxDA7ENjS83VL4eVKxZl8yHvBVy9SwTOPujk0qtBXqSbenQ0MN+a0x7+omvASRRSoOaAe
GdxVirSvHqKqXCPEWO8J1cjt+z5zm82QBmOKgCdVEYqXHAa9JDsRAMUg1aj6kAYiz1n/QLnP/RJz
Wop/8V6kCRVFbz7zGySOVzLzO0oyNQRSnN/ncteByrHP0fQSl0qO6qxMcP5sZ0XxKpjT0+O6w9gW
LynEggj/AacBYZyvo651SJO0sTxfVAU/DAiNFEVIs66zfpmTrKfLBpHjmm+lL9FyZNooUq5thI8u
MHIq9uVSimv7Yr5wgWd9mrPR25QllluOzQrobMHP9oflB2aJcxuavgEGc8DwK4Nz3iHls0FbWDzk
gr8CK7Y5uAhFLVATZks6elErttzpYuAHbae58dWmxsPiIZIKJaa0S/193LLuI4PwWrrUWelPk/BL
wwx+zNKmqIRvy96a+aFg+sonSokFPezCHD53gKvOfYn13IBz1xPUHw3ELGLrQIriY1rI4akRo+eg
kuVT6rYIFdSoTq+mdsgETNYskDckB7xhgWxJvwqw8CQChk+794vYPCdvab50/jK9OTaCp33JNA1t
ad6MaZcQafHgZptGz/mcV0/AWhha9+1wmnUwEDpKroAOMUZ5msFthIKKHKQrpDGaGB00EHC9anFw
kTGpR1d9KzBew4sm8PbtgIW06Pg6XRew2ZGyWwf95FOxKPx91yDyFpbOdGFRAr+o8iF4bEb0Vdaz
M8szHJIkmmNOcKoyiyfvyHzUpuA43AtLUfygLeptAEX667GiNKcqRUlBAfhZpx6CE6vR71kl7iy+
hiKpnmhFGiDnooo9XTYq2JRkp0ApOB99m5kKQYTczSQEP9yg4oX9blmDjcCrxlUYxcSAhBHstSYs
WtzFrNJzSfswcBq+ew558poEQz/A7NJ/68GjC9USkDeUUqsQ8hCeDisTGM25bIfiMhq7/g6zUu+5
GuzgR4x01+mgQMdhncTNhJVzvZuUO4UrH0reYfDr4DFxFB5ubQP+beOWFLixjo7L6Wf5+X/k24/I
t4r+6W/V8z8NR57aKC5CfCp+JwRYP//aL6TDIiwKwQSezC/yLe2gf1FvTfsvl3W8YBwo+f8uN4qU
ls+KdXDbsniEXyAHCLmK5pgF8YhWDq3WfwRyeNlVgL8LjIJGIv12Cavgj77tXM41JaregYqe5WQV
se6XAgJav3qs279/m5irn4X73+EES7n+P+X842C0EmmA0yJGReBY7v+tYRoqbWMq1tnXZHPVY2GX
5t1EXf4+5XpzgHyL6jHkvn1CKaM5+S+Gxk9bwKGAsPwayRAbROJdKe3r2dcM7TeGvx2m0dVbFyjA
neVRIKEX3+BtRC7MqfL+8C+BFMubw3dCGWthffDhXg9vWhQoIWZa11mOI/raM9DDWAvg9tVpXC7D
6Rx/qvfHNFkjr6abQVkqtgTZKYE7vOyeFFUR9GHlm9eK2wSOsmcdMEGZkVqm8XZfdco7RwqBwXvq
Qu0+Isx8dtBv3hN2MQ+1g5pi5YaJPmmNJgy2WBfaTw4l/3odgAyWZ7QsJrmJZ+rDq7Za6tU6Kyzr
H0E1fs6dQ5l4kSOTYENe9aI8RDNoM0UmcEWDtQIqkvIhKrU7CiTyLoun8kynqn1+f/ZeNol/jeqz
PUAhMbD/CkngGMJNAGXI60QO+NAbc7yv3SL6QWpZXyMGQQJgV/JSkSWAQ4/6+IPu158b04VZaHn0
9+m+Q1N5+fEG3y9Q+dQ4mRiOvomXDTP5RH3hUMuPusJvLBRL+uyspZPpAmZ4ORbGz10Brk5eo9Ok
bwxETtLdEMuAuoxltc86te2nQTjL7iT6o6A0slmMhNg7SVF/eX/i33pxS9iclujnWn+sWhO1SL9G
0v66J5ao0a0MsvIcxDjxDDI9/n+xSYgPl33J//4EecE8FLFhDeZ103YQKgHVI+EU6vKsd0V5ljeJ
fYC1XZ7Vdcwqpx8kL8lmQbWTw0ESlslcnhnOoG/CWi08d2FS/UuRI5Kdo6+iiNSTn0qQDD6+0OOp
D387270/Za/a5cfF6pp8P0G8CFLrdbs2ycKg9yZfXgdBIuodHk7NyXHd6C6vHpuGZl/mjZx7SFie
Ux/1tyFebvG6nXwqx+g/hqs4tetsP4/0PeH1CDqAjdA37z/nG6cg/TkUrQX4HBukzst1ZmizHxCJ
kdeK3j6kjWWaZYWljBSBvKuz5qOVvdygL45AgB6saki6aEvQoX89Yt6FZiIoL1+jxVKeqS5XT4Gv
l18szAfQTqUVZjmtQ9MuCKhnDAm8l3Gc/NsYZ/EKQMHUPVslSXwiOAGEwSbAPZGDc1kTxylquTVQ
EyV1gxLrlmeTtLxzImr7YLq80Iz1yNn708gbvH4t3oTvbLFyIWKA8Ho5kbOX+ijATuF1yfW79mko
N5vENZJPtZVNHbqqi98e4kMJDlLKyPAlGPIg2vlRGKMExc8WtJ1wEDITcwDd0rk7bOSx4I6ctsf7
T4aTtUK1EDFBYc3IOYloND5XRh52G+Fif7oawylSdAxQp9oAbmFnJO2IlG8eOfTbkqyEmVcV1xSd
ozMPtbxz2ufl5ZAEbk1DoBHQQRAtf5DAiT7Jcsq+ibSVG6pRoJSRbqMjOGHg8Yxm04SL8BQVm7jj
/j4FKZBTpbMS9F5FRB9QR/7CIS7RPcZvz6uRtHWN6r4vcOXbWIHr3qK0FqFmA1CbgiRogoGCYdjQ
gXf8qVk7nel9pXfbeDTF2y49mfXcmau6B3FyMGs0IA6BJ+1zMyT/pJ9F2oIV9+00DrJfu1AZmmtj
RIcFekZXKIqmJvS0PAqrCn/wPGvW2rejYOMlo3+PbxTXbsoacSfk21cODL9tTaof4hmDt5OLyABP
Vyr11OKvGK+xWpGXhIAcxEPFLdDGE39twiU+2gRWYay9NsjslcbUzF3UmNOem1lG0sN3seiFW51a
ZDjThWOViKhpbOB24QTjBwhXrDHcCOMIDxa/++YVqYN+mBmJpQnb4I1D3bsx7WbXwCWCx1Q9jkLM
D7LFwdgcPE1DxzO/Th2UIxXX7R6cbrAzZ6v8O/db9VBaaETXThU9s1D097APqG3NUVhsBPWsah0h
87ZvwkptcukOaxYWukNYORWahslkGEhIlt2zTf+YAnkcVnf0WEgph8JrU5zniszP71wYSZSpNclR
6W5yl143OPYJVDEis/SxApP/l+ZoKtTEwLHRo43R2XLyjZdKv3owogEhidxPk6LZTPWUeztDLMHP
rPRNmabMNO2s8gyqJ8EQJ7hNAjy61hawTzWhqBdkn7XR8sWmoONSmCarXw+uz7nil5wV9KZRUo88
+Ps7m94rVpYIdj/6TcuXBX3KR0VJ2lgLgcvriJg07lxhy6dPB47s2A6vexx1UCenc/wU0BulbieI
V7vM4zTKR/Wkg9m/H+HgPLdzZB+cHjtfw+YcomSF0n8T1e0KFafWW0P64cdPteLhyDjKM8K64L53
qDmkU16eYd9q3sEQWf4Q1rPnXTdwPnOcBZg74XoMjER2/Jtw1rwT6Gd5aYqlcDKjSJjuPKwCnxqT
m5qStcWfaCKZXPZFzREDEM47D1GRP/fdUt+YyuFSjw1O1OMZSQznnQeKS9RN6uYkKL32GUl9ptJv
bHnXInbTE3DwtBisYYxq1aAXSsJOyKsqnq4QOuQf08yxm09FnjYnYTjIy37miww2keFkjvJukLO/
pd8z3fQx6YaVJQg1BybXc6fxS56W6HEymXuZT7wUW5KR0mhon2Oa2TfJ8k8DtXbahAnRp0gH9eSh
ub8FY9A+Vxm3LcZO9WOS5kS/GnDGzTFQmNMaWIJOMufJ1MT3izj0I+r0Pk5VXvJsW5Aa17FrWYey
NsSliNjSThmIyxZR/ZL6Gv3Ltbk8bVHWXDxtiVNWwBOJRBCElyV1byXT6hGOEbc5FrpGsw1Mnyi9
nalJDNRQykPdNjz5wN8ZVlRbsUGojabI18cAp19ClUVx/fln8oMHBJOGK1COvuxEf9A20poGQOX0
9gU1GO88yhVYJBfC8p5rhwesTJ3MK88oxgS0ugzQwQOuTk1y2UIyUMisD7pZwiBunm7TjNeePbbP
md/yjarAI7jjt34ouYDxq+VsK5dUJY3yeC9xSGBhOtbB4UtfFq3lHnid8swaDOcGWy96AxBReNqh
x9lhHLlxu2V5YtsjL0WYcDOlyHI22wSt8yvbS/B5qcbQiE7yKCAHBFHCqsUMzbO2UPd4mECxgNE1
Ys5Advn3tChczJO9GvXSWuChS4UwXmVRpp4gszCnaC7x/sdDIMV+/maKkeKD4xr75w74pwMoBzac
swxPY8hbY3RFONbJ6jGRZXmGe2FzQrhf46pp8VVjE717uo3LPIyEoBTqgnsDBZArPYXOU0P/+iyl
tpyjx0qTbRMqdjxlV57kuBKBTcj2bIw5AhQkfL2VSOMhURHWYXvl68BEUh2SUkCb0+ZoMqHvnOSN
xBu0m/H/6EhH2+3sUHmlgQCQin5UmN9OIlFPVpLg1G145AB+Qhpia08CPW6YZMtEAhMCcoKH4xT7
1aMTIny1ruWor45vyE1EjNwunk8NDfj9MeGdR6N6nKXFFg1JUWOObrEaSWnv+pp/SQuGz9ItUdrs
jXynY8R4vDanWbCiqsywDpYX8e4I7vnnhekhgNKb+abpezKZZdZoIWl/k4wymzeA39n0i6M0tlQ2
6JyO/VpEIQQ4QBQ3Yp4samjWbO36FoN3JIBCjqM4ZXMB6Od0jNpGIZDHkgc+kwb6JoppFWzHwa1P
plhl+Vb5faZudDMuruKjnc5rOgHqCcM1Vg1/2r8vtCBtxVvjkNblYnUOUD87zRF7zbdZH5n1LfLS
KPFnQcpEz8vlEifHs0+bibEvQ8khTygSLim53ZGvRDlr4jgBP8+iJXEfEpNzYTlYm9Dlxjmu3QBT
khAbCkiM2o2nr0Dzg+vj+rTxjNwnFAL2Q1Hb6QWFzKWoKXpkdRXOalE4gan8uSByhBt+VJTah3Xe
DM0J+AgfOnKlnkJEZMDasSroRbEpMLKRlwCf2Mh1IS8TtVQb0haFy7WD4nUB+KrgJIKRbazhd1OE
aBTNgBUAbLKqkaYI7DMAV4098t8mAqFmw3kvL6XNK7Dk5J2KHNy+F0sCbw1ZnBsGIou1KysWTZ+U
nPZWLD+h0wNmNppZ1MKQUP+7kUP7eAICSoJAuoDN8Z8IjOX6RpAFySl3ZNssFxAd79CaxnUFPgNr
zLAZgl1tgGvYFv3ytAntOY2F9sS4IcSzm3yyG4AjpGr36FUT+KmQ9wZK7bG60ZkzQB42etFJMHDR
G3Be1yddPxSYobSJKGla5fISqClPocACztz8JatdyGBu7jrVE4SERurfQ7nE76LSy/viW3dl96Z7
23s6/wSX51tkBNg5+EmLAWgtVm7DyT5CHvgRWi0mQWAZVpZDSr0eSqQfLM31mND1rtdTDL6go+Tp
E6FMzn2aTMxzXPFBSzXOem/0ibUThYfnZliXUNbRuzmg859c0AyXEi0GlR/I7PVJIatiWmdVBWKj
tMofvs6IFxxTcxgSZAYr2kUdTVrdduK0Xg7/U6QPKET6UURM1SPvszGzIjsYpUkVhipbD3o3GI3b
MDH5PIAq+LXG/GTGt2GmGSigUdOEa06sZjn864EYJ19Cujry9A0gEyI8OiLojo3smSVRTnEfPxst
n63qRwAR6R/weBghU2wyS+IDOxh5Un28TIKIc3tWcZl+L4kxuV38yt8myx0ujSS4D7yAFXRMDEMR
FtUpXSXI203HmVY62g0wlkGq2o1K/xzgrX0YK19ehlr599Lo8FmZJ2/jWKl9IAfjuxaOyf3ZQN88
6fOQ02p2YvNuYOT18dz0cVe5mn0uTPzgCvZEtsSbVeB750gQxPkmqChfjdquHhHMw3oQjvFTU7OF
OroE+zgw0lOjVDsnXE7meS65gcjtohNTRfF3e3BEe6ZoAl4S/wkT8Gjtnxs/I4yaGonBzZynhWcf
cKiHYk7CprsTSDiQaum370vUCneZbZoeuUqnngRYyTvPk5TslM+pRJ2HKXETg2sjCEwyidzhYnHQ
sruLqFhvZgBeBxo47Ic5XI6DY8isRP7DQXpgRZUsF2hQ5a63dabO3DFydBc1vf6sEUo5By4Zf676
MMX20fU5ncl25h0XYo+JCghxExJ2ZVw1WFwh94jOu7e1GkufwEE2vvWVpZ7xVZ2/Q7pFPDnTLeH2
iPg9cZVJ5aIV55KgDMV2D8sMHrfZ9EEARKmugU5v61LXwAw0HqJLGzFMnPhLXnXhrUOMj7tujgJ/
2iqxR6VmuvStKvgcGW76rawnfhK4GtDLsVH44dVcGGSsKK6Oco02IYgMOLjO/9Tkvv//UFlNWznv
dng+Nd/Dl92dX3/lt+4OAiOkb5BRj62cF90dBdnGQ64UFgV/6j8tHucveq5UGeiHuIJmDrWrf7V4
JOJySDO5WMzbrk0F+J/IPUGyf1EuQm/KpuFBbVMJzn2PeszLclHa9nM6ogpCuZa6l7+2oFnWq4aK
yCcfwJeNmnLN/VpmAnh1ENDCUatxiJ11GgzlCFbAcmS1cqlHr9ouThfhfqAZmf6ivMFIBW6aDd7K
Q5ECNi3EeAVYTjznAnI9sP8Wx7l1gx6SAGEmS7BQZQSNY9iXPgrMeVQniIcW8ocVFqBe/Lb2vhom
R4N2vPDUpSpJ0hIiYtC52Q2eRsEeQMG8sfxMfErTuBzWtIL7fkX0kKerOasatZot2/jsCuOrp51o
A0QeGX7KaThrATeK5zk5p6QdH9xB9X+PhItbW1T+AldzopvG9VJkoko9XQ39HPibyhzzZmtVvDFn
2sxt1dZZtfHRejurg3QXony/7mjPfo2BGn3G+jpKLhX4tU3LbfopbgQ+JBOmbkgmkw+sO1BwYGp9
7Q80nLp4unVV1xUbvsT0EEyIYRqw7BGQxRvj1rUtTOTbEkmMNbD54RA7QXQ2j1o/QIGXau/YWhzC
whq2vpO2xVrIBBsxt3MWY+/Yqr5MjW7WIS5I7dpzh/zUaAuBfrfCnwmfitn75KWj26+sbBGjSObY
JNnTaAdtEtViGuxk7vTY4b7lXPEmi0x6OuQa1SCoyLHoqYYs1U8cCqMfKAXZWyqM6Ukb2/1uhIOy
ATvfY7EXudf1bGsqKhEW2SZ1o2vEeptTLLC4bvNaXhtYO2yLAWBfYAOpAv6lnOflboTDWfaXriln
ou+fxatwWipZdYH+O9Zf1LfEz2IXaksjpS9fkX95WyYCgDfmRch+2ikqo4e5iCnUCYvCKfpgXuyg
GJu39vmI2jkSLVGB0iOlMWlbNiEDs3fdg8SKAH4N7m1eFQDyXapoFdgU4v0VeSJSG8f6Y3OsRVpa
I2TkgLIvTxO8ssn/KkwZ89qdqjUlutRFd2rKjfOBmla7DjxdXraGF5+jehOdOUExPpk/C6hLLXWq
inw66GOhFURGgVBJ5ojoBP1/lC98mCOSBBXs6no81m4F3hm7Iozjq1jTn1pHIHxwdWiCnJ0deC7R
XjXF5N9J2RPLEhcM5zNw0npjGra1LulLWJtqyAe5FsfrJjlePc7xGmryPncv9JyPl9lyYzWp22+i
0AoBGWJqM1Bs5oZD0TW+NKhJD5i/LPcg/Txusny5Hs3looS6VYentmhvZt2hvej3xjfjeOu2xxvY
Q4ROXXal1c47dB3zbhf2U/mgqfShp7Jc7fPsmeXeRpsMZI+wl2jdKJCA4CSabu0absjhV4kJoWMH
GHhEvusmAWkimrw/sL36rJY6mRWrltA7NYfqZEwjWR6aYKKsWRnIgFHSv5gx7LuGR8B+DGzKIdsE
wZCV6kWBt0Kd7GdteacJSMIULytD63MtCShdqy2Qwa2adO9hsbPNZEgQHvOtSlKDOdmYkCmuYYCJ
YWf1IHgdPzHPSocEyvKIgrZGXNFGhegv76oZS0RhZSbfObXD5GtTu8lTIjrjM8WX4bEVGlMW2Ec2
e83Ww8ZIIFrk0jG6QxOGsFesPmm32AmGzRl/wAalB9IrW4FchK2xcpDhALXaGgrJbOqmCgRaMmUY
Vmv46WuzdRDnUU4TYqA4VAPiV41VboMOBY+ORIDgHC/Wqsf4jhLKnSRHuh/G+YvNEu5WcbtkmijF
mycOVdNrR8VyE3bBtOnMqD64OOqIbUGpfZsZCm/jUo/6Bikv+xIgX08VvHFzeTGiaXUxd7OT7L26
tB7qTj+EWg+UKZx4lhsZB5m3HgbRtaseP7/+Il9Sp3mSLbJ9JSJxFLx0eI1HRgBzC9/NaZ5Ocsvt
XJVQ2gpwIEaGbPQubYrCP7ty/0PMfICYkTTp6Vb/v+Xqd2iRxc9Pv8Nlfv2dXwGVJ/7iRwhOB+Kf
XyKZv+AynvsXWBlHEW0Bp/CBBfw7oLLkXwI/X/JGHkAgcElX7FdABcYGkDsav/TyXQdgrvonAdXL
7huBHPgR7gCpSOAdOouvWvPhuFAKqrI/Mc0e0kIGCQxCmkkZzu7R61u5qinOU6ePudQXJOFvc/UG
iOZlS1MRw+E15iGKAgkYSMRrTmxdh7OP8U+3H3uad8gdOFsZmzDa3Dj/ADTz5lC+R6MWoBFT9woX
gCvpIGUOsdeWVOw4iFAog03IUYXn4T9/K6bStxxX8tH/0OOQOsXp3e5IzjXFQQs2VtN16brTbn94
f6iXyI6fE2jxTjadjiUefvVWGuZfmikmECgi0neTeV00WHfrgVpqEWAUQPdqVQdEXJWAofD+4Etn
9j8QqH8NbtG0ZRUTRy+h+m8QqE5HQWBVXbeHTkTXGDnTbSHt+gNUw58fTpmsS+Q4kG9ZMCQvR2lD
z2qHOuj3DUCshrVZtEjV6NodtkmVU3F7/6VAr716KQVTnMSCLIZl8lokQmGKiT9P1+/DiaM/Spvv
FH9+eGGJhWmWE9kk1er9Ef+cRmQ3TAR0kbJdEutXGQ0uwwmwoLLfJ0IBsIRDyMfyy+37o7zKm9hq
jGIDhvKgoC8035fTSN+AYkqd9nsL/zoU4Izz0EAPTsJE1SJXH7zTW7P4+2ivPhoqvpToVdbvvWGE
Fon6BMQukLOLk13p+92qSdOv77/gK4jYshwVLAB0ysk0fRbkq6Nswr/eA5rd7SX87082hLD7EODr
wSln76QvqZv09Y0LF5aqm90+Ox36iNQ1T/qwKfdD7w/bHkfrVTO61TetLeNAs9JfmUFX384I2oD2
w/o7recPDib5xvcHI+QuSjoevKDXK85rQ8csO7ZRPGK+sLKNkeBaazVsDQPeatzKel15FIYtZm9r
Ztr+G5cdKsL0xi9dOEXrsAr9TwCwfslmf9P/J/xevnU8v/lonM/LDif1f60aRQPESXGk6va6i7YY
zypoCXB/as8Bhk4P5jNWyMka0oKPlmaGD4Qukua8DfIBeqrGlmRYQkx7IY9MUKssWQWboCB7RiQN
2ZXebC5NZzYOpPTlph66bjMSuq3rrvHv+zE27rvBC9a+FdeUzQ13Z1kmxH0LKkxf6lMY6e1qNDIq
4IFC9TBTZ5Gdfu4hpV6i8gt03JrTXWP18WY0uk/AieeTGofFFb1AFJlgfZ2LaBJfDBg2+6Sgbh+o
6Uc6WTed12FggU3VCcln94mfXOzeX61/bhCPFWuZ7HruYHQwXm5HjX5BD9ydj95GlzDDIdJ54gDz
5I5Evdr2PWzi/2JExWFNDcVdzpuXI8JcHDx/Trt9g66IbO0lnv/mF/Z5YxU2tXXn4f3x/jy3PQCD
ngsiFwFa1D5ejteGKOvxbbo9cTiNt8EeDyHOhVvPbKbN+0P9uUxRLaIAtcBVFnuD5b//dhGFyH4m
41ByC3oDhAyjlgiLUBX9L0axwYJAfLFwQ3s1gbkIjLyDS7A3nEZgIeP6xgn6q97V+8PIlwjG5Rxb
NJik9IgWKcO9RkumsQE7q/Ixrday3JS0UXaOBrbgtAVQpKB1CSlY+MK1wtPG+9KY4b4EYfPRsWQx
aS9vd5C+FMOQugWyDar65aTWMGrneHDbva0zdzsiELULxqTb2WNHEcyyZ/sgC41VoSi/Z+Xo3sCy
GPehEsNFPs/WqYLR/sEXMN98pqWUSK/UJ2Z9da2EtmEYQWS1+yLsi4No1NYX/Yg/Y1dfBi1VoMjt
q8dMsZWz2pg+9VU8rR2s2ja+V5QIWGXfM/KnSzj2qAqMf/eJYa7ruKtupwJ70KqLoWHj1n1aTNml
IbqPgou3X8BHjA8wKKDBBQr/+0oNZOPnkzcyqQh8IkBe7frRDj8DSePSJyXeBC0Et9x1Om6sJj+d
ovnJo2ePyJN/gJscLAKoA1SL0r8uZ7e88+z5+6yC4pTOsb8bq3DajClMZSvpsl0T19UH4dFrNZ3j
6iRh+fcbvNoFY4cVb1hOdDBpL6KX5BenHSIJm8QQSAege231DlqfiaBIAaukRf7ig1VgvbkKqEAv
3gPI3r3e7rTq7HFSfbtPjAjF7j7z1FfCqisXn3C8c8UzRRv9hTJb9K1t1jQjw3VSmqiFLkLgQ9ju
TNGWm4ZyNZaJckQr1uzBcTHgXiukjqnEyO9TISVHpQsRE5tNkZQbHCa/4BHXnOCII84NJbOTuSyf
3EHcOhMDhTYwumoEM/bBnP8ZunkO2SDgOMzMBNnSy0WzRD0pYIR2XyfZlyLYg4XMNsYsqD7Pyvog
Tnzj2EbCi8SQuJ4f/Fqaqc1SdEk4dPY4oPzwY49SmxySFVrN/gcjLbnJqwOGkXCO8BFmpG/wajPX
QdhXbqBYSU14l+J7+CXJFiQZHWcHinuKybLAG/o0cIC7vX/GvnH7IgWH3ZuFKiYtheXRfrswMMBC
iAncEcoQ02PQeVeoN98ISEpo+X0l5XU+uKCOsecf76pwnpPmQth4fab7g9FqZJ3aPWl4cdNbxD1T
gJAKmkpra5i/iyC/K+MMS4qpIrix0YhES60BoTp/8OpvLiZ4ONwsFiDr19dy3MP6jQb27wgscSMq
hJUBdWJPE5ewzqPkx/sz/cbV7ABp4jNLcm+S/JczTUkwXdy7+MgU7/dhhcnCDDH8gxzxzfkFZY+b
7DK9oLJfDpO0WGuDo2j35MjN2ht0tBkKukNO4BmHsUVhNBzsfoPwQrYdacqvqQZkWz0YZ4jLfHRG
/pmUI/RKVkhSDkJTvd6v49SrOWpTHmboBF0EN9y1zXwxDQuxMJfGuoIauI9csLllihr8+zMu39rB
RENMNnG7Z79ea12IWblViAaMiR19rdwG/OrYhN2nliZLvhqdEkkH3EmgFxvTgv8aHORHNtAHMe+g
wI+g0WhM48UQWWiFm10HjFqFH5JS3nhMD/E+ZAuFS5xz5AH8tgcjmgUT1h/13tEBxtloym7tFhDg
YtDywZS8MRSGjLYLLYQyHHDel6sjBkRW1Y0LO3gO8h82AuTXWDrDnoSS/RHX5s2xWIkCpqLFgK8W
fFVUc4eMfr1XZtxc+yhD7soJXEDSLH6X/y40vpGdvXGIEe1SFiFERB/0dd6IZHZI+4ORYkuEG1DI
1S0OceaW2w1/N53jMVVG/1CIdbn+cfVxFs6bA0HjNZUoRHCs8yNV7zHAAzK1sFHjBLo6/bSP9E99
9cZFT6QhFuVE17M4sV5+Ny+1yz6cJUvEbqCCOFC/0QCP7BGNnjwosrUD5GbjEJNn69oaRmNH5tjr
7axdK79G5I7NhePB7B+CdsruzWoAiNgUqdeDtssc6LbIfT+VozIuUstT7S6MMtCyLR00yN68krV2
HewON/6gRqwhLGFNZ8qA2B6jcTRvS7uhLRXScrlzepMaPo1HZe4SmWN+Y/lVZD5g8h7nSJZTLEFC
igwmQkmiAZkHrbiJPrdZKadDVlBd20exzO2tISp5ms9aG/sWQGt7qfKi9y5s+pbBNer0WbHj98aI
MAfoa41FJfYDmyId7PDCc9H73/R4cie7Hm2p2wGFheC0KYzyRDYpcKApbMwGX/b4Pm8Ry4QAbZfJ
wQ3HsFp7fQmeaUppKW7zaiqa8wQNGweAt4+xxb5tEaPY6EHRWiqHKRBnCJ8HgroDuKVNlSPFD5ra
88wntw2ol7hBp9ezZ5fNLcrQ+EyAn0mmqzFwh9sitptuOxm1796IMvfCLYCysF/gj3pXe9qPgZmH
0C/sxZhmjfqEvy8WM+ltFizlPwFsJ13VrfI+J1GdrXWWYwvU2hESKklVqZPc66+p8+76QVVfAvgZ
DxhjiJuucFB7yWEBGrQegbn56AdPu6Jud+h7FDeBSxHVjqA+0V/dm3aKbJmfYgzXD6cWFMu1WbVP
SerYNM/wre4Tbe2ASYN+NsYtlm0tz9C4eyQtxBYXCmePFH25ImIGWAf25ay1K/3V7cC/2f1EI98d
nubaUSeItOFGrqcVOgj3QjhbCE/1lfJp1ktRxFdI08/rXsTyzMuz6MIa+R5kC8DawdNq/ED2ypDX
SC4sfWUdHAIoF1jRpD1BRevCl7KRYG3dRVlAH+oOd9h4nhS/pJ9Sqkt6tJvTVGtzM4u03uoOR5gk
CuCYu2kOnCzaxHzZq8Czb3IjAoU7etFuntGlmIyu3wTmZO5nQtebIMyqvyE2iPMiQmV86moHzaKu
+eEYNao43VBtPArWcNNLdWgyf165iOUdLBGbh3YC90SR4tSUeherSu5SNSFV0NcPoIZPXGXDY5oe
lA7w4kPYcNX0wUPuGCH29GnuHYbeLXaDUQebWRl3qe+hyhBYaPiFpbcVaDHwHWoUEBMfQxHyhpu4
MYarOkQQsu3x6Rut9hwlAPraeo4hbhTf23qsTjyri08wYMpPitwbftgtWnsLqJAKVzoAM57WfVlj
bUVqboqFWVritXCHSSpUSpPF8yU3wfxuXLBfKZcph0QS9uNjxdxf1iOrDIuQYkXH7iD6cEIAtit3
MCoQxYKQstVsiG0AGmZqz70JYcL2cYoat0XqDlOpEW281mweDQmEMQm9ED1HnnnvGmb5Tbsz6ngW
gkQ9MmKNC7ejlO5C53KQNUhdD+2ibPq/7J3JcuRGuqVf5VqvGzLHDJjd7gUQM4OM5MzkBsZMkpgB
h2PG0/cXTOlWiqqSTL3WosokWTIjGAE43M9/zndAwByQZwUFCXWT7pTik2JEWxWrxSsHfGvZ9OXD
tR+VVZ7ux8xR2ILT5kofDW9Tp0xJgwlzGNzRVnxzRMR+En0XuOUiigvJQ/Z713qxg6c2rsNstFPz
iEPSubWgc7z7iPt9yC6g5PAdDWKFY3C6Z85UviupwGXMZas/V5OrVhzR6CGFMPCVCq4Rwk07bzt2
LHfebGVfBxq7uRiLaV13RnM4p3jDdKL33bDM9hEVjjFI1tLX0w09V0Ji+s1TEnvN90bS+pvDmnty
GyPdZSrqir05dfmGuqn20ca/xvmwHseVE9llt+oX8gwBVWt2mAsLnKxDITr5C3PfN6AKXSTkNadS
X21yzk3lrgSPQJIkjYeHJhrjZe0xPPYCPx4BvTL0b/ywZDS4l1UCjmFkHTnEfpbcipKq3doFibNp
+Ti1B3pO+BVdmfvJRWwsvFUnHx4GzNvjJVDw+JR6DTAQuBWXdYf330os/lYTX6QlUud26Awby+vs
NgeiTMkJvpJ8Rroz1ghn9oka9cZZV/WZtdJP+WasJ7CVrktZb1HIwQ2lndgnbqKGm4pvFxG+OeSl
b51wAMlv6pwdsxZFyCXl806zfN4uczVvwSilO01Z84XGpXktbSW/gZs7+8mdhaov8hjplk823dlT
yV+rkQrWldUcpJ75x2Vo5bduluppSPhcF9dtvteQeKiY6hM+1qYqo0OMGrHtffym/tjaJ2tpiLIO
tR+fphSjL/tdcEGvS0bSceIJPJoWBuER/tuRXmxDrkZSTqFG3I4WqSrJKlaoPiJsVONsl/psn1K7
ju4lJiTwon39jLs0X3WkLEj3aUsE4dJjE0mhkbHGt90cZiWiVaz1w4Uq+eXJFU73tC2xLsZRujMl
Py2FFp96v3GAyZM3gmgCMelkmU2xV3mEP7fzEXFWKbihA8YR/kA0+F4Qx2PRrbJF0hq1cJ8jY1Xt
4wyK7h07VPvqxpYNi3SGkq/g9QUJMT/CiZlh36ZlMjxgQO7dkMLp5lDYIr/xOiXJQSTOreYvVCPK
akxOhMoqPQAlpZ6KBhOyR4zyQcgpvyGFYZ0MRcjFBvl001gDL5Rr88Z3Xey0bDKSk9XyqQHtnb+I
WJvfxYJ7X5ssmB6I9tGNURJBJuxYHR1z5G+sl/yGLft0jwWofV3GwdIOi0ISX1NXPb+7EpkPmArA
mAC9pVVBRcdaRU1f7VLPmlG9gqnUiW6shCNXIPu2mfflgGuN350racHmwdLrWFxprFnJqcizmt5m
+g2/aGaGiDuAoEVKbT3saCQLvSr02+6dSm7OTIMos7Apx+YdWJX+YMXYp4ex1d+cIeuJxxlTQ6t1
sbzXxhnE7BgkkkNFtdUb0YKFzrfB5dqXko/F4UnebgUYPhVQzqvfwSnUbvwOSETqOsPbJL3muosq
hP/GkFfdQEJ+yiIgqJ0XnyKnSbedD44lbT2T4rgEuz5IV3NfaXH32KRpJa4VnU6s8XVe2vt6poWL
HbV7yZk42kgyQyxiNJCgm3YArgjneM/ksbqrqKTmeSiKYWc5JV8Nj82jqaycBjQ3Tr84Vis3srLa
e5InGNyX5L2La/5TK6VcRYM0v9l+bG8sSXJDklFbGeZUhfZgOjRJyjFgomkBDlLch51Zzjd6CUDx
w7xdWTjMjeJs7dHq2863Lkno4ZQUIuUso8hG9H52RTThIPpkOGSlVLwsLk8x4opJXAJVDt3y24nI
++XkaPJUzXZ0S0lkvQfE18csuqCo9YphY0Ogem+n3WGYoW2l3JuX2I/VsYrd6hAnVO2y1WcL6DP+
Q0J98W1sPblLiiavB/N1KKxDkwqdJc3j/wg2rStMpNg4rYtpyqxH9tuCYtup/uaP5zlT3W0SlOV9
E9Uu0zKaUXYD5W+P4IDjG1El48ad5M6pi2blj1pKYL2pd964vKD/lV8xgC84unERscBYMQs9J5zQ
nWeLzs48b/e5JkzqxDRMo9gCN23f2xdlBLrVKozymn9wEeUjjdwR3EJz9OObvuVFejtyv/Qw3gOE
aYp4Xdzzfuo7D07bFbs0dR+mTIAZHGJKoQRbOTr25jqo0zG5TD2Em1o39lTX698SEY0beqHEtsPL
uPJS3HbjB8BbUjI/5kiF8UwDK5sL6zGz7G1lTzUk2IwFuM44ncZO41P/5PvvQ94bj5O09Cu/9Bdc
C6V1J5MpC2mptM602vOv1oKXtl33eh74luyhncB+sC8kiaCoSJ0m+YapvKAhi0QEzDcug7Qq4pSq
skqyrMkZWmmJaXSSuKgYIAQ+Zi0ygw4besxoL9k85YeY/ukub4ossC3tWM/ZdL0I47FLYRNyK25S
c8nYqNk2GzK3vyotO7on2cg2g/a1nCUwCyQBlxtPqGVFeNK7aEnPhZFI1old5EFuKvtUSpuYcTL6
OkOLYtnPcz1cOph6K/ZoWs4N51QHGU/ZqaADrCbqvcDIVqriWFpoRFoCZmgDkNsueyoNy9naOgI8
0ho5v2aRSBp9qpFSo1TvOCNmc6pzhzQPaGfJD/6YihsYAwdFlG4XDTBKySBfflBH2ooK6daqSbwx
4IEj23ZHdF94vW220yfNfwJtHHDOeVF1hduWftSwkc7ZLFklZ8x0pz9NRIX2teF+0xfnLVJ188yO
tXgu2rJm0WqxMRe2tjGHPl53bl9ezw47FmjBOkNvogxhPEUJLlcx7QajHNKDZtajtRpc0bo7N9fJ
xlK+W5+0McaOV81ufUK+gUFF/jSuGQMULEK1bmfPJSbsa6PxymuHlDnZ5JkFNINH9Vq0hvhWtVny
2kRQdUMDq+apwQVwsPGS3oLgxt6p2PHwvaUccvD/AR8kn2nuC0lWeTkTd3haop0txTl7FSNI7mvq
Pe/YH3MypanFOsQ51PkS2ulr27fn4NXcl+850bGEBsouehZtpn/LE8WTvraI9bXwb5+NnBB5aEWp
5odyidpXePq0u4LZ9t31ktsUBTYTC0ObTGO9ceNuqDeWP6Jo9LAosyCB/jkFdVXUt4kD1Js9Zh09
2zp8isCXE2kzSH85+FtMsMSzzbnLV0PLu1xnVDmDC8GlBXAQs3cZZKlVtRfpYnecG0U16Ek4SoDP
Gzav/M2Lht13b43IjysqN2dtq83nLQCRM34lDlP+MUtg3a4cVbJpLSKHbwnqjOuEFGRGz4MasCLH
PYQWMG52+W70Pa/aNyYIntEy/ecfH6Y9aDF2bsaTabi0Z1yLq5PaDjhP1FvTt+PQbMif4P0+iwKQ
C6pbG/9YtS3ACz6cnQWUVVb5lO+kjgp0MsCa6JvOXuyLmUqUW3vEUcFXyLw1pDuJ3y93bfQQJYEA
XrS4GIYthFU3ufSHbngfHLTRoCeEn1w6ZPDv8nkwtlVfVY8lpKjr3AVhFkrpiTsS8O1MRzu8g5PV
80vvjEHwHtmV865TaOWc8uap0pj/1YQC+U64d9H+k5nEFGRDrrmOP7+A3X5NP6KGvFn/CAyvfUuz
Niu2fq+IGPX+uYNR0Go7hYXg/glGvs5lV6H/Hca01UTAdciOzk4sWnawMCOiKGYrYIGb1Fbc6rCe
+FmN51cIgRH8ceX12KoM6BHFKRngazTnLWThVmC3yT8l93omjHVT1OLATJqkMi1F12XsTUe8TOnD
siTjPdHA4ccY7B8P6l94UHGinUcI/yMN/4HadvU2/tfl25R+r3+2of76Y7/legRVc8LiXAY/xsF/
hS79G7VN+L8IOoSERW6HDqbzjOZXdJvp8kPMqv3znJW5+1lj/tWGikOVdLhO+zuXtvigrf3f//6d
s6j99O8/09TsT3MiNF5e3iZZZKOI+8jnv5d6G+zMyxhX2VEZfTq/4N6y6cW03M5aiwRbvM9GRgF6
36UwGUqNxwy7KkU+wq12Nc+1raO186sy474MkVBt1K95WC4musXfGlW4qxQzrVqaXdVxfiM6mxfj
bN1qaAIee8WhN5D2XrnGOVaKOfZcGw1wyRL/xP6yc2nu7gfdXEuHM9N8a1boBKFDRkZ8LcyRJ2iw
WBqPA5XUoioPKQItk3pXC4yhtOclhzZh51NydEgkS+82MdylHnFO0cVDq3dpdQu9tERl2zt2+I6+
9jKACuIxbfB39cRiBw9fOytgJS5SPc379SIaQrGt2riNnL/Y5Epd6Bpjxo86s7Y8y4rygB89T//c
gH9xA5pMPf70Bnx4U2VddT/ffb/+zK93n6v/YjFr/uGw5vI++z5+vftc8xf81+fxN+N9yE4Or/Qb
ONH+hf+A3cg4U72sD3/4r3efZfxCQI/WLe4XUFDYuv6OCfzTzWf43HQMWc7TcGbCEK1+f/N5Oumw
lLKGnUewNSgTNnRZ3JjBT4vSv5lXfZr3WwxFMZo7ZAeZiznmZ2dB1NN+ZNZxtOsz8vIcr5E0POIw
z1UHQYX6BfZYS5OrVc0E7eufv/b5+/rZbPDx4ijQ9Gnysbl/8IywjYN0n3v+LrZ8phyuajnMTxRB
lmclJNON+oVmHkk+rUrNVbvM6dukdVW1dpRjrqB54RokIL/FkFiw60AHo5orOVFQBOckKyiR6WYl
1y1Q+cu+daOb0inG1f/HL+Hi4dVtn0CB8XmOKZQlTZpz/B3CjLGeLPp0So1je+qO831jCnatek6g
Xitx3iCrQDo6qwZ2TXdR2LHb+uJUkGLq1vMCMXB49sEIcJDLiz0JPtg3mHXvSiwCm5k4SxbQhvX3
UIA4LbgI8HDjBmBwieTwaZ1vLbPvZ7DmrOPIKUosRUDyZ2Yi8FfOg/Og9SfLxY9XAgLIa/JcIS7x
+4vaHvS2lDqvNIDr2DGK4MtzkL5UZzbXwsYD8Offzqeb6OP1mPcyjuUSN/zPU39Db8E/aAWvFzP4
ZUVpUSmhcfz5q3waL59f5UzGw37oUXr3B4Ckr1guilHzdsoY0y3dzu/S9NNd3np3f/5CH9mLT58f
TnjiEh8umT8sCnigDH/kGtwx2Cz2i9sa68TnmpnnM2aoJLYVYLSGIVF3+Q1zBO8ocQvTroE2mICo
vihtu7lWs8Mm3Bl4mks9FTiCdXPZMSaKDnWBQIzrZL4f0GGoeaHKRoNKNPIs/BDbkAV4OHqIqK3h
tI+jg+r957+k+UET/N1viasLMxtuTpzjPtuF318lkRGBKVmolxgzk/oFTtdMQ6N2j3KYb+q8NQJk
wXdOT9rKzjkKcvFmu6LM+s2gy24D7l5dyTwdmSVDuqYSSjzqJH6vbH+2nt2xLB9thHXFtORW90tE
Vtpp9FA5pMwMkdPxtJCs6ZC37yGKGSsyj/M2jzd6NsTPLGf5zuls5HkOHbshhbBDHgjcj4yMtRk7
yIuVP4e1nZbrxLD0bYuEeafAFO0zDY5QpTfoMU0cfYfg7YRlm8d7Sy7DSRb6CF5ucS0IiqASh8ix
13IwrBCttA+hb9VF2OGp2eWqzh86wrhFU1EvA1PqZMPoe6XIoA28IgFuTYZ6a0dW1gaZkxghUydn
pbmLdW0nprhDlC0f3TjJ36We1FOQC38G86cSptEjfd2cWJPpyYXatnJLQ+1ISxX7DPXluDS+Q7V4
7q06Lz1vAMt0PPVd1Xyj0AH8QtOuSbBmANjyNy3XvEutKrQVILh4rbnqUJYO79rRm3Vu+HusPtVV
HUkMLVOFwBErKss1t9oKmR3Pnyf+ddQS0we6Q5tEG+il+RUey4jzLSGVDL7mSFJzvteKHN+ODjT+
CoYrdrV5SIy14PkSZuVobo3a9/Y9ycgXFTntl4zPqdp3tFeEjduad7m1qRLJFTEgCXHgNV/qRtWb
PKHuw5STVwbneOw9o+Q+rPNp5KuZcCRMdbzDV0QlmHltRDTIsbYN+66o0fEoZ/OglBmvUEKABTm6
vJ5VcZlGdhJqI3PKIS4ILkc5heRlxx5ViIM0SJtSkQbrD/7nbZVR1hk7zwlF9ruk65jk6su8zpRD
oUxOkreqVtgNslDLHP+ho5JhYyqlH12mT4cKEEVQE+NCugF812eNFnSDiAIM0glLFAldvazOtsp6
utBoN9nmLSLxrHnRV/isM29mijbk6C3qzOh6CvB6DFxcw+iueAwxiYs9B4PpmKYrCjiMrUJLuoAG
VB/p9xShmuz5hXkWlFWG3R7KEGZxFN1MnpZa8A3pJCguZtxQ+6Saip1upmLn1twujjbXAqN/Y9At
sDZGg7mBmzBd6hKMtiKrvitsFU9ZpPevjtvOT+agxgN042EPaqzDSyqxzwtNbpsuj0I7EsO+17m/
tJmcC84CcqSByNxW31cp6QNauRq610oR0yKjLdO9RT5iwxEggcMWy7VV1FYI1SsKfEILW91pqmN6
lvYquJZktPnXrOpzaoqcqTn4qBQrp+5nDOke8l8rqLPMhvl96NRYX3GKKSCmsClYhlkAqjIYPIGu
XKUxTw5gSSCQRC/hhI6M1rpEHXAdMw6kqXFlJGK+WDoGoIs/MvThRr2aU9H0qzwiEREIWQ9veqZG
wvOIDXOWqe+JO8UbaE3uQ5J21REnin6nCfYXRS0T8AZ0X39MsUixisBhyMm7g17TBL3OGWiijOKG
aUDzlGUmo3WxjKsfZD1bztRU6eZ+tBpoMLHfP+AkKfaoF4yMzsUQRWax9ih+yQa7yKVTUD+4+Bbv
azbllZnQz+C2hP7mEQhpiIEwX2Wkfde+GvjN8zQ5+aIcVx8jvKZbQCjYVnxaXMloKLcWfsbwi/bx
Y9TbK5N3kve+2KJ58itpjs6owXQXwAl5ZmP7YVCqszCArYTAKDtj2YnMoZzK7aMDexXa9iIHmwmt
JgcUJS/QTUZd7IGHh5RKxrVZM8AmMzEwprQtY6vDFNhGlWZfdKrWbmZeIFkRn2d7AYGUtw299HmM
bMb5EWGVG1CZ/FMe9zdKGCQP3UR/gsl80eZ6hnW4qbdtZiwj4FFhXtgTGn7DoqCr3rwaIBJuZNJM
cHAMJxyKLNnUtP2skXzv9Aiv/Nh1wH/z0V67qaB5sQL8kCfxsGU+NCdbPn6YL8rymuSo2rJBHp7t
Luimqp8D6grESplMEI9+VFJjBUesRcj1DCu5mkaDoo8f6ch/Dqx/dWAl/8ZG5j8rRo/AJeD8/+7A
+uNn/kcuss6akAGxmz26/mG9+00u0skmn5M9nGd/PZT+fF5lUkbm9QP0YrLl/u28Ks4UGEa5Z0WD
TTIG3k/q0J+pRZ+22pzi7PMeGPMkTHic6udN8k/W0ajHVGdHzXjVl68x3exJ8e2nT+PfHFU/WSv/
8AKfTJxqMotSTryAl1G3xUO591+oU0x98HSvf/5SH3bcn3agwuMohCBgcPhG9yLL+/tfhni/Tg+n
pV9mdgGZUAIgMZDw5gBRLm/s5zabYu97Avaig2grjVZjygHPMq0ORMebuHyFaeth1Ih7K6H5fBup
+Ixhqvo3ImVgs469AoxgXQhHLvui9bNIMaJngXfAk0d3c9NtMiO1D22X6V+ypsZWNjPwqroQ1D78
L+ZWVEEOTN5J2w30Gq1gA1Jue9v4Rjww+LYqWNEr3gQPqRSaFM+r3jgoXab3M3R7enEafAc8hQpc
i0NamOWF29Enb0/OcuUxUBifeY4jyWlxmQZeZyhq10itn4j8yeUiw3Cq3Y4gWq1qbQ5x5EPdZa3t
JqIQBW6B7cc38s+q8RerBgZpHQfuf1419q8vye8k5l9/4rc147wwoGUh8tCnisb8L5GLBeQXLnCd
5xUdHT9xDiykZxo0hOAgiRXAOZ/Sf1syzuAoDMYsKLbNwUyYf2fJQFzgPvr5Pjv/DVgnAScwCEKE
+HSf5TpXoe1GzhWTEEoh4TM3FxVTdfxaHjYfF5akUeYmGVbhO8XtkkqbojjDfUtI2dxabk77jV6b
d2Ahp8cc5vsF/vuJiQgH8gjvjMMy4S+tX680c5m7GwbScRMk8Tg296JqIg3yyMe1T9VZy+ahyDJQ
QInfBGNTeBtML9W+jGYsxxno63LW41VVFtaKoKC9wRtsGGv4bdfUYnZoxWKMjoUp5bHtjW47O0Nz
MHw1vnJWf7ZKqmktv0WbHmuXNSOVzwClRGjZpYPNpX3hpMCuBXMhJlTKFaEwzcm0Y1dnbfiitKsq
0yKMM+6wSVi/FM20P251F3peOWyohj43DqdjdtKSxHgc4PBavSlhmEwybNNE3HDqqW+6vqlWaOSP
hZ3695M9zaepmsytNPxH6NjOehBzGJlDeW1lWrOzemVcqbJU+94zI4oP0/RYAu3a206SXtJ/+eJ3
jY2jib2bjY/qoilzf1vU2vCtzd1oP0e2Sa2VXrzR3azWS+bpb+eUfwOvT4EZMtK3vjfUmjn49GTr
Ht3YMORjdo1Uh9Op7D0bRk/Yy80SPpv6sUzLx0bjpdHscdQn40BWSGOLZ1b1msSlG9rSpWPRHSl4
C4pysPXATP3y1l0mIkxM/uX+fEXec5xxNjgomP9CN8535M0aGE2uCyKiHjjlaMNgbgWumRlj+jT2
gZPr8Y2V6/kXzo/LKRoTESYLbIXENLQ2SMVk8yogbFB1ra1FFyoUb81Mb0enLY429u1jMjvmJTFg
0qNJNH4ZVaM2VdtO3zvPKqoA7kgX9rkm333s1T2dTByISjcbj2rBpzYBnjp2kYd9eXLG+DXBsBTC
vrR3wBEqwO1kty506eNRSDtXXI0V229H+eh5qjJEReMKZJvYwzxmTjMZTWa7Bp7IvKEnlNHEyogT
yEqJgY+S4k/gTqXhXwxlyWm3kxa2L3aq9GOP0zFteFNu40ha1ub2PlZuVQbQjpL3uqfB2/PQ3Nw0
d47K1l6dxSaCmCQZ6iUnWmxn2mgE04LcZ+KG3LiZ8B8hIOTBoNwLGWGu5jyXbAqCq98GRy82Rqo7
3/MmWg7LBHErdIbE2Y4KQ5jSu/HJry3zi5ZHLtksL9r0HU7DsMrH+aIGyNSFoJLqA+zfUa7KSEvW
M8GALzzN6jV6BtY1h6xkN5n4nRn43xQYpLYIev0D/soaB3dFYiOLco3Dc5xS1IxRxy5p6ws9n1/J
qUGbBAa4aTKiIwdVNcxrDpwZAf1oXqejt9wPUzMFw9jom8QWzOf9ma+ks6LLxKvUF8fhEBp56i7N
gU5zzNypylxOYy9GuEXuAV97OgZguaZ9GpUjriSnhtBuaJi+9XYKPOnNt3lbyMuyHShyNprsGWsU
PZROzuifGd3em9Mk2ldsRW4pqDRCv25Dc5LisqR9UVT1eM0xTx3nTGYhiyeE8J6vu7arhNqC1GRR
aPxVbI5ivzT6qz7azpW0mmpP4MTYl23vBCnSboi3x6A+L4q3CjLBKkrlHduFmYyDYXa3i5/Mb2D7
aA/Q3JkTamldu3PD/gJ837ACJJDQuGrnWxy7nKcjFnJhLN1FmvTTPXBva9PIKg4db3AuBXN6ZE4W
Ip9s8CrCJPfVrM/4MnIRoTYVhKCtboaE29rOVx6Cy87yfY0DMkrINCYQ9x2rf88irb6ihrK+aRtH
xy5XAqhuxEu8lPG60YtiZdTDADGDhiLOiE3y1Vji7qjK4qat6/4Ana0KkV3kBba5Do6mXW/GyVu+
CD31T22i8ibo+mhZW7GjtqVVA3o2J8pAARSuejex3uK5oqXanb73BbnDnDUTUmk+JuiRtnZMtDOf
UNrjoySA8dE6eANRw191Zu18JbTHvWE6Enu9h/EzzafLKuk1FqwY15ydWs/UFmKQcpv0So+qaruI
Wn8Zy9haTd1yH/Us6cY4Gzt7cGRJhCPClprqE27YxduXfnGzCH3P7kEEvjJ1CqDFzBdcMbNeuelw
Pco8ftQmm+wepLtgdqrkS0Y9OIzBJh4fBJ6yg2827iEGbu2xgkb+jnVTC9tOHFtXM2+Wpf/SxxT4
NQXedBzEeWhz7d1ls1GeTfBsQB0YxL6OPXWJkz1a4E0++1xqsLsovzZhexFL8Xbp5PSb2OuKNbbz
kiludMRIkm9rp+33kcjQoBZsjKNkNsMNlWz6Eh9s3PUZ6mNBwMKLymNsK5bvMRpfklTIrUYp0cUy
tO533S2Kb6qV2pXdquvWLO1bYjT3YrbAWvhRcxzRMfaq05at17v9urHd4b4tk/6Ae/Alg3+/TzIy
hw1Eye1A9/WuXwps+ZMWt4fUiPq1lcbWTRtX9ZflbFrH6G8PRLavsWwaXzHYjhzQzYEOUz0aHvU0
1XbFMtjIpGl24KSAJpDR+GXgP3Ssh0kbARGSS1nT9YjoFw/Fne/Fctvjhj5hidPDqZUEFJrozaOO
nYLhBFmw9bGqJG2xawGHwLa1xgtp5/HT4LeYdtqhXskFfySOhuWdKNNdggYJsDFzb/OIt9DpeRfy
/jCoZeblwKq6lon+DHRNo3XEwuAu6yODkhlv6HScI926L5q8OjT4wNeWpoYtJBN/k0559Kz6eYJy
kKrnSaucAIXJX9eDMexdgJoblJbnUWddQSSic2RE8LDiD7r5i9bb80rNQFpcL1sOvk/qKY+Li6m7
cGuQGATwyuEKVS8+p8vx/Qm3uD8Xv96yqcovKjo4MNrqZE7SMfeyE6MUfeu7sbxCCduUjim33iTU
JZ51Il6TrW2TzCo3IjHiI+2bLDtG1u/iKEtxKxPN+NLYctonEPo2k9fTBJJldjha43NLNVRImsCW
23HUl5Mc3SzMbaUf6kVVG1Ck00vvUbQbtA2+9giDhI1DIm4okJ4biwniMn2v8kQ+O0wWBdvclzL2
oxVv5B2aYrPJysqvwxnW4n5uBSUdWa4BUFW5Aws9L7NAt/LqUk5GHsKDdggdcIIMcbe+4vU18KQt
I480BzsSo09st3l2Yt/LzFIUG4ZQy0ZEkifoGOmHhXUg5CEsV4nniV1kauLdI4ZLX0oBtb+DJFM7
Xbwmd6cCth6KkpP82iYNYwatmKeLKGqxNFUGbii+6mey7vEOBTpau1UvqcWY2/ygMO6FMQYLClCh
2wP7iNwnuneUv9Hp2SU5Ja5dyQMpGOc4IwzT6d8n6RYngnssCAO93WaUG5uoWgj33TLm7jPQN4OX
1N/THj6+FZQ/ml+mJKcGJvrohOkmz6/vxnngU8M8SFUsKsBHjwxKvL4grhc6FTOUU9grQji5C7KT
HhqtO1fSDOd2GvnRU+PzDtkj2E/8TP2skTXZzMAh99EcTSrQz503WN7TQz94zWUj+dN169RfTe48
M5/Vhr05iUhqHNDbiXalMHlo1JFT9aoioV/S/untKWBcuIM5zF25vXO3EAMJGgXo1CpkG1GmssgL
qDzj2l58daNK7ATZGZOqQTW8FiMaJoM1yI11MvY7q2CEwWowr9j1MYqx2MIYY1sSeQDB6pxhrHhH
jQtRtbhXz5TWFA/zmvnTtLIdhpGBq/F6Ipc1SKLBemxRFSbScbLEMEk9bdBQCQsLdMxuRpKeYUrp
69fRjk5xBjYpEIU/3U44pVdDFqdRSJmhuJxlbIRZ17aIlgjVAWlD51w7K+HM8hTOCOw1PcZW0gRB
C+D0MJVZdhd7Rfe1Y+vJmakdrhikx7elvbQM1/mwozLJaEVmtBZAqoT8Ew2jYgQ2DWunl2I/Z21z
G0Ul3SJpzR/tqYPd562qbrrYJ+jW6M2DSpT+pJMYeKrq+CEqXXG0DNyZmAWFtjMNSeij8gUDiEFc
AAqXt4wX22oVRbJyLzGLWtdV0ry4C8UsgVwmKMao6Evokaqj6XiJYfwKPJunvJiLx4wB2T2VT9HW
w5hAVVyvG1uOQt19rvrxdSB7Fkpc1NglY7niHVWbTGXchJOqaD5nfDkHHD3Y6zRAF1YwpMZvC7s+
dvwaQ2F1hhM3H5ziyi/SGxUzVxHNQsaHlIWxbj1NX+OW8hHdwRwnZ+Ax/IJ0X54hyPiJz4hfwMiO
0L4VXr0wRrUiO3B0BoeBObNoCDufH3OWCqZ2wyjCJXMXBjRwlwuAKtvOGIqb6rxPMheuK0ULRaA3
ArTJGdws2fmGaerXu4opEPZ7ZqKcP88bWd1WR9tkc0364uyqXeK1Pzeji8eXRHTzVHejV570PGtN
wm8Oh7HmAxw91G3ihT2j8zOD1XKWV20+g6Z1X8t2Dj1g/IWDNj921SSnO1pFMp6vWseBt8O9T2mM
AR2KcbZkSKSm8YKPRHlE8eImcUKz1es+D/53aQ1tQjnDdLXE0zbS3IaWjnJ6+En++TcyqX72UPys
qZyFWIG7wmVXhrpzdg7+LMTKZhpp+9LHK1hy9krzGaDpxsA3Uu41YtNR/GyU5rm+42Dm9kajg8tO
cKi50aXsl3Vbd2CSta0PSzbHnvHnb+6TU+JDw/0Qr4GLMNn/zC4r9aGpBA0xV1KqK1eyV4x2aLh/
/0UAs4B5EPTbup8/ABsRkkPvMF6lBqQ2/udoxaZy683Hy/wjSf6FJMn84Uz3+c+S5E1Sv779174t
Xip09x+I/P3r//lfv/7gv+x3uoFH1QGb6pwBBlynv9nv9F88+DMCU9gnZdL4hZ/Ad+d4eNa4kLi+
/qVMgj4QZPJRj/4WfRUB8vd3kIUNiokIswygpNAcPiMOGhX3qvRZXzTg8iCLk/rWz40uXcceFQ+p
YT+N/4+981quIzfX9hW1q3M4/FfiYhRFURSlky6KEjsndAJw9f8DauxNrZlNlc+3y2XPjDjsBHz4
whsgtF3XVl/gzdI/0qewzu01unE7OknbRudMdUe/+ZgsTXtbz/YDU2ioL309lIfOxzxcz/gKCYqK
ra+Q0IPrgqnIGN309QIhWdLyp7x5wsDkOlzrawioZxA8090kgmQ7rw2ZxIIu8iKKl9mei5uG9wiU
oW83M0ZelHExBOAA4lRh68susW9DZ/So4NYnCEySWSFUNZ92i5iKl7Eu0QVEaHsfdfFN5MmzFTcJ
aDsoDZEers5yl8oAsk4xH3y3up6VvvVLhW0dP4UFygbh+SfVT2R4g34OpuqiXpznLgofBzUeupqh
q2hy70s6+MdCxOFmtUdSeUyQYSfG2H54j9VSP0W2dg4QwO5sUV2bNzA1oOT8qn4pe9B8YzaVB7wn
u53XrIA0MkL6si73tCTusD0Nt7EbZoa9/ozYeoLapI9Rm7qEyIQsu/EuY1DCi7FNvxWHwXxGYbOS
9yGKX2vvP+YeXCNZP4mhfKKzfBPlHucOTLu9zwOtfvHSTerWR3/8oLzpMCT9sLH86kIj4blBh7Ex
4okUkh0vys1FumH0O20SF55RgSPIdjZGfxPCZ/jqmHeZN0+zozjSDQyZ7BhBNK7V+/yANehbcBO3
k7uegYK6dGLaZBSil33UWdulyl88oM17OBXXVSUvXT7OMe5wFygLnhDqygOOTrjqTSGsusSzcADh
QkgFlLSdfE1DrrzolH6A0Jtu8kDeN5yUUrUrPlVi2lFyP7UL1nN0m545uy8XNyu2ZS6Km2qIHgtp
f48H7wPtWqb26G8odzrqABenQS73VK5w1vqJheods4ZvZNlAM6tpmTbzrC9x1sr368r3RGPZu0gi
VgJ2mBT/HEkb7E4e2sx5TjywQA2pymbK6guS6/tBzPco3r00iPFv7RCNpLmR9x5WlBusvfsDgvXJ
XocW7SMq4+3re3fa8AYPjEcAGnRb/eCmB7B7mMy/x3Nuckn1vXrhYxEJdUTuRm8sR970rtV/oymU
0PGH9iHIBT/SAe52tczSLWVXsFXJtByR3F8uhi5YzscmjA2SyfpQ5areG8LXhxYBdirCernAfmKE
0FR7z5MzflOLCK+cuOrR8JFdQREnqN/KHSA0bxdVen1Kow4MFCV/HZ6VNNgeEAh5aKQVzjvtj3hl
Ql/GkjK9wVrtm/Ao/CqJZlIeqq1GV6EH8LofQEc5YI7CsNwUUmQXiErRpoyGG4zzbtuOtidd0YfO
InMc5yDYLzNej60Sz23rkqbitbCvw4GuEZOIXifhgab7jKtCl946E3NHbIdoc5buc+d0PdVpg8LF
gkuHdJ2DFyFoz13Qd4RVBavVsXcSxekPvh3NZ9Jl0akqeoys8GZGF+E8XcSLtYpLP6wu3hw6/5AI
mTznTR5EFGfgnjD3ZutHAFtO8qCipL9XrlV39PEQQQFvmIwjwk0RDGjvO+EfgNQnmc3r1RIONKMy
5KMwfTLJSvx1bkMF8SFjqwPyqy7c2ssBKhLQ33+uk/zOXAmlyzjiYjZ+MKez6TWKpFdSeR9dUGBJ
SjQ04bh0VtCaIzi5c/7K/pXr/EYNeUsFOVHP+nVNIO8hytuMuKOTd5l5bZLjBdsC2Q3yfTAu951k
Y1uef1wtQ5XieWH6XYqR6Pb+454qC/66doJCahQ5WHaf6sLRWVh1yej8ODbCAyTUxLcKUI0JF5dI
8FdHO5HP6yghfK4LpOSFilUkrQf8Tj3nmPdm4F7nDJ10NFmOSQI/vaQBAanwcg0J33HoGgNX1mpX
XrehODTBcoe25wN2pc0ulP7NjDXLVnZdchYEONVm5Nxb3Pr+pJj6D0uIMS06f6g42VAMTpaQWzOm
6ly/PebuePA7+5aezm1jqq733+iphNPrG2Xaaoa+gEXQNWXnvIFqIH+Ebw26RMcswW10xIxMOQWc
npog3KIOtxvj6nrKnOZjvajbaLKbj3nGGerr7GVYiMsmVUFOwtjfykvKDPpw63yPrtGNRxMvjwn3
QV802MIwphmkKx+zwFVnTeb2e1mo4nK2xXgHCfBBCo59xhv+BQKmzX4N8eWDk/lCOzHctNhdbgRT
vzNplS9ppx/ibD7oaeTw7r1jrhh85W2Bfps25iPykglwvXVnZjuK1oYLSPpAv/iboNqEpUiO9f6L
/IcIA0skNhAaRKIxPvr9PerI6gbf8tqjxjbLpBOSyBb0brixVu/4/rVO4DWv3wzKp8/XiqIkOK2c
hKuKqPZVe8Qs8c4fi4um+1PAPHH9BpPPoyDRTeXE/ybuqWBfkQ+Idtk25K1kgcJeSBfqq342kb7Q
HtIuIr2oXP+YWO7NmiY5zbn6wpLpl7Esv8fQqDZQhAUI5NKDW88hnidEJ+zfrx0ne9EhQsPICVTH
2kNkowy8dTPberyqC4bOcf85nvjHIcI055iqYeoXkLcAE5+2QzL0B1dQyCIR454xHDKDoeIlQNwB
wmR1vUAVr4JMbeOwJEHFRkAGaAG0LZ5IeHfcda2b731P/8En3f+HHcu3SJjvEYd9P3B/XwAI30yy
U017dGoKhQVD2W2B+D8SARXPDLfZuEuW0KnjmyZA0jAd0WLVTvMBb5qHGFegPX1nnIxSoH9TiLDw
nNuPa9l7u9iITFZLeJPCiN/OaXCTMzXeBYJI1Hd0cqJSPdju+qxHatyo+CQ9skOcyIutsORZldsP
ikQMAZ+8P/Pq9Qy5sLssoFdWCtanj/zEZgyXFXcbv2QoWidnaNE8JL1YfhHU/tej4x82CWeG+Y8D
xcgFZPZbsFmzIaqndWmPa9zuSHEko3lux7dp2/XZH76IcyrUbNZwzClMWIN7DsnkZE8OCAl6LqNq
uBhju3dCRGVxTLxIOakSh+8DxQ8XL0WBxDBhYsBCBpjV10ym9Gbu0pC+X9Jvi2YZ9kmo6fvUsK9a
FYNmcK6sJf6ANfi4zROyfdl2Hvjw8Rl73jtZq0vGvxzGLLPMq57S1WSpK91K2pbDDFZadu6WdHW/
TGV8QFHx5rW81L70dkXADyaiuggtRBDKfl2wWJzBsYABPpdw3F+LIOAx3W6dqu6indf7gl4WVuPZ
vNUDpV6g13sxZWheIJCfeMu9Wzm3g1VceB7ZmoOdElacamf+gnbvgBKKWZD9vBwcX4x7s41GGdx0
0Xof4qOzeRVsjsPeqDaTLdlpeS0HcP9Rz08zeX9E04EthlrfVRLIZ2F04mdecFkX1+j74eCLuOrW
r/1H7K1p8Po0wjoIE/RkraW80A0oY5GxgaepvqAoPmtSThY0mViY7I5wna5rJ/iWj2t7UTnBzTIy
IUamfGsKI4kgzdkKSP8SMt5NPfmPrij+dB6H/7C9yXUAOiFqzIo6JcfVipEaTn3NcYzUczsud6PN
ubdQZqUB29rkX6+ldjclMNgha0G+Yc+3OVytdQReUfKvDY2H2Epb7pMq2cWL8KJdPWXDFs5Qu0/k
rI61M1oUaFWD2JFf7OF0ZM8DpKXrXiSofmSci5PG/KUl+93qyLtxLWJMOamHxSPdsoXXb0O7mLcy
QyG/jsmsMwpDzsPcY94MaxD+TDnfTwsRVLjTnYgpSbERvl7m+c4PQLV3dSj3hahgy6yQhPIV+3JQ
6eiiaiDu6hm77/4g+ukuojo4VkWI+Tn1E4ijey+Utyabx6L2r/P1/zpsf+iwkZqZpuX/3mE7Pq1P
RfG2t/bXv/Jv1F/g/4sTgtYVOgyoSRj+6r+RwqH9LzRIgAM6bA3TIf4PtdV1wQOCKk5ItdHspSf3
n+6aE/8rsROiKShXCg+Eg/8b3F/wewljyKbGrpLbgi0V02QzG+9NAmpjTaHLIHM/jaMZjPS6GRUk
NCDNW10jVNH7mfiYF7V47qPKvc/zyrpzk0Gdtb6F1V1dMC2qR4kWHVSSFZiLs50AoO4DufRfR9vm
96BBCE6WWqy4LYXsAaX0AaIgOTpqM3ax+95ombmWjV23ka57VUfrXFXdIUqmj0kWjZvcseafrbag
viFv6n+wJKwE2dZFjU33tD4lWa+eIogCxS5jiuxswdzDqxOV0IeotrFmVVb/HahB+YR9owKghJIG
uijqqxIamnyfVdHWU3r6uYjM2bg9yXgG8PsjWTMiU1ZRbDq0UT7PCFFWuzfr5R+K41fm4/9Ux6+f
wMj88lWBegJ3Zhm8/QSN9oH3pWj+aeEl54E3wzVzJU2vpJOmXHaHiQm42yS3XdS7V+3q8mh9GHfM
6Sp7OdN5SccQZY7zRCPdpCE23bgIl/4AhGJ9aYdgvMthQe2DoiQlCyZaNXE+1Q91ncZnWS4Q2YcY
9yGOxeeppi4LevBk2Qp6KXfPojz5UQ7h8P39h05+h5vy0DQZzAJmsGTStb+VkvSVs9Tu209gANKv
jvn6WdcxuHN9eWtFNiDH0hPnDbnr3s/bBullCzvf0Sv1tZxpffWVw2tIglV+yFr6f2vnBZ9SxV8N
2Ir8dPvOoR5y1w/5HDpXXjbI2yBOHzJfurhBoSNatVBuQhyhj0W7ojdtCeusAmO4Ux3iq9qGH7fx
Jnu5tLX3ow3nq1W4Dt7daXBUsTBiJSiU479Y7SUpwx5b0Rz9l691n5QXvt+tz0XeecRlb33uBaaE
karFUUzOsklz4EX9Mh+mAic8NmV1Ey2AtusRm4rK+2GjWYIQWirCcYe1esDJyiFe0DIhc3htLSJV
c2Zr4W7dgtZs1CLFJVu+EizLorymx4u8UVy7sNPa/mdcD4z6Wwhq6MYHyXBEJseBZjeOR+R6issa
Qtt1ijDqbdw6y3VQDTyc68141A+5Lo8KFd9kq/3MvbOKSX4YJ4cX6iIHU+hYH9fA7E2r0h8b5N++
+Pk4fE+QILryfZFsbfSn/jRU+j1mMVJjlEpdDmAatQ7XTYwu8puYBaoeQcclsu7yydYfUX5rzywH
ESxa9zGEnjnZQopg7YhOPyPDiUDuNPZqiytC/gPcC63F0MUMcLKHL9Hg97s6r+2zIe4fJbqwu2EO
m8/NwG+pFgzpN+XioZjDt7/qUrSx7AmVyjHI5F7RIrgDf1L5m0jxqGoGToNYfLElXKnDQpFiAirF
IcCSydkHk+XuC4S5+J1ykTei6vTH12Xbl+hcFnADrsUQOFdO36UvXR3bj7HVjF8S9Lm/tJYeboqx
wA+6QTY0B6LXFt9buzoDB2o121kmM0XZPCOqSyc72ldxziDeHjq1f3/rvjY//idemddvUMFYH4RM
feh+ma395vWvA0kS2BXkCkUfWrsJ8fKNEoP1qdQJT+CUWMeGw2jdl6oAJRXIPumv6SHn8izG5xp3
LfYg+Oh6SC/iaumfKK7A5yZINmbbHjj1VwQxeRgbg3NobLN1+O8fwDfHqwN3h5HSa1PmzQO0GsSA
g+78XR3qaS9Lms0w40CEQTsWKBwQZ2DPEC9cQ85u88Dah3HbP+FgHlw6a5gi3Cg8ArPqnjwZOVfh
StWbu1RyB7Dq6X0dDUgU5W1Wx5v37/31PD55+bCHIioqOqpkvCdrH3/ighn8Gtx1tItbACZj+sJq
TmG8o7z64OhCX5dylB/qaGnPJlTTio3btuF53BfLBR27YrsmrjivgxUxsmiw7qewQWxu9SfqVYqj
Dzoei6vI5flXUIeoVo3r+LJwTPCJCv/7mK7zuY03K/1udBZuZ2R227NoiQBllqhMSpcu2YRG6BcX
ddyjFSNROAJt2ONLGx7q0csOPbiUr8jX6jOxLul5gWTvXrdRC6DJdeVPJ6O9SP/CeM2Ovevstdcn
B6+rviOPeBxzrx3A4fT9Of6l6dc2YquTE8jb160H+yUDhmPlIEYq/uHcVrAdpXDvahedsV1TegtT
iSH/Yfc4z5Z2nn5l5S0//boxEcS8mjJKL3B01Ne+bSSyfJpld73xbgEIWd3bPbjTjT+ExWPUlM9e
h3zbkOXyvFrdcSuEuwDcqt0rdMjGXRDV8qZE8K39w0IgSWSb/bYSsCAhZ4DeAP2DdPAkbSBWNzPm
8sNdXjtTtFUIJwLpMbG5XiUC9CBkt1Ge8gBosWYHUrH+KURh+aMGkVPts2Y8z60hgh1W1ug31lRJ
qrGLarsgpGegRS2+vEysgDlG9ne12vVnwv/03V395edcRL61o1XcRGgNx8A3W9Kxa9yNgz2IG8U6
8FsPJWCPqeOhdnD1hf3RzMc4s+RO6T46R0H3M1Jt4GMikE10sF0EN4bQ+gj4WKFgzDj1B/BLQmTV
IksPi+soHY01ELv2GNGpIuU03xVoz/RlRMQssKpFMeEo9D7x1Ben79sdhH/AT7ZiLDiWbIgk81ms
pTtC5ae994zeC5zwZakuOlS7jjqpMaRGOHM4o5LPO8afOAJv+7nKHzgHiofRKvFd0T0oKZQfm/LL
GKNhvqmrIcyOOXkLLG+PaIAMXZ//sOhX3lnLahIcNAgv7FhyVDGm2gkEsjOA+PO0xyeysXncipBX
d0awb1wFf51Os9E8yzEyoJk2+v6u1k57n2XTCIjW59TRTul9z72UDl3mhH11aWGjSfqTqI8oPXbW
XmeD/b2BYAz5dqCIVER2e2u12gFeu1YXioWAbu6KcILlM1vfBo7nPTqdxsFK2bP+CIgyxUo4KuWd
ILc8TsYnejOOWr+4YRWfI+Rq7eu5qUJ69ymoLcQd172/LAmckrCAHYBF0AZ2AKuwGMgyNxLXlinB
gYq2dGrvUI2sX6JovQPqTVs7IG1F9wBt0W29Vs1NFDX5rUszBzgtzkWbMVH642tE/b/K9k+VLaao
b86ev6mm/b/6aayefitsX/+Nf9e1bvKvJHIRBYnJ438x037VtZSt/wIxgi8FxhsovYTUrn8xYNF5
8nyD52B09Ksa/k9ZG/BHAc6bxjvO+O7g6PtfMGBN6fwmOJrbcVyYBIxvQB6RsJhW6JsjHlVP1aDW
5/8EudeXLzVjCc/erZROAyPxqXTVQ4kE6nQYFVzW7TiqIHjG8rBvr5wOJQH30FtGZrAaYqsDZZ+k
iAfSTq9QIhE2hBy1RW0o1CAtU0mtuV28BcXnrVcDyqAsKBG2/IDQUh+BSrR7a/2cUzmIfV1iIwyY
QiWFy+B2Bj125o34LQUbWZRBIlj3EuWHQ7uUY19s1ZjDbf+DFI9jOq//c3T4IceGB9wH1boQniis
hN/fDmhWB40AHfzsx3VJELIFwwEeUPieV10jWJxwSekUbfMyIIio7rHCSrg1sBqC52mdNZOf36yt
21/XfjvVPEkquSVGKYjUMlShwUdT4+SWCMmy6UaR/XDg/FTX4C+yV0zHgEhADu+Adm4TFWQU8On7
eN5UJZ2ECKJf31VAaUZFDzOawTte1PYyAvbA/kUzqa8ln2I/0bXTDzm6MtTBoSZa32hdOfwYot1j
MKD1Mc6YW7z/UL8Pinw6OmYNYimLGhXAqlNLSdQeZWFVdfvTBmgffgrawurumprp2e37F/p9Jmwu
xBjaGGUGuJjSdT/ptCv4xogDy/QHrVPXyPDVaeVDhLLZ4dKLSv8DQOSAGbgKg9qaSLKzaLmriqD9
k6rU733a1zsJ0F0C3Yl8Nmgy80re7DsH8BIz4DL8sYyxgEvaqxJMiYB7F3kX2Qj97E/TfrMw3qxl
np1g4uMmzSJEOS1yf7+ii5Rx1ReB+0OSNxb+T9cIkubntNNZC1k3mMcGXzpDWnj/pZ8YSZlnZY7i
UgYxAiTKnU7/S9oVjLnd5sdY05mOjkWStp9rwGkDamKoJGX9B5no1G6uukK0ob0PlrzSD+UY9b23
gYOZynRj091NPjL7QF1ymy+tW19VuAXE6ojzoU+++/5N/21JImQZ04ZEyYP+y990JMGZWFFXR95z
PdOyV7tB9RbN8iXWKSO+//ZaLPzQ/JfpDyeFKePfrAUUsEaBv9n4DGN4ZspTRnUMgo3uFUvi/Uv9
bREYF86EATArAaPg04DmJFXsSmiVzy0WSLxcYSVV+bI4iuFI1zUh0yFMdztmKe9f98ScmDXwOpFw
wxgLboRgT8NWajnIyEGs/K5xmHE1KiYBNnbbKO5zYW8dj6KjPrJNquhJYZ7E0GgQQjDWaizpLvdI
sK+MWvIY6NX3rKURevDa0MVFCZe/Mf5Dp5EvfbJZuMGIljIfntEcwogngSLI1l40s+i+5zHYSYBq
sZr07RhKwffRys7UcpaM/RjeWKSVrI+x9X0OA/A0imCZQO1Rz3zLpnwBn82n5/jzmSTSMcYo6eVX
AEYHiugSSMSIHrG5RYx7uzRRxUdfahoxABvEFHIMtziA8EXyJjUhGqnRnAu6SCLEHxmVTvIrHjw0
1DfIOqe8CxflG4K8rYsQ7KbrD2YoPeSQlW/70C9xkVpnp3Do2aWjvmVBJwHOOC07Tuiu5B4h+SQt
2Ww7O4/V2PVlu59DWesHjT7Ncr8IOLl3yEmgtErtXrInNnkednwzl1qOSzdeXgBfKL3eIqikMb8D
fS67LCmvVN6GbUDqXrr8ZOgUKT+CqCrJ/lmA3970cVqjhsNMDbIkBI8CG00kpLKES1vFmvDj2sNX
BH48JofAN5KqGL4OcREsx9RfhuK69ttYnRmaaXuZY986X8x0QllL8OXMXsaEyFGX8CNzDks7pbnI
SD5OXYJIHw8GqtH5bV9Vx78eAHR2zqO2GKKH5c5GEp8XGtgty2+UmQmYNaWcRRdwTEP+DyyqwvJh
7CtMPv/6HUM/WGLvIaZFss+S6xgqoygU8A5mr1BcWvY5gVh5Hc+EgK15qz5qR7y5IO6pcI7rOuXV
RVuLGcSIkyfmih5U1fJFoQTEa+lxZeHxCF1muXQJE7wXr0JzZ9yXaVg2dxSdXQR01ygshJseVXz2
1NImCasmc6FxAMeS8DRekF6ETXaYGM7F3oUFp009D41ceIedXEquHxDvnfRTXMNLL3c6Am8EMC5s
F8gOmcYeIt7RLvL4M0WzyDxEmfShvB68dGmzfWfR6c3RDFiIAnuhvYWH6WjPcCfCA6HSAFz2Bm+5
gPzi81uwovDZCvS6wUvw5aeIaCzwO+eWgFaZC60zDgflzk9yM7gN8ZxRzyoeKlaKp8PQPy6IEHN7
ZVPEJm/DJwiBvRE8dfBYzD5/A8RTMRzZlH5i3vEAFLp8meHR8zp1jJMCmEpSQP9YTtLn/WR2aJao
Sa2X+z5u+d/BgbczbSL4PswXqf/IMnzQycudEoou8AagNYlYOXjCbGlERPmlAngeXyIYyRtBIvYO
o3CY6C5vIWeUgQL4ItF6b65xkHD4hQMtLO5Pk4uZVe0VBShYHH20ExzBuAVS7Er7HgGpIll2zNSY
gIKUrfNSH+C3HNBZyyBSTpXKfMx2c432e7bg+HMbKCVZ/vEIPtHfJ81aq5ajb+1CPGuCxSi/2VM9
0LZMS6/40Dl5gbYVubr5wi10eNtB+AHWpXVejLaRM5ZimOBtyxqttfWywnWae0ytkW8z4E7aBU/t
6GC6sG3TEmenT8BKUx+FvbFLZGxGxP5a7wnEhJv95GWlGnCpn7skQe4rjCUzAjeccth75RxkiMxU
hNnwWdNr90FbO77imZNSVhrNBCzn8zy7Qm91dqKbSSajWTxFaUJKNK0KxE6lUrMubZxGWUPYfg1V
dtnpTvNng7vMwrnRgUeoHAfsyZg2YyfgtRtpW8483IxrCI/9ULbDzFdqHd+AqQHbrPyuZKCv5GGe
UZmhO9L56bQc7Klf+UlKmIE/A6tk4hKjqkZ+TKbSZIS5P2eEp97HmmS9nHKL6LDwFtkLjjuNLKhl
AFPbnfP1B8UERGWs9LgeNTeeS2vm0r4D7aw/EC45jhYFKNsDPhOgqLhHwsEcshMKGyxHGcIqtziU
hSI+qBgm9wdpo0eLs4hqAv/YD1PLI8Wd6MRGN67JVmxrrdQz8o9UI2DLTR1C1DcvZ+0GDwBiJYiq
OHnkJbZUTKvgGfUb2AzZDierNt0Dq0khqw2Sh4esVhPtF7VG3DEqEni9Hbomj9jY5QyxG+B4Mb/C
Fn4ta7QczZ8pv/NYuLqQJnEOOwQdERCxYg4tRgw279iLBGSCDVlvZrM/rQw57q0fp6BwYQw6UX/D
oKYFR5hUUKI3kXZU+M1q11p8shsJFZn5CnoeQkA/uwhR0q4QqVvm/rkHL21diqyxfEPLi7wtmnDF
8K0g5mqMAIBA/EBYQ4u7poO4+LQirbJ+0MiQ2BvsugEP9l6wwoNAAjgBngIcyB8BWK1BvNyIIU8x
KggbOMNXXs2xSnt4WpztwDcCsAykddB4NrSL8CXGFxUdOvQ4xQqfzGeQ5iabXlhq+pq4zux/CqEr
+rhYD34lrQ1Na4UjUp/w/PjNqTSbzqeck6zeRrpetcbsqNa2OKTovHWXks2BoshUXa+27fQH/CQy
bxeQoOn7rKQJyMEXTtHFqBRED8/H02WLWGKCtiTonDHZWXh6oFUeRQgzZUGdoV/iTeg92eA30qTF
NttZnRyyay+dFrW3qNaMiFIvsG77qmv8z/gy4a6BEE2kerBOnS3BLyKCMV1b49Rad77lj/phalnV
mwAwufisowV6umEWRMKQoINMSySLI6RFE2wJqrO0mEp50OhhNN0mqTqj5xAJPQ4xTfQybhEsQaNQ
7qpwUsPPBAQglk1z1HcRk78xQEoLu6UhiHdzZQcA4NPGqgDxO5FVVWfAlUhr858oZnjgbbZdXEHu
2DnBpDTejN7kWdkNMMl+KG//yr5tjKRC527Nmq5DJgtjvFf2oIfhy2fMyvve3/XpKlIcmmw7I0dR
SwT2FwPNlQ0j0N1k/UOfLtmGwkMSmWMlIZCwuYfYpI8QJZHO3ec+nVKkXMFvEkoKC2Z7CqenxmjF
PFi/xpd6yCxSUjyMFo4egMUlp8zUgoHQZwrNmQnVkqAzeQreGaZyiOjfc7fKXxqweTMiGeEj8i9G
vtDprQiOS8ZoGs/UeQgIk8E4ktnHiCX07pnvBmTB9M5NFp2otSeWlTG+E+tlaiFuYEg0Y2DvQVyE
2jsmvluTEqEQ4xFToI7bPCh5CUiFbRA0wgTEpnY5o9cYo7b1fIUCwQuCcmlOzpipFXcqshygwNkc
6ajTn5hDAmHadmlieBw4tafspTHoBPeP2pmJk5Uf1fyIWzoJd9Sm/ehAeRLA62jJpwvRxp1mEX5f
16HFmMPF1OYq68qFY3Hqe5NLtX1kUpY8mcw7mro2nJyXGc8BkFYo+i4z1HmnpW+wQTYSUQ7UAoBj
NtfEcGVSpNd2Tzg25pT66wTznY73WHW26ViEyWru3vFSixfZZ9hUdmeqaCg66tnixRJmSnMH82jB
GD/++03ogS20mXs6+vSH2pzf2DVMvHDdcoAS1hsSIrMUC4RmqFkamQaPqJnTe/r1GTkwHeeB8m+e
7uMhlTyxVzJ5Ecd5XCJH3LRZtaz5rV5LO02+LhikAINHwTZr1nOfdBQmTuSaLBY6uGk+CTEvRX7e
2wgCwbKayoIUfAVSzKEYhwOLpaFfh+NIsdoimqBduWQpmZuabH7peiGCo91n4xLfAkh0u+IqTCOb
+1HaN/vA84TNoy4VSeZ9PfpmiwwA/Gh4teXAD6SLbxI1p6Y0LgbHLDAvnRnQnQ1uhGDuLvt1uubL
knFozvgpsaFALpIFhlCxyDen0KzHFIUuMmubNwAiXGMkA+gXVwl+mqxEQJ2q44jj0sm5L3eb55FJ
Datwzkwy7/Xmbn9tj2oK+C41Vi98VDES+JorTyJl922JV9TCj4ETVWBvG1jqLNNCkROUB1+ALwA0
0bpJe92sTrZMu6weY2e+4Bc0HkktbC6+LYwvJmX7Vgsewe6XwvRgQHFB9lk6Sr4sSgrxtIi58JgS
VXM/EVwUPjtX/urg9QnE0GWdNWB8ebNlH1Cx2Y40H2T0E9JLCk++86QCrS691aV+CqNEyQWOjTdU
T0vuoHe1TX9lPmNmL+QaYxcLnraQSUVi8FdFHGvs2JaDxEaa6qvNBo+/y6hZIAlaliWfMYeCk2bD
QbO3HhMmyhEms9loHYGHevN9qGtvtmDYObx/jJhN0R2FscnChHRMkR8lwiTyWd+xPtIxzfhqU0ND
F0Z6bGlgCGIJWnKUBFGLB966ibjaGah5zw2tER0K6geWU4jND79IpNqEyp6YHB6RSoCBt28jydI/
gnSC9qGqmDzq19Zrl9qkVrXVJGhUqQFM1YC69zKahdGupi1mpZ4ySxL4wdp+sH0JroUXok3FHSTW
xItcHXyGqiPVctZfh0x5SV6x9sjOUvSL548hzq4jkynp1Md4dKkpONgsn/wA39KF0An1vePXJD4+
vslZObQmE3VhDRJn1l9Vo6wydG/Ph3JxCFIk/HMIP2slOu+TbDFV4K/Cok61uelOS3QutuwykN6b
KdZUvP4S42m3o0iyWf1r3rZ80sKZza3PLU53DVyxOZ0mVLrBL11HPc0RflArVhTKPiZgTXxGmHSy
GlG+gjtdjJrJAAPw6snrpKnQ1a/IkcjRJLqNg9T6n0hO/9AzwiYgwRcHElfgmKnR2zYeVlYxDIN6
/S7TydSZS27VOWx2Xw01fhCz4Hn/0FY77VLSpgI8HoAg9w3S5LSnq/q2je0pnL4H4WqmN7+WRo3t
JEfX+x28v18KDJrBEJmBEaOpkyalm2e9XuhOfC/81MQndGk8CKKSYE3sev9ar93At71qhzZ1hJq+
G/n4Cf1tKjXaoJTWuvK+S6+ZKWTm3JjUbYPJz9mGGJ45nIU67Agac4vDD02UpR5gd/WTS91NF8JM
NhJKXhN7fkXmv2YfrcBChxQpCkbOhCgcVv7u/dv/26ti8I6ubALyinLcPbVBkSJtAE9GwdOELBX3
wQFlykIOV0qo9y/1tzXn0e9OGAUxCYKReNo6Jo3CpowE6gmumwcuO1VIbABuicwWCdMMIbc/PNzp
CMXhw0ShC6CJrqkL4vv3VS4YTscZs4KnHrNUfvsk2Wy3c0Fkv8tcvOLULk3I90kmFH//s3YjW3ww
fOPg/P1nP33NTE2DwHTnGZPCnDhdkWs7SUi/mfeNngSlo8pzulRxG5ly/v0rnb5lkE82TwsMk6vR
HDuZuVUkhgACSucbVPUImllfm9K8KKnUjkgPmqzx/QuegD6BWhl9AUQDvIAJH+2j318yZAtNMFHi
G4aNpp8svNSEOYKi4rumYqils8mLTOWQfqsg52R8/waMIddv0yJSLWy5bAwt0OTg0d3f74AqEbRM
H7XfECtSWbtnlqWrPV2P/P9zd2a9bSNLG/4rwbmnwH25OOfCVhw7sZ3NdiZzIyiWwn0RF22//nua
pB2R3iZmgCE+zgCDjJ0Wu9Rdy1tVbznBu8ZtWUMgg80zqcrlS29BcckoBeQVmxRYemebRjhxYAiI
B+h/xy1OKTokWthHlIpBpRQySLiY2lop2TT/Q8eFtrY2hjCW612V0pnqzWQuPmVk5NCDaWlBJnSr
bOAs8XHfgOje2jjzannmk1q299M0lIRvVawL4XZJuWoRxVBZJcy5mfn4NgxQECY+y/KM17IagL7A
tUdrhqEqnKYAlmRhXlVFOMuzgPpaUJuCwenAY26Qg0yq6y21KR88+Kxeamt7cOAsXYUrAj4Uh/q7
B0e7IrLwJHm/+556Kw2f1c1KEQI59BGielvI+vlvXNzbQ5UrVC3D0yhwZzQMXZa9M07OidE2hb35
7rimwBgrJrqGF1Q1qqF0KRcyb3CkR05FELVVZsIplKJYvM3zr9HfuaZBkoHmFNOLuXP9htKEUQUb
vkvve5gCf76He6uMr1UqxvJztShfKJDtH3IG0hmWBgBqaja50X4vHKWzrs+AxeLv9Sqjf8cILHEs
giATntXz+xK86YfyZXXK9ui6My0yb5om97wDd7OVoyhZq9eMmIROcwZ8WbonLjAqka4fbLAORyS8
Y/5jAdhwLreG5twQrBm5fcRED5z0D4Q8In9PVVWEH6pQEI+H7cPP8BfzJrgVXhp4AtbaSgIGoDkx
5RKubVPAxGFMduRK8CyxOSk0sEWuK4lMkbKOhb4mIAi3qzMJptod5DMpYz1e6KvryRsZOOgVmXvK
FLOHiWDDcEsnNiHGrGKmqIbsl1QFbQ4bqPtunpe34IjvyhsFZjBzSBBFg+v3z/MmzcBUFX12ZetQ
g/FZFcxHl5QBCle/QtWjgprce0SRDlKgLk+gpO2f8jXj6wUFh4xwDd0SeCaxYIamU+OCDo4zKQwq
aX9ecFXp7IYhLNy822kVAdNbCBAIjyn6FmFJm/gjWySSSFIUqNydvS3v+dk6jcUXvjcCPkWqM/FW
A02sFRDQcgrzhvgmAwWvZXPE1AXxvZc5DEFERk0KjRvJ2YWOUATPsxkoh3a0U+INEMjzIrW7Xx9z
G5kxr1I/SVcNtpD65q5NWLEDZtRns9torVl/BXliqLDcMlGICrdMB+OniczVt86Hne1Hs2mm03wf
q2F0wyQreV2PAyVpyigTR9oxaIQhE6vrGfFr8SnaFjDk0oStnvpO8Dkm1Xa7zvQiOzJzyaMR2nLN
j2tjln7wKIy+wCJ5e6J1j6E0UhFo3/bkkdfvZwx2NGCscWR9CmoY3kh7qSQ4iLbe5rhw8k86Vik8
gRJFu6AQfT0ts93qLTnx6AYCSR02AJUsQZCVwHlpuCGFV8KCTR2A8WG3danMq/YrWaF9MreuVOzz
PPMYE3xE+4EHhOEWxTuViXRXG0urbnwN8uAjW5ZgXJTA7b6HlcNcSCnLv0KbUuAWzarTYFsFJ6QJ
dqIpkeTyMdRxvnRU6fH6fQQ3dLmBEooelCD4VlFkDmo+q8JpCYvo1T6ogMR0RfJA+yQdhhH5M9yx
8g91VxZ/K4xNuvYqozr2tmZMj3nhQ9ZJE/vzJ+LBgcD9Er1aeCrkgx646ZUBS3mo5/FilSTEc1qU
hduTWFOoB3v+g+q6hF/WiaNHPEUhN+6QowiSo97RE4zq6ppyFWh8U46SpopBvSlxgD/depH1JVHj
2Re/mEkZlHOGk021deYzj8o3zOk2KqmGoobN/JhDsvU+oZj3GjMESyFwW3kTx9h0tUygBFFLRf8s
r4MENkrNPk9ALT+v1Z1KawHh25GSKjJzfkP3oxYzPYW5T7EJqBGSomJAHHhT7uwWQeqWIOxVfqK4
hjyXt6V2vCeueoEqpGsoa4nU0sdN01WctJ5EUqA3a2W4yYK7wqBudZaEb5lYI1hTctm8fl7+XWXa
fJhFkaJwsfCf+97gbK/jVkNQsTBlK6Y+aytfKdAmF0dxTCe7rlXE3m4afyY9a4Uv+MK9Ijw+XLgB
uEEcAA0b3XcJFFqOt7q92y9okeaUeb7mvdPSIDrd7rfzRHGi75rkbKeV6pL0WOWSeaozuimZPi8C
Qwi0cwRpMBRRHcWAFI7BBdfVfko4i0kfeNbChQY3BE7LQ9jdGXAyLciSlNO1Hm9PrbjcVke+lMVk
e9L4FIpL52KdmbRtR5Yrfdwrrn4KrT/AWT5jPDUTjozjPJQu/F1ine8gLEi0WLsCA40+phKnk+6m
1ZYW2nJL2iWAgurYyhzrC24jk58FydPODPxLzcr8dyFI8anvptnH2CijcprOiurHLvKqa9lQw89S
YmMgzK2yOdHUcsM87Nx3rzaR4zH6bAVRJOyOCvOESpcUgBWsAhIh2MSvuiHZ5763078poNpQk4SC
EvN54QrZ9WUL5w0+qEk0a/WZIpgWTXpNtmaLla8bl9JKC24yX9vtoPNLZFhRxcTz5z+x13TPqaI5
RFTdUo+kUYLX76uD0ySCTDQLltCH6++BzRgcPqt20geAyuCERESJpjfcfJFpcnTju9vyHP5G+bO0
drSTF97lkaPVcjLQacOM1t5d1lRybcxoC5e2SQQKMYkT/KCOYEdeKkmWeO3WYl9UszMzkX7sYKlI
qE9cw339wmt0a4FrkdiiyJULDpcd0Wf3hFOLU8TF3oqWs9ikA8QsvN0nc1950bkfmeWJzAT5q1UO
+cOOSQBvM2e2/e7Z+To79Yq9cvXCyzxyJCB6Ab3kcFIY168JpQVis063YbB0Ldn8CtF58YXRAdLU
Ajr8gImpLqtoVb7P9CQ+YySrclEmFjYB4obtJ9/ybEpe6Vs896VK+0lt9so4suEL+Pr8W9YUSd2D
S5CA8q1n65pKv4wzh9cO8g++JHdLagjEJZ39neZ7mOFX8c6ALVYNwabiFIL00gDlnQaeCQMMhcxT
EC7HOSZVTY9anprwlJXM6gK0J/mRSIV3EZp+cbrStO2lWXnumctoEf0opdlpc1TsFPri3UyOq6Nc
sdNjO97DySxxoE+CsJQuaAukowwQSjqvv0Y6/nBEAsPPYJ7G7zpO6Xk9j0nQEwto8RpG4FWUUAzE
aOy3a9LVNwY8wG/xIouvpbpNzrw40vKj3KLQCR1Cou/YBK/9xMxQOO0tSjy35KLJCELhFkHRRdXK
xSZjIgTNH5lJRbStpsoZZUWb/J1suuo3ZpD5f1VMUPyp+6oPSLdmWsFLB/qB2YIUhvJ5rjg10wSV
vQO9ZgxK7Kz0agnqvXKvsW4G7NCqvjuqCnl9qZrrkJxSsTchpciN9Ke3ly2YNmaw4L6DFKy4MZzI
PZehyLhWc70iQ4IVOMmDPOIyuIF1rK9I9zZv/f+mz6LdiOiDeJuUfrn7XC3z3ZdlgTW6H74lfvop
9ZPyKn3dL931NDy+UMvQebXLlv/9z3zBDLKpXxD23JadPoxHOAnql6rf+Lk1IqDZslqwuOJMuOE0
cQqXNEqZm9r8f0kxjInAp2E00+FgpOKhVh0H0nlq/89vrRHk87/z3Kv/4i6FR+EB6envbl+zJgxH
g72NRFz9cIUOpWDZE5QnvKMtX46DmwoHxIikgBmz1QOtfn+gfuMQaLTwiMHmtIO0T1cKtjkBrcUp
hIaifgiU/hUp3KZVUorL6PppcngVVAHwdsg5njgJvRV+XQRkYAg4WNjk+tG6MnCYwEVeCP+NRg7x
/FsyeFId0GMimJz+iRR6axxIwZ5wFegiBcSrHxY8vA8OLV0W2JZm2I0U0Br/ykno7eCXVlDq5rRB
QjD1Sc1VzWSOZpN81YdCUAxYWaCx1E2F7NG4tk8PcPNODRnYq7QBM+gM3QShppVFPGj+zvZrmwFz
ukK3Tf2MTQgE02Zjrl4vBV2dOBqN9SLXWT89fWAZE1gDACcJmetndDdB5fsZqg90k0bNGpKCnkU8
vbPgcFWgDqLBrfmkERlGkVgiSTFIE+jyRDDkORCYN9vvqUNLnzB5mF6A9iKMzyiQzRUUiYOkoCmT
JoNEyqp++ofAmZA1BjkDcKgfnKhxaUVamFTu7yApcBZsB63YXoQHV8GyJvRcQtdJm8w4pSDAvcE3
Arp/UCz8pCYqYNpoxzg4Gm4UwxqFGa6f8alF6pcGS0GbUC+B+Sf4rp+eFOhvp7CATl9B5SWe8WlH
xWhf6vUmUlMn5MtE+URz4IXncego2MSWXDwZYLuRwvjOgl6TRg3SCxpxMjXW3Ilmkw9MJCEmJV5M
825DzNH5jCCiIp0/SArCXXIo6gGQutd+h2cBFHFCNRMMb3Db1c/obATV1EOdRnEWoCKzSB83m0Ss
h1KwnAk0PbTwmeZYbwSlic01fb1e0GG6JPvgML7+0bNgGxOK2oAbBOggntHpBQ0exn8IKPQC0V+h
NFIALMB1NNuz8FA7WjhNBGzoBvE0DsqIPGhKO0Vl3iC9gI0Q0x4gP3rcd7Q1OGLAXOBmGakUcKBF
ynaYFDS4WkGOIAa43+WhXrCFb4kI4M4e6Y14bOj9ExDbczeCxJtM+vNxvaAoXBmuA/mm8cGsd/fz
9WpRuEu0YZPta53CntMIygoZqsAb2jBqdI4ClRja0KtAGEXPhwGq8DjOaiMlWIkgj2kPyeikwDyz
wX4CFlLQAcFD0Nz3XtpBwKyQyhiwajb6YnT3gcJ4wec1SCvqREmgiBqRUrPLHroC5A41iQAVxioF
hu8MdZY0aLxpcDCIkhoh9MAVxs5MRP0lmPsIPWZRyTLsDFjYf2pmbXC25ul6zNhLwCdRmDVWdUCt
szoYYTNQ/Zxz+Ooe1QeYBsHYBUd8e1PGdxYemUD52/6BAqRu4xK3QnB6WlGgKoInnIk7jZRGJwUK
ZESh4qAbIVLSVILyZfe2T9gkeuBgSWdMq3iauzemgIEZRYNNoz2hVQGlz07rp6cPHTKUkGxhO9tD
0CAXY5ICZ6BBwF/vK4rEA26yjl1ovuv+WQBIoB0ON6mVwui8JGC/wWCzsI3iLhjs7jBcskx8RMZh
3efix6cIKBxvMN/XnwHVnkDoTE5f620fFxnZajo0h80VGd32Rcw8+Aro+MBkVwHSmyvQw9KEZ0A4
ArDQVgGNSAXwXtpgn4CsmkFz4T2W2FMB9EYTLQMmQnZ4pygxPCOSggb2P/QUoAIImUVZzhP4kUz9
Gpyh1DmP9S4w0HGoUdTxkmlKpF/yibugyqDrwvlo63aaDxzRWVAVej0HekZIAXgECl3QwvpB7x2a
BRq3OCwoTCaDjS5W0kkXDt0/KCK5A8x+6wD27AJ4LacAEFGwYI9LFUB3NnT3FOgxcYSk6p3j19s9
BTm4zLAyKG34MDrMRGF+Z2OqX+8UaPKE0VAk2Ek+N0/3DjgKyJIgsmD+Zf2M7iYozvCCFH1S92rR
l9dssu8aKESSIkok/TxO00hx0mD/UMNBUgVdxQEo0FWH5oTSbkyjmCQ2Ln1A3URbMfb6q0CCTaZp
j396doC5AyaZaBqjW0xpdJpAlaHbH2oN1AkTFsickUu9O+SHXz9oCZzbGMw2DBuRM4BHP9QvFNgx
TbMG/sDjuyeNoAlq6xabG9HuKZh8MHHjt6EyA0BQqLg7Y9jTgKYzYaYDnXb0tI/TDPD66mDsnBCJ
G4BP0B6CXgKBdKqoz4TFx/yNEoN/cFTu+4COmXi5qDuA/GXxWKPQU79w1wDz8Odt88vZ4r//EV0N
nV8UDUHNZzcF7+LP/+vkW+v47+CHd/Fg/TntX283+PCjO591t6u7/3nqL/N5futBQie6otrXvJzH
dBExI+bHPJ4fdmTgo6Dhfr3Jgz6me5D0hYUfHz5Tv8Oj/VH/bN3cp7e0+8K1XzL4hfMQRud5cbd1
8TU2CcOhKx/PI/9nmid+562bev/Ba6dRms8X6eFbN7mt4SvTHHpb+rdV2Vm8tgBDF58uI6bu5svD
lZtIY/DKbbvdm/Tnm+OUwVU/umJn4Ac4/9BPOUHq/qLzfVIgIhzDoSu/W6a5233ltppn6MpPzzke
eCXPFnOvcwDbkpOhL3wWRX6S+t0b2UD0g5dOFv68p0WadrzBK6eb7rFoSreHLvvhoW5qUjaDF2aB
6jbc3Z3cWu01ybChS5+nFeNM+2JuQumha1/M/aSjPVrfbPi6+S6aJ4tDcbQJkeFLF8X81quKZVl2
znQbUwxe37+FWG/e7a5sikKHL40tKNKyc7LbLqXhaxeFz79Z5neE3pS5/4nV0yrvLy3aqwYvnSZl
73C3WOnQlS+XP/L+6L62bGf40ut51261GY/hC2/enM7jrPD8rllnfdG18SfWf7/Mi2VHU7WtYn9i
8Yvl1r/tmLEW6vkTi39P8/BOBnV80PQ5Dl6aOebem+N5nmIpu5ezqYn/Mx8wnYf9u0+GCHxy6PIf
Pb8r8aZMcfCyYYRH0o1qqIAUU8YHL50v3X4De50fGLrwp2WSMCN3Pe+FCW0D3NDlv3jpYvnmrHhg
25rqn6HLf02rJw5iW4T9Zz7g4UFs89VDl79C+kvI7TouRVsfNnztbTeqbDs7h657Xc69uwMtdEqL
ywxd9maZx1i2zsoN5jt4ZZ/Ipne8WyqQoUt/m2N3mN3VvZoU2YgE7uDFl0X55uaxl2/S5IPX94vb
lFkjHc+tbWQZvPYuhYPGvRNCfU6aprHnV34MabovUXiIP91xwzz217rgmviN22g5z//3fwAAAP//
</cx:binary>
              </cx:geoCache>
            </cx:geography>
          </cx:layoutPr>
          <cx:valueColors>
            <cx:minColor>
              <a:srgbClr val="F1EEF6"/>
            </cx:minColor>
            <cx:midColor>
              <a:srgbClr val="BDC9E1"/>
            </cx:midColor>
            <cx:maxColor>
              <a:srgbClr val="045A8D"/>
            </cx:maxColor>
          </cx:valueColors>
          <cx:valueColorPositions count="3"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</cx:chartData>
  <cx:chart>
    <cx:title pos="t" align="ctr" overlay="0"/>
    <cx:plotArea>
      <cx:plotAreaRegion>
        <cx:series layoutId="regionMap" uniqueId="{FC8EC217-5843-40FB-8543-DB5062F76E03}">
          <cx:tx>
            <cx:txData>
              <cx:f>_xlchart.v5.8</cx:f>
              <cx:v>Federal Funding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1H1pc9y2svZfcfnzS4VYiOXUyakKyNk0GknW5thfWGNZ5k6Q4M5ff3usxRIzjnVPdOutmbjKkTkQ
G3jY29MN8N+3/b9u07uteddnaV7967b//X1Y18W/fvutug3vsm11lEW3Rlf6W310q7Pf9Ldv0e3d
b1/Ntovy4DdsI/rbbbg19V3//j//ht8W3OkTfbutI51/aO7McHFXNWld/c21vZfebb9mUe5FVW2i
2xr9/t7dptE3bfJo+/7dXV5H9XA1FHe/v3/xvffvfpv+tr/c+V0KwtXNVxhL+BF2KGMSSfv7B71/
l+o8eLhsISSPGOKYI4rk98/jvU+3GYx/nUzfJdp+/Wruqgqm9f3vl2NfzAEu/fH+3a1u8nq3egEs
5O/vr/Oovvv67rLe1nfV+3dRpd37L7h6N5Hry+8z/+3l+v/n35N/gLWY/MsziKYL96tLf0Ho9K7d
fn1LdOQRcRilDrHvF19M0WFHzHGI4EI8onf/ZNyj82t59iPzOG6CyunNQaKy3ubVFh6ZN9MZcUQF
5VhyvldnpDgiwkbCJs49avzx3veo/Fqe/ag8jpugsoYn/wB1ZRPl+V2l6zdUF8qOCJWIEnmvDfbE
mEl6hKQgNsH4JSKvkmU/KM+GTnDZnB4kLjeRCaK39jEOwkISxvdaMS6OGCBGiXhwMc5LdF4j0X5w
foycYHNzmP5lE1WVbkz0uD5v4P/BVjHuwOqje1sGmvHc/0t8RDknjDjiHjv2eO97W/YaifZj82Pk
BJvN2UHqzerrNtSPi/PPgaEUnIi0OX6Mu/7i+im4fkm4sCfq8ktB9uPxMGwCxso7SDBOtanDd942
eVv/wo8oZcQWiNwrg3ypLKBCR5RJcC8PhgyuvwjHXinVfoBezmmC0+mB4nTXvfukTfK4Tm+gN/hI
EokpIfjeoJGXGHHniMEVhyG616CdvkKin+DzNHKKzaeD1KGru/5No2YEukEEFejB00yDM8h1ADQI
qvFTlPBceX4pzn5UHoZNILn68yAhWenuLcNlfGRzyhxO6V5VkeTIgQsM2Q/XJ77/V9LsB+R+1ASP
1WHGY5e6+b9wM/SIErBPDn+IlyF/fB6T7dwMJjZkOow+Gs77aOy18uxH5uXoCUKXh+lgzu/yvBrS
dvumGQ21j4QE0uwhzbSniSbnR4IIsSMI9tqy10q1H6eXoyc4nR+mJu2ygd2fonjL5AYfcWwDOfbA
w8hJvCaA23QgGqD4IVaYGLhXCrUfpReDJyBtDpSy2VbV9jZsqru6fkM+jeIjYJgJp5zc+6FJZMDR
EbMdmwDN+dLcbV4rz08Qejl8itFhKtJZkkIemm0fV+qfR9TEOXIEgcRnFwzsPhN4JIcwAVg1+9Fd
TbKe10i0H6AfIyfYnK0PMnw7M3eBzt8OGUog1xFMMML256PYPnIcCLgJQPY8lv61ID8B5GECUzgu
DhKO+4Ta3RqdRvkbKwwBZuapajOJ37g8QgKKNoyxe4WauJ3Xy7Ufpen4CVqn7kGitYluwyjYvqX6
0CMBTkfyR955QrEJ5wg8koQg/IHOmeD0Gon2I/Rj5ASbzeogsfkYVbc6r6K3BYcBy+YQ9hBC/zV2
48AWOECB3isR8DzPTdyrRNqPzrOhE3g+HiY8izsNNZ23tHD4iFGBBaSg94s/CQkEAaKUQkRnP2RI
E3BeIdB+aJ4GToBZ/HGQerPKv0bbN3U98mhnrLh8VJqp1rAjLKAyzeRDMDchEF4h0H5gngZOgFkd
ZhH0ngr5PwgNIGKziaT4kQQFxXhO7YgdsQBag6Dv5vtn4nJeL9d+mKbjJ2hdHmZo8Ee6/bJ905QH
iAPGKAbf8+RcXsDEjgSFhBTbD1w1qNlz5/MKgfbj8zRwAswfJwdp3/4wyVv33kDMJoF3I+iB05nE
bLt6NZHIgbTnHrlJcfQ1Ev0Emqe5TLE5zOzH1ak2269vWLIm4gigcRzg0/ZGBcgGJoFyAd0EL9Xl
NaLsB+XHyAko7mE2EVyE0Mz4blWl2/zr4xr9cwaHAoGGBQTLDz0ccqI0QLA5CDoIGX1Qqgk+r5Vq
P0YvR09wujjMiPr07ovZVskbhtSAkQNdtoTzB1Jg2ogjjwSCdpCd8fv+mRi210i0H58fIyfYnM4O
0um4GhoLb+votqnfVIUc7iCHkIfAeZLxcIgYCGRECE9weaU0+6F5MXiCjnt1kOichdEbuhwoxFFw
9tD1+dCKO42nARZbQvPaTzpyfiXNfljuR03wOFseJB7eXbrttubu7VSFyCMbim4MP7Y/T3JQ6MCh
wFlTgh7c0URjXiPRflx+jJxg4x2mJVulQEzrqHo7bEBfEHQUUgjSngrTLxIboKYp1BOcp5Lp473v
GwxeI9F+bH6MnGCzOszU5goaC2A3y91bKo4DWSU4eNCO/eDs2tsJpow+hAiTMO1VIu1H59nQCTxX
h0ngbLZmeNsgepfdQIQGRu0lZcMZuBiEoenwoaFwgsprJNkPyo+RE0w23kG6ms02yt9QXagD6gAs
jfPoZyZlNiaPMII2Kuhxu1cn+tKW/VKcn6HyfRZTSA7Tw6yBtWpuk+FxZf55rgkbCndaAlZqkmRC
NQ0LaIiCRoK9cLxGlP2I/Bg5AWX96SD15OO2CmFnaf2mrQLQug59AA4XP+kp/N4qAEWdx40gkN88
ZzRfJ9N+fJ6PnSD08TDrNhud129at6H8COhkB0komX3/TPIYZEOrGoVdVIxMrdivRdmPytMcJpBs
DjOvvK634eMj+wZWDJrRoSMNkpiHdH/CxkB95ohxgTFmkwrNr+TYD8b9qAkS14eJxBx45egtd0Fj
ceRAoR9hMgm9BJD9ghOKd91nu88k9HqFJPvheBo4QWR+mLnKHyYa9ZuWmekRBLwY6K6H0GoSen1X
jx2bDO2134GZeJNXCLQfmKeBE2D++HyQnn632Whz10e3b0iJEdg9gIFHRs+yxOcpPrLZEYJ+TQlV
5keDeZ/cv06a/cA8HzvB5nRzkNh8HDQcvxE8LtE/9ynQ5gyBL8PsJ6VLYPehWxPBaQ/2AznzeO97
eF4h0H5sngZOgPl4mOHxiW6i6o3bZuwjCdUVm7EfGzef64xEUHVG4O7FAzKTIOxVIu0H59nQCTwn
hxkb7yzB8Z2p7t4wqdzRlmCwoBvwod9sEo5x2AsNuzzgKJ771FJO8HmdTPsBej52gtDp8WFatruq
fvfjaIT7NO+f2zcgyKBlBnYTPoIE7uW5EkFvEwO/BDg+gDiJ1j6+Vqz9OE2GT6D6eHOQUN3cmQwS
vEdH8M9BgmMFbO5g+G+SYUIBk4Fvkgwig+8f5/Gm997nFZLsx+Vp4ASRm8PIbm7/9hSq57rz4pv/
22O4JOyhAXYGema/x8u7TOa57kioqaFd48wjyTwxcJPDsX4u1n6MJsNfzORQTt7q3i23WQHM2VvW
MmGHDRNwVgCUkPfisuuc2bEE4Jvur4Njek6b7ZzHq8Taj8tk+ESDTv8/VZx/foDa00lz3rbezr4f
UffsDLW/v/p9BeDovMnQh+Xca/nuV3r19ff3GI6ng6V/Ovpu90teAPHsmKa/jLrbVvXv7y3YDUoF
gW07DpUEtlbbwOx04JPgEmxxw7vTWKBsDVqKYM/o+3f57jCP399TYIoE3amuA/wEuD+gvavdtnC4
BF3wEp4cieDIkN1RLc7T+YDnOh1gK9jTijz8/C5vsnMd5XX1+3sEfMf7d8X9F3dzhJItgtNeMFC4
kHwjGyMbrt9uLyBL2X3//5EwkVlNc3ud25YOy8aFHNDyepT7y6hGfTFLKKm1GkhbmHlvEURmrKjJ
Xd+nvFLZGOWqaIZq0w8+lVqVJB4/9mNK6Q2SKUm8rkJfAoGD66xvuBsFzPnYUlpvSjuoz8dOWv48
0rETKB1afBN0cNFtWS+LhRWHydLUcb7mcT8us975kJqafLE66g9ruyp7oSjD9UkbS5pfk8Rv+Ek1
lqPtNinrmkzRjDRf43EwKsdV7/pM20rGxXwcqs4bk2rwiLGJG3LSfOpipwt71bSZtUlI5IyqNBkv
5glgexn4acZcgnOdzIrUj65ROJQqCLt8dE0Ut2wFOx2rr9zo8pLRBq8qXocL3Mdf01IOs4hHkVvZ
ZRSrtsV4EePoakhIcs5i7sdL+ArZDDz2M6/uSbSsc1IbZaBINauRte0T2ithx1m3MhW33DGXZFZK
LHu3FWHrjSEvndlIreoC2amzaaXTz1DdcLRqpCz1uh6lfzNmgl8W3PGvTD1gsTJ+TSwvrgonXacV
rUqXGz/+s+1MOLMI5m7COIc1KFpVNn1+zKRO13XBYS2brIsUZpVvq2QYunXd1IFwraAIZzxi40WZ
BzSyF36QmWWCWKLgRMZO4bpbDnE35h4XQxu61C/juRh8f0l1hv8sRjJkaqys8UqmPKWqDjoeLall
ixTiTtHk1wGUgrg9a3KKe2vW1amsqgVu4sGuVmHg5JnK4tSJ0DaoRhMAcilSjpPKWVZRF5cFPR0d
v5v1tp/PmMzRKmrHCxH6bCZDmrpJorvYjRwTKKrLzA2ZrJVp6kqodLRIpCoHd7N09FvX9KJQucWv
kt7xMgevgsZsnEHEauxGxSN9SsuxdBsnWdA+8495ks9zllTXlhV+6AniysBt5sHY1yprh0/I7sY5
55E/99vh0k7jalWaMJyNrIxPysyyV4VDk3ntl/hYWnmtkgpVs8oKY5XRPjqmTarnndDR2kqHcWWX
oJqYpfhaDvhzXgvqlijgKg5ry6V13M51zuv6GDrT4lUVdV+MNumxiWiwLhlvvHHM7JkphoW2pFvR
opnTsYD1sUovyqzcDUpLWqpAcegGYXjnjOWfvEexkr4uFCvtUUlqEuHaVHSebIbgJHf6XFXRUCzK
eLysI6tSSEdItdjxXWpidA7Sx+vYGSyj/L4uVoiQ5q5Ii8ETIYHFAWVblkXrJbwgKg/GeqnLcpV3
zmVJ0otERCcj8hfSNLYb4/EqYvVC25U85kF3UclolY8Z9oQ9zIIYVj9goStael2V5UIM/SbGVq+k
0/RzU6T1rPXHSgU+vWFkjFSXZ5WHsvQupbZROO+YF6dhcxlZ+UaUCLmyZpUqaweMYCQ2tMiMirO+
VzYQAAqaaOkHuwnzWdab3OWy7eDZKiqUAx5sgauscq1QNkth0tuRD5EqsS2PGZjL48YQX/U+iU9D
WcfLRpDQA61AH4Kw/NDG1cwSMCngaU97QeNturNmSePzQom4stZFgelFhEt2rIs6dAEwMy/6Qn7i
ZfinbVWtSnH/LawztAx41bhVVKaKITG4juXL42aIyKwCs/6hJl2hgpHJVRLzC5+ZD11b23MwE2Kt
Y6vjbpWw+iPYlcbDLfdbVZA6Po1x07plndQLG4Ca27psTp3ACS9I38uN6e2L0Vi1R+PsUxVg7May
ORv6bJ6XZaj6uOBqzKuLiuVgXcJQ+Y0dz2OSEBBP021Io9OEhOAdSt/tEyQXUVxfpXnC5jgb/csu
6TaFVRq3R3V8za342glkpFKr3Vaj/JMFeIUbh8Fz3BTzLE17FeJuXnVmpVm8kDj2YRVLeopRUC46
YW5zZ3BmjhmrpV3jq8LnCTzAiRZeFqbt2ik7+zRE5KKRxUlahTcswaPC6TizNR0UWNoZs+RnKrvK
JdRxk50tLSxxLiqyqKK4v+gBukwVbVC6YEbF58QP0J+pI5hnCAdVs6ivMG83fGhnbZkcQy2pnjtt
ideGxUKVbRGVri916CZDKhZp34yrUNfLuoiP28hPFnVqR24grUJFrTUHZ5a6oy+5Eh2VmdK0obfU
ArxUrS1xOow2/RBm1FIjN+UmbSLLHbpWz4rYCb8UPaNuh5uTPirBJ3TpNaLtMvf1RrYjONZYyhk2
9WU7VKdlxLPbts+XUgx/xjxJZy3Mh/WJTlw4sSZatwNZIZOhOQ19gd3AccbT3qFpqxy/LLxmDNHa
iZxgPlhkUFUTkE++booLYqMkV5ap82ImErBMbUby88Bqq0RpEzK3Br9WRF2+HLQTe1BiKOZ5UzQn
OMh9N8K4WMrGjpRPrOvQ6nbuuQs8zaSyhHPaQev0jZWn+ZkdFG3v0SGlQaSGMW4u8tgSK1kl43Hf
kmva28UXy7RWsPSzvEnmDu9IpUiKOqMo1UO7BD+LZ20tbzOrPUchj9yadvVF5eTnXW5ZbplYH7Ih
bM6SPvpYGWLmTc/0cTmyj6Ki6VUfJcfYQvUMwfQ8nKflZzCvdNmhwd/GIzKzzvHNivQWnsW6DRcs
ZZESokjcLKEw2ar9JIOgmuW2sDZB2yU3haw7JdtKfGONE3iNU2DlhCTdasGHS95ZTCWN+EQSp3Az
kfEbzsfIs3xmu5iH8VUe5LbqO7taSJ5mipBeez3dKREAFivSk2ReiggMsgTxAlNlsyz+Wpjky2Bb
/ELKvP1IqnZmyyY8Te3E8YYWXDaPC5S5IjI0dMfCUFXYJl1X46iXcdNQiBHyYINwuqwTP3Ethxez
ppH6QmS4DMDchs0HqyRiOXJWfrRGudT10F+1VUDnSEYycuWYRCd5XX8tE3EL1jmdl5JJrzF+cx3F
aM1yIheFNIPndFY08wsGDiKSzKsxad0QKMPctXSMT3NCIldjpzyJUTUqOK97OMloJ5edRr3Hw/I2
DTLkNn0aofOiaNElGMiqn5GGpEKxugvTBYVAfE4zmoDzqqz8U8klWQdscOYpxII3dmfI4GqRil5Z
dCCXWUjQlzx12Bca5aEqxzqQyg9LZaEUAoYG1hxLMJajIyA8ztpj3oyWihrbywk+8yFRIaC3uWn8
41CmXgaRhxuKqA1CN/NR1oVr03R8nmRtcCktCETRBgItN8vbGyPHFcPdV+0ztqhQ+QWIhVJlddHP
Gj9gKz/XWI29IxU4ygUgd+zEtFYyagsv1TpWPW0+tzWtXTwWjcoLn3hOqn1l/BJ8YKKXIc0LNfhF
rQqB0iWpMVWhidvj3O5mviGncRiT64gys0gLJtZRmOl1XIeZm3B5OYzhPG1Lc2HCli5s9KVJQwia
Yl/P4sy/RoHJVFpiz7co8VhYFF7lGCXa2D82bMhnvEyXYw7PXmb6SgmJkautvHAj2noi7UswKZGj
oNW1VVXZKjEm4edO1icMgvy5LWCZM1lc9zrXM2ggL5QTZeuORYMXI5F5kK7E8IhYNFUBL8Avpnql
Nb2QXUYXLCC3ad5c62Jwziw2fqgzyFVw7Qzzvsupa4raK+gQKlI4ZmOZvp2b0cI3aWcqVadZdt3X
VeZiHIO7GyyqYmQsRXTqxqFjJQrHWp8k2XidlUU/1xXEdZH2o6+JQR7q+fhhjOBJ71OmBptmivXC
v+YoPSnDhp4aKmu3KfNvEABXKgmrGYpH7YZWggHS9qwPq3A+pk12bWgceSltgnlJczmjFAIeXApH
DVacbpIADMzQJdlc2k55yoT/xa5M4MmkZ4uwS/oP5cCtuawYcoeUQ+SDCnlmF/Fp3g/NKba1m+my
c8fKJCqk9nCKY3lswdZkd2SauLxtWwVHM3QngvCvGnKOFFmfsBi3QcEWHFXNCaS6AyxGMu/SceWL
pJ2NlrVIw2+WKBuFWGWfoCoulmVizsuIrPM+BBMZlsJt2sieFwWkuC02ZEHqdoG1gxSJ4zWc7QlO
NLaP7URcOzwkikTjtufNrd8EX7RO4PnR5ENTb7j2r3U71gpSquCzZeHWbWi6qqNxdAPCT0Yp/hSF
9oyUepGAg1Q4EMWp7+NYWbmNTigtPsQdRGhWFdtu3YxVpBIR2KeJrzsI0azzhpWtUEnWj+AWYh+m
C96gVLZVhPNBiGpl4An+PJjwjiQdPCN+N6iQ4MqojqZ1q0In+5TqONOzKELZKbgtOqpekxSCPG24
h0OTf+hqXC9bqy9dO2bJIo6swLgFNnbo6qQuPuEORW7ftQ4kOkV53TUiXbVt2K4gsk5Wkof5gsqc
zothDNad3bC5yZurwYyBKrU8k6KJz/PIQt+cqGrWYxix44IIs8TpkBw32h/mTkfNFc0H7QmDt5DH
x5skp5DkB/bZOAat21Y6OCE9J24DG2w2UMKms3Ls+wXRvfDiFjKmllNrXsNZHp6JAggC8nzR5oR6
QW9BYlUGsYIXKQQe8BuWyol9FtBGuKyIyQyHqX/GUM2WPB2+iKyRKsN8y4MUVgwC203epPnSxMPK
Me2oTNeeokxDaFGFHPyx/AzUX+SV0IjixVnYKqtwcgiFzOh1Cfz6SnZuA7oTsB5CPsj85xTHObAD
2NV9H89DbacriB1XPMtjN02zdg7mypmBRR8AeiefpUm0iMPiDBIqcdHEFl1AOgysC+njT20iJUTT
1E424K7BE3WQMZwOlVznVS5UkcTUwz53VJNkrtVCCqIRLtd8qGzFgjRaVglFrjFFrJK6std1UtbH
lSbfyrHZDDI1apdf4DE6RWDdZ/0YZOexARh1wlQsEzxDadq5VmchxXRUe0kprHVH4/MIZ1glOtsE
jN9oIasFxNil2xfw+Fd9P8+RvQg64DzS2oF8xgmHeZNE8KtEg1UE73oYdfGB6XozFEOszOB7Y0Bm
wDRAroVJ7mZWlquuDmF6KVA2pHLtsAer7Nj+MtSpmY1J4UDgMhx3oKlu46e+spsabKSDjAdB4JeW
x18i7qwELc/7WverqBqwB2nkGkz0TeG3+Zw2/QzSLXiS0cDduq06Bdpgn46owQvRd0CljOB4aU1W
pkAXQ2ytRNzMxpYlblmiXEKyM+YfS2oBddJ1nZjjFF2B7bzAQzDAjNp6lrAOsi/RuYGBlLC2bDWO
hWqAFfCQH3XHIWwqUw7Nv+S1lh/iwAIghbMouzL0WE/Ga+jCOeejrL2+QNgjlT2vK4crakzMXAiW
LY+lfFCQ5MRXmR/eCVSeViNeJ4JtCcLzAl4HgrJFU4tvph0KSHWjYZajMXarTHplnLsoLmJvLNtv
RW0SN7WSz2FphbOSYkg0C8tNsNZArAjgS8ZYBl6eAx8QohFCl9j/HOv43IRgoN2qMax3C5vys6xp
8bEFcX2h+iDFqmshMW/LwcCXwJMXbZIpaRflLK/63HhhzVVXsnWRobWxHZfFfQbBWJI2c2BygmNw
WY5KRsRL8NBD2ZxYejQLWuFUKs6oWUVp6Z8LsGq10hUyTgbhcRkK1UNUXl9ZlGXVPBOVNcyNlXTG
JSgEuo1BnjCA+cBNNI/htJMSqxzWyPEL4B0aa7BPGi7olyrpeVKf+EhWwFqo528iecH03kJMAOYp
fHgZzNOP/7nSGfz5/mqSH/+4e5fMj5/g6JNdJa6afmnHxj9968frTXYM+NO7Tiac+sX3F9L8hHD/
24uvZONtiEz/lo1/efLeM0b+fuQDIw8d/BILhhDwttDQZO/K+g+MPN+dTQv7lBwM5ZndC1Kg2PzI
yOMjsesKFDAM0irYlPmDkUffeXw4Vh1qafCiCKD4H1fhBU5QhtjDyENF9DkdD78aQWwIO0KQAzez
JRQFntPxkgzMSgqrWIoo/RbqQC4sARFyJOzu/hG5f1fNK+8Ee+opsTkj0Nw1uVOa05yOEGEtBR47
ldnF5yLXPfiCsHGf4fDKO8E94FAleMEJpWI352clhqC2/NEUSbGsu6RxgcU5q9osBqJwhAL7U/nl
dTeCI1IxtR243e6Y+5c3aoHwldqMxXKokm9JmnzzrehbDH//N7dxBEXwEgOo0k1WrmbhWIVOXyx9
q5MzKcpSVSEDArmP/oulg2dVQkeqdOBIMQTloxdLV9gZ1SHMqPUzc9LbTaJ8jcWJyeNfTGr3m57V
gXYPnmAYSyg47QpVYrJ2vM2EVcuuWIZdlyjWDBdD0N8ga7gp2lZ4f7+CoC1/vRmBs+qAooKdG85k
WhZyNOimBvalrITHKygUxKKEOMOKtrYIMki5DFHAbNT/+0dxt0vUIXCM7u4NVRPomNENTsO8WBZl
pC8bUxLlSCu5sWL4v7+f427B/rKgDoc+Ygb1d9Dql9CNTQz8qc6KpdWUZpk1xTCLse1f/v1d9tgL
AadtP90FTNbzBwTOC6at1aRwF9k7a2z6mzbr8uMcyjv/zdI9u9Nk6SBtC3Wbw53CtBkgiIi3o7Yg
v/y1eu1eNjFZOglnugt4Mjgca4T55PHQfuaITBfZsmix9gq7hQx2KOr+fKTZMJO+rT0kDQLaxnGW
tgHaKU6JnBFIOo/b0mHM7TTvZ6IPGtfovLvlYZS5UGAjkHrYaN7w5NsABdhVMKJ2U/AKKIhirJjC
UpdKF/CVIfSzmZ102G3AYyx5X2YfBiPxx4RjvXJ8CFFaqNx4HZQllz4fgW8ccrnoYnieE96zwK2G
xspUkkOy0ZYBXdU1lACaJM1nNeb5ZW3F9NiWY3db+mDlIZUA2RmCu8RUrztRtTEUJkWoZwNN7S9x
ElrA4YE8FpZ0m/kw6aSti7mWQXEW4FF7tUMd5kK47scKNansoRhbywXzTTEvbb+fxWUjPMtA7JXZ
MLsxA8OVxbx2eZ1j1+dgXEJ4jc+MMXABOVR05nVY6NptoRh9DFQSZBRm1Gtk15B0ZWW0EDKzXJ7a
+GMQts66D1D8ORA6vWEdpB9lRYpPJcvwRx/mXijeoeJTkdFmBJlaP1UhBwbSJWQAXQc22YqA4TLp
TdUJZy2sKvtgWVH92YelWYdxWZyxJv5mI8C0iRn+mInoW191/mXNRr2CHBKkhzfdrIcU62RugE8M
QLdlGp7HEesv4j6iK7Doteu3WbRog5QoCAOiEGogTX4cBUQQBcxFdBoQYB1iFuTfgK9Hp0jHsIhN
6uQetjog1b4/9inQicej7YuTkMGSJREsgt+EsTvScHCBZQmuxIhhSgGPks9y7MHFlp32fCeMM0hf
Wj26EG2ydBHl2C42qGkLCaSU3/4Z+oUF3DkCYtYFjj4aFbNzA8FpNH4UVu5c9XmSfQMGVgPfEEDU
XYPlhN3z5ZLGSN5oaBa+IrmG58eBqDdyoZDcJkBihK0GTjmTJ6aHEpqUkAOp2u8TR/W4CLSygsTa
pfPypioNqB21R8ttgc6cjYMUi5oUbaOctCvCmzq3gnbRiDzeyg4DZZODHjGuUaAi2aaLqvX7i87I
9s/RjMnCKZo6nXeWwRAR/w97Z7bcNrJ06yfCCQCF8RYgKUqy5EG22u0bhN1uYypMBRQKwNP/HyR3
/za9Qz778kScvmiGKZKFmrIyV66V1Qt/O25VVA+JGnOjAZtq58sW9+NXd2NveVa2Ogdp/PHDHAIl
5JXnE3tKbOjS8bBKW+ImsD1wNc+QknBqZsIv8vrTkLvtzZLl7RH8zk1rVX0DDY5xsQNxw4M4Jydv
1oO1joM5FE1Q3Od1DHaZy/iqspghLTj6tMCqFZGKDn4RZw/VrHR9KPql+LvtY/9MemlO1qAItlee
oz/24zpfiaYj5RdrFsJmovbGeOW3MSuHZLAmOx0dSV4y/3vSoCfFuDy0g3ueuvmLLtbypmkDF/i0
D245CsO3hWZTEgMuR9uR8908qfiYg6icvGgCCujD+o/I6bdbO15OzRbKlBxyP6WNqUl51GVVJmKS
LGqs4vKm2NOnra7i1wKn8jRY7Ppay/Uwz32WiLFaj5vCujUGNMvZz93eo99uU30uRyt6HUGK+CyX
MXor5sm573LjvK+8TNwsmhVVY1A/6TiTqS2BYeaW7vvjxjZqoiF+PbXa/DVaCjgg3+O9wqujt06g
hsSz5Wffx1Aqhf0I4H0APy6AlArIPQuHNkt8oaO3WVerV47RWLInT0vHariSdqMPFUFz2ri6OwSG
plXXqXM5RgDLjmP+Kvz2uidtk+TxaLOCbfeoSvla9FN3KoyImISmfz0Ou1/dud2tdHoWE6GxLpPG
8cCSGZ0yi82hCbRzfLK6pij/nOrI+XsH5JN5XyO+vTnAblN5X/lLfppXch4kTSqgeGvy76vcP41e
taVzp9zUJ5F8NQAYpDNY5YdyYYS2MGsPix2qFO4GgA8zDBZhK3XOOQ3ez32epVHQtjfZppu3o8b2
WDnWw0Apaeu5YczjTp9E5cNFaefyXmSu/SV29HQ7Wz7+aKdfR/Uoz2Ngz6BBXXzVxLl1x92gr0Up
5o9WVY0kXIvpLoO1U9rC/BHVa3SI1q688jbHP29xuR3bYmhe95bK3sia1LFqDqUovnV5lkMmKD+w
nx/VbOdnN+qsY5E3QzrZon/trUTSHIv5Fcb9i+V3muwlh14dcxpaZSEfhxbLq1osjt1EzvvSdvoO
KNeAJzwZ2cAbIeswBydiL5PUwRKmnNuk+VaSm+eGW0jVVVvEiesUvUmmMa7aZJUSY1YR5A0skSpu
Uie3a5gCgx0nUR+WSVurRpFrGjaVyF6UpK7yYbLJNZqB/Gvjfhgbt7kxg2huunCye/IvergRctQH
7TSrKw/ZsHRhcLsad2k2Dh+psH9NaLJ3g2tKc7DrqrCuvHJuihtTxWJeErfJ5ujGm3XXJlmgITWn
+OJKB8kWq/DbuFYgCxEQxt+9H+SJU+bh9RKFvZOaNVYj3o1vH4dxwa6vUVivJBDVNL1pgzBPVOXp
GFglyqvj1BfKO2xCO3OD7Rk/RbVdT+CG8sFUYpHkuwOQTZxrr0x6csk3razqQ9nbX7xIn/uqAmpe
Bewp3ypObsD+wnDMb32/su4c0VrVYQqbPRvlrlfsU1ckXTWuiZbRdHYHPR2XIftcF359DI1bH12b
DHkXDs7HZnKXe80Z7QDfKBJSQEFWCktsu2e75n/lMnR0UjujlchwiXEtLeu6XCgUfwrzBvsG4ILR
z/FOiJY8YDUvlv6hp8PnWpuGpOHqz1cvO9g75e9nZxQoltgf/YyPfBNO4M8eNnlHYN/RlueBA/RA
/mu+m3JtA/gr/IQJ1/J+FTs9wd3wK+pYdbdseP92Eg3JYif+XaCGDO7X5wEhcGAH7sHuZaCWuzl7
gOchX/6o7fVW1dhUWCGfW6nfZSvH3Msj8EtkGEOuJzT0PKTEMRKviwHwZr/JTS/P84AT1mY644Di
OG7borslJ9ldv9ye84v7vzcY+jHV42LBDQ0XkVOrcHC8oJYYlIEMBVai40bjlixipZrPk9XFx3oE
2w78yLx5OnZMtzmkkMg6nApHWmlWS/9zB/h4tYyc6y8/n/hPz7crR/0AuhlI0kV40i8l9AhP1+ei
abwbPY/Nt07s2QIzmdFuktzD2ZZSspGKypnu5wBf06l54t7B0S7pBK5MexORGjusLpEnd5i0TSpX
7d96bhm/alWlXtXBGB+neSj7ZNKZf84zrLJYCFyPXthkD8Kzvc8i8LYZutU2X0WWE75dMyjfSbYu
8tEuy+rT06nYtnYcpWar3eI3Y+Hsc/FTlMtc+XiUu84JQW10sThybbKK06s+T0GFv22NXTItVZ4a
4X2E9mGdLdxGcmOFe/JV7INXTwhgXgJ9fomzqZISRK7Pg7iCZXrxBNMamKAvnRImx1pe+Vbe3fae
+Z0Z+AWxoBWACrTyoeeG4eWc61LPWUBdpXPg4TwH4Lhp2wdTOrgxcUZQdyJZK4IH6LTzx5c76P46
xrgosIEpKU+5Be8yHF6d2puVNMXZG02enaXXxa+sLIs/NRrXeOyMv76OLT9+bL31sY7X4RvpJHOc
1tnPUypCFOVub9WUDBIG2TGfetxJr1Zn/O/4VQWl+OuQOdl0bWUjgevT03/na795XgvPnOMfEeMf
AeT/GySa6vXP16FfQtE//dD/S3i1AGL+YaJ/YY//qAH7Aax+/tp3sBpEOrZdrril8Dmc753t/S9Y
Td1T3oG3bYdUrt1LBP6DVTtcv+qEQGt+zFLllpV/seq93hA/x1WFMTcUOTbL+L/AquGxX+x+8vQY
atYliHjokWj/+WhwB9VCsfbVOZ6tUqStEtMRjrqqbwlkAQRsNcwPuT9mN51dFvp6hqb+tuitubmq
SbnUJBFnmENsmjINM43h0qoiylnyNId+Wb6FnWSTA2wFvvxAcL1YhqDNKcQB/yV7v7it/zFo58/S
WdOcn3o/D5n/MNXd9nZU8fuuz0mPtn3tJV0gszHxHZixCo76nTae32KYIgeCIbt36if7Y1w7VYD7
Xrrv2tbUN6Mi19aBNJD15YsmCK0jhLXlHvtNpo2b7t9lRPkQjK342+gqOBt9Jzhx5mZT1/lcERZ6
S91/FjPMrc2MMfjAWJEPYqDqDfOvwuIL81+mFqbTJlE4q2u/Vlt0RQYv7tKq0dcbCdkUjjpfHH0z
urC/9vRm0MRN/MdcbUOetjKyP4bNtN0F/RynvhtDmLdhzXMiqWsQQlp3ImMSeGvraSynODVlJ3RS
TLGC01KWLrnGUWzkrCPdHAAErD+1Fv5DNFUNhBAtnFcqGmP7yviOfFxrSdZ8zrXzUQEcw0FYbH5N
NsXyOuql9W0rTJwuYshu6mIpvlpyXO57jo+rp+cb96diZSt4kfz/2iWf2yZts81pGIStOdlKt1da
rzOud7+hEGCQx2idju026yIJp9J9lUeODopET3VtXgVuVhTnTDr1dg7GSYlT4YeAUGITpBmrDHJO
a3X1zeZ117PyJjeBBq1PU5lDPYdjHpycfo1gLdXedtZTw1qAOndT4a4eaB3S2Dj6JQcvaoCu2eSj
soR8KHq1fhz6YnwVwRl7X21zdIJLoYLD0AzipvV1fpsNXvFHtXJqyHj1b62eyY6CilR4PYHOzJAD
02rzraO/uWN7hWLDS2p/gJoH/zzYabDbn1tr1qvIG+MrKV3xzQTwcdNMNU2XOGJbikPuVmV9iit7
Ku5r2fFbMaDwKejwV93UEzMznMyqC4kP8np8lzXxeldupk4FCNNhm+zsrgmakvA0NxFoZOwAoRXi
kROjvmqixeoIv3bC2DKVTXRVO/b4MHXeR3+SsGp8+482WlYik3kwRVJBOduOcy3vmjzbJqKQIDiV
0QbVO3T7VNt1e5Nn1K2DlxYp6BqyezMGGzGuJYKTWdfmjV96zo3O2ziBepAfG/KxO6FvOoJ+bjeF
N9QyqV0jUiN98WFxAsK3ZoUklym42GYBV/LGmo3htiWLymT1qZ3m5eh2EwQsm3g31Wa0roZejHda
xNXrJRL1bWsZ/83k51A1i3nig+Fo6yRvJJF5ZMXeKxkPpT4YovaP82aVd5nj5H+tqqow8d21Wpn6
rY/rQ8v9SgYWVgcosFYiaFOb73zehphNb1W4uOe8a4aHgXx1dTSzUxx1MSMysOp2+7D4qw1GNhT3
s+gVOGPfPVqBv165QwiaIVarQ5qQ97Z1bHH4+2SWE5yNoiVM1C2sJIOhcAjJjH2Yg2C9NVnfvS2W
bfwjpv/i2su2pbrumy4cD8GWqxudQea31kBvSW2iGllC65f0f9A6RWDSOWnY9ipV0i3eE3HaW7pI
0vquaqrbearqNZ3VDjtVLqxTEfRjCvq3XBV23hK/Njjj9gAKs7rXXTaE9x3g+Pu6hrmSaLfYTrFZ
KghcrZz6FEqAeqOiGoJzS+apw7l/6wYzVmkMdPbnk2UZ6in7Fi9NfSM7dqjrbA40030X9cD1D8uG
jVKmiQ6BZWNWSSPMWI2VE0Z1QXu15JhnYk7XYzsY953j7w1NhVoOKIV4EjnX252xzdwnhbHi9p5j
e72Hd9ath67bpuOo2+1ORY7PrWJ4s//fXXoW2/2kAv1H1vgkttu9lH/d/l+cpQsx6Q/+0v69f1L7
wf8hLhakw/7NxH/3lhyUyERsxK5I53zKyOHef/eWUFsKCsgjg/1eaPm70M7BVRIu1bNihxLaceiG
/52r9JOntLfouHaMVp1sFl7bZZQikV60jql9iDTZpIH3e68HQ7T7udwefV/39WfPUv6I9mEdVw+q
8eIXCzTjzP6St8prLYjGSx3exIW/6kONCmg4m7iR4530m95akw4tUv/Fr6eK1JAVBJJlnJMFdf4O
F7bbO1ksofwcRX6f/SUaMQT3eVBi/oA8AXtl6sEsbV4XZHdMe8ilr+o+IbRomldOCDkGGLppnPXW
hWFffUM7sif/fpjS75HCj2rEn71JSviRSvdIBnv7NagM1x7p/cATCJ2m1EVQRH9npmur4Tw1nvQI
d+ZRhedtzCeYXlvZy/KbtLPSzX6Dc1wgPbSPs7xXGSTTw0z9ktffKhGBlAbl18pBnAe+1pFILvZM
iYVUTS2G4PWgiin3CtAva+uh7nsClBPNJKiluIEZ0O7Kg24QyrknWh7428tj9DMY4+HqC1goLCGK
UHIrT3iRhV2K0oKAKayvAXID2z3kW5iHw0lG0Mls/MopCD7V0Nmm34AyF3Ozt+vFnM7ULnNj6LMX
7UKB7MLOEtHXfGXNBcls93L8WHiZ2+aJqUpdggwV0zQlRdG5bvAbnCH+efvQfAgdhuuhYo+6279k
hHN/Li17KcRXK5ThgADI2IH/mY1kTdfdVobyHrJo59yJelj1Qz3aNjwydN2SQXl5An59kiiMqJbL
XSBPt+5chDxFWGQSxaH66gWGLXdanWBzEHwoo0fvWEaZF3xSmiGAFAJ+FHzq7HUmiTOXnd2b38zK
z0gUqwFAAj4NEiDkw5RfuJiVKSjtaq3b7K8s3lpfXXVD32TrkTzPGK9XawQT1T283H9HXE4FSMte
MZiNinz5F3Quj7fKj/vJ+oJqPmys8wLVkQ1BRFSMHU5V5W1eWjbQImHpQTdhIPzSLvRD0wfVmraW
o9qHuCka1R4GH6j0HZnldvzy8mP+jNd4IUAJVUFtyhtSYZ/dcmFLgKUiZUP3/bIoggEbFmdtMz/2
YoRvJYsSs/XQu/Wwb5rJdPtL2ef6N/Pzy2ABDsIzEdyNBZ2A9PvFY0SDO04r8eWu2LCw4RXWC7bV
vNoTsYDIfOz+mGuuiWkqv8WiKsSD5F0iq7JIsQ0F1na3/GvBt9pyQ2e2x5Nd8xuz4lwua+6GgqcC
NkAgb8OQ2MfzB9u7CEN2s93ElzFzA6s5VtPYS/0GeQnQZGqGdeDhrLCZ+Vu3Dg1+UFRvq/Vg+j67
hsEoAf2abQOPboqhJVfZIn2HhKJ925LviFXzDX2CiPfMrGtVq9Pe2Fss+dW6JO8y/GabOjss/7/A
JJYKnSKqncCmQOmOTF6AtKzMdpjBjD+FPtIvHwIptX6GJMvQRKvU2UIL056tz9ZTao+/oSLCnPRO
hswSXdMkguGkjfj9HvIurTgwIs4IIn4gy33vXiwLiP0jpNoOyp1iFw1HMdaRd0cWS6y3YtQrwxFn
s9weiafXNUx0oUhPphh8E7zLhy2zQP/JLRKF6jG4j8pgdxDQYjSksmvt79PTjSJmCa1z6M/velXV
2+Mmg5oMty3lfmiVjD4T1LUx2osEFgaeSIRslbkTfrXyMm6I9KND749iPCEMfsqqL3mJgzE8NR9H
uYXMIuqWip/ocB54cmSxu28w9X5Tf15Qbw79KZ6VMz94Atf5lVJ1RuJNNsqFlZxnzXLOPQ7XP9uo
RXI727PDIgujHD9jHtoOF+Vl23BpNXcQl4uFAcLBUmF5XiwNka1t7sS9/LQ5DfoT6A922BM0dlUn
r4UeDIbi5RYvrRHgGBAuBDv4oZzdly2Oyh4L0wjzp9j0vhiN9nbz545hzeEd7JylT1klNhahcfU0
5ncg0CHr9OXH2EHBnzaF4AYyN+SsQKPmUpjiouebmDXS7aB5bLy2mQC9Ou1bf3dDMWCNinpsnaPK
wq58A/ckx+L0hd/lxzya3LlLUN8bFJmTmw+3MouCh0UoGSHHNE4wv5siC3Hp4G9Ld8siskEBbC8j
d+FlpFDY7IXNOiQMw7u4zqp62nf+TIrrNQVRw35NRK3E8jvY/tKuUXuD6hYUVEWJjIsPO/dnu1YH
WUHmdww/zLq1cWJ9pVycWGJ31q2Hk+WdC8csLNuljgUvOdSc3dQh89h3ha6Mmz1kSDF50x3KDapi
2btiN5HDNsIUG+Tcj+XV5q97cJgZuD87dTFq2J2hM7CNfjOJF5YtwgOKODaxaswgd/5dmOpBgJN1
Vet+iKZCsLemPt8fYLKE3rfu0z6G+LvybFmx7FscW7mbFNUPHDRWQSh76wAx8FY3wBv5LOMq9M6l
QeMGZ2U1XXBPgptPlQXKAMhweROMp9oKgdX6SM3oJlbOC7r7m65deJl0DSoZlSbZKpC28fd+nq0J
JlAodbd+EPm8W6pJDSytTW5l99dkR7VLen/q4A2Hbrufj43VOUzIEjQSItTWoMjJT7GwtPmAl6oY
DhNWgtUn5g1rgqIoZol5Rva7ddOYzXPp9kCq6YRHQoPllNn8ixjLYSia3GMoJnK81pT6UldsiQJh
OP96Hp/dFO4XOv0b2P6HKOhij0a4C3hXoetHhJ1UZrnYo47ZvGANBuv93ISkzU/P7q1bRMsMWhe5
BYjKyy26F8fR3iScWNu1OZaQQV0GXnbV4bX2S/h+1A4rZFqniQXF2c/4eFXvdf4xM1aHKJJM5sqA
yzlrcVkweoySUYuc3oTBGGXVKZu8CGPAhpzfKapRcQI0Fht/WloOqu/Tlg8UTjHJIqOWvcIu2qcj
r5d9IqyqdHiJ1yqe39ld0/Ekfg0L7pEKA3uc+nLfKcPzs02k8/shgJFwyO3/GlHhDo5Wbi/r+6JY
yRGQa60F4KoBI7wP3M1T63EoVNBHSQx9uioSpYZyuLGlFosPWwRVy63KG8u7y5oCUgcsvyX/yy6l
fTaZ9gLooG0nv3qV3NS7pgsa9dkAT5nX3uyA0B+iqo0RWA/4j6M+GeNH870aCgieIPx247wStnJi
5DEqdtJqmZApJyjYho3scguUvaT5Us9shnlTZpXJYqG6rU6oV7X3EMhp9XKwR0cbjabZFE6G/5bl
0/VUhHhmabhJs22EtSzF/nqp10wnw9hXwWmOwxyBbmMt23sTgIE/IlXMs4MAPUegSXzarWRCYd0c
4tIFSs59mZ9DV0yHoUNWfJvFrW1fOcYh+ZtbY1TYxx5xl/cBlgZcww9xZy/L+4WaN9OdNcIpfMeJ
EeqvvgoC9WEL57ztyKd0TjG+jakpVF9lJejGaes86MFJTNLVLdKQggxD9MVpqqj9Wrh9h1KfpbIO
f8d6MsZOa2lGpzpPWTv40YE4wJfBVdZYdXBPcSSrrq/moHdHWfxdgOKDfFMwAq2hd0fqYGZJb44a
++KtCOwpsI9t6/V9SGWdDAbTXtekBp6u5nwy8ysU+HlZnjKvMdp/l7WuGK6Dyivy6MRaCUSNRGmz
OdblGJUmTqjoEAzTocjUhlLQ5KNVlFembDht0jo21A04UNNB+x87S1Nf6JrFYayM3Dpui3Ove7yu
OJlWES3Ba0kqkBfE2PubVllKXuBXeDS3daM3fNk0RYPmmypQfe6encWyQuhUlV/r8GppK6eRKMbm
/Vy0faukO7nwOVQ+L9nKnaYpRR9iP3+9mt704ZsqsyojT2EtLLe/rjUM0fl1UAm/jJMhjndMIlSI
9OrHMM8ya7v1PDkyUtY6YLLvsNpDQTJEZCqUr5xyKB35pqpMFWVHU2EI8iPlYaBHpZis/ZHW2YJn
fLRzOJPDwUajCFGxnWzLbz+68D5pj+I/cfxB5+gxUkXozcgity85QVIHkiE/wvPjsiTDEO8+vVfA
uSIwKJyWrENVmH3EhJxqXtBpTtZD24S7yfdm6huFaWymjgWwtfgbV6TNGj7XP3e1mPyN4RsqChQh
+YvHjNZk4RBktk65T4/TUxjB/8ORyz7OrRdXYEmWthRTYbV1VHh/DwMBzXBSZYmnlZoI9SCFQKLC
h2vAkteDfqQYFiRTxguFYHdV6M1zlruIiho8SslM99tDwMqiBcGfhi+ZtewLLFDWPvNoQXlPxs0+
NPPs8FGOWDg2PMPMTez08Xt/lBJi+ALgVvAeSpcueKh9L4tF6kE+5Of7sCDlcvy+eqiWE/OTYWXt
ncum9WkwNKtGpd993Njf/P1fYvTrO2GXynr4PtTW88f/GeTnz4EUuPUdySKqVqVOaxXzl7qE5qGg
S4uVTg/uttBW7oq8tB8IwPMuTvznieq2eWKpEXlrlV+3Trxm/s6/mdfgddzojlGa3UbyEbcHY1Mp
MEc2x0ltr7vTm1PQiTclWQ5KHDyPYNezg7Brz30q3JIYLe27NjDOedXRHp3bz1P7vDwCGEiMT+CV
fOPoh3Lv/BKslOo65Y7amyk8CkwptJaDHRYfyCV5erqhp2If3ueFtOlV85R0cv8Vp1Qj34MoIlhd
41Tsj/48oBZlp/hHJ0XnhUfL9tu6ut4oLLf0V/kOItlHU+qOPR1X+Y58jIb5LefQHb7ABmxZPiOS
i73zCup28HoEy95/0J33F2/OI15ka+/bodn8/flbHVCT6YOWuczLU5tH/G4xCCcXZyqrhc50K57X
SlmN8RRefR/yGEI1j7OUouZHOAE6Gq/6suacnx2ElfYHPLcqmg897Om2TO0xz2jch79KyDTJHmxT
AhgA2TBNkArCLt+3s+Z85b161RTDOdU4i8h4RTzKpTtPXmdDD5Sxh1Q6ycacOB+yjebzxTSMvOA0
+vK+GTT/XxsDbufbxgEqGsDy5f1MvglQwKiK1p0i7+bHoM0WogAId/vaNzGmvDqR8XaxMJFCJBMd
ZcMR2xwXq83i8dqPOaqWP22kM9ibnIoYNfXtnuHkapLUuTjpQhLv/rV6I3wQqJgFw3ElnvbMQA0Q
BmzMTJ1tj6KIOjN9GIQpTHCenru+xPnIEIl+2Wp6VOdkAY/BZjtYuUl5+/BR0G9fNeBV+xJ/xk+j
sTaMAOrkvb8TVABeFAuczw8l6CPlQ+QGroxWpyYhC2SxBs2d6B3FJwLoSSzq2dcj6+oZZIE5LFV2
0u2gMmqjZQOJOQqDPEFvOz8N1HCgnhkQZebUhL5NQ+zUphOcOeLQhkQzPZ1g9wPC53UEz/Uggmzl
zBtRqe9l40SwD54uxQ4VuOSoweIr2eZ8nTu86OWfBvcss25MNipV3sei2kHKTnPc3YV1JoLprQeM
tSJPz6BEFKfA9L4cD0AXqOOSEBAo+OTlEG+gc3NWM/mb5W30Kmib/dhoqLbDqClXOSy+55Gspg4k
WpQ25Oobs/lNFr6tN22sB4UzDaqw9VSa+YS9ZX1Zpt8Ygcqz9z5kfWth/Akvd5RKIifZsYC46Uz/
KYjXYnC+eJTnkPdBMPRrdvLcbpysb6Z0qiU7cqIJ6ScjBRcHK42kE6pHEElTT+/tfKjyPM38VRRo
MlD1iOFrPJeUjfpzzCKgiStVU/UQ1bm7jfXjRvlCr0s0p8NCsO84HT5lCFtTO+S946aK3XTmTSuk
1gZ1ZLzl8L0nz3M59FSd8FPEt+verSdzI+W82794zXdrgve/b95ybPZPtE/ofVZBgySF79gWn0Dm
vn8wg1rEJ4jc99xGKbOerZzjLWb327Q6PVVdTLjvyrjZ//J9yeJTYokgCO9/eobgd3Nq5VTtQ2kU
QihQdvRGF1SG6xJjtwD23kodLPfaID3gS7m17XDgSJ6IFw+3bLqmqiTr26NukbwHt9yfvC7JNH76
3hDkRo60gaViPTxHbG1ZbWGdVG2vvbf1s8FCer7/8oDyl9VgyWEHIUcVKM87NBDnUSQUQ6CtB136
PX2eDFm8+aZ0892NK7yFNsJZ7o+lnzYclBbOkSTz9b7Je3dPMx5as+xrMoSaVJdI1se2aY5FJdmN
p+cBAQfejR5i/t3F8kbHqm4LlxIf0W+Ar4uAHiwH+8AKhooWBrA8LgL6YiKHAF7tPhQdVJQhCXNq
azwo02FmB9RePASp9n13zeWwP/tvorufY7u9eS5zC+DMcAkC7V/grEovnWXGEKjq2TRWYMD7+JNQ
kdxR+FLYfgGgs5vg4dm0BWTF/4M9rP8BQIczMUQZruQ/a8Sul65Lhz7zvNfUpNlXd0zNIV50WTHD
nUexHPiwz8bx5Wf5GULw4auDCjmwwwPS4axz9+dnyWbhAt9W+QNXQ2HGSp/ij8NpRF8kjhTh+P04
/9qgyy0USN+pMgK4GF9gFnWhUCshKnw3LC0HBQyjeLoO1xoz931nv9zBS9oxPQS7RebtUD3RIR11
0eAiKy9vJxm8+24xTIHuqECXJVbfPy3eGM0ozZCdv9VGrNWh0e1uzwUl2h6scUPa8BtUbud2/gCt
MuaEUvt9DgKlNrUDLqmQa2xbJlzF8E4+byqDX8ceX3SdYdfLaC6ZgsLTKzszFhwOuBZWsT8IirhB
IxMaiOxPfiM6n6pqmJY1xdQPfJz9kTn35SqIJ1PznM/qn83sy8N6OY1MnGcL2ydjQik8rtv9ed1w
7g4TpVXn+2Ksd8u0PTlCPTXq9FvqyGiPq4xe2jP/qT2fogD2/h9q8AtwNlzwRrgeQ99/P/YWylpW
iQ0jze8QB5b5fwWtQVV1ELmDLGK42aq/mANhYGuhk6run48lnOR9NqhHyL5ox2E/MF7u4G5f/jcJ
BT4LKZ2FupNSYqoSXOKZZt2WUm1+fQ5bS9V+GjZNKD4Fig3z35m6vSmmDjZwAG2OIPPS1DWZ26w6
D/Lzsysy+6AjrCN3aHh5uVffqRg/dAyskKaoQ+0+JeajS7tu2+RlwrIYr9Tm2hQEc/1lZyNoG0lP
923cWnLoaTfmYKtURsqo3xgk0OooGXPLaQ0FJ6dOVA/y88r1wB7sN03m53l3XvEN/O4+o9qhs6xp
5pJy+nMcYFPmR1W5XjscG6k3d0qhdQVjQ/EnH6iNOk9OJ4I38XM+rw4IRsTrrG2cYaHsWDHHUGb0
HJQOmEgFVeNMoBGWCHGtqmcqvjsoocXXCgoomX0p4KGj0EiCJzP2HGrUyIxJeRboyvyU0HB3A8zs
Wji0nRsRJ7Su5gO4WIEO78Uod2fOevZtepKj7HabynbUlK1Hqq5uSQtLuS0PsItlpZN/II+BYxMu
3bMj8+RBkVkzjC+M4f0QD4cZZInYokY72kcdTTY1UcV8Y5OtKPNULs1IPAWeLyv5QeD2xuI+WKfY
66+rwKbs2I0/zgqclRKvexwWm3UUw6GodQPsCgITkmXY6wVTfCS1NMpPdC0UVeT8fBMPcR+aYz4E
nj+891fqfXbvyTfsGS18QPjs9900kkR4j6Ys8PIDJCToBKdCDY5TpY2D0/ltJfQcoxs/WIz7yfGX
dYrugc2y/m0bxxUloqp2tGwiYQzHMqWUTSeXfmy7lbmFfuluUIdtC2SCQnobEpUoXb01M6/qeJwo
xfg/7J3HkuTItW2/CG0QDjUFEDIjtajMmsBSVEErh0N+/V2oal5289l9NM456TZrMlVEwP2Ivddm
HT1ldNO+J9mLZimMSixTavpw9KpY0igWFNx1ULl1JV/BzXraEHi/V25/nkUd+/DEuXgV53a+r9PS
gVv0Z53F4HurExfIyvzr90ej/FUN1m5Z0LJJH0UMqkypO5Wx2ZwbuN2zWQDMmwpt9J84xBvvsa19
rdxXgE1tnPfJ9GgvGZjSJZviA9BB64glcz1BIxyPTDKaB1c6Zjj7dnrjZrBcmRmP8inmQ30Uid30
AU9f+pFDMH5N9AwWp29g8fZKSx1odhkpoZa/8lr9ewOVG2Rr61ycKWsjV6Qp766uyX3uzgJ8aDbc
rnmp9B1Vudp5i26htu2d6jNth0fTEO2VFFpyVY292tk9I2i0L8lxbAY/Sv3Ju3fbtGOv32ZfWd/F
UZm2SbCIuo7s2O/OGOOr/RLXbIHrFsordegC/Syv3f3Etzx59GMfUB2GA7qH+KvzixIWnlGuweLn
9j7N9eaxFczmg5IRTR9oVpM8T/PqvZfY42nlh+pp8sxsp5tKPwvdxwDTaJp1EYzp9lL1hHADXr9n
eJihV1KW/2Ww6qGfMVrjYTTzNANMV2s7o6/UQz8KBg4cBVG/zMPZ6uVSoDWePIgJfpx6r9lo+ssJ
BcLw2ZtY8HeQaRVtTlalSzASi/7DU7ZbAU7V5LnykSNEAiLx/TxaBX0SBEu7V1DOYmAP73ret5fZ
FfpV7xjbJzS2tx0qvNbzTDl7rbvFeGL6rZ0z2Mcb0Torv4xpsmoIYJ6R0ja32tvUdtOPTtPm0MyM
9b3vc8icftwiH1xh1wQLzvASYmgjh6hFBT6fnSEBnooBFzej4XIQ01KF42SV1pl817I9y7mTe7Md
zCu7xP3JpPfFnpZPfYjjG2Hw+Iz9oCJGi+B0k7ka3cheGthrsCVu2lTIt6UFWpnrrLeTHrIcGogi
dLPEbgNtsMQ7m+kmsMyyPjQMCgJTr9Q9KQTFfZ8uqggLpZLnDur+K/QCIHHdPMD6MzYGXc7vx8bV
Y+bGgzenayhmjIG+2adliF8gf8+rdsU6rVcvOLi6oG1H495niXCCWAjZUerxGZiqeO89Z75sLF34
1Qxc+aGxwpKidXSkQ3JxPBgMMCUL/11qFDWRR32WB3bed3fO5BR7DnrYI1im3aNC+X2HTgdtx5TK
Z7Op28M4zMYhb0fnHaz380Sf/Lx2FVaPDrRnkHdV8mPhBTnALRuGHWXg8oj93wZOIjo2tkWiAj0d
x5PjF3DUqUMN6BK9/+zXyv+wgDo85TJuPsZ1XH8MfMCj0W3Ma4Gw4KBzU0Td3KlH6kstsKd6vGiy
L76velMf4BTHKLMYJ9+k8D+5y2ZOJD3PPOZBdgHkkMVM2PZ1fijsQT6j7bL4/YGxGXpt7XNAem/M
5bo7v8aKayyl/1hVcr1K+rzbzS5HLm1wld3UQldnOYjpru5j+SQ9T3xaBT73wOyW8UYsFQ8PM61b
w1LD1Szd6ZRNs9Uwt/HqQ+xUIqI9RmHJ2MM/rTjSL3GcyvsVzMOzx+jkrVs99cSFD4dZk+71amgK
DZOT7Us/ti9suA0rVBU2Bm9dMBXpaNH2a6I1dwUj+LtkbtouRBmi7+WUd2+tGgRcSHtdL9IXwxVC
pYLpQNU8JdYKMRuvOzBft/COBju/cGxXceuNicVkXmpfWmyiQbsstlgzP1yqmVo3cgdG2t6lsC3g
FpDBZVEqjCFtfJm0NrljylLe4KmtX0ol3/mahEFvZrwA1YN6MLj5zeznyC/t1sjOftOa3wctHqaw
TCf9GqkPAGNzHDussCWYXz813CsRN9KDuFrV/rlKvTZijwvRE2f6FHn+WhELsCp/DCorrm8ajX3/
1aJ1Lq+1o09KXjqA9eXemKUxnWoBCcCahXbv1n7WgvCWAGpSv5UPmB/HasfKd0mvqqxoAEVLgOkH
bFqGdnDHvl8fFg/ucHrYSg898rHQlwDAx7aZkuJc0JPLMjRcKpfQroZ4vGZaksNKH4zkaXLXBgyy
XjqAmynjo8mgRLxSNOLqxc7o/iTnCAhGG0cQngNkRcdROe7ZNme9zp9Wa4lNuB1zB2z6bHLY6SdP
sBE4dOWyoQLH3h7gHScFLl4TIAj5G1qclPClhT8/ZhaqmcAkJeK+WQxtPeDAwe2iu52pXyY/n8Hc
Sub4127JcRohkFujhsnWOTcV3jHDLc5KW+Y+vy0XDfwjBImq1ucqYk5TFZtKqzXt6lYpkXsqWpyc
7AYG7Djld43HejMcjMWsdgKsT3rBSIxJraoZ84armmFbWtXC4scd8uJYZ8JudgmLwusiY0wawb2Z
j1aCeS9yPD11GYnl0jgVCUS2oB1sII/mxPbbUaa6wUQ6wyfNY9EHrigsRnHM7F4M4A9fxIrkkUUq
hHlompgYmGRMzQGyhTOnWgNpfZOiTYGbOg8AiBuXwmzwlqwMOUnxbPPmaRmppRxCnefsUqIdAjvp
jBkzd+UabrprzbmxAbVqozM8s8yt4mPeeeI9Gcfv65omz0nafk/81sZR003V44S2Yxd7sTzoXB46
h4QjWX+561UJouFGWtmwH1Pph23XAsd0kWm2QVXZ1aOsS5j60gFa4GWC83VU1afCqrR3m5I1XjLH
12wY4QobEIa6aOWyEXd+n1qPLgIiGWUjsx4+D3xgsNZm0xcss+K+7ere2/Wum1x6INCPQwc9djfM
yRifmBoTwKFVs3+qmrzDwteV+2IzK9aFbux8hZe+iG3t2ixmcWW2LC2bBHoJsIykiUwzHt/rwR0O
62wC1cCUWVaR7o9dv2sNp7lBPzghXZRTHPj9pM/g5HE+CqfHwOIbVYyGFEHkcOod/rjdwpD7cY1J
XI7Ze3fAb0CqSh7KKViXQt5wy3P5Z1jwI4gy5Re/QvzArZPtB9d3wqEGAZRnifGdydu8R7Tjk7Xh
V3u3dfM7LddlOELXedXr6rnMUYIlNG5714zzt2YyCROy8eS9WXqM7ci04s2zNedemDEcPcetyR+d
6Ey4s3kMaXatW3KAhvMIQ/WzSC33dyxCYVjTZWRzG8EXbk4WI+MXhu9msZ1pcwuWWe+unTi2qFs5
HLcPofgUxdYML3W13dqz2X80I97FHaB8FqEMkxvnVNt11oS9zGbFrmkFB9a5U26EVsk5EjhaltvX
ZdubH2maEpRglvwOQV66qRcWfN+Q8RefiXRp7RPwGNONFE5YEDga1/e5ahv1raVrI6GhtSz9+++A
AF/zpvGoqQLCfJtrx6yzzedNN7A31rEYgmzRAPnac/4xjMCgOZE0GN5DjBqqiW3rwupOXkFSNsrN
E2bCCeyH9qMw1UzqEGPGkbiHcv5UauFZ4aGkTxtapphfI1sr4AH5OO7qfLQgnnQJkqkMYu9xk43+
EEhI433lpuoK+Likl6UcUVEZd5q907oKza++jvaL6svyzW3HOSx6q49KXev0m2FyjUe2a56PKoga
LnB+Ae8niiqoRySCAApJscd1s0/piYpDa26sdDI0uLubEm+pdLvdyXbEYYAihQ9RKNIqzUUx7pPR
YZVSFWFeUKTJ3dbGjmG8dPhYQ9uq4/W1xqJV3JqNMfURXUVccKT5TkOQjTRAPi0HTYepLKCKWTG8
bAPc93uJbHRLkdC8OY/3LMywtV4XaeM0fki3PQsYu2taEZXicuHaS5Syv/JKPKjc8qCWxiWuiqvF
i00L7tNAA9belSPTIQBnyLz9YS8HyIOvSVIIaNATjwprFNw4Vi2Dce4aR+0TarX6NKSDVv3sN94L
WGf0TxVwpY5d22Osm+xeDi1CKVVHciEhKb/Lh7bgfRAacqkhR8nMDmBE5s6f/6MiimyL8+nzeon8
Np3tV5stU/r4e1irtdvCAcb/Nho1jXhuryAhbKt79ALbtoLncHW/gFroYNrRVa88b51Bps7b0E6p
lga1x6BLo7ONc6JxLMlxrF6GlIGCd1EUlPONnvv6IsIh6YeuOKxst3i3uPKg/H5YRDuNFUEAaljq
K2vgz1vhMqGy6ENEL9ZGulB2mzk7B6FqZp31YeiWBh1Spqhx6B2Sbt+2Hr5xZHpQ8VAhXZuIuSjd
W58TcyH0pVeeOGTKrZalZQo7MknNQiRVOCTFLqlnkZW7dkJx4zM7qBvvslL6ebtYK0HVBWqMfQIL
DNH5YucuqyUO7P2ql9YbymcNdY0Cso75DH4cz84OtUn1pcMwWdnS6Kksdo3T+2k0SnQqc7CaHcvH
FcTmL5X92c+S8c5GHXtkDpxdGj0mxMd0huvcwAm7a60KsdaI89pqtfIx9+fJPXWUcG5g4QMXwYxT
vT5IpaNinL12qjHnjMVXC50OWqgUVQxq1RNDpKx1eegzbZopELQthEXRIcZ5a9sH6QhVRTFO3w9t
jeelDYxk6owHr8gKO5qyuv6UcGtl0OdA3fV61Ua6EZnjW6WckP1xAPgzfiXavE1cqKjNOiQfIdnj
0xpjbV8Nhoc4x+z8Oox10cAwWfT+aPSN+1aOpTB6AABm0oQMFDObDhXa+E1FdB6BQro9qFekD8gm
AtmisgvRdHQjBZJhoitiuHWT0HlDLOqow69nFm5wbK3C3bmFU561BChJj/AacwXaurZCumEuQx95
tU1+hasR1YZvgTfGnROA+Gjrjl1bghsYGJh9rAgW+GzE/v2Al5S/c8VXbbTz3cKbHQk/9vxdjrbi
h4Z4ieFh3iYXstDM/jvN5ZTeu3klt6rLMrMjFYxzlpjIsw+OSGs5WKPIH5rJiq+RSSZfiTR45b1p
nZGrxQOTkRUyWtBm+vTszfZwN2HK5k/AxsZ22K2aw8RnGrNCYfsPW6CWG/l5M50MhhZZNKGN+TZZ
Ah+hXfTiWIs8R54o7UeQk81embX+6sjeCHwXHWIqyxWFfr8uAZaj5QZPpZlF5tCPmLpgKPRbkIc/
nhIgqhzz9YocNIknoukmIItII+iGw7Z2F3PPhog9K9SKrI+S0Ro5ejX8DllAfhzyQivpyXdK6qW/
tgbCeBLTwH6r20nr7hFCtE/T7CpUx6rmr0QN4H4XoMATCPupuO0IHSBKDH5oHVBTLxnwldhHjlJ0
WRpxoecorxiX3K0VE4BgddrW2RUjArvI0qtst3YzX5PYyOmQjVRthMP659TD5jRjMgInZS9vLqfF
eDWrWhJc0o3eAzkhauDH2XZHQ5AxBarM5toqY/PKS8vCRSYUk14njdi/IuLN/FhK4npmre3v0Orl
IRow8x1XzFCzZ3D9hZS5nqQOF1DgEg3TkvdBKcG/4QHPvJLzV1rlVW6YpMAoZ7JftBgA4Q2TqwID
M3F5C9yyynjLfBQPQYUQ46ZBYaID3LIXmgLfxNXQxbpN4A4hbU+FPcsp5N6kqqM+j1JLduTPsJm6
nayJMbRlNvGNV1bWa4fKIgnGoXyz+qp5lQp6QprVzB5RVCKUSkY+8qV8S7RJT6itZg3X+GpcywF7
T8/c5XudDNpJ5jzUpCoU7q0aVHNWNoF6dOTFhbmAe9Ri3XthYpy5fAwS56M1V2s3C71/GCUW8aJv
FGlgozdt1ZpeIZ2pGfG4fe8deyut8dj7GslKVebPh9o2x/IBt2wWSYZbkeSjTt6dZQ87yhfjioiI
FG3gZADWXOZXP1ZG0Pbk4SQsZnaVV8Y/kRXrkbCFevYo9w+GiI2PBgX6q86X2IE288Ih+Qd1Ibzr
mSX/oR0VT503vCNQVnftoC+EhalGN3gO1jsge0CBpCGqA/eBrGkzeivyXMQpfPVl6kwJEaIyIm+m
UekI7yRhIzXw+HuleMxTS1ShYKp/atsaVHKA0rKwrM9lYPovdwXJOp384IIipCdiB46L6ZWOFtbw
gxR9I+xblacdp3wPHhhtkuzwPyMSANBQdewaWDg20PmQ0iwHAHabeMpq9FmlJ31Iq3w9IeRe1HOc
zZP9adeiKY5541VKhLGAha9F3miLSXJ4FahZ2GmhjyDiKXOADajOWCkbCdoDPFo4Up9Pw0IEoh04
5mzvhagn7ztMQ8Wh0rVFCY9ucu1UB+M21ugUIhgESYKgRaCxQo5MGY+qasELzUODjF2QJTOmbfND
77Rlgxcw1nfR+rXTUmypR1lSoBaCnLiJyPkMdqxBkjxZ9e5+tDxFC5NZsyMl6RJTPOYRi1iPvg/L
UDYTWJc3PbCxfnKgcu/01hr67mMo1tFYAr4LmEjIwoKSLFjblJPhGGOTzP2QifX2lwgn0f3ykCbz
6HbfBi1ZTRuQpFfwv6GFd535SlM9DfNVvvRx6YQzXC533P+b9dzfDSIs/zBQgwynxmQr7SB8+Psa
twYCEufE/H1CY0Bd9XvrbTqFzfpJQqVD7Tl5I8AxvRLSdANXlhiRyGLQuYWVVc/uc/5r0fX//73+
vu3l1yKJ2sGuCkeP5SG7or//Wpm9YE1KMveraNrN21T9Fn6QhgIY5aA1rMv+zaLy7zv57Sdi4+bV
2LzDrHw3VMBfNRkMDT2l45f4AUx6+4njb1WNZdeS1XzvpmJABDfqZKaFaZazrPz9VvyX5vBvopPR
2ph8Kv9XC/D/8Byu3uv+vf8rAOLPL/kT5eCLP2wPPz5sR9QUeBWQ2/yZ0sBI7A9W6SZik80Sjtzm
f1kOm7uL3fGWk2zBgqDixkdkWg6bO7CN/wHpCpfe3zf5qDt8EgXwW+EVgVn/r1KFLlYeDtfZuapM
Frg4qlxjihxjWiaGc73WKgpJc2UUy/bY4jJt6sWg4MT8Kn3wOpYwHksUIVp17ikF5bzT1lmK+OjF
g8FExRpt2tOuXNsbBF0MsfaVHImSu1F6kaVzwKMz0f72moPBiW67ci6j6PpPNJ73SmRuHBp0hfTH
jrsvCZCG8dQRXGSuy6PmratBP5Myr+18o9Y7NpZmvh5Mynb9UrNYs8O818kLc9Fc9Meyg3Z6l2tx
gWwx9t/6crXSUPbdsIX+jHlLQJ5MNxuJ/wqvRzT8iMVZd7NfmtyMMBOZSDJk2VlN5t0WXe28dVgH
I81vpu8ZBe/daiuXAcZiw0JM4dKxSSAIt7FSzQuInmwPBQLyU86w87vT292r2VOgbIGx/mfje5/l
vNx49B4QjYpqOfGP+HocHOs2w2h+BCpv7FRubfgpCj42cH53P+Q1QyB9WfRITcmYBYIDgcjLocGJ
ikNxgbxFA1Zra3WH0LF/mdMqPpnkFh/W1V3u/d5czpqfE3W5ZEhk8BFrGST8PPvi82Df5zhwrN0I
puo2rWrvgNtDHvtmNi5TrOqndHVxCHoDCSGrcMMRoUsTQnRmO2OP5jetIYGZJo1ZVyOSgSa9JOqM
4w1gmsE4k5p0jLJBDDvDrIcd0zr2yFo8760JYlcpIH6EC0Ky7xpruz3JIXCNsm49YTlYP3WCqU5p
b7SPNDnxDdus5tJoyVBB+NWWW0JCndEw9vMoFHdE8I9/q8IUY3qt2WbbDmGmV+7Gsx5J2pbnvAXc
XZ+ruJ/KJnKJJc79vSm1BxCUW83GwqCfyD1NY0P//HVM/PdE/TcnKtrrjVfyf5+o1xng3EFmfz1T
//yiP89UsujRQW4QD7YimzX4zwPVt/9wXfTenCr8x39ABPU/HDRgzhYNv6l8th/+z6MV9ZSpc7ki
M7RQPv4nRyvH578era6LZECHYoF4Dhviv9QF0nAIJuiS9LwyTUb7XCYOswWRxyb5U44Y3/SkcllN
2M1Dxlr+Zp0In+68SjfC2h/yneHiAMkVNIKdNOfiNgVZx7BRqwmkduVh9pkZASM3AjgTbRfZHqQv
Bqf+ppstiLpcUju9GsupuegJMomgMcsLSOHizm0s71AhHzjEbuweRFESXYnTL476oXAYY6XyVFDz
XA/9ljTGYl1jW7WQ3Y46wNyCCJxv2WA2TAsRDIWzCzDbSgdQ3JpJel7NUL3phJhwzE+UyfpHUazN
O3I073otLEbXcvbUjv9DgsjImffF5syY4tlLGDH56D/SuNFPG8j5WEhT+5wa2f1028y/tfLaA7RV
yR/JbMZdmNIj3mVpOxyUZckH7AXTOS+grgQLGrgqtHLzB6oKEFp2vgasZmi8NTY/N4leJ1d9u2qf
tZNwUgPoNm+YANYnbFivoz93D/mEHapIvfE5bZV69H01E7OprfIDM1/ySjJW4UOBYMPtwJ0eiHRm
xkZpdiKhARi3iRfolNp+4ZJeacj3boHdFppi+uYgNeWVrsuPMlPq6K+Z2htw7D5XfSgvmS5vtTWx
z9T7qBPidb1q43IMa9vt9+7sgUmUTrawDVwGU/KmJsUr6a8MHniVBr5bpfV7LpbyCr1DTExI5fCH
sl0NeiMesFjZ2jFneneAZl0+NTUQvwI/VEF2amsRY4m6d1c5dm6g67BZLCGfZszB3VCcOimG60H4
ax8OjY7rbzGYoqdYfJhMMPUKp75OI25VOm0WbtPPLDcpRNvZqoGTl/16wPlR32WOPTPSWtxLIps1
stcFgLr0qutWafnF1CyYl0jVyGduBOOywIZ2+UIUCfAdf0jERzdPzKsJtGNqW3K7k2tSHdd2TVyE
AciyGq82UF7a/n0SLymGM+BpaUXALZeNI+2bjJHwZ+1axUnn8g+nnMlGhMpjIbM2na9W7MH9PvdV
jZEzj1+1ykm0Mwn1Xb7za9f4Ig+7BzCpT8PDuE4EAY5LYbwpv4wJNqy74d7AIPJdIsFk5T4Z7/j/
JbGNi2JIObmldxQEVELr9PwGl/bC/Kli9Yy9LGWSNLCBfLFGPb3q9FR8DE5H1WEIPrSbIbQ8tknt
fc/BQFwz/Fj00+wX/hPblIYMa6QRzArJ7C5pFPtm76V19W4nqf8sM0D1+tTSJEuLTA5n+WG3csEL
gA+i3paN9WueDL0RljJXLm9WLd+US8wpA8u8pXFu0MBosOrQTdj+JaWuiRAD3RtsQUSAm0btpM4Q
CTSP2Hksi0HUuxDgR8aRbBcyTIk+UYCT6s5FY7C+1ns3pPwi3luS8H5omOwTbGgRLKj5rX5gcpo9
mND+D02G4pwaS8UC0Y3U38wiJblDcKKOBIwsoY8CIz+4qi1PCTrlm0JsA0a/sdSDZAvKC+tW+Tci
JLol6AxlTZxo8XCKk5n4dQ+Px/fRXVp5FJrXH1mjsylCodLfil5qnw0CJ2bDRj7eLd2icbisYPkb
LWeRDtx23Gte2n2H7I8siXXcG2IwYE19RiCFmgB7Bpa9yDj0Wfzcposfs8Yz24o8lCk+pcSugNjS
20d05S3YGX8i8FxmYVUWjDNq9yzaBUNjXZf3ftqXYEmz+JQXHJsNI/sDU76nBBTnod/WoxmlOPm9
EngRrEV0Z74anV2HE/trtcYZu4nhdBFoVOJ/mq3QKnUPOOSWxjFcibJzahUKObXZt1VLyPhcXMEG
99VDmIi6DzSXodQr5FJ2/TEGJGrt3Lk18inGR1zKB0gF+gOCgATFCcMrF4jOCeTmC1mN9UMHZ/dh
MEDwBHqWxy+TdOpXS5MeYclQUc/pkhQvHoEhHFITj5UHm+dOJ9Pljg0PAn+ci6HKCnHjJ1UfkjOL
jNKWyIYMrrxwrpbsZjBZQnUemsaIAV91w2KGX9cptL3BnpQXptRaHnWf4GXaA+fSAcS9XWcqVdtm
q8aaTsWPwpPOCeDo9MSsz+uCdCQh0tqqSYQXFJZqqzGXrdpEokLduVWgMDT1TwLqSUtYpH2YVTfs
561mLX6Vr2unrcfEKJd9LhZihQ017GBnDDsgqZxHw1YHm2qlks0onaspvwNmLQN7q5njX+Uzu7H4
YVrjU+Pk5jXyQZYJ9VZtL1vdDScNazWv55PcqnI/XxEqCc09UNJrt8Wv8t00J/u+9Nf0C4pBdsxm
EkoD2c0tPwde03nZOgGzkNPBX3z/NG59AoKr6m7cegeeJ9oIWPWSkOatuQDWTaOx/uo5frUfw9aJ
YLWjKYExydRo61TSrWfJu1LckrYaX6+uP596LkayGczppqbd0be+x/jVAtlbN5RtfZEO0fTUb71S
/attQoRIC5X+aqcAfNohwyF3n415cRdvfRdt2RQVynDezK0rM7f+TKXbocn0nrZtnSZieaQ0zeax
prHL4LpxYqde2l51v1o/vYY9wWJ/8t+yrTcEu9Wje/vVMlqu3+Hwc5gxoR4xOv1iOmQaAxz41W8u
v5pPLn5e+WbrSSXN6QxbbNlbW8fa+o4bpnXtxGFOQ7saZpNfKaZS1RHpSPqKF8rO3mGA1nWIL1i3
d3JaZQJB19miOK8NA6m0OjQJMUzDmY+sKYGHjrWj9e9dvL5R+87fikKrP/NxNl98NbhPRpe0567L
njpWFjt4iNXJZcscugOxGW4zPzgl3N14+Cmy9D1XzpsLQeHDarbVhZA2uix7eHN9LT/C1CrvOqPc
TaLSLrw5Jv7PlsSRQnU/rdUeWVS0XYFqrbO8DORtRnZDs6h7y57gphJpTzxzKxF6PHnOIHfVaq73
6Uq9QzM8wV/4PRX7bwv1b1oogBQeE8L/u4U6NROGkn+yRf/8gn+MpPQ/DEyDQGmE9RcOu+/84QgT
b5npbvAQWqt/9lC/8kTx0TDvxlnjbfPHP3soof9hOSg0PaZYngBA8h+B2Nlb/GsPBR6eTsME50DH
Zlkb5OQv7rOlUmqs3cw7613FkBkRcTQVZvEwW3bxVdUjpy5nmktYGzYLPNJxcWNZlXzLc6dvufl7
7Q6PGBudtF3GO4HF8qVYzVhcddk8f6Yqy5MTyswuDuN6sLSwQyKyH1h37eK5dF8WW033g2wtyjXw
APGZgqX8GsfFvowITl7SucllsLLjojDy2GvhsyWLlyLjlPoiO432WO7Ye5DB7kBDoQquLOeLsV75
o9a5O8py5aaax28q68RDEWvDGg1kWP1kpV3dJtovrWBKEYbpkofW6t5FnIzf5oStE5Uj8e6WhcrU
T2x0JXJ279BX+VU0L1Z/l9vJzLGLvDHwpVh+onDQ7uGPTujBxyq5GTUT+RbzIoccK8/I4IRZ4mKm
eYEAELGwDypuSN9XKs4jaoF+Z3MbvhmLlcyh5cHK7l2bbahfOeXjYqTp7WAPJ8KQmmQjLiWHhMx3
ZIpiPOgNGt5orSrnsUoT8qJWbAdusCyUkUFjmLCZ06I2iEpGp/C1GPrcboWkSyO4FSdYZkE9xUUH
zLnId3kPmRJdQuOEZTf7V5LqF63y4tRgQVrcFkvjwypBM/owulV3TJa0ORaa3n+kWkyUlp9VTKHQ
KbSPXTmps+F6vxi0vDh+iWhVg598S+vk6oGXrPltRlLQAAPGHV9L9mGBMwjlXRlp46ZBui4zMq/E
9c+gGlAQJdzgu7Kv5W2NVjZEGEjVCTa6i8Q0pw3lT6/OkOdZWznpnNx5qv3Z812Go67WDm2pZzU/
kY2WIsBLV9JCi1V91tJytGMce+VLPMC3Hi38Qph1cwvYszO+4333UGrLMWra2t77mkURmFudtTca
30LKlxnT7Qp+LX/pdLrt8X7VvKwpd8aqKXVwjTF7mBY3vatQ/BvlF++uyVg2rWTGazvTFmn9Rcea
0mQ3ukNGC7qEzo8qA/W9IdT4NtmTc/IWw3xOPH5G3JM8vW3d+5kWv7aYGGO4HutjXBvtHvZvBa+f
PO6RnIfzokSx76ui4vHehJkNHWNSILisDUIGfNHs4ChVYaeMGJhJsQSaq8xdNvsDqjALq1NhUEH5
xjVbSjeYGwFtxz9CCLcva4u8e9ElWAa9Xo5cqrzuA+68Khhx1US1x2AlwHylM4ZpFifq+8EKLRn7
e0zO6mxWstpl+eKerNmfLgNZZ9HUVcWhs4eBwW61dlcORcTZzIfqAfSjqFH4OPbByWv1oPn9/Zry
YBZN/hMb5/PmJnBKr/jyZCOinDhKnFF5/6SR3XpTIg4I+5pbmGQo41GKglPLq2pamV7g7nJyJC1b
0E0+JV44mkKxzS7uLFG/+KRLkpfHg82y6Zir5MFx6nRXNbiSiIivwzzTWe3NPb2nXJ0qnAtne7Wb
6Um3iFnXx8WHNiHWnVk65O2YufngtHRuHE8FMZ3SPrm2qHYOOMqZFKB+uGauQWjXnM+XpbLXb1Yp
BDENCGnTAkzE3Kbp2R2U+8Qm5H/YO5PluJEsi/5K/wDK4AAcwzaAGBkMjqJEbWCUKMExz+PX9wGV
1UmpqlOdva5NmmUmyYhAOBz+3rv33P6qGu1sYpNq2VPW3lO+iWWofdVB6tFfSKPlZpWGbeIiooVO
qNC3NKrcAx1l69DTmz4jnSM3MGqjaRcaS+93jM7pNRACE8VpfSE9Pd47xDVc0S16AQGB/BXRNqfw
fKEPUXfEWAw6zDsuyt2YqXQbLmaR+XaUcbUNM+FGhYHvfY3jmYeIa2LZ5kvoJvpQWnFGtdPeJK07
vg743LZDkS57Er/0re5WRZBYDuK31s0/AbJwb6FeUJJGfP2f8GQjGOm1i0yn4kYMfRzM+HoeGVJk
pKJZ3bMjIuvBQa12V9cq2oJm03dZRY9lWDr3mOgWjoAs1dKtdI2MTVfF/UMMa/LkokF7MVuWtGnW
4xkzZHHtiqo9wMgSNy0oGv+tDmnzcX6IRG67EOVEfEFt1Z11CJxIK7PwoCuZ+EPSpgGeEbbMLLrh
7JscYmYAtxr4JOSDA5wayuooMJPOMNYmxQIirEJ5kCb5JTay8IOCeQYnF5rmZ2YIKE7RUMVnA3XM
oaVJh1ZFTF9y8GMU/NXyaOLi9qswQXOV0QCLGA+1H2po9edFYXSjozJEGyAzCeutVvfYj8SDEQ0G
eKykCphLdRiIOXl/RP6MDGWxyYNsy5CwonW354k+vai0zh5NZRFt0tti2mIjSn3dsBY/YVWeEL3c
Icqjko1+lLV6jQiY3pc9YvP7NL/Vv+XkNPFHSxohhTGApJ4nUbqWzMtb9VyshTQjrjqY36rrai20
3bXkDtfiGzYHWzCCB2ryZi3P4Tv1+5GKfZymek+JiYB6Lef5KrOgX0t8cy32JVV/H2lVUK+NgP+M
GIou7ubfnI9pSHGs/N+Px/4LZHU0r/FPh+Qfv/XHGVkI6x/CdC2przhq6cp3Y1vD+gdNfn3lC75x
UJkP/3PWwECX0wP2AxLmmPWuyoB/zhrg9pv8QcfV1+kABvu/M2v4BQqMhhKuuwG5xHZMHc6ktUoU
3h2TO4huVd3306UYyYseyLqHcW/CzyLzcxzubE3Op2Ri69rqZCY+E3AyfEh5OtMA9Ir647ur929A
j/+CDHiz2/PoRhihI9ewuSLv341VzFXqMQ+4sC8JYo0Wgk97p0QdTjULzmoYLUrMoaJvzK7d1T6E
DHRF0LYca20eFK9e1+k3/A2FSjLLxIdFaq7Yz7YMvwlgX9MPOQMRW9E3Ro8Z0UzFe0C/8Yuffb1+
FrhEKA9gTXT3Lans3fVj0Kz4bufuAs4uiggBX7IPA2WXueucuZRwrSeRBIyjXcSUNjq7OdXNfY6o
S+AvKLtXNbU0T2PyyQJ8TSXS2lzpHLQbmcK5KhN1m/bYlFDLtgEOO++pVfUVAD85EcOq2dfMi8mO
+uvv4WeVyLooKNB0JmCOzdow3z70uw/lsI/hvcraC9Rq76mMqE82FieIalMV/XQ7To33UIUi+/TX
L/uzHEbqeFrgETimh05n/cf6tt69LLOuyGKOWlwKlxxZ8GT9BTc4wLdQPf31K/06YFtfibIQJQyq
Jc9xf1lnFbFwS41R64L313qBT9lke/QMtNnSSm31GnIW7aLZJW2KlkT+u0WzUhzesQL4oCwUgwoG
LgoBGL++PHSEGA0O9j+nTiWc816+EFHEe5BL3m5Rk5abWeer349ZPeLsTEvnG3J0cIfebJ0n1BK6
b44JVrEEu/YHLEiGGSh3nr9VGpmQOjN7IHX4OZuDNO2l/42I6Nc4yvX9M+o0BAwHuKzIiX7+onS7
l4XkIMY8IMxfYlSYpLNqaVdQe8ygpE9kA6dfItfDuLvUkKRQiMW+IQbne+csC6N5FSHNKJPhW9yY
zusgK+X8LgRR/suXDMKVRWSjzadvIZ1fOgA2PXwdmJh5nVhAZzw36Dy10GadTG/XDaT4ID3U74Z8
lsxklHJwQRT71miqfWZVhGVndX5fESUybZxsjD6OSV4e5xaVXiXr6gOmS5fQ2yJkopUgvEB6j842
TNriMlZaiyoXAWcUCcZnyMeRlhmDyg+Y87J7I4luI8yW0ybrnfqCWOCxM3LNDOzBWGNuZ4O9gVD4
ZaOPbnLOlHSfQx0rkELXc17Q0pFVxownB283x0fNpcOwGWd3CcQotWBJpq9VW3cPPWwmZMg50hLq
qv5INIXxWCtCVxjfcqrbLCoNv6Dywd0bF7X2uc8xZVdVi94Ud+5R1F72Gg+VzX1v5ulD7IWTsxkQ
IjJdbHp/5jogDTW8G8xn0xYBZL0TYhLDNoNTg/uTeqOm4EAZk7dmg8XGu+FgHOkBs6PuwKPGGH0I
ejZCUSf7NOXMrozGqx4k9oZ97zEU3mGxX15cu2yo5aZk2Q2pG+00FJov+LTG7/A0KukvuNoZCETG
EO2mLim5OcaR2L2hd3dNGTJZ7Mz8UPCjEIcsktztATv2JmkTQrOdcETwV8pp2VhdFvpmpxU56v90
G1mwaWhPCyuI2wb0QsJK6nZmN3rtfjKd6WyjRs9CiDp1RyQc1r65aF5VqAxjeW5HbVqV6F7DVl5+
NeY86cwGY0zfV/qlSzsAFTgd6mUPi6MLgRrE+NoTIysfdFD8x2Q2zd7v+Q5C3H2km/N1YZQNijDk
edhl6VhvgddHOhFUVLg3tK7Jmz+kszOqgLRTDux225msqDEsxZqmzbNwZ2sqCW8Gbh1yLWu3QkQu
GNPmuyKLG2+DghP9/nbC6uZroSc8xKWhXliQS0JwgYziGNuMmZPl2zbkVLCTRZQvvrtIdszCSLGI
56rRMrzvc9TeYq0AtFVGsftd6wdUCYFeGh0kB7d3LxI7aXgqTKdzqCaKqa2X+dDq7G44HyPlwEpr
h6XeeU1bxLs5s/P5oLdtXvnSQE3uO5Ocs30DKZXIZDqSH7UqX0SAtyhlTpbmunaD107jJN8Vxcck
JxzwaDZel21TKFz3S8/kf5fgyxBXalStU+DUNFS3D5uhKh54GJsnZLJGuusr3sG27LJo2bpiWphT
kF43XucuMIatxq3SgPkQ/akxpcyCKDRRLJHUxdcZO0SubQqCdJZvKJY9GzNeh1ERZrSqj0KPrQP6
z9T2IWHUJrl6MbIJmlVIrMem8oDKjiQdmpDAFuqkZNGu9DCzdqIKsaM7ynOqrSAJo2QIJCgMUiQc
MOr5uY1gtF+wfCIISdMY4yDC/KZ9bhB/z+ALuY+Mi1gI0Ig37mBp5uOcjUZ/sSuPeOuC2vda9gWP
pAghLL/ApJmrBeFXFM+M7Qp1qmlrTruWIUl8BWS8e7TQ1r5IameE3zT7TGiHQFO2xNjFvHlwbHRc
TOjqPjrjbQzh9jkbR04WSZQMD2iAxy9Vo0xsdkS6bt1U6hh+3ZC/I7MSxnHRDAzn6Qdad20nxaPo
sKttRiYaLj2i2Zm28DST+NDgB8WX7WCAuYk1x3tC37cuziSpW8b+rWpvJ2po19frke9GjQVvrMTA
L654gnlPKLVZ3Tm7ZBOQ8zmVx671QuM2aUA03Btu4VnHyUrG/rqbuvXwqebpVqaaPW3LMeelSUMj
gHgyyJ6EMuCsH3596yP7E+8Ll8LFkgWfoq/BIdLFKNPF99KBW6fKmNfcFQCAceD2nAoi/h97qtEV
6qYW1sxU3ayUztc9NlN/nWsKEwoTnhrPKTA2c0vaIFAW/h15Ap+IDQTH3XpO7or8CQ+edwK7FZOq
jjeJdYGg5YUuG29japL53uwmvb2KOOYmV/QD0+TB5WmxbwtdXGovqp+JdLAZbloqNk6lG3n9FZkd
GCDmxqlxykL72lcGl3X1gc9f0yyVt1Pf4hGqifxJP452HrUHvLf5dxih6x4SM/sOqAMI4UXQoNpd
ZZPgqelhvsvHKkJCarHNzc2o7mMQOlcYHBMZSKMxgBdm0uJxpAzvqUm0IdpmRsFtsmih6R2tohT1
t5wNeT65giW1BZvAGkkkWh2kfcuw5SEz1lei6Q3bD72sG3jSop/g6F0nn8nq8x61mWP6afG6RrzC
SEFwkQvhDCAYDP7UlIuVrDGCmDpWfC2jr6H+p9kwDN31NDs404a23rhOe7ByFPKHZVyJOZibVz1L
lpbldWFP1lnrcH9tVV3kw1U0j5XyXdnm6pGTSPuqA0MCm+PE7bBJVYv6wxsHt+YpMNcPGW7x+JMo
F9Md6JUwvP9QdRjz+WPQJLYKlHd00sJq/KIiXRsA+LZ2eoxBdN1NrRYu+wZDdryNl55FGhtIRG+n
NFvkJber1fVdDbp9bQkFzmbmdNNuR0zq8J3cIl7tqQ5jW7dtaQZP5tQEQwbdAU1nzepPrQlRzRyu
2p6wau3640iAwGOiGtYaTzrvibWet7eFVxAV1RuVB8I0VzYI/P45YhyuGTQ8RXYvsYWPwQgoy4Lb
kbnDPT1iD3trxIreVrHJt0nhME/n2CTk9uw0lTJvQRxk9hFgPMIqxjVadJ02WjUGeYtXdMNprO+u
syzk/TdAYXetclMVjJOuH+fa4r6fbVhYGytUzvVb4fGfSeNvOimUWxzP/6KTUhbFt69d/LXv3s8b
f/zaH60Ucglpd+gwpwyTopSi838Em6RCOwb1N+w11xKYlqlI3rVSJL0EEsqYuZMTwvv4c+ToMYaU
Lo/llZv491op1jq8fF/WWZSulK10A9lQpE55+XNZxKmE9KUyHg4laTpkj+KgVYz4fYn+ZbbTL64+
JGB0yMqkivb8lEnjZprmlA0qrXy9cx/dwU1PGsD16wlB3+Cu0AnNphvSkJWra5xQEs7+8+rmxCO8
7Cwz1wPG9uZGubWHakAjltfuPZ/a/q4KB85bKsSNb7npVtQ4bSPBa3ICJ2BXFLymXutBkrafhsx7
7GVccs+XBibj5IutVXqAqr7FCE4IcTk45IMOzSeB/sFnhG8CSaGpDdD3CePbfWKKL0PDy9uy+pSV
tM2iDos3SDzyi407odx2YxR8HlI1oLw09SdbJKD6G45do8bHK3heI8gpcExpzrFp3CM4y44jIJdm
4EgadTnBGEn63Ui1CeEkl7J0mzbQa/5oNnAJrDT6wEfgMujuMUccHHCSS7D+8h6GytK2CrYDwVFG
eUisptqVcLoDu7b5v6l1N7okQq+/mVj0amJktNiSmS1EM5egghi2lZ1Y7qISSdWcUeK0vCQnQnkl
rZq3P5rGtq95Q2Zlp4G+RB9AfjLhc3o38Mri+1zUPAbNBjxIOKfMomdO5l4WfQ0zTXAdvEdP17st
44XKb3VsqavvbMc5xQUJPhh+k3jtI3K7FPwMqhCMz8sOQ/NyGF2unsnGzi7pHF2hPb4tEsaHbjDj
iAgqh3XAgewuH4jtxrP8OLpi4MTJPwAK3A0xbypKUuuIsMrbiYT5TQnH5+R4jMsGHgKB3vGzmJ0v
cStSsixaY+sMKvHt0KYs4WFIsC7n8lzKC+v5O9JCeFXg/zbZGH8BB8l3v/BvScgUiCyrIhg7F3vz
UPI7OVcJLb4bGE61XEMv83BWNJ/evu88wtM6ZCwruL/LLlIsGWxLfPXMPejQu9lJF9F3bnJWtc3P
uorV6ToslXK9FyJa/h8yIuM2touvXqxt/clzN0OVIvzicjmW8zhTCWzHmvsERVB4GqG+XyuHu8Nz
2k8ObBnfBlbLDcdicrkb3y5GUXFTjBo/WqX5F6DUxjbk0HPKDAjjVsiizVJC3ufCE/f4XSvfqEZA
Og3R1mZXVWCtDWNLeK4e5AzsglonVn2MVHvlttq0j+jLndEWEB/VIVlLoVaRL2SCa0oIBe9JWgfo
EHOuL9JrZIH6auQFvjUoaps5yrY694meDfHdoOTl7fYyk2U56BDNMZVmZH6UBEMDQWSunPN1o7FM
T5HSyQFGnYvgb70NU9pfb9+tlvPxtbA425Dw2UJYAkVVe1TZXJu3VQ7WedmVKHb2bWQx+CN0bQew
MQtGjeX8tgDWFc4tfsdYGrzWzDbmYaPeWqh6Dm9fc9cDOesaltGUGt12SET4Uq2aY6n4qAtHXXhc
gmG2Z7J74RcH/8pXINLvEaUTjDvuHl3jbs5NstyNQoQnncz0M1XndJGT3Ltj8kWL4nUMPBZnJqLp
NnO4I/pF1w6R5D4tFynOTLO9nWOzyJBcFGcNrIO/FGxf2NbxcLE5UDZxqrD2nsogDGoTf0yMA14k
0/adTjcDKv52Uxskuo92C+FqDW2e4lw/6KU0gVxHbIqRYHMb+eo0J/X2YW/cKYwF+0UU855DHBRL
axh85lgk7wy8hREV5IZbpDwwYucfDvbft73J8CZj+3bTUrQPxMdpj/xtdSsblkQjrTtjTua9HeIk
kvTQeeygHZ3R8NFbwQCVljh96R0U9BWt6dI76XcSR7k0M3fA27W2PZkGac6fBMXl7ayC1og1dS2S
A8kWaElO6eTm3Rpioe4u62zvhvX32uE/55gRuOmrDei/6WRpWbwTTfPV1YGlEHsJ8rR2nvKS42+q
qVtt7C9O2SUIGNzoNMdTRO8sazMRQIaAvJiOBFcXk2b3AQFYhLqu0QVozSx767miRW63NMkXIymn
QFSJh5dKNx4lkoiAGWyVXNOR6E8xMUbuBtQOat0wEjiIVkPtRpVxd0tsp72OA0UWOYxmp4H49hTm
4zTTg0A5rCrh23Wtnaqwf4GsUb62CMKtWC9JRDen9Ltbm9pCO0vD+uCz/Y8HHPPljqpl8qpNo5HT
WiWQvvLEGrQg4lEUMPwJrz0SvbVdZhZje6HP7jpHqky0ft28dNqnGRKjr/poyM6h8kxyzpsMi1w9
p3V8kYNtzARiFKF2X4D9PynHfnx3FPs3Q45fGqnrucayIQRz6EWcBeL253NN5sHBJyuhPzjxPMO3
Vd/jlIeLWbiPfVOaLCvuOitmpf/166IT+/U8ZWFTxLDIIMxBnvnz69LrNmavq/qDGN82O+5BM05f
i1FDWlKl3//61X6ZPvz4lLS1bYOZGy7jX15tGckeipeiP2QzC2Q9CXjIqrbENOk/Ptd/ioDfFAEc
29dR0v9eBVxKqLX/FbykZffTRPWPX/yn7ND+h0QeqEtGUxJQ7k9OWOsfOmZQZjuSUGJPZ0n9sw7A
68Wo1eN/czJn2PSuDpAEmwtqB37th7Xr74xULWcdf/w53sHOzfQMdpqBiUtSjvx6vzD9o+KdHGQJ
uHajZR+30dyFQWnomxzCh9ZZ3rZiA0eH48qEDoFlLs8aChpctLE4QCjTziE1zJaI2XwXkQ+F/HZp
r0v0dKox+xMBRU5gZZ59VfYFGQsFKl1qDu2qi11QDhZyObBYE8g4vCgb5hPaXsAE23AQqX27bWf6
3YvYGYh9iw08KxPNt4fXgN/ZKBkdMNhe24ghTwZ4ZPIXwrtxqW+mFmcj13Fj4Z061Ov5lwk2yNLM
PgGICMI+BXYb1a+9xAncJ1WLob1J/MYs5uuwiWjBdHoAFfur4jG9qbNWIw0jAWuiL8teliCvaJHt
AdYWH715SEAYpDE7vbXNpuamSWfyIaK0e2mMztxlTu76FVaUg5nbvH7O05ErRUx84XqHmSTDewdL
KUozsRyq1GBiQsjbZoR0eoi65KYBT+/Xbbpsc5K2NpgA7I0F3mALeMEMoliTDE56Tqso6U9p7FyT
LRTSKs/v4UaO2w73G8FJh4pEkU1I4wkQL/Izy2S4YYT6Hiqa8KWan2Q3zP7QrR+iSgGogdYKMrDk
GKE1e5u5/RdGu4E5TfkJskV8VTUQFUyDXuLi7LQ4q3YSbxkZbTZNW8S4JDXYBy/0Tt1c6j6RPvSY
Cb99mk2KN1Pv5bYtCeYz0artDCsi94wB19EoVUJZUC3HVpAjxDkXb8QkkBm12hy0k27R8pVANN1o
P/U2vhxczFtPJJ+rqULyqrnHuQiZYUmQ2D2ukY2JTlOZPSrOGolilmnbNKkfy9Z+cqflnBjMVCCS
WTutiMlpInt871T5yyKTz0ndWXvyFRtMFWOx1RnznGrD+4b3NgnQGcmANfGYtRR5I0vCbSLItEm5
6yOk4UYUEpIadf4AM5wTV0ZKTyePtZGIz7O1CD9t2qtJS78ss0WHTrlEoiDDO6xjCn/hGMeBgrUQ
FwAHnagi6nThBGDRwvX1jP+WiuYTwXs5EYVTiJOmHfwWduVegCHZlqZn7WzgRbvQTD40hh1dF7rK
d6b7JYI1c6LlVfuysrVH6E3YTXpbWYGTxTF53qnrE/eob5JUcb6LveZRLyY3oJeR3i8cYRAQLtct
Cv+di08H8o6ikwh7nF6n7myxpEebztB0LHDNstWXNN9ioFK4CFMjYMZJReQk9lEYWIbiyB0OhhEd
OzkYVzDD+0Bjdv+hBzK46+moBzCZHURs3hgw3K43uizB4slE/4BxkogV8n64c+tl16mKkLd+Adi9
pMUDCQjzbVj1+kl09P2ZpdmKg6mWqq1duWMwdTnG/QytiDm36Y632p+Bx3E2t7UznOFsX5IwqFnp
l3hghIUjMzsOtRPhfeQ05Cxcz2pp5cHBRY4rSf8+AZMOprGUJ1ICGRTY3YPuxkfoaDbI7LVD18h7
OwSpO+rmSl1FlrKMkCwtzqcQdD3aTdl9TH8+FP1tRmrOivBFDhJr33JrmXcZSN6mc6ir+HkmQFBM
ZxwrOI92TqQB5CDnkC7m0G6UY3Lwt+KXGvL7JnKXhxYm8MEZmACAO4L1Rv/Axx08b424xGlZ1Cwp
yFDXs+Hs+tx48WoTkFWcmDhGWvkQGop4cMfb9kxXdG61/WTV3waGmhtnwSckmxVSnAlxQrwLSDkz
Bmq7qiXuNUXK7uXuQZn6TZkZn227PRPmlBxbOT25Y8s4M7Y7P5tN+9jrcfHoecPHLGxGZrvONxxk
oz+QG+mPUfZoiP7KsToIl65xissmxzRZZtcZ2u5Cb24z2kcBZHfQ3nX9vWmABMUefFC59OUe0Fgc
EKOUbOuxy84MkJo9gTzUGWaIjpZSFTTRZ292vcfZmg9lVoirxU5gkBpzvQMfMQSw0VD0Lssjc8f4
tk3tcwJIjMROCs10JHgyFVG2a3oJYS2XD9TaKrC7Or6aa2hVTU1rfDA1Iop7bGmKx4vKa/s5S6dP
JI1yYJ2d17IHc6uiTNFm7sb9RAGxi4pwjZ4YvJsuG271iDE5tuP1jY/XFb1zv5MGrQncyMlSbkdo
yVMdE1JvW9lRKO1j70HZhrv1asaVwV7Y90d3WBr2mpjWNAPaA/tvfFKDNe7hQhW0zDUJVhsBq5sZ
5j5eTLmLnNHcGTiLfXyOYh85yccRHgsUZ/dxZtbRprAVKi36bmpgyrMiC3eaA/LdqmyxkyXJROCU
9BMSFmNTQuumO1aGO3yAZTC6IPmKL5ndFt0HK+7oorFmNVBzh2kkV48au6vJS3vqwgGWpZ/UdpvQ
8Gf15e5NSHTTCB5WGel6k5VJLlvzUGOTGoTvVLYRfjB7xkawEeYZBWu0lS31CxbzeqmIKNsURijv
QTZRRT+Xw1QsBaPRoXWIzETq6kg03BmBjaQ+Vs3SNP/psf9w4Pz2eA0x5i+P19/G/3qGn/2+w27A
b+GX/myxu1AVODq/ddHf8Ad/MBEc7x8OJ2dCBFC7kWD1vsUuUSsibeR47aBmoj//vsUOW8VcQ6zh
1sC4k3/naP0vJRqJsKAAcfYgUSPH6pcSTQx2Peh6VB6B1BKElxaRvDGbsbrgd/jbxSevxURAX8sI
S7wpMN+L0YYWFVXtiuLomCNz52EWlwS74tPMFTjX9eJt330V/5ciWyIDtQwDAzaKGYbMPxe7jUY9
Ubk6r5cDxt2MOBfCTTIhhOsmyzyixLPNLSRG8ch2ZPymwv9F8Ae9EC4xCTnMR+iXYOj6+cVrPC5T
SVLicWm67jXPcoDqGQjC8yyW6X4KF4/hsf67j/wv9T2vytVamwsramNdNu8vcdd2STPSrD02uZhu
U/bvVxhcjCK9uJluI33+2y9oCxYpL8fq1Rn6rG/oncAwWeNR6Mp5B/w85ZWD+iWYVeeBvDO1zwSe
2s9//Z3+qmelpyB1YEvQHRGgeAZckJ9ecG45+Ua4Zg59OdUpDesQUcKy0O2FEWkhCoOYKcAMFtaR
bDBxXw+yeEKn5Iy+QlvE9MFpnftuNgwsK4PsSWGoVHsWkzd9mg33N6uAcoH382flypjMkULQ/2AJ
6hTDbxOudxeoyD03ShDcH1DTRdajlhsyvGqjDCt1VNZuQOiQGE8EOeBHgCCLCoN7cMavkjUHUo8o
xOgCmcd8rtAumG1jb5SdsZbwb5dX5DqIC8kzuToNusEc+U3RkRtAsYFzS6Q7vYHRaKM1MbqOmYnB
rpKTuABJ1Jpt7+jlVQUy/l50CPdDxGjZZkFCK7+4ACtnAA3LNKAboRa4Qogz3drsEnZAzljqHRJ9
0D4mmfIIZGsA1R4bTo0khDgtWteS6YQS4hurdGKwLWKcANcU6YN1NxXzeOaQj9yIoRgnAKz7HETX
jQDRHffpNLQTjctuuvV4XLs+Bu7quU+M6nlpdPNoE5OKzmIYqmc3NzlqgKzJfa9e2L4mGMDbRDTy
hVCE6R79J2KYfAirZ1N1071Wa+JRdrSl0eggrPEYhR8xIk/PNizI3qdzRsBNy0jlvrcaPmmVAk7J
s5YXRDQQPhmQoBHduaN8yXquo7sMXLfGEo+9x5fGoN57GutFvthoV+7jqPW2JE1Ic4dZC3mMN9Fy
37S0/O9/rFWVROhJlBkjfYnTqX3NkhIhtsVR6dmYh6rdt+OA0kYjDkadPCeM8yPhm3XebWzDc/tt
RxjPRzWM3pNbsZ8GXdojo8ixCdkbrMnWS9m61bOKIMliU/TO3tysOgGY2jitYlYGuYmab5FJcdVg
pSfSuSqn275HixXQBeWScndXz9OE1sv/IZ0Z+lUf7ilhwo9OUFKM1fpZR4idePTK5vB2/akWsIf3
rgVX2gEY62qq9evC0y9vPwN4tvDzWU/YNxZ10Pisd8rphmCMPG+HhIIFrNbbw+7SsTqQLROGVwBn
dSaX7UjOVj253j2Ca8GkjoAktIpd5urJpePYhSbRzVNjeqhsDtzIicopHHYI1+ZNyDyOyWIWC/04
is4ZGL7ArFcA07pY2896n4xMf7U5vAeLKTOa2JJeO/7BLjwbuPye0e9iPiK8gkFJ0i7x7Thrxvix
5fIrZD3FgN5VFSh39LTcaFRhZBIQkKnJQXKd28fKDBXBxDBjwgKCGpGqfq3q6TiatbUDMG1eJFlb
/jCMjGXm6aqLyunRJlDaV1UIh5agcsROyNsgC4pPrW7UQaVmgs9Qxd9oturuR6QqlLbhID/j5vOw
DprtaPqRF09XA+ljB8tlFrnpdaME8l8uF7fpo1dUK+JiA0s9FbGyL5Ve0JwhrGU+i2LM+cInDcLx
QgLHnkFd9+rF0D8D8hiiOGBxeycr7KYigPXeehu04uGTWbSww4VmfehUpEFhq18KQbhIktHDO9Sj
yZYtHJNFB8ybJTWnsn1Vgn/ZsC9P9zzmWMtYflR8sLWQp/TSxHvkwtWzFJ33lM+KibITubncyGGY
7pdJhTDVOFtUlqieKZhBYg7p+DIhrHpKpM2GWRrpYwLM/GMCwAWR2CzNY6jD74xRIhzdyiNJwPOo
0HiMlo82cNslToqg5WNEO3pVrjyhy9S9j0tbic95o2nLcQHx6B5p7i3m6IuqBZnWCOAAOKnNL0s0
SHsL5P30ZwBL0ybqGFHDOUrV/58QlsobnQda/KlDSsR4lGavDYE51sLnvvyfNJbCKCCvGVO/Wyzj
6ddYFms2augkDJv+iGUpHM36QnYNP1/xxGo+SOUZiJndMW42NXrvcre4tBw2UI56iyllqp3zLO65
dHlYbZZORp9mx4WjYxXujUMpHSTcVThaqyZFOhe2z+XkchapOumeTQSUlKIDX2sNingbQ6djs7Cy
qLk0bjsfkUe5F9LveCwQZgGzldLrlY6Sd5ZUUyuWYWHRrEab+xZ9XUDm67qU+gjsEW1KcTEN5tWb
2ibEeJMA03gayEnZ253yzu3IV+NnGUHlyCgT3pPjEnceVxb/AfszS3AyI+9sZ1WcB5GBpSBrhuYw
YwzJ/UFGbbunueeegehpfkJ+HUpmHiZArhx3ugV9y72EFC7bOzPPcXr08d4MF+tlwSbc+29boKN6
BGVEBq9Lf9QzdduNBfN2ePfWeex7HWWlRPfVdFr7WpgMzemVQkvhyVrLF1rdE1pguSqwZJyhr6pL
dH8ZIWCcGGZKlP2PtyUKieS0VjhcT6Gm8fhywJZc1VnTHIYZ60k3cPbN4WtjQM6Q9hmgtgqG+nNu
Tdfkthumrzde+TwadaVuDIznfFl5xWcdh4WXLGivOvf4AbKWp4VNCjpkLnrWKdBd5DkOlsXJsk99
unbKSZ2YH0KtlM+2EmyscwNlaqyaibDCfxvEYyHEQ8LoOivaUtNPVa+0711Te8QfjcgceM+cct5E
qcYEeoVmQMOTvPY68Wg2NY+nqJkQVTeOhSY0muL1igJDJtZNzjzWe8CKPDAbtqqHcP1Gk4ScsKXP
V2kt0TgXTdRUDZ2x4FwOZItPihazDPUnoc3QnLlOHC0fIPtq/cNgk55d+fGoIuXeZykiCh5Vlbes
baqonpFcp7EWCaYInJbpCwMC3ziC40bGGHsbE4CV+mGWxwHaDDrr9mzsCVbgDOIYSj+lEMovgPoH
vE1qhtA418FkSe+UJUt1zddf35cuO0s6KO3TpHnxSSNvBt244tEzu/khQhYKVMxhLtqPks9R20Gh
w5PHuHRlQQv2CfK8i1y2dLOJ+p3QEV01iwA6Pk31sRwwiEZdJu7/m73zWK7dSLvsE0EBJPywj7f0
9k4QvIbwQAJIJMzT/wuU1FFSRevvmleNVKUiechzkPmZvdeuyCZE2MQhAVazTVcWu+yV8sr8k0mI
uwt0HQE/qxEDqkazkK3RynMqfFaw44xiug1HZzjyuaYw6Bvzlo2keeuWIHg0ZmKvm8rD2LukcJIU
8jiyqd5lXKKbrEmI8yDq2DGRLo6ir+55t7mXq7E4cfMBmyxzAKOGrdZB6W3jsLj2OOtWNn+qW3OS
8bNk0/3e1sK+qXW5uBpikwISE2gRFsTMa0jq1gOVH6B2JFifrhe5J9tmkJYChg8zSDaVP6BmOhjZ
/MvFF5rcOCCYEe0z50pIADYL4r4nLENrgxuY0SJ+aE6QBI35ivuK0xAzxblvhHEk3amR1y4v+JCC
YggvTHf5RM464r2HeIGqesqHDC0VZffmn9uopUv6S1eyzITgIDJYsBhB/L3tn8kfDLnx5EG6X0W/
hs+9apfC959/zr91P0EQWAwqAEuahFf/PUKZ6EKFIkbJQwEnB6AabrWnBpYXGOvRqs/ekrVy+joO
//nn/tt+nZ+LdtH1PDpTSNV/6xJpyQsb0YI8jFnhfSijbA9lNyKuH/yE86suqwlfPtuWdaOXKvef
f/pft5X0fPwH1eKyNfV4EX9nY2NmZnpCYtJhcCMaEHLDxFOwnLrZl3cBWzpnvilb2pKl8kb9yOH+
9RL+uxD/XyZ2Fkqaf3mz/o0J/X/adK6rv6zCf/+SP8Z1lslS22EhCdAbF9IX+PlPJjS+YwY5bMm/
lK2mx3Dlj0247bMJ56t+tw/zb3gNf5qLrd8Q1gYo+TAlMrQL/pNpnRB/+2ghouCxhSCC29Hi5f39
gSobv+sgRgywIyXJu9x3gyoLVHpUtyYOAx2Iktmzr+Z+nwvGTuYr7RGc+RybRPckSkfN7WoBmYst
eMEWCR2iwaqRwWPqkb/BkgOMcWrhnBhgjSCHHbjpK1qVQ2YMg0EsCun2pT6SagPJAZ4AeRNKXqti
okzWOkVRwtK7okjLxlNtlNoE4uZN18mJoicwKJLAXI+FYK33wAV8sp3GcAPfXl6ykjK8zEYgqi47
uKfEQzuyTrnnF6/MYiwJWh1uaZRoPFgzMWTwClrPOdfuhymB0qwq1elrikC33WI7GpYJz6LDDznm
i3016mI/6hatHkbO9IhzovFvQImiSeomM92TZYpN1MP6v1dtrnuKY6NANOrkB8mqZwfOzadSNCq+
MTEn0chKL9KURFH1robJehi8hP4PuZXaJF0HOQH+BCFnaBXmVZeX7SZzG/2mAAC9RHPte+s2buR4
pD0ZlxAdl1+UAKRevEUsTi+DaxU0k167daxcb71YNhayzvYy1LW1BOqSj4y1i6MDgoF7ZBDmv4QZ
sn12Mrjp0i9nXfLlstOL4c6wF+9dg9RMfPnx7MWa59WLS09nyl+lX94998vHh/SbnQcGSXclcfYd
msXyR8Yc7j+xGAGHxRII5B934CQWpyCZYNJdg/cbPplSmKylrXiXuzyNEGXZ4GB4mz7KxZm/C9sS
KyKH86MF4vuc4998qxfLYmRqa0CGG6tDobFXbETr35blxMRlMTxiLmYZTCQCIjfzyxMZAw3ZTToe
8WW04e3oYp5sFhtlvxgqmUzhrawXm6UHrI4kwKQvfprY044qysRRLdZMz/WjbzwN+DWrzAq/R6XG
xUmTqfN9rBrxFNHhHIe29NkrkWuyCquoeyS55Ye5GEP1YhGNvtyiPAHpsfaxda6nLz9pvFhLATI5
p3yxmwbIW/bUYh6rvm62rA2rZCZ+Xy7VDr8qGcXtTROY8/dCldEGm9n00qeyPERfXlfDYK3P7goL
LGKW7naqx+qmcTMmaOrLLSt0Gq3dxUJrgex99hDqIgMPGXCFafyqmiVQl/SX4iF3sOJ2M/GuJBLu
VU2IeutHTr9ywdzcu0mDDfXL0QuPVgycLJEVnb+yr3pXyVvsJiE6RxNqlpVPxybs6vWYoPfT9Gqr
KlI/Mjx4G3tiJ+rC/DxkRRiua0d8jMP06hatu67yOBw3oRZ+i07XxuXPilaiy+y9uwEXDa6uVe5S
97X/vRX/v/ZYNs/3P16LT7/GvyYl/PEVf+rDFsgc+ADcqR4kCUqq/+sTsUzvNz65LFlwj/xhBvnz
VvR+o/TiXwnPWRYxIdXhH7eicH9bLCLg6syvdRCqsv8oOeFLAPYvBS0jdtIakIkxaefM42f9dS1A
YIyhmxpS9dCI9lUbDmlYxfTjK/sGG1ezTQzkTGNZ5w/+EFw75nVvGB6aR1mj9jLb7tRPIKCAls5X
pyYVZ4psL9rrhRYBQdj4oHStUV3UZsP8LOIgcF0R47byXWwAjpNy2a6MqrD842y1GEFDh9TjZ4Iv
BUMqA+Y2Pr4cmfo1kK3pQ3XTBHCxkUeyXYLFBabm7OY5Nonqk0PbNs9FUCm0/dAICouzbPSgFogo
VFs/MZ1ulxSOkCflxCkprlmVB6a5GsXEgifF5WCd/HoSLw76XJYkc23VUL8cqN4ApfzJPfZp7ZoR
jL7Uz56iycBKzCwu182GgWf9kVVR8DP2Mgxns+hwPi6Hr6m9ddCh/X4kbgj6j+IldPt8rMU5IEJ+
EeeEyTnKFm/LgAG522lMF3oLKghpa1BniNJrZslVqpgQVLaiohgDdCaB+z4R9gPsKU4OaZc+guJD
lTH22bURFdYSMbwQF4+kTiH4t8oQOR3C/pkGNE5ewbphRZx0emT0cgXQgPW471/h1OLVLTo6ujFB
BqdRC+vY+6HGaGBKNLzPmdutEbSs89EmpSt/gYeyaM6s7ARN8XuMcmNrR3n/SKRCh6DCKPc9f1LD
rsgW9SUeTj/xd4Go9iIMgU+nL14hPmsoSue5q4cVLrgbiGMk3fbqvS67U6nr6pCrlKs7tTcjdoVV
N0mPo9W0dm0zo5Uu6xUa+hdJiu2mbw003KX+5aWVdy29ObobwprFj0kyRNj3EVKQaJNPfb53tGOt
xplSJCOMVzMLXccWqi5n0MkFAHN7DRRuCt91TNBiabqrxtld0bcm67lrgu/w4zUAFQwAAJTH09hO
01Y2rvFA/eJwL8a/Ijuqb11DPboqHR+rEpc421QQiqlMD1Xueas+Nb2VXU/E/1Ruv1NErhw5F5Id
uNdwBzTYQbxnhHvtDb9qNy+PKiFHMeLsWOVxnxLYN6bfgR7WjNewIcYxg3t0gfhmuMFXiC6mtTsb
6OlMKI6W0eGTFOOT5Vbmqi3yF6OIjojR2NZ0skE+bby6uOxXdj5mp6Rxw7UhnfTT7t32Wz/7WLUI
BMkHJ2cb0yDOozIiNYwc1LPHgJAFCEFzGxv93GetPORWmjbXRRAWmPGmzfQ8LVHbxgFMbA9qTjON
LZxc3tFqlxWhaG26iH+83RJOsl24/t3aYrz1BHoBfpVpzTHlWS1OVR+3lAu24qfxwcrnVTSoH32B
qN2MtL7LhtxiFcDHIg51Ya0CvG0/CXI3zW3sO9OpV2l1oNybhnAP/iAd1yRbLcG8vNp8xdRFfVpU
y0TRDZHceWPfJ5/kwEEJZ97XoHsxGznciMDt3jvStjRsaSeZd5YuzXNSheV+SAO5ThpD7NkW8Jvl
A1vVDNZ7UnNKjNgeajM2tq5NtQxPbOlqG3sbhTMjx5h1hQjmtxGUyIufki1XZMYHj9SrIJyTJUwO
3L6BwGg0zk1GWuemLVg0VgaJwV1A/rGQ6UtJyNtSk7vpVeD0IV+hn8FXIk69Yy733BDGGzCwt8OL
dIr6ZIXAJHxbX6j75YNjh8YjAyD/QzAk3cR5yHilXMxOfZzwGA/42rdRXY2gECaTJN+pRoaKDSNW
St3ga6+3fJ9qx+ARkf7y1C785fty1vj2G+aGBl5rxrQaUZeD6XfqDoNlJguZbV7ukjkA9eBV8C6m
dyxG7sHRZfijFd29Py5UAZL2yOMM1JtHaBqmc9PYClsfnYIc7by3bFZbllSfUc1kPDOUcZ56N2G6
1luM7ZBLsKujVmVet4sci/MgmG7SIchvZ8PU1ymlXqymnhVBNQK77qjYtS++doYITUMMj+YgWEpm
5CVIq92ztm05g9WVmdzCg0e2B6KJTyJ7naPKaQU8Yh0xKw0PfYB2EDMToaOM3Bb7VHhoxnFvTE14
ZIETrWtrxPbtheWPSdYaFxEzOaxGxkaiwdrAfWHGFQaiewrTDLFukE+bBvk1wKbmGBohXmhDfo6N
/8xGqt7O4dDvzE4ijZxC1qHO4u6uRvRnPSYYI29+6ny+FqC8z9aIzXoewN8Xwq9uWcjDiR55Yytz
ynZDqszjjIzhYLh+iDWzytmTVikjeebVRAyBK8yRbYky57xrPDLB2RpWjJ/ZY6pvos7zsysjZMsT
MMjIHkgPmTLrwmeAXW3qkHCQ55+9h6lnlPM3Bj1LvGbIWZZNbnSFGgJ2XWcc/WRuf0f0PSCSVe0d
1qlonWiruxmcQHO5I0L2zPi9ttxPGTa/HJUWu8KlYNCj81oScL8u847dUcC3mlsHVVs/qs+2d4g0
7LJ8Aw+hZBU/JHe1W2T3oajl0QzEfGF7zp/BzyHTRLgQNU8Xp5R+DaaaC0PZjylzgDU9VY9UJuBc
99Liu6iISizFVB97lPC7TPsTsShGtWPSVV6EJZBvT7Oz1vb0vSPOcKWF568G0gBWA7nCKJKb4IVd
5XyX24h/uU0XaXTi92TaD7nk5WuVZ+889rm6LmuQp8Z3+VqAUY9tDxm3GEEBFGF839Nh3rn0b++I
cx+Z/5G6XcQ3DiPmA+vmGOVfkknUcxF/aDDuzjNWq2E9uh6hSirAHBd5ApW6T6Zlr4dpMzcEXeLy
QhgZ1+KnW42Vu5l4n1dCWvWttmZ1AI7pH2CjBN+GvDPfe3P8kclI3c6mbWRbrRN9yDCYMcL2NFuU
bKwW4bvSdJxEIggdsux1XT4RZvnQEF33MGDiN4mQ1gYlhqAdc9Fdf3YtkLrlQY15T5lugqzyW28v
peXyyFSeqg9tF8Lc7HF3bKbYfiQrkNwXZV4YQGVvHRKd71WMY3JIonmT1chhgZX8ZHHmPlZInH5Y
cWYg2kbLk6+MtB+PEk4XfM08yfoN7Jfxh1kEBFbUffdIFG5zjDg8r6wTin1YeXezV52jGrgMc3pR
jwfLmDM+zp72f4LdZWMvOp9hvpu+4iJwQFml7qYth2LrpjaxrbWcietsoNDUyq4fWtsBqwi5vrvB
nhiwhYigu5Ed0cebuQ1QjOuxg/ZP1NQ+ttpsF/kD4SwM57aS18WMxjP2ZMlE5b5BEv7KaZa/csX1
b+Bbzcc8U1A1Mz89mi7jkT5qvFNTaQMdtEFQ9wKYLF5igZT9rIm0WoHkb0/4snggEnPIASEU4Qmb
OD6xcrS+yLtEdujY3M5m194r8gpezWDuf7KD04egq8Mzfbi6deKkfa5tt815/mpGQTZblrx0mdNQ
Xc0vYavYZ9I+dCQbWJywa/qknvy2UNoYJgrY2GBueR7OhCKB+gnIcHweomD23uLcSOeNDkZu1oDs
Fx7EFpX11HqgfZ3c8W489oTv4F6wNtR+/1jMJMRtyJ01rkU1pu9R6Va7NgpKZ1POY3Ek6IMlbZDF
pEo7OXZGIKXlq0mmxL3m/3oYS47XtgwfIV4hPSZP5XtVVvXGSPxs56k5PpNjja6t0gwbVKnLJwvu
D6YJX+wx/eYXoi6Z0GB0xP7cFMx2Zvydbivd3YCs4J7lc9sSOgODONMpLtnM6i9lBV7NITb9gJYl
vhMoJqaHwM/a+pZIs9HdhPFoMsbClIwaIv1ZyiScuoA8ciHAe1BupkEPf9xvBuexVrGXszTtpzrw
SZDOwqQMV0M2aSLPRsdg25RZWyLxqpasioRzdAzg4+K6sA8q8dxXEaQl5sghlv6hzXkWvyO8izam
kUXxJWXgSYb8RE7cVgQxYX0CYvg6xw7L6aPa+qKVIQ99F1oPY6PoBazG2M+uR8aNIsGEnGR5bPlM
bnplpxeJB3cdid7/LIES/zCrJd0beKlCyV7Kpy4Po/SdsTBEKCccrornEVrIPLsbPLHBrzqQ8cHr
S0pw3Krw09PWf5lJ2dwygJ0xn3So3jvRzR8mhfV5QFK2KqAdM7Qy96SY9KdZNOpeylS+JaNTPgyD
5Z5mmQ5r5sZy46L5YQmN93tLSArI5SVE3AQ/tB9zvcT2ZfWN4zSgmHiNzx1V5FaNUBnmysq2MXcd
xXkzbUfRqm1f+EdDVkCyadwfVJyGuzY3xYfrjM6hzFt48TknU7E4b/y0TvZpbOtNWy/KgZQQoFXe
JcN3fJR6Xwjn1h6TkDT09lbzSliZE/cjhZgOJCbgQOn7+JLT0rIuZpm65XNDmHs4ulv8nvQ3fCjx
vGRpsh3I/d6GBdd4hOPlW0dNj+vdLw9GisfDGLhJqsHD8hIUqlsbpjGtnQycUh0RDF6FvnH7FX8u
hwS1el5cx7yv1m5cASkD/1jgAE6SX5K8sWsUpSkHbRMfotrg2e04+HuJObZIivXcIuVrc6W5dIbp
HhF+eEOcX75lMu8dci91gUMjVDG7uj6lpnUXBNh2OzYDNQvt+APbRQb8HlsDhV0T3ORG0wKCMCFW
FJGzYiBnv3+lkNnDIrQqERC+G7J7b2wSWhMd7B1EgiZZTvqniYj1APVvPk4lMGmLxpO0QzR0JMLH
BV5eYqoyP/Y23lx8oFZOtpp3a8VK9g3p7TmJ0YPOzU/U6W9dBve6EL1Zb8GHoY4abXuLTRWbAcrD
U5Z2MBu7EZhNbHprambLXBsVC7ztstEnbGpsLsSuVHxaOn9vwYFai9ZJL0Uc56CHO9Pc9M7YB8xH
TX3TKeptNIpi0yzjH7K65DFsmoLcI00ITBaYv4aKFi1TmT6wFekx1jfinkE4EwHZ/lDJqE7geLKV
iczmxFxrkyQT6UvSQzUgjPwkcDvcf8XPx2nznX6NUoxsgGnjzFl5rHqp83Wsu+lVYxZYMe+5koYQ
vVBKPaVG0xAhpfxz4qEZIuiAwrFOjhGmQIwxvdFuKt1/C63mOoCZWCWZeGFtApxSO6jE4DCuURUG
r8nIbt5uWnRXZgB/oo/cp7kGdebOuSCUOrmkBrsJCS+JgILH1rM+ic2l/puojqoYJltSC7SRVnG0
deX8hETdbkxAzBtplC8jqX2fUpYGmIgq8NSKqQfF94gGYzV75UMwKbDodZyhO5RB9E2bfY5wRgMt
WYXT8NBgFKxXRQArf88AYti5nTOlFP+lRY8DPiBH9InDunQBQNouGQKZjvyeNU+iSNDiGfDMHMdk
RSlJ5jIBpXG04a2S5G1lrrzFO0JhbeXGojbNsRx6AgXLVgeF1W17M5E3LL+DI//Av8qr4FPE4sHJ
ag6PIEVOKc38NLlcrpY9/IAv0Td7AN/xFsWBA7gCBYhbjKcZmByPuvXSciWtC0tJrI3LLFBW8XoK
8ev5lrdI1gjrjlLL3QuXShguA0eCN7bo+LIa24xuvmFxOo184Nds/M1jHhtX8tSpdQqkDqzsTtLS
agcd29+CrytO0mX814TgnipK/TWVqSAbu7m0sb4PM7RQJfC/nuzwbbhQyx0A6Axm8LnDlWVLpZI9
vQsDRELobgfhvKaW051VBM8anQwgD7zx+8SU8TatS4tFOc1Z6/YduvjYZHKhAFnk7k85ROF9bwAc
A5yXIsqcvuUxEc5CTfbOzxF/wGD8HrnaehwCqAbeOA3tOuvr4Zfb+fqRsw/ulOcSRA8E9tQ2DKNM
WPhWZDhXsjoM5ixpCrjDzPND6FVXiJEArmbbATecDgSVwXUoIUuaSX5quB8thCW7PJ3kR2fV9buL
1RdvIXiAH9j82clZU2581F7Z3vpmQbweFx5hSb4/HoI8ay9+TosE1Shjn5VC3UTXt7XLafpOncWj
FWOpxGga3NaDTVCSSvofRup9xq01SUSvRoexMgjv55EwAzeFerGWqTk8B6Pb3wmROPNNOwaQ9Ae/
rPdMQRdapbIlMWdwzAiXtXw4ium4kSKt4PDOk9zhdyLtx4yMGyttXQAVXAZg3/XTFLvPVAjuYxPF
9Q79kDrwHEzQbDsi4MPgZQjwC8mkEo/sN2HcJPYt0IbooxwrVGllFKwtX4h0Uyy6mPMgKGouBUve
VaN0cqaGUOMOP10NCSf1+pNTcf6sPGXKbB9HA+siYpugnTILo6Yp0Q5VNDeUd0PNrs+HIPrSSqc5
N00ALI3tXGiiKmXGN8mMqAfOBXTVJDDdDKlrPmm+AazGpp9f+1wVxBX5EUMjBtTJKgYEd7V7ibmR
T0+zNuWg9kNTpaRGSFCQXFgL2KiPqZimgagxoRActWqphDhl3svc87+hjgK9mfeZOsiAeA/MZA1F
a+AgqosNUhudwB4f3V4qhk9mLj2EOugGpTDCFxgz8U83IX59QyRVPCLAmqaHKddjDrW4TLdzM0Ka
9jsa71FwRVOClnKDSv5zoLzesiK4nwzK+pnN2Emy09y4sseplkbNPXtT8ZplVOAbFxcr/bpr3XVN
zaIROGjw0MHAp+Jt4/quANf/CjShP9ms1PpVSW7LtZ0M9YpO27zBJz3tBdnQIc1rZ993WPYfQiOi
fWnJyTkTnii+T0Wan1QX6EchbIahCKV4SmvyNQgGcIOK5KguSTap22U8lIPDjdUPTAVXNvFQ2Q0T
fmS7SDLt4pyRouPulDe4vNNlto1UG2ebMe/u5rhzspU3SbFdJONP5uzHp8zhqKyKZPosYDK+R1ZH
oTZ7CpcDA6abJGQTScR92rz2nlvvBoNbNybugMt+qDc0O+nWjLtsLw2Ugwj3ynPLCveoBzg0SBPy
i7QqpIm5b5mXeq6HZ0W2A6ZmQDCbxCAkxSPtmuNEGfcyb+SNOw3BoUyseAv1VO6HznTWtgR3iyFi
UNegKO03prcGl9ggn0zqu0tbN8OuV1T/jDN9pjRG8jAlmV4HIVDGkV3GOpZdee1V+MPQlrXlcIoO
XuKqjTHN1jXUPBoknSbbtLGPdWIFd9XoIe+eXH3yDH8eVl5UbBxF19FTMa6ZN7enDgrsFVNGfoF8
/r0KRmurAf3tsmD6iOGaroWDSCkKMsaKVlQyK2unFyO1o53fWqBdBVthgw/6PsEzsNbtBG64w9Kw
rvMKAnfIkjqxR6AvlukTGllTy5Ig854WzrSmVZgPUzuS4+NbXX8X+DVzYIv4nQ1SD108jG5CWkbC
ZZNB3c2ZZ+n8YvgNcCzWN8xYLSqNOtlZeYDUAj25m8/872Z039njdDsoAkcJoHgJO/FmLyExrlFt
ic6YF6zyR1gh2gxjFh4DskkE5bBzUCLXO2HlzoG0s70TZzgrJK2C47p4p815FRNTQgIHqJyseQXM
nN15cX+IDHGgsFJ7PTv6mzGyBhG28YY6zdyZMxXy2BjpXmou6jHoP8owa+6HvrnvCeOdUMKT/7Oy
lkYwKYzbwA6nNWjD5NhUprgAl/lJkl9/rUXV4t0mIzRlDcagJ3Te1ADvGrzXRUvkHG3xB8T/v2Ku
/0XMZYNSZ9P8/6abvKRtnP4tK+KPL/rTfun+hsGS78N+eCEV/gvhMLB/Y5nt+Ci9vlIklszoPzfX
4W98llglm0gWAYOZrJP/1HOBSrHxMZo+tj4hhPcfba4xc/5dibkIzXyfb8mrYBn+d6Wi9uq6nmLr
EASMlLFD1cEClIPAXU0NLnp7O1bRt6kKMKMw30yeTTq8NVLL+gzxvr+xa8AfYctGAiWLhUrGd0m+
mWJJfGm1ZApDmcBlHxybSD1FWI8CHHLNh8k52KYbhgvxM3rM6kUoLGCyHNCpamG0PxE11WcmiOHF
mUb343fi7yjo0WzJCbZitxe+KK82fuWjPz7ndl2Ov0I/DP0Mx5oz3FAPbFuQDUE8ZmfoaTLYAzur
ngbbgRbCjdw7N70SCGFEUhtPhuNKBY+70ltcMDFBNAzQujKFP+ILe7yx2pHhIRHQ3wqyq4EwKB3w
Z6mFOFjjEF8yiWYNpgfVhCkgF0TBMLg7qzFZrnf5d6ecq3M8ILV1g9nZuBDi3lrI8lvXipBG+Z67
LhjnvwiRTQ9ljXrpSLRSuq9lKQm3nE1/DzrBOZqjNt5VV7Cf7cbxOTG7ZEOcLRFhMFob/0V2qVbU
RsivtzNcJ7kaswivXxTGC197dpS4bb4Qq4brWU9tEzgfvWTphpZtkO9O7AQXL7Ssp5H6k79ybi2O
hDq0nsLcpVWexGA9xanC01DIZaao7MJE0l4r66azbRplX3VUeDbBacwOKcu57hMG8XjIGnTwA7ua
s8WizSZjmn8sLLLB4Ml6nMIN0TdsI5OSr3HtKfcvshoxohFjXULcpHddqJfp2u3RySsI19QvRMhZ
WC9cDGh1jpz2K97C6hGer1pk4HqJu7NAIrj8GiVa6P3g1/0SGRDaRzx57occCyDSQBmpUdqxm88h
I0t+T/LMziK2EO1nzswv5C9/FMaxDqGdOb6DE8saXsBgNcw+/Rj3+6LGkwCwS/T6caQhlrtTa2eb
YPQLZ8O15ombSBfQ1jsVmbA8pEYbSB6I+pllNQalfKFqO+PybfGe4ZoomOc269qoNKhgj3EP1ryg
4tvDdeOfg1ktcGQB33fdDiP/y9z49tHxSnDWY8LbMi9mJa4mLHYGIQArmHTmXQCqA5sBP9Hz+3zc
acOzj0OBoHP1uxiZULElljdXAZw/Fw2GMwgNWbi1nA9zYtT5u2HPMxEQNyDiNASbsYV6nrnOPenn
4Ta3m6Q+pnYKYy3yerwujVhQ+LFd8GtNMO8vCWPlV8qQyXj5epVBMfcxoC6oB2sbawZjWunxKTOw
u9+ELQgSoBwd/s7OG3ifESY086MaKAigfi5vqWB9yd8kW+b5CnTPGYJkfZ7amv8eTovXkBKKSaxR
EzpIRDYfiBBQ0N4fCk4oP2tIfS5Na9qlWEk+GWryicw8RIvrylqG8rFrBOW+ZmmDz9gqR3yTMh/X
o5+rYaNCMR+62RseyHcY7zQw+XebTxrzybq3gGaSvm2tQof4DBX0a/oX4qBdgYtvRX8IMaSsWB1N
beffeKYfnb/8QryZDGpt27cesmRSWEZavJA0HR11V4a/UPMp3mcMunfErAskPbF736eq+5EZtkVx
gn3/BWPB+Bh4rF180fLBFu3Q8svwB7h4pmPw27FqBMNau1UHkrMtbNSp1cIaT2MGVWPo+iyVQ/9H
IzPQ71ZVA/Z2IqaJK9EBGI3jDMrol5dzWvxvre9zgvRNrfmB5XDLCNfZOjoW8dZQ9rASTUT3ACFT
kqOHpqYuAHyuW26Me/IAq4dC10yVdY4TdQWpU5C7vmCTwGz+coCAniK8TIcMVtBPEinmlyDuR3+H
wzG7NEwVftnNODzBFpmOskTGMWVoTOvUeAYn3r4kwuk2VZMzWijCAC+fxTZGjEaB/RrpRsEcY2cG
5bStYnP+RQAciB97KLpz4A4+AsPMR45SEr35PuUZs4whQhBK5I517Oc2v5auAGQ+DAyFolGBIE+j
2b+4cXPTem35i5CpxNkixteE4k3NdKJ3CIj6Mx6s0gAPhZCfyMM80J11KShym/vZsZOjNtFW4OzZ
sfXXG+RU8jr0iAdyo4/uKt1ymkyEtKeG7B9oTyhxBwSqKuwQeaAesC8SP5l4jjCFvQxJ0T4Wg3OX
uLp5IGUYKgFJfA9EHfiPlU9hiq1YBbeNE5iH1C8k/VBivqGHHM+4Tp7mWHivfYctqB7dut27QwV+
kvetkAdWQcuDPxxGGZaMgcVd1y0SadYjWH3MxEQ3PDOxjRpl3iNtqBnE++a2yFpUxZndwimjMpZb
whpZCpG4MXyL5FgWaxYDbrYDatqXh6kpin5tWE6x1TYQtWA01ZNAffaeCiZVXIUAdPrMoXM1DXnU
HiZQurvsGz4leR6Kvr9Rwvy2jBSuspsnWvlhlDA+0Y1eiDXINhrT/+MUGs55GjPrPrc89alB4Hyb
QvzyH6MCwnqPUyaKzwqEErGtOTOYpn0T0xzdJ4mFJsrLI5QnFvW4srD5dZQ0vtee+s42bttWedtO
2Ox/J7/8VahhvDR4PLdQdxj/pkq/B6kXER6aeHehDF0slENMJ1jBwVnhDZA3PsnUVzNCm7ZJmHfc
O3ntIsfuMSeVRKlqxxtP9IjVt7RXqJ5q+Rz1EvuW2b4orsQt01ySqTLz3YIoleEivhiT67wNA80R
z9zUMhzrrG1kJMkZ+Gt8a+MIvvZ+ewh6hh+5LwjhNgkKgjknod0PiXL4DQNYd4ljk5YhRc/8YTJu
PEyeezNNLiVu1oMorNeIHn0VE/yxakXtsM1Qy8iOXs+SLE46IfFgjl7ITRGyQo4dHAYVXbW1Cx3b
HCEQS/s+iB3vLmCP+ViTqcNFX+HxwtKq1vk8AtRR+goyBeV4Hz97ZkN72NLeWfYo1wx6iERVZfmI
/kmD0ab82AkobZtRFFm3lYu4jfYbACoD6+SuHFt7lyMDeDLbVp+nzjZfjZYv1F5cXzmBNAnqXdpt
VBne28rUe+K0iPVSwpFnu5ybh8QtGf1MVTds+xprM+kUtXXqnay/R+kAzjUiLFVlwaXO4+nZ7IoI
jVnZvyR98sZqmSmfC050haI7ftZIMZgBjWz2m84+ebL8H/bOZDtuJMu2v/JWzaEFQ2MwDGrifUN3
OluRmmBRlIS+7/H1tUFFVEpUlCLjjXOQfUpwdwBmdu89Z59hN+hM6y03UBvZYn6kSxX1cpGmOjoV
5bSywvMX2LwJaRMvCyTqG7o77I6AE3CvOmmyxe+pHhlHaYuuGKo7L8odSHKlF63ZDvudiupwVSZM
7GmkL/ShErcBoiJCkKPAWk0oPI+5NVrmQifV8DhUFo0VwxjMDX9mODmoH9XSYb35EpWt/KYSPHRh
LO1pFxCb8lo4TrlzK2jgyXy0wiNCEmQ3Av2iU5UvIQXINdMKmG+EryzJmGlPfSGMlTcmzXLsyg6s
m2McyZ/szhOsAfOB/S0+NVliBrCw3SG9RMS+LOvYzm8R6/jylqGdOS1tzZ1VHxHHgqy3PsfC0P0N
/V+a/Z3OWTCWIr722WRhtA5XdMDrNVJHd0DeougscAw4AXoqWHlH039iFMNYejLpYnmW++y3Ir+d
CHrBWecHmzJuxyti7e1zmQUQoJgDafCabbpsedIcB1GOWwIYhouwm/o+6FPajOWxUNOwKl2jvE7r
vH6F4qOjmC+rg+hsb1v56pGDWr9xanIanMq6iboR6ZHdxTFssSH1E9o6Uy82oTtN46KHjx6hVclo
EqaGnG5bUy8+D3EK9oMlL0H2i9J3YWbMPzK8wlcxAlDUU2ggLpo7TtdagP2dMWpot5/pVNwX7ZjF
DuPhlhAqbKIsbsQzSKy+pnObi+RjYSZDcMyS0vGuzEx/wRVSnAabg1yoeBb2cU9zEkf/GIP4iAIa
iQaZix/DlH9X9YuKieklp7mywV+8wLIHh6//OAUoNC2zUr5z8Y2ivLD74aRgB+13P1Tyf0HveY+y
mXEyNFkEVmVLWHjpflZ0g9JDbutzrnWqygKPQCVqh4FxP41O/cWtRLj9/fVsBPE/eSJd3TKFsg1I
ozqEDRt7148omyToyDRkpLrL0sq9Qp5aPINyZCapkR+4MvL2NUh0yzr7nWrNfVVJdAnLWmhBekKF
grcQRY27lmVmVddv8TSpJqfiUEFbfexmJk4X5xwAgXV7HNvS2c3u66ZLQY8n684AcVCtyyGudmHb
csxEDPCS213f3BHVi5h6aoTomQXNjsdPE/UEVmE1ULD5HgyD0PSpRUhoEvcpvs7nPhnrLzwy2TcY
Jdmd6dK1xIw7j3uloRfPOu7u4cqnNtLmtVOnwBKadzNpdVtv3IjCYftmyxz5P1bXVl5gKK8CQSJP
LVT+/FYLp7IU59/fhLnb8YOMn2B5B2jTbKBEi0xz5t1Njzkhe3JOt7FhrlNpwl6AQiESyrXfX2j+
i365EL5QjgG0/Y33T5eqqOBKXNc75u3c4kKhtGmykvvz5tOvw9mSCXqDImRil33+p1dXOigslCKW
zujiPTUJ5o5wmM2h54oK4172oLbI3Bo5P860gEHjqrJxKAK0PqVs+/3FBTCyd99d4cbQsagKx3R/
+e59REwYsNB8VwukHgsy5Vrr5ED5uc/IH05XlpB8+Y7sdugjb1bVKmtn+Y/vJDvG8OL+7QP9p735
N+1N3KK/hcutviYv/Uv19Ue43Pc/86/mJvHpHLzIrhXye0bLn2w5+4Oj6FoxLxCWTvfzx94mhk+i
XVyaB45OYfqv3qb6YAFms3Xmsd+xzf/IleO+7226GLCF4BkXilQY/b3LPI4ItBCTW+5GOQZP2CIz
FHSFiX0S9wOuMadKm01RjpckN6Z+yQq81HX0F5mnF2jbQMouJnMST17YMkfN8BksSVrqvw6N1FZE
M0RL0Kv0JfzmkilNw9aRfLK0Co466u9NBkF2O5q6v6YykiNMaCfcoYCz7/CRwOYfmglFut1gcWOm
sHOAVFpLDxbtgTFJzPkAYCZ0yGDRBCiRIFlVx6FEOy5TE6nwYEfbng/HglHJYu9M5EfnWtXcZq5v
Hao6/BQ5pfYUJinhAWWGso9scRIYqcMZMpuLAkHK9TRAeE+H+qZTjB+hvuKf45uKwLixjDHeuC4h
SiBqNBLdsmar+/G3ooIWtdBdzBNowIlQKbBYItsqNiWkudugM26kifY6dFDS5qQ4oIq7CYWi99ue
mBFmi2DI7oBUiasBgj9NnayjWOrnf0qv8jG9slTx5KUMjybRDAfCLz6RjrKXdBQWiWnexGP8qbQJ
7nDy/A7VwPQcJxSMhclMMVZFu2kJJluGtJF4BO8H08MAgbkz9uT8EcqFtPmr3XIwtw4i12sz1jSy
Q+P8zq/d5DEfW+tRDEgT3mJbMBGYG7LMBqy9DTFpevqtnoqLLq1p51ka/qexfMktUd0XLqfyIPRo
bJpFsu7J8Lgkvb1DOIlcy27K67ELqicrVveyDnMKaGBCgkjFK+mhuJjoL+7cUqp1lagH9IBaucD7
/OBbnn+w0rx2yJeo0xvD9VAE6Ehulk6pmzeNkZhnutSBWPVGMJAsg8ZzTbvpztQIOzcrLK6cHczb
OmmwTSrIQqYZkI7Gm7OIwi6ch00d/NoBpElV0pXfo5QTC0I1cqojW0G3YkSAkmVoj77PxHTTV5r9
QIhbeESLrX9iik9bYmzof4YRw34OoHm+EYo80QXzNx2dX2k3+zzSkQXZUTN+Awc+aVtFJq73bXSd
/pQYlTkP4ckZSXA54A9P/CXzXnH3n4X+3wk9N2xQTz9s0r9QCS5fmVuPSffybpb1xx/8c7m3PkAX
U8KB7PjmtGT3+GO5V/oHW9ABZzc3CA95W9T/pPQbH/ivkBUx9hAuoM8fZlkASIWNFF8owfqFG/Of
rPffqSE/HqqUA5GAdqhusB8hrXo3y2KcXk9pocMGdzIMHRRhITbnpDfPxhwct3ZhipvEE4VVuukb
Wbq0MKtqD4+MCe1UVrAIOGJrLvr8JrFXAQcnDZMM0Z+V+8rc1rvupRyPKcrAFVX0IBYTQC48QRrV
YSRGymE8eMVCMzmWr2E+M1FCE4RgnFp52mrCyB+reqwOIyiZ87xxrR2EQw+eoZm09hMnWFcu6pd1
kKflnR9DDtrpJd6FFW4W54XIUawRMaxG2ODSlCzDhRsDfYFr3gYZDbsp/KoJ4b/2kxaeSNR1nuwx
R1qPo8W6CtLEw77o1NjlOZfRlWpt31jnWm9fgEQmx850o2vUk82pwwW9FV7EZEb3rGSRN92wJuOT
wpJRBxIhfpTlMLCRclRkEvSW+OQWGN66xDYfVMXPLEjB4RIG4KCMEcQ6A1a6M4zSXxsuv7wVWuLQ
T256aTRTovGY0ht9SvJL1KqKTGEFlLHT4+xgO3CbIzV5y7jH8Gi4ht4swS6fMkcghh8dieIbZfRE
4CzlI+i35qrNrafa9ps7UdcZ4r+KMMiVQcuferxV8TarWvNxSGJjA/dRbdPCj4ZlN3ke3lsCCti0
42WaZ9PJtrv6FqWRitbyjcUzU3nqmc9jAepxuks6c3vq3iqRCegXC3VqDl7eMM9YBNtnRFv+Q5Wa
w3VXR2gHgAKRbdos7TdOUID93ZzZQbA2PVBeUXZj65CFUIh9hGeIan+mDo340DfZTCLCfUU+sGan
ux5MkZ4LGl5xFN16LQyjdqYZeQNcI1/m2zgy1Tq1sMAH6F1X0B5SprQzFilyPXvTzqgkt+9f2ZC1
DfYuaEpBA1iJhxwmwAxbqmfs0oTwaU3N2q/Q2VrA8+2bnKcNWRdmgxnclM4IJ9CKT1Ma2gtsKtom
MNhZ7Bn3hDLJXvotCCjRivAAU0F7shyHaM0ZFWXTPYHKAT7KUTX+khkpVYmBSMs3zFRX8ty8sacG
SROxIJd30YLiW0VvlKqCwHKSewEGoceycdaGFkAraaWMsh+Q0g3hBtF7j17cFvhN2lX0HYrVf0dk
jRr0SvRJsd3f2UimcP/aZRyIR2HxLNCKj8KjxCd90yg60R8Ha0LvRd5tYm4yd0ZkJhIhnBJdeHbJ
mP/oIkLSUYMI7BoVcPWZmZFr9hPqsyza9zmwfrTkaOEZx+qTlW0rzmrdHcGtVn/XxGE7Byr5GvRF
mo1d9BzHNJezFUqXDORHYBOkh1XXxXxRYyZb8Zj5/nMqQiTQUSBC7o+Wp/YBGROpSgNCIJ9TXDjw
9VU/Ov4KcrtSa+haxNvu8CFZzzQjsXoSVCViCc9wcnFgJ22DnrvJQK1yEIwbk3/hdLKPoIORVBjo
bePdZ3ErR2T3FLWIMCvD48XipPGfnfrf2qkpfqiH/m/FySmsaSfXISaIH8syBtjzn/tjo1bqg9Bp
WgkDMYot2P3/d6N2xQf6G/MG/UNFxr/9U12if+DddWYOCk0/iVbjn+zIUv3SRGOoxbGAgs8kSUN/
39MKHYB7MZbLPbCz6eT4ZMppRo1KgH0aDE4T6LumROywMETDhJZGKIaIDo3TVW7l48PE0lai8K4N
JHKxxADgipFQltgzhksVkrLnjBpcXrQkGELrKGynoxc6I7tNPSsDRTOdXMfXd3xKDJ8jsbfxuUPj
8dWJ1AzfCileSKh2ITTCOrottdFBjOoNJMv1w+UtA4/CYtw6neUdcnuesUsceld8TDvDLJ0VL6ZL
aif8JRL0WjLexxY/5oKYEC2DOsb631Z3wpta7aBmNOhi1ABSfOl805ebHseG8Yhd1Q/XaUuvMSIQ
WLOfA53Ebtbr3m2CI161WJlE12CVvpSGg/gd5miPuR9toNrk8Sj8WzLj5UZP4rREF+anOpicuiM7
QQvocu6FNf8/fUG4+NPAVpltZYlb3oe4jql2DMBjopVkmRC9mkxUuzS/4TosUkkAIrqMDKsojf5r
bJf5OmeXDhe1AzxuIfxSPU2MDLV1xiBt3Wels23ltGr4T/hzuuqVNKTu7KgIGXms++Yukaa4mUJi
0nrP654qsjeVm2zTKtVP5J+QNEfaZ9WpaNklsjxWab8pgTteyoBYFPgvDmkm8yarjS4mMTki/Sns
+InhA343QsyXpg2rtglj++ts3rhVNQrNkhgR4nA0dxMw69k3JKI9RxxicIcSKBQ6YNKJVm9gyCY7
FEHJLXEl8U03kDKPkt13mFOVHN96iQ8j2w/ueO9Auq4WmuvWn21MtbdpHDgrDCUhunqZrvW+SY/o
v+t1XVgYE6cwecg7BtsQoIMt0DX3VZJxSF/bq6ILCozyxe+A2C2HYtSRKyiElkg0tUMGgRsqBCPR
G4b/I6JkLHymkQCRLYxnCZTJn8WZryG77qNUvFQWAqcNCD96vIgkFrIcQGOb/VcPd+vLNMRi7bJX
YZENfIKXJg6uU1jt8M1Zi7joj50V2NcoLZKN2U3MA6Xv0SYkAnKPCEjiIHbEM4pedRZO1jPm7Ju9
G8UJqv/RXbZWXt/Xbc7IsLfzXWym5rEnieeMq3POhCxs3F2BOGNSi56YhUTP3FGgWENrHlumwzsU
QMU5niwGQ35DJioZU84hrMzpQg3ZXaVEXKzoSIpu4RVIj8cI+NhCY56z0VATnBSCmxvEUpJcTl6J
HSlTnkarIwznM6h5zfiovuroYHwcwFh0CyBB+qmIu/DUBHF538ZtP/uPi4MZ+9laG0L3mdlW9Fh1
sjmiW3W19dAiMNMnZzI2Ig3SC9wab19MQ79tJuAMeuSqTQX0/ZvdVRwKHTl+HCLYAr6r7bO4gDuB
D5vGLxksbaAjo8fGLzJ/b7jFcbR1NJ8uzZnYar+0GSY+M86Sne5jvM7sIl8JUXfbKsw4Bwf6sJoG
WX4uPLs96lAWNshpgZpnVn8T5XZ5DmJFRAtH3Rtv7MenFuroKzCl7oYfxLse8qL9ODkjgAerT1e8
J80KDV206xMLCbQVEQsP9jl+KEI0O9x23haNkCnXiYsvpiab7aRoHS0Gj5B6JMYo0NKquTiiywz6
CSNuGqML0HrbxrfJCFwicSSC+1Ef8xWd4fsC094p8NILZ073bOSG/wTHLsGd6JLmbo5at9DHUD/J
MNZPbhO7Z444xs04dABtaJy4V2DI8AUnw3VStgXeMF7UA1Y7qjDLRTEGymLYh6TNHIocNpyvMJ3w
Y2SnFrMookiWmizJjhoU+INRWuJOjig4lqB8vGVdyvE1iPqh4kvP0rAWONmuHuvyM1L/NZz3+MBe
4q69Mjc+RQjL9gnmpW0JqfMer3B962NTPmNSoYfXlhOFENGOD3XWuucB3cqpg+T6gs9ZZ0cDaJCE
c1Yab49zlfX9+GXW8o/L2C/tXZbZ/UHz027LUL47d01lHgziyTYqLMvH3rbrywBrZDVaaLTMcAhu
2NlQfbltzpwuc76N4Wx3kA1Qbtf1v/QgSdbEIrpQIopNn6sWpUONgEBQV2k5n3PparVG7DCxogsG
0t1LkSqRLDujBxYuSYU5gJsoHz3Ae2u8m/le2enM/pJE1GaWKDl5d+VH5TMqWnMqTz+bvq+2pCd5
p1Z46tipTFskqJf3gat2bhsbsEkN9rdFgvnm3DCzuI5UWp9iMeLUxNp8KHOtOXkNSPzIiu1zn4Ap
0rqs/agsjPxkzXeEc1rgfIDS9O1N4dfqamJs+VU326QFVxOyXbv8xsekb7T7ILDlcxnmLD0cnC3s
tlpEblnfYMqYKAPXja7yayfOzHOoexiBs26kuZiM9Mw8W22dJn97Jnomy1CeS3y1Af3k3FEvsT4V
Gz00X5Bp5SfNz+w75fv1QuiDedU3Lu5SfzQuYznpTM6y03wDD2Viii0kw2WHgW+FLtw4tYgC9j6d
u0UFKuSS+4b54KimW1NjJZuyzO2thhkRUxAhIvhwjFUSo0PQcrPYjzjEbxzbt3ARVmQSiqaY8Fh0
7h06SBrTZW1s9KAS90ASA2uZwqa5xF5JPWd0g3uT+Jmz7QM22V43rxToQW57aumnUheEKKAucRuD
qCLm8l9ByqIG0QDA7LymhFKgEYxcJzV8Bm+sLzjuiwsZV+UuClDKDqadkTQOebun9J+2nqicj5wF
DPq0oANpSJjON5Vq7XOaK3uDJ+7JLhNnrUWoKwyw5Xw/fVbJ96reGSx5cC2aKDhAcIZnmxkQoB0L
bQ6bdjm9hkWFZKYOvf5gtHhfcra3EfcFjyYAqzSKbaLPSDUTIZt1K2MLY6KqnGhllhPnj4FF+Gz6
bYnoqnqE5J9ed31H0JI36daW/S7bdFYbw7zWRmavwtkBtAc8LpyBXcEJnzmgSVy6Ed3jcvR22Gu9
pR/ELu44UYl4bye+WPJkJ5ceqysiOGuIABCgGFyj+BwJ0I37W1lhm+kns99Lfcyum7gkxykxZcXD
4TpfOPgGa7zzxjbWWVaUY3CYHjipZguETv1dpyf+A1EAyQNJDWpDAgDmQNsry2toYO5xiiWnFd/2
9rpTtOnC1yNTX8Q5O9hCdd4+bLtqArxoRoeocVGfhOAJW46YLnnFJQCyr2YaOTXikLgZhSoWZqmu
IP/HJMepClR9UN5IpAEny6rGs1tWYuXGIfI0H84TMQUT/pXGf5qkOkaWvPclpWxrhOcspK2WmNYh
xWzzKXRoBlWoG5alJ5kgOKl8QnZq7EeNrPmuD8xVSf9jXZjTC0rCz6Gj3agC77obdHIFoDtY1GWo
L/Mm67cwM4DH28lyoEQ4holI0aAR7e4a5qYdlbV0a7ddmeh04W+G17CXzRNwomdRE5I2dDil/Jj8
4ThWFT3qhB8m7V1aYCO1tknBnTtWRvB2SacAWmWA4uiA4vY6GC3jkXZ8AjdgIDBEl1m1me1x5GAP
9Nnwoq4mLNMLiDZbRw0kOBAs90y4w7AFEE90GVHS9G6c60EGKHkkOeEZj98LfZ+14djefdrUcldg
xjrYRq2faPeFq87HlYTkkG2uDsJ9WDhqA1xyWhakjCxHNGOLAkTBOdMgWbpxNF7bOl8uUsk6nGhP
ybKomqUsSFn/oWq9fG/K/j+ss5c8BHr63//1y/ybopTUJ1q+5KoyVHyX2xN4FjaxluQ/qKuUddrg
eIdqUqzSNiL6O0vPyteCs1TGlk0T7PcXp779eQDNxaVuGMzA8VLAFOR//yETZ8L6CJCgCPdiyKvX
KaqyK2gbwbWKiW78/aV+ERTY1DOKf8zVr0Jc8POlmKpHcghSLlUYZbbmHRnJSBv9/OvvrzNPTd9/
J3P2klD0Q0KU7wUFcT6OVhXTXGsLb9wECs2KbIkRT8DdXfAyxO4VHBgd4ImVvhQOelxWFT+41rxg
Lq69gE/3+4/06y12wDNZNFyFoqZ9nwXV6vTO8Hn6ewaP00lPq3FrRkTV0eh2oYKgLK1eh7bjPovK
O7xd+z8j/b8Z6eMWmqce/3f/6GNYv+ZZHWY/do/++FN/do/kBzVP7JnM8MR+T1z+Y8zjGh8AzRHt
w9CfcbWcH+c/xzzOBx0hi8Ukh9Y8hiI+xh9NJcuAw4moiXHJm+yDT/gPYJvzG/OvIQ9RzCjObZMR
D94s/PPvVw7MUkEMhkwe0eNWu7ecMRuQ724aR8waTYVD6Icf6C+Wqr+6IBhAnVfL1pUU8yv+w2pB
8wVCUpHaRxPRwkp0fbilWzpcJPkFO3+s/06D9PPq9P0Lckrh94IbN4O2f76eG8mpRlRuHZ08kC+R
ywXMOT+3trGv/P6r/fyKvl2KW829tm1sBYjHfr5UBSzHb2NhHeOUSClYnNXObiY0ORLry7nBNP7o
xJE4/xtk/r/4ljxJNsIM7PZ0HN8tjH0Zd6OuVdaxNjAQZApR50KzM8r7zkck9vvv+U5y9PZFeQIZ
TzLWJsF6fkd+vIcDkc+pM4TWsc8lF3KKSu+g8OhovLrGwQqSmVERHNIBQQQ2jKCrn2jgky4ykGq5
1I3Mvfr9J/r160PmV1KyVmPkQwb28weKYCS3ie9ZR9XPoXFvThSdftz2//NaCPhp+s67g2O9e6B8
jnR4okfrSA4TvReLPBenSckYmzPNfv+15t/x55dT6gjaMC86bHe/9nsbDuIyb61j5wXfvjtbAEz/
zd38q9+ORYgmNRdjlXp3M5mPWA66B4vTKw6fCCEORy9JjpiYAFT9zUFFzL/O+69kGlC90DXyE6p3
dwqFj+gmTZhHxA2I08yOawKPwEn0ZsdR5Ny9WHLkJQ1dplFBA82V/PX973/Yv3iCseOw7Onzq2oZ
7x8Yz0CZ6FGjHAfVGPSnMqEB+nTVVUGxvmRKjIAwjg2Ue+PUsr2+vbzYqMItK0i1+/2n+as7wKjd
5bjBnXb0d09UTE79kMLNO75lyeFi7Rdvbj6rqP4u4PGvLoWklDE6BgLzF1XsUKATqZzSPIY2Py8N
DF5ZLRlY6tXs7/r99/p5qWf5tugtoPCy2Flgqb4fVxQgYZOyLLQD5nfkrJpWFc+ZmTBheHN1QYlQ
f/Msk7/w4+M1XxKKDTI4iUaCG/z+gFjQ7KR167gHHWrrFnsfxqq6qodb2WvE2tUe99W0p+ESqAhw
DyKldTo0WNCYL/QrrCLljjT5ave2gjQAo8h8mQyMhB7JdiQTwSj5mx+JI/LPn5mNH/EeduE5chMp
33tdHXyAyBpSqjPC2lOs7SBb81CSwSzquKXtn46DT7oVxDTMV1ExyrXgL7upEHG/WbL4jDgbuJEe
M/ovdJmbL4MR8+i6wcR7ZZQaK69eRbR5bTEHLwjftV7KQA23zAQqqHr8sQoO997Bw1Th/TBwMBpR
+dx0Tn6kvDcPVcQPuMCnNV4YZZA2KcnjeoSLqiHycL1S7ERt81dDUSZFO3UD6EZJBWZrAQ3YlNsk
K7mG4peWdTBeSsj4+sLqqKJBDReYXQOCpBeFJQh6A0mIuoNIVUknwszxBvuELYyVINjvLQMVpGf5
7BQZxGyGtuMtepjhohGDgEUTgWv4SYwut8yZCGCmzYrS4rEEPfacNbF8iUNCm+F8GfbLKNz6y3fV
rOxInUjH2HgtJs/YdaVT3laSkg2rGmyn0LdQ1NGIs+cWMzuMGPGvanimjtaA/ZKkJ21pDha/qEew
JMVpuPVME3xdDS5Dy2nQNjhLaRlicrvFyTU9Gh35eIVrcZ9SSeKjGKr6S0wIA3wdE3n5VHvIPmjB
u49tARNwQSlq7smy429Jo1HcTw2/m9Xq6IrfdjmYTuSB1oQjYLcNqmjW9tKpHB2HJ9sKMA8tyMmZ
nAO0v4rEI/oq/hwiqeN9vKXgQQyOWoeeoA33/FyGwHDRKeiEk4G4mRZjBBRziZ99hCeqe448FPN6
qXUoLbe11ZGOZmAoL5kYOTG8M/Kgvsgc1iRPsD/663RS4hxo6RxuZqeYYb1ckfyBB5D9pok97NEi
M3mWuwiCS40hC816Q7jnwCziUgjFXtQ0Dg7bMWFfXjTgLMxlYfrTaSL021+KMLVfupw0NRkgzETg
XCFTsUdR3fnmZOwmqH/OyvCl9SnruuxeAd85QWxJViWkNVqRGqBeuld6dQiTvMOKNjuX62QY8FZP
AMP0GtFjkkyzYFMqjBeOHY1nijUd+E4AJSiNiUYAxAK11KYrMmbTeB+jqsWqFBQFjjGYMxnPJLwt
vc5umqKGZRN5bfo1t6vmm7KmfG8zkjy70oY0h2MOAFJL1Eu/nBAFrXu9oE9Kf6x4kklc1ZvaHuXr
MDlAIZmtXeU1+ZgbynSnp0dbYNKK8gzofZuf3agDTptNdfDJNzXaYqQ4nUDkYzDJRrI4x8Ypt6ru
5TMRec1mJBTyk/T7/EBIOd66obemT3hP4jWc/AmbRMdtVGCikMz02acIM2sD4wyrFrY4ZzsfRrEg
DHRGV1WVauuSM+Cia410kyoanCxM3iJD8nLbxvTGs7gs9lEV1JvRbsev4JF6AP+hdoPvOH0K485a
JmMGVSwL40VEtCW2uurFaSzej3DSVp4BU4XWmtiktM8jKFRnC8M2yz+cc6ydyCGBpZAhlSPxKZlV
2IsKHISfz3e+6K846aodcrvRXmVh15Pa4nEh6mpvhSEu2EOAqpcgAoO5pQTUOc3bB6BAYJS6rN60
dkx7NtBfEwChT25CNm/oimFD8oW5ahM+h+s16Q270gS7n+X9SloljSJf547SOYiuQC1lF71pkbjW
DQ+1JjmRvYweEADNiHglatpLwzovGoDacvA4YMNQwMvOatt88SudBSmfXHE/6rOCWW86F+Nwi5Ne
tYOtr+MQkTC5IqXeLVLHw99u2FoO0McaLqQOacu3WMOmdtmPVWuDIwXCCC7iLW9XFwPBtXHYsAS9
JSHOgKCLNlBHkePKEU52k7jvCotXvw1s8hQGKxp2toiL54JsWj6a0+E8R1acPBvMDDjPEQK0EGY+
J5aKoC7ST3YUqOLbWHQWBHenwb4G92CdRVb/lSzD0oeipdkfES7Dow7cepfA2AgW2eDTPYV5EHxm
PP8SFba5ti20PEsPX2z9BH6p1e7o9uXmTtGvPXeQsZYSoNI66Hua6Dh6NqPKiofJ9YGSuchwHzq7
Sm8ZBH8zEmDnBFRcx43R7FhXnYTpRNWuLdy4X3xSUL9MYdjf+a3DneONj9Ylwado8XwH8FYXhPG4
KJPaOUg7rPPV0INRWtYYgxhFtbXf7xp30I9WmY8nFJLmrZyGENV7CiscWbUXRksOO+4jvIIhWw+i
AUBZVdY1WIPkusTGe5uGqlxWuahf4dkkYHgn83Puyu7YyAIBh+0ZIQEDygyXcTC3vduJ1mpaJiwX
tD4h9ynrMPbdZ6/Q+ru+8eMbQVDlqQp9+1PcS0SJFb5G9kqm/PTcTZ8YjDE8VYNtHjTkFDCfO79+
McK+OGJTctf0mUF2S13zFlZTp9VWsOThNs9aYEvCMLxFaHnOABA7M+8l+NVdl5kT3OPAu9LHdrpB
wQKKjzbrc5s0ZbvW69oKD0M4DPZS5TqBAcoDiX6Wg94XWzdoa8jfmXYVOVP+oIfAYpdajPt/YWiO
Hu9aHp5zzw7/TXRlfWqLotsCexiPOGNSeJ1uAMoRvYG5D1jctuDgBaGXnCw0UI9Od+MbXU++MEOq
Oec5qZ7joWGCNCb21RAaLKNYWd1mWRZd1q8MON7eEkegcWqckUSG0S2FWqvEsVgQBTkJhmy9DfMt
AIyFb+2BqyKqSSSog9YJb+tUlA+tGOtHJmPWuhumeAlSCe8kUk+IcpihMVpEzsosegdwnjcFQAMb
9qFmluh7WgeC1OKnunQTdUqWTE6FXdkLrw0dpIte9drJDhvTX4Qm7XSlmRV2S2KRN2Xt2IC3jRCH
Rcuz+81LguFjoczmlcg750svGxludESCjAUTQbM/yhOnWnjKzL9NzVRCngmmESxiU3yzAyi/dZQi
QZ/CukFEN0Bvy/OMMJIhLMeFhQOQuFnorlrSA9pljt0AAebM7k8jk3kd1Ax5LC0QkWOM+2BB+kv3
FMiRHGXHn6JriA7IVjyQKNcZXKtmkQEduAk0k7uGT04wEyz6ZGgfh4AhqfW9gv1PL/RveqGGRfv5
h/rvF9X7dZy8oKSmHfg9xGj/5b//648/9Ecr1LU+4MmkdfKndJ1Wwx+tUKGbZO5JJHKOoRtzz+N/
W6FvaXx0C+b+qEE9+6e2Dt4TdQ6WKC4y/7l/pK2zbdT2PzQmCLSkBnNpxQo+gTB/aUxUXaxAu4ny
YDXaQFhIsmkgKGyoptSNHWQAWGy4ZmyjdTDZa8qrVnuAeBN9SeBWs79h8ysIuEO7HXpb9h2zum/h
K1A+kYlwIXak+kS2qvNsg3k+ALFLAF5EBlpyKq5SD8P0YAwowiURQisy7DIQSCWbdBYU+Ylk32La
IpTf+j1xPP4UGMUm7frKfe5IB1Y7pROKQ9zoKJ+6fmjVZcQxtiIcJriKjLyx1qYkF2GJbVSFL12j
BU9tRQ8POQs+eYoGhkRXja0Hjb+hqISrx5SIQ8MiJTHE7M8IFDAxbFSJk+ac1/insR3VFSaabIws
b8eoDOLEOuWEoaWHzLZslSzmeCPICHFLnvSZrAKPTd9L+D0Ze45p25fUq9i/Vm3XOWJJB0/orz14
EKaYcRDaPYPTrLaJN8yinCDdtK0mbVzINoNakykDBMvA/J+yIVATepMVs3hrWsYw3bOCKD4wnOCP
FejSKfoyeYB27HjZcJi1GePlIUhYw+r8rREPXnV20kbb631WXfQIPACjZiSCHUEGETjIfQDUeuvb
hXEXa/J/2Duv5biRNAu/yr4AJuDNbaE8i6aKXjcIUaRgEz6RAJ5+P1Dds2rNzGpnr+eiO7oVIllE
oZC/Oec7AJOtDmjdsBDPDTxJWzeop69eneUbiBgLRHkCx1jhtB4WZjqwBLAsnS0OVdWT4lgucPXm
k7M+FPLgg7VDhJhvxUJih1AT3zpmQIuVFOPatWOyH3rHWmUAEiDiINJDwieeo1Jjb59Hhb8CMVnf
Fpn7mFciPltx092pZPDOBUKs10T4I1opg21gnYxn7oeKhL0qfSogM98VZjU9k0StmSEZSxwhHvJj
ZaRLjGIePSX1aO3HxNVutRECC3MUFH94461TBDJsp2ULvt7w2nx6qhufnmJB2zeuUd53E8K4lYiS
eAxRLFpjmIrWG8NqmudD2Zouswnqgw3A+v6gkK7sVJHHT1SW1lUwezSERu2oBztAmLQiYSuCqJ63
xXcDGT+mem9GUR1XZbnJzYrOFHUu8tXZO7TKecgajwmGhKBgW6N3WjwDyBqomRCYtnK4lXFsXhkj
bl3bDiSywIn3mmSp9pwUbomhBF8f3OL6DQPYs7EEBvSF7x95pxm21BZtXVf71/NUjGe8zcmxhGYC
+d+aX6Q1C7ENiKH5llWtfqXNJZibBgz3keMo2NpZ/TEETbRnMUKCGUM33kEvuw9yX74gsiueWbmk
z5bqUyd0Gj9/brQyWCvKkr2r9e1OX8IScHj1QGZdZu+ZG4olTiFrLYIVgtI5qrELFAvRHFQCX6vd
wkGn6XAWziuD0PSuXHI8Rw0yRVjFOUlIZEggiPfHYgVns1tjo542lZJ1qCKMIFwXONG4JsNY08Pa
6dSx0gNMb5NjPtlEM9/2WvuYzu19VmveOxQbYMV6gNNk5ShmXqGJkeTBazP7SugTRV5vsw3JumjN
SOUQ2J13vRBi+WhIIiqWsAqn1atvrtR9ctPm6s4C1vbWfMZaGMwpl+TQ+gquq/0YJ7YTug2dyiLm
JfmDGv6aQaR87UlyLIkRQQUg9HDO4VaH2QgwJl1g6oAmPwqFZpqoqBOIbbVxXDWuk0FaL7iL0r2l
eaZPx6smkmYWBWjuKsz2vanxibMT/QZGmbal7NaAASNsOgMvovepeyPYwPsxbgb2hdGKQRDtViIU
zZCZ9OOlUjb9VR4r6x7vk/+WK8FwRJLWRRtbENgeRcl0sbUIeMlQOl+l0y7UrYi+a+rJ/1pJnUFI
bJQRyGo/6RCLIiLyELw9QF7qbrw4kBPjNksBZ4H8jVQnOVTCH1JCbQwmNfilblDD40NFTUpu1fit
4cy7oMOdDrEWwfZLujiMs6g7oDIHk9TY40nrzTQkAtb/Zlet873S7Pe0bsyT4Q0dyJCGuJUioPOB
CMWHXMuvKff868DK8xO1PMrRbP6W6GazapYsbSgFj5Xe3o+LXss3WvJnGV2uUukm25TlBHSbOTg3
RlttNNdMrNDuVLePteSmyAkntWUarfFgGs8I4e1dFjtAVRvvWzaX/qUxiSVPGPQ9xJ7BEyRp66Oi
Qd207NuKa3TFtJFdCc2m1OO9phYCsCsQXuKhrs7cuQILbqDusGq2783YaTpKOKOg7AHoEruRfeQV
TmtT1WVYOTUtQZE74k5EmrMtljAdo8QKq6OEXU+dnp40xLbI28tq18tRMkkY+1cT+dG68MneGsjs
6TvjLWsgP8yfUT5KxHLlLiE/tt8QQNBV6H5EglfFGrvvhjXkG9oDeZ/prrNBZUrwdeznW/x2WKRb
LbpHTdQtwDNgy4HV8CpSEhTYVxmIkgMwWrYp/FBrE+2g5BV6/wQKuXprdbv4AudLbmNaq3fhk46E
5I331fe/JH7x0aKEO1jwbEPdy0n4dPgvlDPBamIMvR9SMph0kInrITXMrdmnxgm/bfYtyHxSCotE
2/W0aCu7iwp4/AVyS5wF27rPmoOkINlIyDZ7kuK6rTdSeWkKLR7s7+Eq/YyVKsa6QQAPzlyf5h5F
N8gly+vKb70DwJzX/pBKhF9ySty9GqyGAdz1bKt6Xy5ZVlj6zC2xS98avT5LybytxIdOSzvveEQz
0YYoa6SMRpOEFgdmIBVGobubXK9uWGuePb3bBV2zm5WQK13kaq0n5cXX+vyIBSPeli2JFlDdGdqm
oJjtJDl2c7EkeBXXltC0S9ChZS5cGexRPkOHt8RZy8u7qU2TbS90IIMACZlJTOdgCQLL05yU4B5t
ck+IydqOK38JujV25QBlJ9Y861bryf/i2e499IyZ93MWVWHgGB+IuYhum5boMYH2zExrh4MsJ5is
tORZsQD8loqpwSPJ7YdEc++OQ4mcbCBxbQk4GxxphHpQy8MIMWWflbGGb3n2j6KfzkXqfKF1f/xs
EP7TS/2ul0ImRf/xr3UlN1XbJ/8Vfm0JmPxrvDlZUMuX/ukhdiDb0v3YvkvbYn4qSP70ENsklQPb
0dkgu4swjFXZnzxcoLcIT9gCwi35Ab39qavirwJ4MOGYoCRwrH9HXMKW+q9dFRWabVoWSF4Xp7Nu
eXSQPysFGNc3BI102R4B41LWQUAghLSLmfybQxuMm554j2oFnzdxD5E5MRYpkQf4CKM7RuCmcrNx
a82sRzckmcbNXisqQ5HrM5RCZ1TAigWrpH+aFpor2jvjhoA0+9DbkkHotOywiprFFo8mDlCVFZy4
OeljnyT2E+MfGqzOZ1Cpz+B6BthcsP5LDkuYDfZXTCnGjQgEH9CqjClaQUv79c7EWdxuunwh/AwW
G8Uwz9LpDmoDqxr6X3Ol6gWe2Xds2D5hqiI1xku7rNUoSTjvrBpYBjgsYlOwQbWVf3QDMEgd2o6H
AoIkK7qEGRRGBrZ6NcTeO8rNBdMpA36NH0sj04xZ3dHJPuBdY0ljMvipKk3urSGxHj83rKWFpKez
dNo1VzCvjZdV4Aq1GuhXt+BbN03KdNkjfqLb1cHcvWftwhUtbSTEacei1oqWmfFotfw1SDHVFSxd
9mYxX0foIi/gx0JRFVA6dSs2H7KIEUEo6WNA4AYjvzVBVMXKzy1YrpnO7x4UDohTqXQLnl0qrsrE
S26sXMtOKGQJ+1HpeJ1F6XCwqiA/lCndI/rj5Xr+mHyLERDTmvuaP/nxhoITooeGzR88mXJ5h2mX
2Rjpc9e9MDUiQl0h4jMA3ZuEgCDBz9OzJng+rqqJHoZ7iWUDzgpWO6FDB0csIRwMajdQlhGpArZG
PILmxUTK98IZ9nUuEv25dTvb2hZiJq+E8N/vKFB43/ShDJ6mQl36uXNYo7B2g0TMSnDm1Dt74BBt
tPqM3GtDAOjBKfy6+Ni4awU3ej7aTAjpWPhOrCH5t5dEvLZkIfL2S/mXsIZl/dEP3A0ouHlnA6sH
JBpMUKN82wD9U2DZphyNWXrH5J8l62hY/LKeqvt3FI+k6+rL5jBRzbJ+YwQ9EA205Pb8ALrSOqCx
LTOExWHOeE1sBm5Rd2Usqp2qhjuw9zImplo2ULhO0CDHbTpLNoQij8YLgBaK31IJ7pjIkN37iIk6
3hC4y9ZiWO6TKRjrV7m8RQwYrYNwsFf4BgzHsGcOsgtofzeIfuGJDgOhmMtKGNZa9PR5C6eax/Vd
hCp008ZNttykkTuMFyi2XBJlxtPdiL/nTswmu9mEKOWt6doBJq+AC9dXNfTcuvC5YSTS8KuidPnj
z4+ELOp0hw+Zizehw9/h6QPEZaTNK4PUdt84NdwwV4J5tlUVPWmkEWGGApQI2aOJBetuGuCVW5HZ
PBMztisSBwyLSgW/DhHqh7QbeUMb2iA+D7rODUZGrAZKD2LTJgLK+DBQPO1+7HBQ/rGOT6oAzGcR
nOZmYTj16cR3AN7FqrzAR+OH0iMl5A5PIJtNraXt3vTxHKyJD/H2hLQAyi8yQGs0LGtLJVqLln3R
9FhjC+pu7iZJPhYfCoxnLTGo4Hl4YgmzUqQksBm7/qQPpxNYX4vJ7IWQS/vA4hMYtjAKvs8nGznP
B3+d9TwydD1iz01SBlcQINml5kYnLAAv2GvOPndPOx/voj4xHzyLe97NF3qzn2TtfN+hU7T3I73Q
wcImfxrzZeesBYseocAR/RDpM/S1uPJYhFmg9VCXRRlqHB38sLSXlT7jsHZfpJH9tUtNHs1GNHFP
QT7gBp/cmbe17YCD6aSgpOFY0jY1kjV6RqwEbhSwAiWU04r7xehYvxMjC3YNI8yyngeMluLXeyDq
iNeTATiINkOw3DmewSrqaGfM3kIzjrp3UMDpLk0c7u6lM0N1yS4O+X12Zdey3UvDAx/+ec/bps0X
sfbjVZpsSi3eTRdBWcr2jvGlx++pL4+9QRlNfx5w/o44YUhUWH2KCorEWu7HJSsPYOqyJ2L8EP3x
SMs6tuHr2lMcRk7kt/KQQQVA4vTZNtSGZtzZLp+uosiDLJSKywtekNEQfyYG335S0HSxT1LrJ9vP
J2tF+IWLjcVvnozUKssnFcdT/kyXz3OisJen1KeW02Ym+jVY2tlMNuJsJNIM8S69l8nI7q6ul8MA
4wuHMzZd7DbYCW7U7PAgK6gfJFsetIurMcFZmtyaUzLtefxYgp42lpQQy9inMkKXdeeVKDsQu6YX
jcw+uzQoznNWfGR6Wng+61otfuIobfdl7wjeonKRIOVLf17xmSQVgkdMtdKU6WSh1bTue1WKpyo2
SI2MRokEa/IVdH0Gmw/IdLFrLgdRt0D4IRnXV5wx/p1RejpApBZcf9vAHCG8pr9x9EWzghwxBAOV
PKZeA+sfbP+Xpjc3GhvQU7cEArTkB+oeXk+1kuITuNjDXuwSWV95WdCK6E5f4IxB0D8T1LitawaK
GkqiuxopSgbVMTJtR3+e3KIm8cSrcBcfaGQFT9WMT7jtujQbujTXtV6LNaAZhtNe1zsxHlY7C+vK
FHvDaFijpnZNW2jnoFlLcwgI6Ju3uhzVka1sTliWpybEL2WdTNvJnQpvH3BbtmHcScZwppcEVz3Z
2rf+2BOslgUcc+nYAHLV4LUIZTzaxoB1C4fGbTrn/pEho78uSK/C1u1Xm9hHKkqfRlOT5R596Tgw
1bBi3Vp1mjN+Lewqe5w88WhnXlOcwMvbZ9gS+En7TsFOn9tg68Ny/g4JJnhLfCQvnUL+MXOTbRrH
S9d+O4FtxfS01wcIp9PYi43w6zEJbTvLV9Lqsmu/TbLpmuvlvme9X25niWgITwXJ3Kl6DAJ8XjnG
5p0XqS+kLiwoQ+8N180EkXYq1+QSmluivuBf90577lDjU/6U7sYZBemy0nxAbwO4Q3XdNWFlM6HT
k8NiXIotigJ7FwUDeP4gtTfMbx+aQELSbl0qo00nmopoyIhHVC6oTxRMZ9BO0VGK1qCVbjXc+FV3
yANpnyqLsQoXjdS0vHHuR8IoSElp/I0WoD3IeGKtuEPyO7vJWA74R43h2C2HABG+9lBuY19zDwXD
xHNcwd1i0L43ta7d+csJYbGdx7oUyD3DIRxA6aS9dhFG8AyV4vWcObDShblGh6Jf8nYh8MKUfUQS
pJ0mURcNccweXwc41X3rhyKgLjHN+UgadYMjp69essU6g0dWMLAiUjl/MIk23XvK0m50DPYhJ6+H
a9DeSs+ZthnzmoMCOvlVy8XLqDXQcQyvEOHQIowB9GYvebssERgayJ1OHxw6fg5fvEjpwvGK7aI4
6Q8M2t7rJLY3Jh770Kj1YnlaGYeJmerXqCX/fB1V3fhCRbyhum6pBFO9XE856YvMx4CgNTxRePK3
guA11uRaanp7vYOHJpJiWnfmRNI9cQDqRA6gZ6xqS2aMnTvXb7l27Fwug8oLgoeY2E3U4s2Myz6N
4IORYSnsYu/N3QBNLh/jLaTpZo2Mql6z7GXJEZML3MJzsKJd7yYaD6aWQEkf2/WTlncMMSc3Ml2m
a0aybuueDiSh/XfbCiwGn4vU6tVT7frFYYZasApaEHUz69wNTmr+l6zdrUsw5aOKR59b3BIViLYU
nQOBQizZ0+Abivv4hIjshk1Z96wRe3QlWv+adL4u5PCK7gUJCS+B6tyWPFdkMMe8aab0uXNrqR+I
+Qr6o9YYsyn3PLWCrRVYslGwnzQqp5jGLbqN+oBNUT2AqxudtPJfowbp0z7KMlWzGibzK4iQNbYz
ADpSGGZGzoXN6C5mfqeYZjq6tF79RHDqmjLDRu2z0Yq3nooccdXoLX8OFwhpp/4pShuQELQbR1KD
Ipmg2ipVRyHiDjZnU9rUxXTUjRlh8hLcQS1akFimKMuBR/wO7PmLlHVpnR0ae7abi176HzTtkkiH
tO7TjEhRiEZrUVXW+Dzbs0RMzx4F8rQIqEaq0ilyws/g//7GzvCPJqgFpmosLwRRLa/iF2W4Slyj
ms0+3jsjRKtVVHYxQSlsk8wbBs5JTLEZ1TtyKRLo7XU0l5va7aIb2IbGg69L1IkV4P3fKMj/yWXB
x2E5OmU7OqhffVDMsiKIXXa8J+iVIp3NFBGPaUVNOtAcg6owqXykmCmOtCH+nSL/00jxP/p1Z7kY
/Hh3+YcSHBjnXwca5eQRAjvMXJOpoBXKjGbCLN81vsh4Q5KJtF7cpb71kHuRdjCW8ru0QQBAgmhq
8xZpO9n2RDH2cbLvlw6a0Ngy+74IvC6qJFH0N5frn7yJSMoNB/mNCW3T+PV6DUGcoozwi31JpCmw
7GlExYE8t6ZocgKnCUuiHTbu2DVfhZ1Pl6ZnVtEk9PJpNbYXUTa/02gvM5+/XkLAy5YNxMb2LINj
+K+XUHMabZbUDeByNcpGV3PHS89I6qljxNOtfG1pf4Ged+82xNtDPdBflKyAip2B9CYNu65eejCu
7E8jtrsfr+BnE6X1z16YazsBri9ESs6vJhpvQF8p2ibZ125MhYoMsVrc7kRQeARvplZX3tdJ4duH
qaJshU9SdfkRDfNwkfYA9CYZ0PHq+kS3DDaEutggLG33yZGO7Zny/VNvXkR4lInTYdZTBjqfbI1F
KaWp147ymt1D//6jKU2FwlTyqRoup3oEE7+krgwZ4vWljvualpgQUXT6aJzJMaAD+t8vh+n94/vk
4W/B4gP8yA1+pTcnBO2m0+BpOytxeAayakWA7cul1SlHXv2nengy/UG7L4lqnckkTnhZE9igexCt
XK3YgkETgqdEMVQs2y8uFv8mwQdB8Od4yDIXIrFqM6Y0Usk43VcxE7Aw9eoh3sQD8vR5Evx0xwRK
T9jmNHCH0BC8/2cS/X8hZGFv1Xms/+tJ9O6jIpTtL6KeP77mT3+j/rcFCRzY3g/dzjJn/nME7fxt
8fkhL/MwFuJb/WkE/ZOQR/8bknBuMLQ8PKh889+ZOEOC+vWuXcDJfDPdNfCdOO4ykf7JXxiYRGMi
LS/2lh+/qhwRS9/l1QaD4AuZy/fEs+9LXTYvvjBeJgXQX3oTAQ3DkdwXfzNrjXmwlKATK4J5BYbJ
OYDUKHbtpNdrOAhl2A9B+32KsMJXieevK7/TT1pc1F/AJ+sXzQSvNy9RmHjeMYYDy9lGoJM2MvYu
QJD9O0JfKWNhJJSKKPZ+kCgamMVtOs001xP18VHv27AZxO3UmcRu9HZPxjdBhJ03nx0OinXlKS80
JiUfkOyRSj2N0SFJKUBszTgDN3DYIMXP0PsYvqCo2RFLkVz3empcZRavSdfL9M5wO+oczW3oFz0A
JsWTHCFGWCN6isZ19sIbvpK1xAPHGtS6tevxLYWFfJWjBIeeTBI0Nb27QxGgb1obzbfCzhMqgqA3
YIXf+4zICluiJyGdgsw2T341h0mFWj8cGS2iA0+ZPrK3xf3ZlzGqhgB6lFdeRNNt+2Lasha7jcgb
2kitGfe1haxh9CrjEtRm8dIPTv3sDNlWBOoM11hcchYep7Rg0rHKfLaUIX7A6xZ3gNrwgNLDhpyi
FzlX6Tm3EvtgdVofWtAiFx320N43FutTkzn6FUfg7K004ZDABdP0FCV1esOaRr2gZiKpABfPE2ad
nBVaJdXaBVJySoZAbDp0GodGFv7ZUypfkZjBg63A5bHvLTYMHg0jDB9vKJ7KvHSuYDkEO50Mlxu7
JI5uNTNIyrcxJ9DJazDG1qlF9k0amIiBEwm2rTPrEhB1BHR0rvTyuByibNX90kNPVeS4c2jt0hu9
x6E0UdZtTUKWvngmNKz1GMFfckzG0BnZW/fI4sVmFGl1b+QVTjt3ZFS6nKcMTrMvdb0McwIDhcay
EEVUn2nMFZfpM6mnKSl/0JyY/tuEB6QITVmNtntaCcaaTgrYpW0IwWuYJz1N6aS/tZIzXLNoe5gY
9FzVtuLvJMOyrSBJbWAND1mCLdYDg57yOPZ8S89kPrzWS4a5JnajJ4dc7HzvYI9DTzPF08XDqZKu
RKUzlHTJvaNywHBkTbwPtV/wDWFd0+vgQAISAD0JfoaoXxM+f7sUG5a3GhHJwfdMGe+hoS+eaqNM
b6bG7t7TZh52hrTqD2dsx7tIVvXt5yvLoqz2tyxp+faFaXpnZHhoHpzWcUMrSvzzDycQ8RLfC5HY
yOBK+dAhYQ8rd3JhnS+/eE849WWSTv/ojYK/CEPWPDi4aro1YtppowcQqTJlZ18+7zR45vy0OWY3
vDLQ9F2lI5M13w6qW4V6mfgbRrQcsE3xxGTffFalllabXtjeuQVYc6iWkTyBihU2DMQJJlp1e18j
2N9KCVdDI32L4LFI1VvkTf177yXAQpBtEDwNmZdsMfMSoYi7qEYTm4Q7EjFR4ERfArNtVsoRCYaW
aOQbDT4/0ZuYnhZxot1XczPsZjer7psYEjaxLMwVl3cL8Vp1n2Lz9hl8R2VPiTT4uNr49E6e7ZwM
xjvRip40GdZuzLcnyzgOvWLkrqczJuvEf/Vbcm7NpqISzOabrkxuhma6g1jyMDREZA1O9aVMfRJc
AWuSt2z28pZW8C5ZVElFn+xF1n53VHAVEBeDmwZAveldxs4C0ZbQSM9PcdvhgtJH/wQRjgddhN6z
01CDTERkmWV16TnHJB6MSu6M1HAvdp09dgbObnfgGZ4bfrx2vRpor1faqGKmm3RExzVm6y7CUVN6
0Z2ByPTWGM1s61fxBF/Nd5OdW+VLrN5gIzTLyY6qqX6GgSjwnskF7UxrvJco6obG/GgIabpqkrS+
ymgIN6UpjINlOt9ao98TLnomprQIczRNtyCCo1ctNl86zf82yQoMbdmJbTEgnBYT+ZyasKZ1hmoh
ZwtgDrBQ3OpeWraNBjGb38VAS02Q58qZMejU/XhfZrI+wi2DP9EzVXFm3uDUNbZjQ4ZVpqb8lLvG
ozuxUvKC5pCPkzjovmnt4Rnma92X9WYsyfTSA3msY/hOWlW9Nrq0VyOeIGCQundsufF3tOv62hmi
V90QhGdAH0L/8p1B1KVOfe+DSUu6t1Wjf/FcDZhbnj/0Rpd9nVD0kcpFoZhajR/qknSlqGPUYAeR
3awG8nuo3QfCL7LZAq7ro3edqzUs+PtGdO9kA0YbvfSnmxEvY72xYiQuJGGaSGLKGf/HPJh4rQz3
Bq1qfua2ajdo2I07a0a2j7KsrELBAG+fA6hb2x2uxM4w6w/IbflmFmB2BLHLVl1/lQQlrBu/C9Z4
M1/0CGmvXnHaE1K04KjkN93WXwkA2ulTEz0qg4GHZeW4OC2Vh8Qna9et7TxGU6mDqSPeIEvL+IXI
RmJlOgvNjO6flC/jDUWC/257znDxnNR4zCHIU0NgSgXy5U5H1UcK5i9j2RHbQ/aYeRL3E4rVjw55
4kfftsWRgTRmgRjhXjVow5YzXW3zjq+NhYVaqNdvPJKuznR96E2ThspqcZmpuvVv6qFWX0p9Kr6g
QWHp2zPVdqiwGHCiHyW6FDan6FPphUlJO8qG3A/Y9WbxCWJkbhw7k2nYKiEO8gbUtdz69B06H4n4
qSeX9dY12IPBUx4b3sRKXxiHGuPPTJ48p7W5Y8qInRnbuyWrR3EMjtjhKjgCR9sRDO8bR2yirome
gibtLwoFZob3sgFV2QeldtPHvnOgUsjxslTNJh1JQET0WxGs1o7fS2Gat4aI+0fVpmpfJ17z7DZL
ICLPwjWruCRUnoIjZtdolbz5kCMFuBLDoB31igdYbZjNvoqcLqzbPgszfEt4f3GNMOVqdpNdvHkd
Gt+ujdRt7mp4cyI4RxjZ2l2DRIrNTR6F1AzXY8X4QdN2gGjcsPDn16xtq3pNzBdkJtW04WygyE0T
QJSgx/qQRDd7NwORHVN4rOCTOQYk4QxO0Q13c06Nl2Pa4uQa/NtJNcV9k3WKIV2uvVrwBY2y7j5w
oVCAuFO/DWiYt7JAmIgllrkCKoI1cm0+4pYFd9xnyElrf1t6TDXrRaXY6cpB7jvuRjWSEo4HaHIt
7wZTjbHqfT/bTaWxc1WK7c5A5jZU8Qez9p3Vc+QNTUVcYZpJuIHjeFxEb6FEUnpQTXRK4+ZiRw78
PeLVIbe541WU+WSjLURsYJ2uNV+CnKerceVJzU2HDduHwqh3IDsy5NNuRhC6KTuFZhgO+YBjV9Nw
68Zxg2EZMyf57SEZp9N4GKl/55NDqZKHWSxyZzN1GSNyvzYz7CtwAeHrDlJWawF0EScpvjcoiDnh
HDYW36gy94uUexT2WUMyuxVlIMMYhtR95M3zxpjm7ibOnIroFMe+7p35pZmtdDPX7iUNKi3M5r6/
kAUMqi5wstvGq503jKwToMhyfjM6o79WAoJ4agwfLZC8jXLM4dofBmtN1ox9tJG48vRLurtAFeZJ
eW5ziSlVNmYEPAsW2BdiK6NVI2T2FXPYFKZai6q6jKKj0DCWxZmuY6fs0KoP6UjoMNu5Olr4o70N
eMMPHgKkaisHyMJsUWjjYH/3TAa7NpKgG/LgwqKyCeEyu3XUp8FxinFGLNx/iv54avs33VYoFnIn
OylVdtTxnb233NQ5tFlwrw8y0Fc4r/B/5kOfHwAN+h1Fgj2d7LTVzlgP5+ei1YvrLhHfaEBjsalM
0JYr1c/OFQs5ULVl8q0RglNfa8S7N0CDX6mo77cSH+i2NfT2lfLF3ZimxYgKKXJIDXSxSOa9tbJ5
wRCSF3Ik1KdZ4/jikwZk9MlljnHV1FZ5movBr8Nm6hGRgvIlBNy3kjd4gTrD1CwdtwvnEI1i0C7c
tdQnS06RpPruxzoPDuJnjQvaRv+5bz2YCZYo3+ak0slyiiybuOES22gocS08lBT9G6jj/lVU9dW2
48EITX0+pFNUoqOmyQJWmt+ksVSvQJwxwzYeSTsOAHj4zJmqSIupuIViipKs8plGlWnQP1im3rLp
xjhazhYqB87BeQrHFA9KvrY62G1t0w3fk06IvWcRJNtC09uPWvmRjzNQ4yki/c/qTnmLHrGOW//i
Cn24Y+9SXxj3z+tcNVS3ma2tHISOG1DvAOkDP4LTmz7S+CETD3AsaDgVD4Wrxe1/vFw/vFe/0R/i
Z14G1/966nPN9PDjZyPXH1/xx8zHdf8WWK5ju5SULrP4gBHSHzMfzwBcpaMjcjB6GSDa/q46tD20
ihATfQ85LPsEnfHrn0grzF9MqcE4MkgCxxJ4/84MaJnw/DxfBo4WWIBH7IDAQRcJ5F8nQBMUNauf
tJmDdYMYx5mu/ez2p6vxT0bF//gjaICYVwHN4SU7v0KsIoXODGDkvOejuMpnH2RnCTSHS/r3a/7/
+CnLq/hplEXMBr7XhJ/ilV867Us1fvTOb4a8v/tFfuFGeWlll9XAj8B86+nniWzS+e1//y2QafxK
OEFsyhCZXQ2jQNT0vy6SukKrs89ZLrkH7bfKc3VSS3VlbjzFj3aivEA3JqKjXsjoiLtKbmnHxg3a
T2MHoVjtYI+2T2ZCuR6mM9xSxBNn06E1wbcxqlNAKbklA09fW/04bI0hQgyvmwvbndPrAUop8/vM
y646d/CQmNRf2P+DZfS7DXLSYS8znLJBA0Bag8pN+oOXXJOnMa3yRpK5TOdOfIXMDoleeFe6P7uv
mvBKBjPOlFzrjeZeFThPw1mHmglxHgN2LOS4wi1crGcw2CcZiPkx7fnfpEbQj5KBAFLhHaOU8tkn
t3zNcE/smI6fgI/2j2M52WcVofvWpIez22qzgy2W/lUa9rbL/Qa6Qm1c+zr+hsyyx9VojsPFAkS1
sxkunjyCQDcVvgLI5Fhir6PI4vOQBWxEK5mco2xQ34JeTGeo5OyD3GjEzDdk/Lx0/lDEVLwkyJUy
SC7F/Ogq17HWajY+2hZNJC4Ku/+u4Q5JQoqc/ikwyVfcjlT252HQ+UbLBXZs47rCJkSXyewldCfH
XYuaXOjCjawe0QnnceSUXo2hilogcNDDyCLTbjD3fPSdhq1n6uU7645HezY/gjJwIKU7cWhLLX3p
Ka8OtEVckjZpkMcr+2MGIxwQCNzM+6wh3Tgrat4EJ5r7J3KdiRofeR0ZCfNHETjdU7qkE6DF9K6E
L5PrWqgINFBr7Kj+kjMlEcDgkozwoK3brTJ9fVchWODUZCgQBlTqG588rizEthQfHZAv+9lw+QHm
7CKszTBhCD/fkyU63OfVLO/ZkPKXWwwBq9xPHbjAZILpRZQffRiAzG4B1Q6gAm/9gMu5apb5n2hr
cw3EyrvpVZBlh8x0xZbBK4X32KBpDmUbGRdEo/F5ilP9PiupOznxU+eW0WK2S+JY3xl2G71FAM0C
7hItujFVAEkIIbYnV7ZBQm0WRfYtuQWMn2M25ONM5N1Ut82pQbFAnPo8HPA4uncRi8RdV6M49Oh5
Tsp2niLR4Nr3Eqw3ozPoe5k0rnloWlQ4Uo7FGGIjjd76kSF3UKuqX1ma1HbVlPjf0d7437U46sNO
69RVC4XjLQl0pBASO+dqId1ttK4HrF0Fy/WI9Py/2TuPJceVLNt+Ea4BcMi2Z29ACZKhGDpzAotU
0NKhv74Xom61ZTJYQbs97kFlWVUKDwAOh/s5e69trei9/0ACxJ2U3ZCuw6BUIQ9po8ehUb9Kg8B4
VDHWrf3RAXfEGVTbOoQLbM3e6F8d3e++5r4ZHtWsUnGu6Kk1+3Ii2k1RJxaZoTnftQTTOpve7IZi
OHmOnP2u8zZwbwdtEo+p24zJQkoHdH1FufhdcIozZ7b0184dSav524jw81iPqLYHUrRv6KxaV9pg
j9eycs1Dws5wq1WgU8qxsR7KUTh4PcbJq0CjkwWl6gxAcimLV6r7zbGmOpyjZiLWbgEC3FyhXyg2
nU9ykhFBKFqEaRE+4FOMf2Atlp7WsQglSia3TA1zNdAq2ZRjKbdNwWF9JUuw1nxVjHWrGhX8blLa
F2FRhY+TnnFSJp+Zf9P0Q9jgru0vdTuf9vy0waOOGGCPubU6mLE+LlMIFdUyttDVLRAvuzuHHcOm
iGNrxV7b3ZnSLTZsRIt1qQYKabNJhKfJQma4ROsxbdglNGt1rOudwiady6icceMjd17bfot8U1dT
d9n5DfdhKCaEZnCy7ghUrb71VdOwjHXJkQOEsw1jMP8Nq8DXiGxmDou27QFK6X7aKlEiOuf3A5Hk
+bYv6A/QXY7LNxpC2rfGJsQN81rk/wJRTLUap86tS1bk/v2P67llPlDHrXfgtzL0ZKbd3/YAGW6l
A0e9c0AmrZnDE3cXxpOhAamCNs2QAEeIXUEezvl81OkLi7RRv5FBJF9syturzgz5o0YtlDXpCON1
TkbSUpeBfm/kg/8lhiX03EVZtm3cNt9SX/OhB2vqIlbIqaLc5S7VoU32gAHfSN5odg5I4ATjX2yC
5ElUL+5n6tVYdzduo3L78tBU1rXmRghzhu5aU5oA75ZWDB6qiRHdd6kRgKwLDruq02X7WGoDcKPC
oomFUWryCPrkB1YHSBUu7ZwHbZDqayO76RgZkkcH0J5w39LJt3Y/i2KnsmXYKOn9/TBxKNPw3SJ2
q5THMrL6Hjwxj94RZFYWtqh3LeHiP1yNP53gY37Iass8+FrhbgNLyhX1S3IPKl9xtuxG650oleS5
dyN3m+eV9UDII64no3aXTtPk2yBxOdLMHzvyquTinXLVW7ayBjvoLgtXigVx68OdqEfjjapiuoaA
Me1x9yX7iRm9tFWjIepLzX9ypm93oJ/lo0woCjORgjtUVsFtE7cuRdCsW1qGdLdRTQKMUwvrtWFD
Sq4V6uOrtKd5sZSc6be6rwx3TZNMxDGr3c8u95WnzC79Jef3WFuhufv7OSXNQIKjyg87GKLfqAYq
fcK6CRz1k/GOyt+4j1O9XSPwi77krXSObtENG0VtzRfRjsZLVyvGS2yW4w1fKmsTVqGyGqNIWUGk
Dz3b94vrKVDq+yJE8aHXebZWEjHcvN91RLLhqpCOc6snyMaxLfLhk/EBd4q2qAp4/Dn4GDBDZPth
81UPdoUGM3fjZpeNjViXVYZeuFYNXmLbHfetPqa3vqMFO3I9qJC8z2W0a9PRVQywpJxQDpMTDTdY
+fx1ltoAvIymqxYmkea3ahVnO9JorFeXWJtt46uGuXAiPobEffH4p2q6xgQwXdMvcJcBdkcQ4GMS
sgRq2j12jm+40ocbFoVxp5d+fmvX04Qp32yDxSjL8VkF6m5SzgVAMrUj1kMNMQUg5XjRouIkxjRU
Nq3QiaVoQdXGPaILze4VtL7lQKlF8um2QzJcbYDzYs6/tZOVDngZHwm5QMBb0m6H5XICeWDI8rpv
0lxb5nZePLbFkG9aFhz2QLktDyi/Gk7e1H7r1oLtEKYTnmit3OPn6zdYvIAeVEmuPEpVJavJyTp2
zIZAL421c6kGYHYWaO7pj8jIjFdOR0jsDKTZNsRPP6st0ymDabcXbqR9UwNjvDbosa4Is1O/ja6j
k94bEYugGNLfh5IXM4IRuieBZTrWiQ28qDeIZmvGekcyWweSfuxKokzADNFZ7wpWOorN01G1Bt55
RSCHJ+XQGh5xkgeUsv2wu2obKIE+f/QuFhq8GrpDvke/xNhGqpiQpvsoyzEZzFd0a4cDEHfXJNGR
XCNKe1H2oA8JVUCHUImpfPeTFg1pqOaofx3z0UF0m1cPohOwwJNIOQR+dwcyz4b9XlF/jZWfTtXY
G83IX0WbAsKPcaJzGWQNqAUrpxnIeuM4db/GNK5vgX91lLr95kAhsW6XaaXaa3aI4b6czGzZgC/U
S9IcEmll3+1c+S4n8xbyndjoQ5/N+7Zq54Q2zY8peuyLcFoCJEOuhs6VG9EtyRqjNOxnNYR451XJ
Rb1sYoFSN6IKvSKKKlgkom5olMCkIKbGAIZVcr15aRrsqpDFsWLn10PpX5d5GNDloblrgayLFoXo
2u2E2f9r0NJ4TgYtpZ3fDsRcOFPxUBqowMlXViu5yPTwEMZWeUcOc/mK5AoSnT5mX6RStt/LzrYe
bK02BszKZNi23TjtZ63B1kjD1qOSag4r3HgGTuV6uosDq34oA7BaXYaaYjkMNVKdibwSbG5z6lAY
blFTxJuuSjiSgwneB9T5aGk21Te3nrKD5irCm5LUdOtVj6CVhiTosiQ5yPwb23sykqzcudbctlGX
tW4W2CHimo4cLfg7f8J73Yy00ynxIh5wCJHQs4w6WYIqc65G8xRpgZvfjNCoerpa03hraE18zE2K
ZS2q2S9Wzf5qMeD6uxkdtyEDObT3iRHlL/6IxB9eRyue1fkLaWlZie/QCb0hz9tDGDkG2QASkX4j
TFyOVb9PzaA79MqYfG8M/HCLEGjooiDs766zy+xHJm112aFeeYOfVui8IqW91xLduMITSoCYwgF7
MXZEvywjabTrUWmMJ5qGAGl9qGpkRnThTaGMP5POdl71wiZqxZ2cZRCk08aUKW0EOt6oZYnJWtZh
FraLVhmQKow1K1mcxl5cdtgAUcTwePna7kdOFYhZxLToNWcVSOJNZJQ9ktfwOuTgWgJW+QWFG2R4
7sihWCtfahGLVWKlfbRQDbtqyYV1my3wsewRYXZx1UypvsN4z1ZqHWR4PbDyJ6XTKh7UZCXzOC5Z
yk8qo3M9tjZ3Wms5z1RhiUUsW2fLKaaH4RX5T6lQmis+iukdW8X4bQAb9xRXSfVatpgot6VikiIT
+VWUADo0fXORJGxpDKXJj/hc+5z40Gj4Cq5Hx3RY9/G+09ufAUxQ0lEcQrPJRDgIdrbf81K1llQs
5cpSkpup6MAVSKGk2yaBANrzqK4SOlkIo6uyuUGuG9zA1rBIuktjuXYcs7quoQQsJT7Pe97/H02O
irrlm+YuWlun4+c30x6pfnuXqBQZjCANn4caWKQ64rjX8sw/SgB734RSfjVoPnw1xuEBoaQ0NrZF
O1zJe20bVxMre6kIMqHa9MGZaSDLMKzqe1NNJSlNltyAvyR/t0MyYDLjPcUpjC32dvtKT6yRxQVF
xi5EO+zFsR58M0dTolbBhGsKJaC7NtiPHHX4ngRu9tXPbMLAA/cFql9/UOlXQcyx6FoOVfNA6OwP
G80N+ohm/BZMfrfpkt6h8ivG+Np1p37b1TZ3rHCcbUUo7Bzxxk0Rvv1id6HxGHVFTWZsxAtbu3gD
cvZU+PjdjamY20aE+h1nkOeZxng7lJO1ryoLEkffWOsyzf03DKITtrve8ZRKxEDhkCAvTIVTjF6z
uyWGqaKh2ef3qCQDdrjKMcuyhry6MTv6kWLd2RUZY1ZsoWcOO/FLC2AkFQjL1zWJoHs/D9vb3BzC
q9RMzAea/G4eLMfJJ1Anhmjgh4ncZiy3664U5WpqBvXo+63lpX3Zko6SFFgYRfrQsOIu2iEv1y5k
lG2dto9BS3NssFVrL4Ji3DZ9/ZVOju3FQcgXi43gnoVU8TLhdlds5QDIgOG8wTadsP8t8l9tQzGe
qJzym6ji8osElFpxBCDV71uhxrF60MrWPwC+BZyjEAJDUI3+2OrKMC7x1JnuTZTWgY6ruaqGhaBT
CAQuHyaOZmHt3uRjnT7mGdEwmTm62zCSwaqkhPVo6fLnMFD3Vye2KnUl0KpN/Xc6yxnhNDqoR9Pk
kFR1I3qmJN7hEYA9ITUPaVu85/03X+3Mes6wji2xvgYeu8J0Rbnju9SjdkWOHt1MEMM6wjyvHSwY
n6zcMV22Wj2yh5oFVJSJlNbRvhtu2h8MvGFrq6I5QbYxjmpf8zpX8X+FljDvTFXRj3Jwf1WDoTyT
sSOfkO0A4DBlUaFwqgl6ljSCIeWYxVZ1h3atR1W+spqAuB7SWG4+L4R+rILqSIsQiAHQ1xzdPqm1
EpWr5x22Ta+H77HoFIpxUVkwJ6st5/Hsgnr/Q2XXmUdzNQEXn5LUaRiBPZgDEXt27Y1FYC5UyS8R
0P51GpTp6vMLOzcU4aikmJu6aX5wKqjYOSg/alxY6ASP0Kz5ZMSddq02XXJBzn6qSSbAwdV0W0d+
grkEqeefJXEtMRESCIbK67y9StIm8SzEw0ufybuogiHbFh2T659f38yEE9ThTBBxJ4Oa2HF0pYik
h/3WXOgGv1g1JTvOpH/TBb8P/xX8JFYMXXOR/65BP1WvztfHC00LwzZUDA6z++G3kn/C4j9hkqy9
bAzFDBFCR6JUtLITnYpmSvnjDpgPFcR0Cq9b2MQX7u/cG/mjdzKPLwT9G4sYIX3WBv8+PvyFMlST
QHpOhuiPTReFjKp/+vx+nlo45ovET6I6JqENiIP1PweBI9CMDRIyr2ko3dp9yC4isIV/k+rqhN5b
HxZ0dwHeosbffD70ufkj4GToqkvz5oN9A5PxoJH9Vs9FknFdChPLWTwXgkEM4FETATswQgf89efD
zjPk9LYKY7as8GR1S6P19fttFdJFKBoxrF3F6V7LuieMu5MXgHyFOsv8/Xy4cy+kYI0hgsSZI2RO
bnBQV6qmOCPDYRR4rPQK36I/rCu4mRdWmZM8B9N4f5Z48g1O4Cw0p9kFLoaxfz1La2r77/J9bo5+
+2NomJsKtNBrSsrq1nIm9Q27GsWknlL855d7btIK17HgoAq8uB9eGnrPsL1VVKh2YBxNaNvXZcAS
+/ko524qj3BuX6k0Pk+TcgxQoq2RsfS8rwJd7NOKwE2z0OC6XXh+5y7IQCEBioWqPPSUP6dLgo6g
G9OeBRXpDcSp4qvlFF8/v5xLY5wsapHZ6BYfarJq9eZ6suqt4WTHz4c4OzmYfxoPh+nxIdgC26zT
16SaeyV71+ugVfU98nwaZaT+vEJVZErmnXob1LRZ0GqrO+JBLq1oH189oRKegmWMMIqP8SYGOAKh
FG7lBRrJaE3RWMteS6qrVAFABeYsX31+0R/vK+PBZSbz2yT24vTdqzhWOXACKy9DXX5AX3e0Q82+
sJX4OBcFPXQTW5eFcNI5tVC5xPxNdZLism4CSHYlUjIyD69scMEXpuKZkbgIB30MtFUMWyfTxJVk
eo+jU3gsbYhUFHkQo/1Y1vHz57ftzGPSbENXNZ4VK5cxL9y/ffisMksEOpjCm/Bc1+kbjrVlnOR4
Lv8OM/uPn1j94zdW/DHUyTeWGpXlZxZDtZ1L4T43cB33dtMsBuRaMLzz6Wk02Y+Z9D/qVWVQ3Vfr
yv9icWRdNxgi19jv860uKaNltaAAnuHu2psY2feNGJRd0IfTtZ9yDjSqHLgkvuo156pmnepN3Ozx
AAw3fdFSwR5bK11SZkP4gxjyX6lt//FCDbhQJ18dvuD09UiMMUH+zZKP3+8pPBuFOPWWeyrD5sXN
ctiFnXOPGD16y6aWeF/4D4s69b/UoEk2Nsmi9Kyt3RxiGWEpW2oznE5vnzKfgxEW42VeZPdlD/4S
iDzy+wTXSgIhu4qEDV0zRuxHZkC3qDvd3sMHbZeDURgeve1+1TSOvmSceEUJz75KDLQMceL6iKaK
EP4zGQd2MKwMrhCFe6DPdMVJqt9w3OcXPlpn5ppOdhMKDr5ZbPlP5pqfdRW7j5H7EivyqtNcseOp
D+iB6xjDvC967/PJ/XHDg87RNgzso8he3NMNT1UYXdeXWeG5TmPsqLdm6yqomytLlM3Wd4LmKqT0
+mhEGGw+H/nM68tuTrXId3Lsj2cOdH+dErYWmbvROL52Vq99rej3PGJ+jH9+PtSZi0TgwWpErYP/
nG4d6Yty3hzb3Mu6mq5Ip9HEoxOE+DXO650lkwjNPw32EW8nRfvPBz9zneyrSM9RTU4G6Ez+nOp2
ErSUnfLcQ2GPKxhNXDAQNI8Y+m/N2H98qz6OhNuN94lAOY5XEA7/HIkakAwKLSbZ3nFexnEGvzvI
WutUiH88TdluIJhCGMXpQz3NBSolBpkAexi6ApxGk0XhVcS3fW9a+HKsH//0Bhqq4MJgbxN3aZ5+
tnDZlPiUKy7LzISnlGNe0EOkpyMxMl2KK/34AjIYWxu2BiYN7dPPF+xOLbTajCtTjMdQKC/V5PzA
MfYY9NaFPcj8Lv+582YojqUWl8bnxTzZCoOhj8ZcQYghynQtqJW6AOIWdtohPMy7PWXKS7vR8yMS
6YiMbX7pTj8vRmk7xTxipXX7xC3fCihDok5wL4TQiwHiXPAtn5uRbLzF+66DEU9mpCk5dzS+nXhK
2+7HtANsnNxGlnphmI8bGzJXQfhBErTZfZwWFFBxD1HEP+11iq7APsgB7g18ET+fhx9XEUbRMG+y
MqsW+8Y/X6+BgN6ceMbEqwUVLSo9yzRuf9m5dYyrhoa6M2HzupTBpX/8UjIqC4cNUN5ltTwZ1c+m
xuXYl3iuOVIFh07Ctw5L9fXg0qWHLksGy+imZCoWBiQRe3Kh5EnV3jYDgSYpfeRNz7YIqEt1j100
WQVlyeZg3hZUBbYtZHHWkwvNEFOhNC+s8WcfjAN4jWag4xqnDwZJQjgnyKce1WkE1KMb75WBOufn
D+bsLENXSUnJ1e0PW87MqPiMBAUcgcYm06noPDUB82A3l3YtZ15YLPjsbVmH8J6fPAqTmJ68rHIW
oqEUCFn8cDdY6rD5/GrOrUAWWwBHdziUc+/+nGZTrOpD0CoJ4iGJx9XmMzWYbbOWMv3WxcY/30Vz
ZkQmyicD0bx6ekJ1msjqEFwlnB39H/O9A9RyzGr/5fOrOvfyQOqzSDCifqOfTuNBkmM4Fbw84Fod
guI1Wmy++YNmS7GpA9P5TgRNvKNaKC98qs6teShi4THw8f146KF0CorT6BIPuPptkytvU0ysQPxc
xtMDy/WF0c5NeI49OpOdk+WHIlnKNdoWUfNeGZTJNgONCt42Vlaf38wPqA8HkTQ30db5HAlkzifr
qtvqQ2tScvccaJXPETjrjYLiGOk+5jF6c3b/FGtOsWyLprut8D7emKkttqGDpnMaS4vGclyutMpv
1yn+vk3YtvGl06129s7bnLB5M4k7PN341L5UMVNlfG0GgzZBU71pjVuAjHbkLrKdl3agOgF4iSZG
LqLnpO/kzneLryGKjskqm33ZZ8aOKhKeqxHCuRtyHZ/fyDPvGj1ttqD2DCFhf/jnu5ba/AzRwHab
GLUf5aQ1G7VETAkO2i3Gt8/HOnM7tHeNMTlkFIhPtzG6NsI7IGbQm3zth0rBYZWZ6psc09zDLRGv
KZU3F3YYZ146TaNjx46GL9aHsn5XYwaqg4LLi83XMAqUpY5qhz5GjVFeH6unqu5ngnXeef/8WjWN
KiYVKTaIpyulobjIDR1ZeJzVbioLKq5Vp0eq8cECctHz6MB6+3zEc0+SLRtlAF3j9HtKBOFd6RtJ
YJWnqAGMR61DlZCL5tiTl+plpFVcGO/MN4cLZA81E4nZLJ68gRlUzDAquLVDF9C5MIiWVKuiWgkU
sf+boVxCYByQydT5Tz4IpW1ETZZzRNPcIr8zU4wptd1Yh6jVtAvL17k5KuYQ5ZmBM9eD/3wfOiRx
+URlwJNZ+9iGxU/TrB7xktYL3GtHh0yMf3w4YgHDdKGbmk775PQF1AZ6bbqccm/SJzR+dn9ft/WK
IFHrwkBnFmZK6qopBJVnbBzz8/ytiFNOPQownyNgGpgvwAS2JLM8fj4FAVB/2ND/McbJnHCVOIkN
gzEQ9GsLA17xXprSvNdbyydfhqiGKFB74ifqciWtOHgqwPcgFqJX2zp1QvGvRQ0JBR4H7YACDmDz
unfG1ItEU+8nwwiPuovLOh8xHvulmm8ziTiL0y0gty6AtGE6NCmwHt6Z8IjA6tG+v5/cDLFVTmLr
pshA5qkdacIcoIbgNk5VdodFhFU+AcgfDna41Wo57lITiWYnwuy6U+oObpsLcimRS+4wcTDUiupF
iFDQQ5yYLYp+Ktc+AXuIhZP+qjBIdesxQW4+v73n5iZfcVtjnkAaP10/rUpWzWgxN5EJv1VD8wa1
+9YQCjlIxdqHzf+/eO3Yc7PZo3xPQ+jkXTDDMa9EMOZeU4Vzzemm15Nd3+QXNq8fS36wO+gaUvib
E3bdk2GMIQlFPbi5h4j8WJYzvbJ3iL94ogl9jSBl2Zr616DOLxyZxPlxqdJyRzlcn27I3DKryCIz
qYkQffMaDiouodpQjhhd1HSNZoYzDgZkPHZJV63SHJGg0uYs5JXe7UxU/mbcKzuhtspGa4x86SMM
ZcKVW/qddLDd+JsJXHPRD0gBE3sKVm4DpTXq7GkVaBBNEoNUj8msFkkTGwTFTWWwjvl5Vk1a/sTz
od3FTjptSyzCGxxd/P8ZBL1QNvEa4rX+XAnz0qM4t6Zbgjnm0objgcy37Lc1IlKlmeVJl3sqEZd0
lxZjr24TMBAXZta5tei3cU43Rl3ZZWnh9rnnmKlKPqfVLrMwXH/+upz7IGJM5rQKL1+z5tSy3y9G
rfSyqIw692g6kXRv5gsO4y9FEqKpl+MF09nZwahXcmZxcbedHiKsmsUoJwgV/Z2VcRKdtp1RblCA
oqVuLgW1n1sILMr+fC2w7H3Y/KbjiBcaFRWQtvqoS9tawlN+KdL6ZxOhWQitC3dSOzcv5p43B1gk
BPapR2ySZcr9ZZ8WD8QNRZOu7Z2p7nc6tfhVIZTQM8pqzv9wxX2k+qEHhVdugyLKr505BsUtjPHJ
xhKEPcMHt3ZhOp398VgQKSNRv6V9/eeT7gdfKknINqevyp/CDZ5DvXtIBTqSz2fU2XFsCC7sKM/g
DWWnjGGJHs/jJFpSzWne8lHpV0VbX/iQntu2UpxCtKHOv9gn76EAg236aC+9Bs9IKJG49vmxLsx9
7Gi3aVE9Zql7oVBxbgL/NuTphjWejBSNnprN4TvboC1+uqS3BL61r4vuwplDnJu/nEhpkrF95Cx8
UkZoescop8HOWGb08WsTlr/6yLWWHRnPS8q3wVIplWiZsSKvo2r2GijarMysEf0B/X4hwjZ88WFz
eK2OYwFXGz6jsKkfYDoUKydPAX/60tkMdu88OyarJlE/EsGUIofVlMylzUL/pfY6dhbieYZS/RoX
7Q1SnHLdsOWLnI4QihE/f5uNOgmomsnHHtzX57Pp3F1wZ6cuJQ7m7Wl3Pk1LSdBmyc6vnHagXaEr
qMaLWZoHaqYv8OT7CwOee8SzMwuhjE2x9fS2l7EWjBWbIS+qXDAcZVuXm4nT70oEPmEKctakf36J
79qJkwovihmdC8RhyjHz5EkHCkhqgEGZZ2WTuwz71nowQq1b5oSUHcIiBe5E7tEqNlBOvtsFnBn4
lLVTs26Q9G2Vvke5/vkPdea+s9mYLdAuxsAPR17XGp2s0UXqzch8SCGjdZ0TU+iNcSFf4lqbPHSR
3z4fUztTxESVQNVnXrXtD2dfkkam0u94o+XkI2UVgbFBkCo20q8JMQLRt2CmoJw007UbEL010pPB
eUF04uc/iDizhs2+cOQYGscc47S8ryKNsCC6AAXIY0FrZPY1RCKdjmirQZ9xZ+xdE6NGxmIlFwHO
/rVGMDzBRXDB7nrRq5tx9NXX0GDjrTeT+sq2ON+GPVMKx1QCrs81t0jyf0KWXrBkd2vDikPAc4qx
qpW88UKrstdD2NorJzjoRSIeEmBvt7y2mNDA1UwvodO6+1S1v6jwOy4czM9dPx0wPOhwoGb04Z/f
CsptMbl5gutPk+EhRJbmDdYQvUSaEm4+v9fnhkJ4jdYANzqfjZMNCE2nqsrmz5JbiHBVVs7s5hvK
ZO+GafDy+Vjvz+30TZurv4LTK5/B0+M/+MS07bOIw0FHqMCioWGM2WsytK1PKtcqt1PtoJHqftcM
en+j60pw1Ge+liHSclvmar17/4H+Lz7qEr5hVl399uw+RPHu8h/R25+5UbyJ89/5N7TT+IveJWRH
OoxUIWaB0b+ZnQ78BsQrFm1jh1aIzm/9HRtlaH/ZVH1Qt9iUstF7MNn+HcZr/2XzG/Nfc+fJ+M/C
eI13tccfM42NFj8F3lTEevOW9883CNF7GE3k7+xw8hHGW6Xpm4lLOcBcp+rlIgTBRaiHHKelbJWu
J1VR166ssM5QMvnGsNSwGa19Nep+2K2W3U4w6r66KIsLvAxJgEC9VbLVUPgN1J0px6xOoA09Kf0W
ipMFbrOrxTVERppNUGcxqks35VhlOQ+knab39UCOqNq9ZUXNEV2GyXMDBOxLkUSdgrYpzadtopbD
m8RKO2DrUegpKaQj+SuOoAicRGMHybq0quRbiAMvQIGdgfYdAd6DqBkjkGnVALMsdVvUc+gRNi1w
MGNl1rqDG6hg8V/Wwo01WJex2FZuSHzbEPrhlQAw6axR6ESzqjm1xDJRkuJ7KcvyS9Go000rR0j6
IpWHwJX9d9xk+ReDvNF0SVjFeIj6pDqOwBre9FDXFxHhwYsM5lbXzhZ+YO7QX5z+hvzV4s6kD0eJ
wxmqejEioNmmQ5TcOCIbjkYq3m2xRBAWO9uG64uFrV12ecvR1hi3vR7Zd/O3mMwHkX0fkAkuxJA5
d/RQyp2PSOZBjGCzIinl2uhH4fkTUYyLnOi8PZJNexWPU3twhj7yd5MktLmb0hCSTmC6xJublX3l
qJmeL2s2B88iK9uH1khI8221fsLh12mvkZ34r41SDjvO59U6J1Dvqp8gN4FstnCojcaSPf90NQVa
+5KijKkgRGT1Ve/X1SF0nO6XW2NpWgRjoyQrmRrhbWfkKT5Iyszgql2sLGwPuutUGWrc7FabvFXv
aCNJqso2INyQjL64l1+x5LCb7P2qQn1DMeQu5yupebwu0X1YJuJFD7Lo6M4hrguaAPWDBmBq01ah
cdCwOat0lIsQaUADj2iE+aU3XeX1FGfvgzBLlxbBUl+UPKj3IDbcn33d2/XGUrPAWGiAyqM17Fn3
3o0t3J1gYwvlNQ6EdRdifkpAd8GuXbhySr4jzKH30YZA7AJ1ylYAG7Qlps/8keeYPPWaDO/sIZbX
UhvDvQ1J0F1rRV9dhX5urBScJxnEjbh4dEQ1S/6aAmVIxe9rRWBcE0zTFmuyw8qbOLfRWhPqyluO
/wibYIxnDTDCLE5itwV7sItU/qvIteBfqq0xtu5lQZRVepWrKp6lhQ7gdYKvNWdOd5jn70eyIcd9
aIYxRnvrTnPiZFUaNt1kEeEJxUD8MKS8PWsJq+CL77vjQkv9Ll3ZreHKZVLqOGAzaT60rYlnaYy0
ZtkYYwW0LlJvjDIbCNCG4Ui0hrkglwv6YgLk2vVJ7XQEUXY178u9Lwfgozi40qfB70V2ZbWNGt/Z
EfhFF+3T1KoPxiQhqqJRsHLzRtcqxevb+hnjXU9ypOOSCVqLfifqbo/xz7ouyrLeZk0CBmyYSzmc
J45V4ei7NkbQXNAEwLgp02Nfi/o+7eMBIxb5m75w07Vd8iCF5RLVLMnvqcKbjJCcNiNWR22iqy6m
OxTxLwkF76LtV2s30r9YPhppM1b22IcWbVWoC434Lv4ZBQZEJY3n0BDGzpd1sdS4LRj9HXkbqcYX
ty0DKCKCcKW+U67jSfO9YF6tx1Z9ybWmXPjkCSyS8UctQahM3EO/UQ9xpDfjkuRAbMkyfBoELMo0
Lp4de7R3cFy+Q/RL16Dj7qEJuLDE0udA1LdWH8d3TZW/4uKEHjAebGi0GxKeHrpIINkb7GbZq2O2
UPukW+l5ilehHUoSR0JwJCNBP4u2kxVk3tC6hrUh97WQh4a97QbbbLfFL2+sNDmi66CcoUKqSsI9
ka9GxOWV05dwIOvFHXpjg+hqoTONDhZP+0oNaiKSqfLdq0NVbBWyUbfkOTCbxmK6Gcm65pgElAa7
s1keq3F07wVaz5CAuyY9Jjj5bi23/mEXobpPokA7TJlbAcronWxZmoM2L7PQWoncG4NHG4DXiupr
gWHL1NdTJLNVYAXjTTpgQBo7rX6akE6RGWNI6IrR0ayVilcCjUPddfImq5NsWbM1f+hS3z+aug+o
BC7MAgf4uBI8Jtcnwj3RRfiWDv4bKrbqqJd2f6cP7nCIsLfdW5GbP7Q9sYCNsPbSznIkf0wdcAYv
pgypcSr8EsaDv0QWAIczsb/3QyfvHcW1lxNY6o0YJ3fT9nb6i3yJ/Gbq17Kd2qu+YWfJ8UIaN6wx
ylXcRNhuqzCr7sErp6vKzpODsMmyMX293LqDDL8beChgkRBivyTJ4Z5JmN64hZrexbN50Motex1Z
k1zR8ruzDWmsQEnUu2wS4i6l+btS2rG8NZHRmV1trStNSR6w0pGy1dgcqHEcbyQlbI2ZEZJIw76A
wplh55sx0jGsmsLaamUdHZTOcvem7EdordGwA7UQLOCWWDsl1ay/D2T/t0++sE8mnmOWpP8PcuvD
PvkB1+35mNW//+rf22Xb+QsNgGojSIH29b4n/vd2WQCvx/ZApdmmd/zbblmYfyE3m2VMQliA6NkS
/89uWf+LJjTHdNSDc+WYU9v//39/CBDlyf/+3TJkvncvft8tI1tCmWXM0hILl9JplQfgBOa3OJrb
pLbWr90wEf0yB+G3DfOq3Fi5brTLPIidoxsJAln0CNh1D5pl1aVsZVa1aMnB8yPxQqD9+N/sncly
3EabaF/lxt1DgTEBLO6ia67iTFGUyA2CsiTMQyZmPH2fLNpuiXJL4bv+wxEOhS0SVZjyy28457YW
dvV+aAWYZ9dCpLkwjn3wkbQdGqUFJaQuAVEbQ73x86qeiJNy5ocBGmcoMJjZci6DAmN3btUGwCrX
c049gGq5lWEaU1WdoRtgMhUJibIhq75RBUUEBzPC3eVG694kVjbd5knkro16GowtfC3npKDcQkQW
HsGVwWBochymFhJiTWbFNlQEI9kmhu9LxzmNYBaP4YSnaQujc3gySz7URpZR95Wj8GZVbhVaEOIB
FzBKL1MwYQiYXx2aU1QJtc5FV+fb1Bi9Q8p2yd8i1iq/pVxwaGW4/ViakTYCKIi+LMKT1FdQe31s
FnhJ64hP9tFtvPZjNZo5tFETijiY1Zuxj6qHpg3qm65Vw3xBkB978IdsRmKjxKfHrCgLmE6mpRfV
JWmCuynnc0kB8mSVWVHEYuWkgH7JTvp3C5yZZysOgtuowFQChEKZ1iaibF9tmI2sd35QtlCb/ePU
lM1Nbsnwlvdtmlxm0PsOLedvN9QS7IVIEVwniVZUYcuekgGlbepV4OEtGdwZiPKuszwp1yEtBYcS
0A25T4WSEaIDiEmuDpPitDX3fn2TK4kOZHHLGeNCZp3wt49rjE29u0np0mzp+Cw7vrMFbbtKYfks
pXxSfW1/bMzZddbhIsGpe7HXfiElBBKySzqxCsY5vJsapGrz7IbvbZXGdxM7Q+KrSZFg8Abn2Y5Y
cFfceR4SssQYXwJkc0AarPCyaRgM2vWzGQM9zar0EPmyW449dJ55n0a9cQmjhV3kaDNk78D9rvCb
sb/qqPXm3khPe9Pfg6fycNo7Ewa+wLAcqDZCfKismfn/V9eUcxZPBa8WKnFWUsUQwvBTGX/aqs7q
qvmssZLaaGWc5VZJo0VX+Vl6hXyol+OWVE+wi8kT2j36J2V0p040KLMKqfVZdqNp1mSEPPovuH0+
+VFsvJ9H1a7tPLryyxJ5ujZyJai5Iu3oKs66ruzV3WW/mrzi0vSrja8NX4wQID9fkICZ2v8VaROY
qZ1gnWMWR7nE42Pa2enGgMZ5hfGUtv+mu2c3lWzoG0Yx5me2Faxy7qFHIcj+HXi8jYdKm8nYIyMp
6z12YWtTu8vYVEpELvjMjA7q0RcYcHZxmM2ULuqht/vNzOjYhRGY2bHuTW8zh9U9JLvLTjN+GStt
12FQTydd/N76U1psXU0FlvW0Z7LMgADDm6aIMGhEy34KgKCx9Fqruen8awSp74kr440fj/ugy7xH
S9GPnvV9v1pgo9+MoIoZA4VZrOnFRoulLnYhGhP9NLwqoBwjwVq3mVddmBqBTO3/2lzs6EmqfDxQ
RS3eVwJkcqbhybPGKLsaqGxptDKkGBTUGrfsiuU6BXe1LzSKmdb/YjdrPPNk8FNWDi0nPdObczjO
NeC2NRnum6VRV53GPTca/JyfEdAaBp2dsdAaEC00Kjpt68+hhkdXKRjp9AyU1mhpsGfgnC1w01Cy
MXZqBHWmYdRzgd2x9+PnGtoKVWOQsLmGV9sh6MMCpN7HMZPjgQ1j9yHrFc1bYoQzDfy6V6LYzwmg
wU6N6BssO3p2co/Yc9I2bpG5ZYb1zzaPvahHOrBLl5Qv6uhdGCowUQ3FO/YruXtilwk81zD8u76B
45EuLE1ZiQiiYw6Hu0Is/vV8ZnJDWoPPHWhUd/gK7fZ4ZHUFnUxVcr2Egfxc1TlU3YVsxKcGI+DO
6ulTilI72MHpgFW/DAi/x8j8CKCHgZ6BzVlNa9p1FaAMniVjd6VTBnewVKqrViPGW1jjfqyp45YG
kMcaRa7OVPJ+0oRyT8PKkZrQQxdrhHlxppkTFINkkRpy7mrcuafB54MNAt2JoIIgKNM8hAY4r19H
wd5vABMaKi5Q9cX9SsLJe+was/3IHVfJTdqPzYXJFk5ozvqkiesO81EbPVAi+oLbACK7CYZmDcXE
PdjkklZD6xpHpRnujqa596XGsiQOGsnhjHxXLvT36gyCzzQTXmg6fJ30w30CmubLpNnxTSiDSxnZ
z0bYf0s1YJ4KBJOdGjrfut6HSmPoeaaYE9Jo+kFD6heNq4+Vu5+c7DmCYx/YpDwWjbZfNOTeSedP
8zCHdCEAwPd99SJLBpEGxzzi68m3SuPy48gfVnkG2B+YbHYA2wFX3yYvsyXFZ90WOAWxMoz5XQWJ
v4q76rLUcH6KC+a8ss/M/jFRsBxaAIbXpGmibQPdv8+Sh7neEEoRX6QARVcj3ZwHH6fyxotMW5Lt
4OWaezByEq0P6FzVrqazUqCK0hcby4Bhi3rjQGJ7TrSCoNYyAmWp+36wvgFEpMUDMl5o+E8VTtuN
9FAZTFpqEM4klBotOvAd+VRr9cGCA2HUMoQ8aZotO7ecisXgUARHmuAMzdGb0ShkwvqQarFCwT0P
mxnZAh1EoMW0gKExs73CEnGqcTO4WtJgaV1Dgbeh1wKHjviTrVdfvwfwTyHmbHqItPSBXoJh6wmo
jLNWQjCIVa6UEfwRxfYnzLB4F6Tn3DDPRLEz8O4kbgl6zP4otWwC5Xe7bbSAotEqih4nhV+OsH6s
LxjJsFX0WlxhVZoaD/hy1bqAjFJJY8SgVRdELP49aKt4k5CT2Jlah2FrMYbCkKG46HQaoFE2r5O5
ddfMojlrem3jzQwdaqO0asPBuTHljbiPqPPsNfKyX/laztGTD1tn+DrgefPtEHi4LOmXhkTq0QJy
69BG62BTWtVN7XdM8eICoY/jm5fGB2mXjGgY5k00tjdLka6KpGvXqvVXWVM+qwImxtJODyMUl8bq
bjqjAkHG+5RfDBKxwww7zz32oaGHFKLhP95ZZeI5qaeBHxhOKu06ESUiqQQrpj37lMBQmC63ANny
14L7fzZ+v9n4WUzD/Grf91/Fy+eXktbiV1r28cv/+7+vP/I/5RE9fE2Rg+5T2tpNKnh/bfiCdy7d
cQ4lVub4+Tfbuj/rI+z4qI14uqNC65V9KNZ/7/jMd7ZNs3pIbz27RXqF/s2OTxf1ftjvUVxlv4mH
jSb4n6vLGQlgtwUBf8BNQHI0JRl+6EO3ffjunNy+/sIfNpb/cBh2a0A2KGUGPxVhFqtV87DgS2sp
8T3kNRolpzeDm5LsXfmbgrkuib75SvQxU1i0eZ0I9oQ/Fny4Fhl9F050gEsZ3phCDVfUApyTS6Pl
bSNK9mi//nLOTw1HoXZisv82KY1ZzEjqcvp3jWhTDh7Igk92AABGZSmSdXdZq573RW2UtbcOQm1z
DIRj70zm8BwQV5DjkPSMdrWXHlkzb0CnTtKQJbyhFZsa7ERYM4fK/FxNqbqULCV7GcXhflxUyqDC
bBOHTdVpVlZ5V+RFuC8M1X2wOlGR1KZVwohQeEVzl167MUEmXRNVsodyXB5RR7IT7Nryzjbc5Sut
38tjkrvq0W/iK2rY5PH9Ah1AU5i0+Tr5Ff25IlgnFOBp3+rLb4uz1Dds5bMPtplmq8qMip0Hw3GN
KZ65qroixqtxIshF2vtggAel5DxuLarJhIGkPn2rq69VAzmrK3LnxSxi41AIWtsXZYwHSYwar9wp
pPUgwHL+RxuUpLcXqkFhvSQgg+SIQxZsCllcWz2luRGO5LIT5bfArOcxHtsnOBPe3F4mVZPt/LPe
YDyrDsyz9sDUBoRe+c1Tpq0IGWm3+zDWqoTRbMMvWdBCQbQYIqcNx54JAQ3tWFAMrmmwKeaFHHmn
t06Zc7wxz2oGOtbrS7/H18Dc6vgYaIdDHqVqY2uvA+xTSiqutj0gY7tPyCjAmclQfkucEK22Q5R+
PexqcKa74CyPmGpRflHaKJGglpgV8x8xw/UU27AerawF8uu25eQkVVRcSW2oYKjLuGMrvFyaZ4FF
O1n5UUBFQGuRZhFE8tp472rrRQSC4wDNqqW+l+aXZhb3X+JWdJ9zS9eVlrM+w9AmDU5BuwFz+ofs
KCxZo7qG74U/2S++YHEbVwIlR6TdHHkefwhbg4FZ7e0wtMGD/fm0hoRLTAwHA8411TDwgxfZWf4x
aQ+IMIPsBWtSxF/2nx1tC0m0N2TSBpEIcDaV2PbWm0by3jSgudzaPD3kn4crJ3dtFB/D10mbSUg2
d1e5tpV02lvClfU+N1D/bsgYo9HSfhOCJwP3UnAvyR5te2/5ZPTKuUZIZW9tbUgxtCtlDMX4nhIe
/hQLk8qMUqVCrQJSBslK+mpcAeqEfqU6q1hYntGyUJLTjpY50MIWqPLDJj9rXIRNSwh7Lq13Cc6q
l+LV+5LE0jSh/mghDKGntsNMdq9dMYvBVEKPmzR7cFXGQDcy8myix+vBn7tkC4rWJw8PYjtfG1Ge
Uj+RpliFmObhEg+L8DGYu3Gw8+fc9ihqjK3JztqYg12btal0kZl1Yhfn4xLfD7nH33SadIivhVT0
LtWlqsbbGEFG4MD1k21CWp78HHVuzE5PdpPolL0JeDbZjmoK7cesHw2QX7TR+F/8KeFCJSRajBN1
zrhX73MG/qFSWWGbPxlek78PhzLdK7yR+mC+dxhMqix+NBtqHTl2xEh3Lxz2QQOJK+wgI+g5bOB7
r9PpODuiyIfJ4GCXBtWvia6ReUOvlvVgJzV171bq/+xHInpP8DT+QfqR7hKQzc3OzR3nWFNY1iS9
at7kfcHUaYv+MNUivI4urmpdygh4oxGMGNFct5VrnzTozhJtvTkLAL0mxN/VmkgAaK4suQJR+Dwp
/iSJ394vrUl8ShmmbzaM6Zdkltzmq+5/uOSDIEEEzVhfNLgFl00voPZt1TzWxwA+9U3hpeKF8U8+
n1MM1i6ivHFnjLmfr/Og5LMZouH/eVoKaAeKWrTZTbdFTrV1Eyyo8GIUeg088RrN41TjMuS5/RPP
9Z8o8DdRIKgejer639P/V+kfzGO9VN/HgX/+0F+BoP2O9jXkoxZQvHOC/+9AMDTfMR5I0o9kKS13
+Gv/DgTd4B3dK3RIoQlnLOwskv6zUYYeGu2mpbdGd8DTI+f9m0Dw7fQfO18dMzlETOxXmVvSYdV3
MYycjKmTRWtdVI074GUeaBWYDgpN5z5KzIo28TpBN3eZ6ezih3RiZntqaDBWdLk23gvU+8q2NlgM
HGi+HncluIRXXXlsS9JVYVRhMZVVSwfhd2f6H4LLNwEfjSoaTqV7UgN6136iKQVtP5KkW9QF2B8U
lUllIIVDQYpw2rwejRkv5a8P6Oh2p+9jTA4JuYEJVRB1gdBR5o8ny0gLpzH6OqYOG17WnQ+UmGeW
eQnmiXiz03xhyIOlzOYpHGUop3XvDugyad0Yop0Xg3E9Rn6q+eYDvIkVkox+2dsdNPGgSn1nW1f9
dMsYrPVQ2PB59m5U1RdZqzkYcVpRd7HySImVVJIMDEVrZJnxWKGGN8Qw3ReLDDY2IcILuHU06JkM
OFSYRHiwFXK9cjN6cOhWENaRZwquiFyXXdv3vHSM+WoWqf2gLIebYHQK70U5vLFn1wiBcHSAxFVA
e9Laj1OaEuiE1tUL/cnNxMVAfta9Wxb5kFXqt3w3IKbyyUhQGMRk+1KWuTSYyLPZzZM94MhbC1Ra
yc2UlHyicPYcVGtEih+U1NRZklc2L/cssVqaL13fvmZkifVe+LNoPtl0QySnTrXcf3GLNtywtZpw
UZX9AJvHnj42gTUZz47dcebSFjTNau7qqT4SfFKZGGjBWgCdGhy6aAb+LzlEPh29MIjDp0US6hhA
MJPbiGQxvTyAzhNScFrITsbMe8nGOHrsZxE+Dr3ix8PRIjEmmchmSIRfbbY4Zrfp7HIVhNt17adk
rIbmwF6kLLecR4fQP3U4LalRYDGevE4u7+el1ok1DYW6oEm8SE6LviS+PjmoBXOuH3TXi1Aas8Xa
3hnUtllurpIY0jbZ7gRhycTDS9suEF5JxwHT6GrmISxCi0+pGL70sS/aJLwjoomC3Qvk63GaH0Rn
d9eGF+JwKTN447gK+volzjrvap5j8WiwHl6PQ1PcUtmntWt0SVoZhRusU3IuL1WcDx8bx8wmMkfc
ssnInmsYh05vH0bOeImkZD7Zk/CmLUjJ8BFtdNvd2emCW9gbfG4bOK+c3jEthbphifPoOvZiOtDW
ZS8dCwi1i1XMoW3LNew/xnLi2qVO447f5mzumyf+WGbfGEOa7tPSpBgp6NRd1zH3SGtXdr9OasKF
2dZXvsgNKVYGCRqxIiAqyu2CcOaJM8PD5WNAofuuqcdo15pG035CmD3dU8LjQTAWnxOc2lQs9jnE
2wuPOJKuk6lFSzxk+JezyJ5ugbLJQw8lerp08KnEqBB6jiJgFyEW5mkLt3iSOS9snimH9iDyL6ok
t9VDviyG8YiyZ5GXHfV+dTtPIZ+kmB1ev0tJGetD6pplfh8NmTpMpaEQXg7EOMtArzOJU626V8gC
0vVkjkQGYRhzIhqzVIeoCIpp5/JWgUQuGXZbn2/kfDK4cJgceI7FoB+KTrn8lml0eIdWbm0/pD31
qnVgBYn4NBVBb99kUciLIojxP//hO6N1nYggi6melRzTyONsQhcQq+yZtOYYNyu4+d0XJwq6/KPi
DWEh/okWT93UZVWJYDXFRhRufXaEeDtypiuoU5rZie4ZrnlXKOs66xZn+hj0kcy/en5lk2eleQq5
XGkOtn1Tsv4scmX3oMSPUWUHCDfqWpjmMbHpflmB48G8YzDZ+ZxOCyOeaRxcVzRgf/KGPtJWgvc+
I8Lj2irr/sNcz8Y279pkw43Rrp0+To5OEUYbEu9pvipTZi9oQJ2xR/mld6B3RuiJykwa6cc4cft2
R/lWVNmqbrRAr2jqY9ME5mOLRHTtlOazUQ0pjYLkrPOZZrM0GafgAMI7/lygTP06UfciflXVDcja
y35kI73NCzXdAYGMnz1nqLYli9SmpgB9H8ioerbcpNzZlRlHsEVKcK2dr27DmG2I39ATuMI7VFyl
TVx8sDNykaHZdrtF7+CMYWJUFdEA6PURUXWxlJeeC8ZMd8vcJbHdPGdhn7wf3OJ29M2JVDEtWjs5
w/01s7raD2mdvmcbWXyAA9DGO9VV1SWkE2tT5HI5FUaY70hGpWg32XriNfV57Q1O/cCi03yqvLJJ
0Li31S5IzfpjIoQ+tXB/saF5FFaE30/XjZicVZwO9B7B1/6WKl9tit6lSqExEWwY7WsY/L67SUyv
glw+Ew5sWjoIL2Rb1vugILmwzrCeHrUcYBd71l0W1c3eJPO7gWPcfMpy1YysUoM4VnNkDdu59Ptr
2bnR+7BJxN6ggxGoNANAUMmWgPECIa6NpJMXvLDnA3N183E0rJAZmXzE46lg8uumCdnP2SGpWvEw
pMPyxTSL7IIG6OVCVSr8HUb3zdAI8YnvO/xj8TIK6aN+0/Qs69IJcFYhTekahT04AiIwOixCrqGY
XzFJs0c85Ydfx0Vvkonno+rhATAogHXBd/wYFbnRkvjJ6IUnWfAWTRmDl+uGwmzwm9nwN5MK5+PA
0gC2QrRnQ2H48TgDKYK+DePo5OY6wqAzjXd2NTVP3hTxwvj1l/qng9GPTlqPAJkRlDen0uIZZjNM
i1VQsE2sa8qRLfAlKj59uP31oX4OZANYspw3kqSM3bzlgck49BuENpC8xWxdVz2ht8ds3RomN156
Pfz1r4+nW5BIPdOdD7/uzbgTwBEe26L0Tgsd34+vS1AFsxcDT9USjbQpfNLfnE59ur7LznLtdAaY
OUF6lbh4b7cZM83CXag696TQPQ0rWLkEP7xQWYGrCW3USpsinbVRDvzZpNth+tc3aaC7rMisa4kg
sKsfb566chG6Fbk49T151nE0nONksd//9an9+VHgKIzshHCHPHo239w1RWSPbPhbcYq7BMwrXVJ7
P/jtiNw/HYUNZeBBAocf9/YxF51DNdTgu4SyDTYipboG6uj/4zZBy+lQHWC3w3bzzRnLJUkJLCXe
yY5IPTNYxU0xzCMA8DnqrOuumYblN1u6n99fvNN5h/G1XD1z+Ob0ocyN5rEQ7smoI/HJ6tHiLeZA
KILnPNwiVKeSKdqFW+TXl+3nh52Rk9ChfGDCl/npiQCrlZpLg7Qm73m6I2zRFx1NGJslE8FvBvr/
4StyczDSRQzOrOHbl6UPk5dDlfbpnD4Cj1dfLG3XPNH+zxtb7+Amfdf8++/H6HMA9oLy0U9ovsFM
KyehknEqSPcdqtJ1joUZJHs2Or990t9Cj3jUQ7ITDIy61K80oPvNk5YEKjB5n5wW1YYBXWclDVDM
ehb3qJbVdZ0V1JYjEN2300hcNxJrtdeDHKYI/3jrsrmovRc0OvRvJa1D1LlURXIb5IIE869Py88v
XobgHWaxeSMJEjRvFpQq9UaazyLucJr+nHUapRQGdAvNCoCXLpqHhPW/PqT187OrCV7ElZTyQAq/
Re3FBfmSiDXuZAQGse5EVaFZ0a7UfQmUxZKZNJG+37PUupZ9IZ+GASHVxknD6V62tiywYNALuSNK
ordltopk8+sP+E/nhHfYmbnMtXs7fmuS+l2GgKe+XAKCbtPL6BCkQQ+IY5WuRmn+Lo3z07PHwJd+
GkjlcIsCWPzxdpFpq4N+7ECDGyG0oSjBHJOsuE2nht34r7/dPx2MvBEoTMCALAdvDhYsGA9iiVxs
gi1zm1Uou8w2YJfjmQ27pF8f7KdLrUfZQIBZJv1evM7exEVlblhNG5kzbjiPjSXd99xZPIjsEn99
oLfwQRvikCN08ODx5Sg2v7mRsd+lk6BnnghCUTgx2cPRkR+0HXgSKA/tRZMNZELcmIx0MiaMlBWN
76iVLPQyWMvpPqGaVqyMkc3SurUWZOG+UgeT5PNTSNbL2ZlAPNmeM4S17M/Kyq6qQ7o9fv1Nfr4+
GnEHZIh1jUmkt6FQiour8cu2PdGmE2xGyMMX5Zik+9hEw/zrQ/10o1P95R6g55mELXzqN7dCF5t2
N1A8PClaoo+BnfH9IUOFW/iR9YX2KP4uf6hXr+9iINq7eR8iLeDf1Ix/ukrVUjqWVJ57EpDWvkI7
G07KjcLHc0JE+JDvKZ0W3od6muzfvOnst7eIy5EZI6a5G1qq7jd/Ux53i6hLXToeT5ZFJmnZmFkg
ABrNQPcdmwbsKPgsrDx3N/QdWu11GNc8gY6K0wOzM1W0Qr8y35t9SRZxyXW+RoLaZmPRK/68+NxH
qhRttgd2ld76yLMrfhMtNXQYxDlF1Rzn6J2XtcsjPaksdwaLwX7uFJq6QSEXXdmihYc0TqTG2ign
75eTOIpWqRwY1gtiRiKu0LHkamNaeXk3km24VqIz9hMO01sAqcayR2SVr8hiVwuIKmmbWJ8yE3+T
7/VYfV3VXHY5TRFrv4AztanBDLCBXtITM2zW2h0KD8csHanM3zGVlHpYTGtzGOsXZ8noUl+hwyV5
1DNGaH0ZFfbOy8zIeF7CqdHJ0DnOk9thnvizb8ilPtIWpcfmFQa7A/BGdkWVxDKwXaT/Z/A55BGZ
l7DQcY1seNaSqvDmb2TLUyZSrRg/zmqm3JYfAYBP9w2WwOSW3tsCk1Qsh+6udVouCOMyPN21VTY5
fa4m64XqO0vuLFNM97lpB5exEHV+7zdW+2VqTb7F6GTe8tURVe9eKWnpVNSIEGk1mSk/yFf3XryR
j/u+sUI33OZ25l4OnM2BjAaduOCD8SfvRDNzePIgZK66JSERHpSzcLa0YfAb6eCNrM/L6FRHOWW9
8X7Cn7qsZc6k5SY0K5cUTlI4rX1TjYPX3Vsp9jUqqDmJV/arqAqt2R+btWHQGz4MtFDlm77TA7JN
1WAjszVAi+nK5lRVDBswITWm/qU7RNZ4ZPIXWEQ3WUN6XauCnFbQ9C3tvMAKbMYXQrKMcW9O6sGq
PFXsGZXiBoOwgMnJSBVrwzkOIGfP3bfEyHEgAtTkzSzhO/MFGowpkGTb6ulb2C3RbbAM0+1rCs4r
ej6Mk0zWg5vZ3ksaJQnNpVR5m8PrYyVs3i1YOp3j6DtZ8FJB+8Na50H5tei9TA9ke8nN253La1wJ
j7tIBoKdWVJ4nFe71TlzJ2v7z3PKINxuSsnDv5Zm4OK/RJ6jA4nYJbYLat99Ka1MZ2IV6fnVuc1k
wlG7rM/Lny96kowJuSv/0sObu6xy+qizHVpDs70ow5jHtGwMKg3F7HJi3WhwnV0W2nF6R1cpH8Qy
yZ2glLZbLFmWnJ77yXeMgUSPl+f3AUOV/ZU3FdaDyLLKXeObTuevgUElY5sF0nbvZqshC5zMxMag
7q3RL1mPKQMkNaZV0uCb0KWak/MEd47/kcA8R7niMf7ZOKsiHRojW0XRUpKbNwovOxWqJVs/FyQl
6XGsloCUROZGp9I8z3WSIe8CEmRLP2Tj64r/nzrp7+qkelH7bvn9aUzq+uv4fw4vZcNwiPr6Q7H0
9Sf/mpIy3/3dL2cTG/zZMefb7zyPXTv5A70RJWvxP4VS7x3BHBvukDwN3CeHHqy/CqW2LpTy1+EQ
6CEqGvrezET9akbqTTCnrTv8Ir2JMvkU5lt0lmuIKZaBv5BV85K1QwcxK1b8+N1J+YeS5pvw5/Ug
BCVs6vmeP20Ou3owGrYN9OLlvBsnv13ILw/+Ght095vwR8OZvg9G9PeBaEe6yYU89NOWsC6jSTKm
vTDxlZJ/LtL8AjJ/tLLqpmRYOu0Y01GsrovnIlKf698c/qfTCf6Z/T14E00DJR31Y9RvF0vgjYJZ
gqwaH+zS/xggFf/1yXwT4EGr4BCMuqEB57r9hDJWTO4DPbDkwbPGB+pJj21ogdolL8aMivz664Ox
c3t7Qtld2/AHaeugNM8E24/fyImlK6awbQ/UCeUpzkurWdehUdIIHpWnYnA/uNEoyxWF4s5kjLPO
ML3iNFWrMsdStWlr1L++HVuEKlmAMXX0Q0qV9RDK9VQUNBW2bZhVK1taJKohtqwUb+GjnZXOZygA
+3hou2+Vq0u+qjNtZOQhS+cc9uUmRxF7ncg+3DgM9m16c54eaS1Wl6mIaT1CPIHSzoXA+iA8mC/p
7NcrSAXOXRTX3o3XVfm9YPBnNbiqxEXSxdf9UFl0FFEQqYOe+VvTkxAeluWYB/FVnxkDtMfym+sX
93Xq/iGW4K5TjO+OGIJOjTk9x7rtMSwzsTU8fmeJzn2TN4vc59JDOVpZGPay8atKQnn0s+QG0qix
ScOaPYxd9tuxHsX1NDk5PfIiOtmx8+gbVnTKkrRby9Zv9IA80Y0RPkzEUpvZyjImO2T80Am3WPdB
vjbDgSGeOibkGaMBZ0wRbTPKAVdVq7veSUJGJO4uvNgUOS1PBgPk8TjHIe7HrJ92KUXMBwkqY5Mg
2VnbAZEHbfR4E6vGiqxdNSklPriVb3xM8kHdVLXF7wmI7B+gaw8XtBX1Bxo/KEQpRaBJQi+5oPNf
XdWF6W3REQPwHENukVJmt7KmuS0bMaEOc2/vhrQwH906DzbzIKe1kaR2/wTXRFoxKlDrkipl/JAm
ctlWKe7tSJQURiSsJoaHdIWCacdLBkjUXbNU6rZU7SWwAucJhUL34PYOJGgjsa6syREoiLgXJHXo
Xd9V074qnackVx4K17SPd5nvTAe3TcM7U8TZ3nCYMMIPXt/2xbyx236+iqca7kVIT+lOMQX0VAsP
O3EqmnhlTR4dYaHbX6TRmK+oIohbKoO7KHLYV0adD/PCip+zPk+O/NhHCL4nt4wkKLTxrplz0Nlt
TPkqY/q9rBj3bwVq22Qge9PHkA4iZKe2k0JdY29/mEvGXLymlRczfCHCr9irb8qZdYM7mswE5eDY
vHMiOb+0Rm3qGnF1iU3auOhiYe8Z2ks2gtHAirEigqE8kv5GmpKjxUxS8bwYGFVrmyRW1CTkF4wg
egryDuBmQPduHEXjxZRl2ZpK8LgWaIX37UD/Y5mXSIhd+kvdqJ/WpZeHKwcp7mmxE+2WdYJdlNFn
AMI4W5d5ilvST16cyPkYWsu8hV5h3kPGNg82A4y0Il9iPYrf57UJm8PnTDs4gZgaYqQ/gl6yYLXd
RCPeahlQgRVLdmW0skGMQMsY0f4XiqJtsKIWMK+CKB6OkRH3kLXMu2nud7RYxgeUPFQ1w2bcLzm/
Fvae/EBg6Ze8nkZj00iFENmunZd2oLhZM5m4baedbGLnwaONbl1ZuaqOlT+0t73ROC+8t4NjWo7O
3rQSRrgG2jKTpNcpGWAW11GRd8S6UTN/qK2guOSFtBwtSuKrxvaeVA2s1w4DYzUGUb2m8mVvWjO5
jANYXywAq3Iwh24Vx2wkC0Aj120ZHIvB/pCXibli/qpax4E6uei1NxTeo02UG8FVHOWQTcNsvch2
6/e2+9KbbvM5653hpnHbMlx5Bc8erwRxk87ZdElmtTiKEh2hE2CiBbQ7fqqpnq+IhnQ5I8xmRjsE
DxBInSn7FhKofrTIpT1E/uLesb0UG6rL1toqyqxdoRdx9j5jI1u6eFueEzF9KcvZuMmRGnCaq3Wu
/OzRS6DCzmFaF2uJEXZtuZO7Jm/pbYuAPGG/+O5l4aSjXDnNMtyUbWAckCWItZT+H/DgcasPIddd
Rl52DLLAhyA9WXs2I+VW2e5ME+TM7l/321oiTPD/1PVFDdD+4HWedyNSLAGJEcfPgbct6QraF3PC
6R9o4rF4c21sNwwY0JyLB4c2gbVnWg0ZJjAj710ptoLd/UeMP+7zNIjkWiixfGwrZ0OPES7HrFHq
ureabpeXEIq72c8OLgXwFe3ixobF81uVtzYd9yrfiThqj6yP43HIGMai7Qq2/0VnQUXEfFe0/Wtc
8Z8g/zdBPo2KxDT/ey/kf6n8pWpf2u/D+9ef+asVMnxHuVGYurojINB+NxMTugT+gsKI7YI0CKg7
/R3hO+IdcATCOGKqv0hjf0b4jvOOdjz+NjE+MzNQbf9NhM+r/ccQTjP4ydVCVdBSIT6pDlq/74VM
2Y02ds86UQQBQGdjuFZVN+yXKJlORSw9Zs9rVJv1OM5fvLplx5zr2d7AssZ7VEs4mtvGeCn8wrzK
6fq8XqrI0dte+ECiERVidNe/TgrIJDP25QdgQMU+p957LGNhPddNFGwhCGUnotltx7jqZ9rBswNr
iaJlIgONvmr7ZvnDbHKDagXrEtMEPE+qTcH1VUVFXsLhyXdaWFjdf7N3Ht1xI2kW/UWoA2+2SKQl
M+kpUhscilLBAxEwAfPr54Ildas0011T+1q2Iak0iPjMe/fV58Yxs01QxhUBWhWjC9WNxzojwXpT
aa4VmVrinWBz8VjG5XTTCL/ci9JHQdmhZYJoMJl3kzYEFy8r9LMxZ/p5tmY6e9VYcmd6Rrk3GjN5
MYIsuIAxueWkGs4xwr1FxyBpoG4Ma2kHGs4NYf1uzTMB3cyH0BGxBAEK0/a30BS4qagjtpbtQCxr
y2zYg1sWX0fK6J3VWuCtMwY0jIKLJ2nnLn1Raed7uED5Iej6Phrxxka6NxubnrH3p8bP4pt+gHXU
N9nyHszj/FK3g3WXwF8/ECveXlwrn+7YkGcbiPfZjgNwuNInV36prGGKVJ14O/Lt1d5D3BQZbApC
uyBORtUjY7rCHr5qgUXd5swbKxBXZp0wFSGJcqAsY3rSoDxx4nNViOrIkudYouWOEtng1FCt3Eup
nN+TgJi4DtoMe0Z73LtY/I9mlVa3xuIt5m5F1J/wLcYa2Ih8uBL2nD8ncxa8epJkvZz66RQLHAtC
jfIxiO3svIAOPyP6n9aQeiv7FPd2d53DCH+wG1vsq1VJy/qm0Q/MYkgLLBjq3y1g3s4JqOPd7Hkl
p7Pwvfs6E4YK655VZNZZ6ppNk36L0dk7NUlPPP0K4X0fpklcYtelsJoG68rtWc5Vws1eB9/LXqRI
ETIkwrmrgIMfJmSgF11T1pU5Os0BWENyQ1HSPeagnDZT1ZXHShuOoo5H2CC1419MKcxXEBtwkxhj
HTOjFGTNl1DsqwKv+2inzk0pxiszHW2+jiw1Nb3fDmnSv6WDj313ngpja4rYe5PW+M2RU3VMZqEA
5lbOsZGxDduCjfmMkOzZsov3ebQERN/ENl89v35slLU8d52Y94te63cNqqR65eNpJ0ejwAipyzCW
KqD0mxEp4xuAVBhcSSHL0Las4D2L2a7Wih9K6CyeUDbRylns+1i4VldI1KrtCDZs9V27Eczq6sGz
uv4LQhSM5hjCH/umPibm6J7gn+3r2neJWoF7RKOeF3cssst7Jy4P7jz2bJeW+miTXRd1yFjDgcPy
tW+C7OhhaocaZMnI6xB6xZQe9zgf7G8L2KiNxZh1s6Rr/IBwihdP16YnrxbaHazbZsMH6ukhO38z
kq4hmMdOyKxceSVb5eebIGBGnFf7uBv1s+8HrCXLOxXH6oWyu4kK9hB3uZ5Yh5qKo9uUo64u6D7a
d6sn7xYfUoRC1Ns3xjhtASqTp5CyonnpvRmEndBX2+zoMXSolzm5Wbqm2CNTRxY8z463adXkBht/
jRJI4nk71EuHYLUZBj8KAvWU4PCG90ZuGuaNRHLMdRkS2KFarhptkme2GfoWqfJLbhatT3G4WNus
DLCVuBK7Ulu7mxIZH54faBl6p28bPUdYmBfNl9JNl6u4SYM7p/LdY9c5UxXS8PR32crw87waCY3o
3tzcm/bsTv1bvYNjuxGVpV/Yquobn6CwMjT90t1WVhM8B9wal8VO00+tb2cY0NXnYOndAzfigv23
U5cusTO+SmN+3eUuGZqzFlxXg93eAhKT51wf5bMWZ+WlKyrBDgABHvkjSUT/ILZOJ61P7FHMg4t6
ctvGfrNLp9z8RoM4nJFsiTfbkuvlMiz2S1qV2VNvGqoM8TgFOysPEsrItNg2M+GaNNjpLdsdDvHA
dkKVyOlBH3jr69RZonnuMcpD17tiOOLk0VQ26Y3lMWK1INvQp9uO5JNlezgn1gBbYuqPRbCIp3KI
95kh8m2Bt/22UJa9FUrpAPKgTeabQattYpDYNUgQ34ZKzBNdYfF5lGYRjWvjpgyuW4iN01UHowsf
vj81KPHb4LUgpjSqYOi8YBSID5xMKWhIM5pN17ldGFO8C9vTT6L3tV2VeN2NkdXl0bG1eIevr7sr
59F/Smgt2KRI/SEFGsif82INi7bm7qzUay/tDC6iW+Z3fRk4/sFbLGgcJzsBXTAa0UKqcAhK8Mqp
dZNWpG6ziRi/ZnTo+4x60DNOtEy/Qz3VcvfnefI4OJLYhnyQ5QyBOujvZCLLQ4N+GRU9iAfAFF07
1tidfAlCUhRHGExmaE+jdp2Z1Xb26+pWqbo49M7w6rRk+HDWyjQkhGr4UvTuq5Olb4Ss/O6Vyysg
lHsiv/A0LaxaaktWx7b25m0rs0dTJuIkUs97VKIwnwsmEO8s86dPbcwPqhofwZubscQrTiLhVQyo
ijvWUvvSnZgZnCm16sQNF7OgKcnMpre3bgM9aIJ1FQ3jNPi3spez+wIp6nfiRS3/UKqRDw6TlYmV
FevwJm70/YDAmy1EKhoUrFJrXgUHKLVXoCJjioudBFRXnVgpMEUbczOiyCuuwIjXJ7aT3qszO/Kz
jho5h6KUllde6hgtsTlLGu9LZLGYrKZuXNhmJr2Tf/Xh7mlPjownB++qQr7baFnRHCXx61Gt6TND
i6beKbf7hCdvDNsJ4oYOfSbsE/sT8YPjwc2Et2HiMACGq9cFn0c5iZ4/a+1rAEm4WHWtccKC+euz
5uGPphZ5qpe03KbEQ524QbSHFK3yNYZLY5OACLoorIOXlk/ztPT4Z9NsfLMLhAxt4GqgEbRhb9TT
DMxnLbcsqD8hG/b2KsuORbwrPHdmHRv3B7+07E0h/WzfIY/YzLF9VwF8iFAuJ8fFTvrjEMfxqa3M
7NTryTWdLRpSzxBAON0+mhNPfh4YUGz8yYF8JFW2y/uOpXmix9s2K5vtGNtiovFn3NDHottgU/EP
gy5QlZcmkch6rP9uDzFltChENmFQwaL01fVRgX/q9KH2uvfB9mThPMXSpuIgvxnk9vdd/D9N3F80
cQjPmJP/5yZuw+64ffva/NzE/fEz35s40itAz1GI8PVZ0318esLvaxpDD35DX2YjrGCy/wev7t/g
Zx3kAbpIwsaQqKzLnR9NnPtbgPaKrQedH5saPfg7TdxHIvVPew0UphiCoU+vSgtarF8lhDqnhB5r
i3bl97HMAy5DthfDS6sCu25PuV55HK4FzWSa7ymLsEVfW0FZjVum2SQS9HApZ1swaQxiv7DOtWay
f5qZW6SJnkNwYnBLDFSR91O8L9gaZ9m1k4yK43Xhv42BbcmFv/WkO5TmZGUlQzVM6bWhKnJBGcD6
nham1C4b+I0c1Kc1LXUAxjSW2RxiQ1X6q1m3cb9p3L4V80MuF2SLW99ORu+Oo2lIg5ss67djH9gM
ySrf1KoNOnkLl8HQLtqMEx6D8IbxJjHNf8hz/nlq/uKpAcZh/tfH5om+4udH5vsP/OuZWR8M1oZM
177TGv/1zBj2b3RmBJ0ZOvMwfeWY/3hmeNBQJq2K8H8/LB6AkDWoF7sKq00WXH/nYfkIF/rTwwIM
DskrDySqbFR4v2zhGrgzaTP78zmoF20pNv4o5nlXuWArqlUkWkwQRbGEJuKqg+/61ZhnQESr2uBD
oddKBNRwb1BLrLpZWGAIySjRbyuEJroVrrZrnqLQGvVBwVIm3y8e7zVvnmq5GQKF7P4pZdJaicNQ
4aBnG7U+SHoZazdBZavq1LQ5ItINCq7G/90S3szWZOTimtQxgcsOuzv2cC+dOA6kohvmTX7Q6sYz
t8JOTXub5GO7XPFe2taNX8DW0fmzaZgIvPNJZSYypPmd+/u2stGr8AxeEK6gi/XMxdqM+DMf68pM
H5e+sQ68KOzgy6B9QUGXPfq5jfVKVGl+NzXOpZ9aeVwAAO3SJh7eAoN6ACECvvCsaDOIBzlCoUbB
uEAvtIAZOuUQphwP538xTuZ2pEWSV6a3VCR45bU/XVJMddpxYteFa73QkvkB39+w6JGOQgaMHA4j
09ub2QovUrHe9FhPsf8YNDtVoWQx3bulnrVnMXVNzadQEbZSqX8CFP4g+vzFiYAYYbVr/+eL9PLt
S/vWFW8/nwrff+j7qRAgXUCyQFbVv+3f/7pJORWQRCMz4M5ETP3vQ4GRp46alNvyQ129qq9/6B30
v3MWkAH25+nnGrjDsWJDz2Ffvsq3/zz9LK2B2jZO1TV4Nx6S81K0pObw9AIkn9mFeZk9M9JCo59+
SwcN+VORFeOj47d0wksfP5SVHy9hzT//3Bq5e2O2nXs9saS2Kf00gW6pTEHHWq22Q3U3vLBKqXAV
ezKPFKzAHTCL7GKiiN4UTst2AoUgzzEi8A0VvHXpk8rZILySO1351W1R6PVtP47DfVC7HB7Ykotn
uArjaTU7DeGE0+QFZAxGXT3VGNyhRLoHVlvdt2b/7PrFcuxwCTPk85JbVzrLvW6U7f3qvNtZwOyJ
fOinrTZaoNwEzTj7nGKjXGPa2qntsbdl2PM4ZPn05nmVPEBNBAFkL5yNUoruFgtA+klWxTBv9AaI
i5Uo5nqph80QZs69M7n5VukrAETT6+m6ReB47cvuiR4cdZOB0apFyog0U2d781j3IMF0Y/rCidwy
3VVFhzhXZdcyq/MirIXTfcYgPkKx5DN8Ag9RXfxRpexf0oVqfhW9peT5REBrvFX45SPMj7Xs1gy6
/KCVyc1Y5BBz8qmIltTJoZEFwUHn7Lme0nq4rjUju6RGRbvd40F9mHsohgXCxE3vFuaN307dYTZl
ffakPl7bXT0foGJZb7ltNac8MPoHFBol+03CJLa1KfqC2ZLpHythD8RkSB2WmqdFGNbqO63XrYd+
tvtXvBrl77PZ6Y+mGrKV+FmzxnK0i5V5ePj0/oX3SswbOdXBLVaY6sVqM7UzfFFHNRS/7VgXqJV1
RyOks52+yrGjx+8Fws2pnzaBpdZGmy8ODm4tCN4tCzwlyzQw9qG2WHiPCZIrtrZbp3c169oidAPZ
Y3+plhAMvNr5iOVDbrE3ZSr/6sO5hfVXXOyWTfxQM/TTzAXrccf8YjK0gGEXkbvXgoxQAk4hxevK
Lb/lgJVvdYHqNCuS5aZwciFCYOLau99YPqvwBARtKEe3nEKKheEKfJ/H+ZXSUBagyLEQ59GqfXvJ
jEr/1E6sJF2gwdvU7oZz5gno9Wzh1V0LduZVglt1Qq0U05XgunoM7MK58QHEtL5I9kp59S0Ji/29
uW5iC4eBXcjlXVR8J2uP6lgiEUzxZ0duR3xP2I21NoaZ78ZHK8+ZYgdGe3SYXJWhLw3wpeiMwLK6
bVw9c4yI27lmIlwnUt+qoWIsoAn97KVGPe4HJQialhnM3nSWN6SmJDdtapuRK13rc8mMDnUvg8hP
HaxjwDn+MD+4LuknG1GX2nbJjfTguIhthkXVa5CaN8YbpUlH7Wox61iWGZwCqq+L6kIOQvLsGcCt
2XM0wJ9tKWNOkkwsEVSVr2AXmfUMbjWdrcWDvZkVDqvdfFbaM0obOt4cUVrMpDAhXSYzcrKw81rC
PmbyUYXCF9MdXFzjUwtunjW5MFshd6VLeN10Rpblg50NrYTewNy1StB8rPIS10+2EzM1/SHuZnN2
nxKvEv19b0HUPDSrIas+LYJx0rJBhlJNIrKVWYwPbT4l/rudFDE0rpT10+g8VcgbibDyBU6xnTYM
ff519oQwir3PR9RycXG5/dMZ/FUdgJsR58B/rgNuiJf+Uw3wxw/8WInqv3HlBqvPxsOO8CFf/F4D
+PZvPtU/8V8++Rlr0/zvIsD4LfAcLEuE0dKY8GP/KgIs/7f1Akfmi6VpbR7+1kr0fxHu6KShFCK+
NCyajY+8pp83ovGowbyqHQdWui7iyMyX4j5dDcbUD1BYZxDlAdqtHYEEy45hfoxdtscywh7qyal9
8UqqWvdJt+qOMGfd3P70Tv4fcsn/ZagIApNBOEi3Ff/i/poSFwx+i9Y7sGE6282bk9rcvXpaX9fO
hApOZuW8D4SuNp2AM/4XThVqrj/XS3giLQfNH8x+Ha0mI5E/10txapbCHTJ5JHPkBYKURQMxZMG5
CNrGjVzheNfoBdkmWLPrXU12kD0ZeZt9nhZC7L2BQWkkltk6JSX5q3Cbyj2cgwF2rWzcOy/1udgA
okNtG6v+2hAWLCtd2OHSDjGcjwq5iK266iY1Z51j01DGRvelBKRleExXh4VDi4A7TRIWBW5X5a75
ii4GTQ74bUbIfnPldfaybZtyuMegXu8YfNQrUdwiCxWTFFQ8nAs5rF1b/6Shptn6hfc4TEtbbuxF
Ii73XFFfWhuIugYuHSp+Y6nDrFUxmVGLFeZLP4Dy9WjqWNS4cGZB2m0qc2Ihm68SbOjYxjXMnjhy
27n/5I94+8NMZ1sUIgZik8kH4B58q5h3Y0p8FtyxbKPZJqIfRkzyPhi0/E7vssyIci6U17LRXRwd
nt5GTEqC7ThQD+yUNfmc3zxK97hcEtZPUrolWqi0fzQIPtrWvTcOR0QGZRLVZt3fT9ngpxvDGjv8
J65B5gvcHXhicV9YkCxcYWh4qRbrCpWfDtw9ycwR/G4whHm72HysuWYfHKgUWljaIFpHx3nx8tnf
pjAhbklamHZdIs2VaU79YAPXZk+oT8YOAWELP2F0bufS1PYLk+KvMjXVDk0+5bFSEU9qcGRGXN0v
5qyssG+G/LSQihT55Ie8pV4vDkulL9ugFD0G5LZZdr3Zk5oAYJ3VOylJU79ROExWerkBxM+fToFv
xM9WDineH9MRWKPnpN9sGtIbo0GlF2a1V31DoFE0YCSwpKDRJEqBNQzZtfA9HSt0vdbNI569hzTR
cusyIA90KGJiZgkPsHEyEJDSqxvm+Ujskg1RLQhIferAr3WexhllZZvvTb0ZvxaFqoxQkRZAo47R
Q+nnTgZt9obqkS1wUCvbvOm6Nj4tw2KxobNy9UI2YoJuwTGbt4Ucq2ETB8PU8lRIrX+vY4KMohZe
CZK3viFepx/aWtvCzJ7PajbqedPpXm9sB6Ut2cNsNfN8QFm5euig2MVhU5OuhqcmTcRnOxgpuRAH
ktQMtqhec8ALgJkySbkKYEi3KdSVSOpW89Y1GH2Mdi75qk96c5zhFtwzjFgPw5TXD4m8vsmXwbuY
A84zisWAv9aur21OY+eBNQthHNLpYkjSyu6IW3VzCjWYW9p2ShCjw6xfDnhAxCuQmuZ1pI/qGPwr
oaJ05EHeMlGftBCjy/BFz9tBP0MZdfRLQHTUAAdeNG9tVwZOJLRy2X0c5QGvPN3Y+WBu+3xVExda
ry5TZi7PZQeyqNkUo7VgHZtibCwgr23bmN+cYQB7dfL/yNUqko+wrXI2ElaxjbGM6qVOppJQLo36
622Y+4qvToszsWlBocvO4F+M1rnRduPQAxelzhOYXszyZq5TyGLsjcyO8FeEG0OWmDc2bJc2ZLpU
3rROKSvCSaitIn9WCkOjh2YQ4V9aXcPHQeww8i/gu0u3cawRFKmLLamSw8Vy4iECTeZ91hB3gPHP
2iLYlMmCALnx3Zl9Xjr7JPRJb3xtDK2BcgPFL/Jd5Bsx0zx29MxuihFkfmf0T6Ax3aMiVN3ZG30w
3g1uaZWRVmCa2fvpWmQbPqzU0GwoHW3yCCHL68U5tVQseWfosmFZt49mMUyAiNLBeXfYsiG8tox0
BwB/S5oetV9pONO1TYLVFe16eg0siJ4QvUZ5nJj5OsiMW+PK0sr+GJjmQtGOkOSx4J7BqWcFc2SD
928I66o8c+M6HYrPocHfx8bVq+d9PVozp59y8xbl+JKsWRr2jj0bUK/K6j79UzjWfdbPf1U4Wqi7
fyp3/g/LjHr7+ufx0R8/8mOovE6OLZt5DQTh7/Xhj/HRaqL+aYqsg4ShULTXNGGDqdWPzctKmwYE
TSdjM5pymCX9DYMM65w/F0TMtr31zwBSYAkMce2XaXLa25MiKto6e0Asn+fRdo6zZWiwl5ZSh7te
yVW73ZzYEUmDU0GqrQ4fd4uXE9Ga2clr8PmD+cKlWFwar2zTKzmhB9iYQtJvDq09P1vKVi99gV8C
jiyNqIAjsGGSzBxFEPoYTW5aq/1AeOE9MrjmtVaxulmwYE4IRupx4MxtPcyrcTvussouDl6bM/lt
CwX7Xcz93sXN2YQiZRKySRJscZE2WxC95tlz0U74Y3LAV7MMESwvHU1w2c1hORfFV4np8yZLHFWF
I3iymzhukKcDqOK1V6JadTZTVnjHZm7RWy0GSXF7mjz+V2ulQp2AXcy3MnXkfAR7hoICye+knXz+
gdiRY6i6IR1gZd2ZvmjuAjtP7pe8UDeyRAudeyVCuLTyk03cNWrP2Ns7VEHJnD23myU5ILeYbhmL
kfeg2S14IEC65lMvRO8tIiLKYh0fx4aD+q6K8VN4e58+Odl5LWQMPQJW1hLXUKxzaeuPGXVPK3y0
O6NBcyQSmbobAiSg0RJ65JdaSZcuShjjwGapOVt2iSzPnIxoo0tBERLA7SqzNghFk7TVjn6Zpfhg
YXPnvNHSPL6JjVnbqRhFy7hxOpAnvJmD8vproGyKUBXwt15z0LvRiK/MNi3jSNqdWr843IvLhL11
R54UxoKCGqRUp74fBqFfjLnKe6vllu3USKdejJSTxktCOW8ur3Tlc91+7UfZV1XoQGMr47t/Drz/
z4HHomnd+v7nTvnxW11/67pv335ul7//1I92Gfap43msl+2Pofj38y7QmaSzO0ZUbCAT+9hJfz/+
UA+7Pj5nTjgdEMOH0ezH8Wf/hrSAOSbSYccH1fC3MtRs75fjbxVQruttWzdAtrJV/qUf9ObW0sBg
1UeN6awh9giFklxtY9Lh0T5UkGBDzMPmCNcPO0AFIjIyugmlP0izg6wApMVO3FVbFuvGpZO2+0jk
R7F1Mx3hcOJiSxpbC6W9O71UTJlkNFuO9RagDjmaQsfVFDgEZWH73Xqx93WoRX9UVpfsKdaTiHm3
3BgxqYwLXdl+VmCoMTzaTbgQarhzUkqoki1RGRJx/GILiSuZ9dVxmJJlp2fubujoKnXSCDcKOfON
gZbsUM9ZCYGZMWpIUAxja2YSzUtqDHJvUkqfsICs8Uem636JfU+QMFwJEkWrNknODR3fE2t0nw3B
ot+DuDOjuvTu1GAEZ5ZlMvIrvAVl2q1qywKHljeA185IL4lzvd0DNK0PY4aYpbXmu0Y0Hrols965
Gt4VvL3GDfT3U1IXkdNMxS12HOI8YrMIDURdW1ruhhRfSY3NcGI7SkDlOlPZ6yCfuiNGce2AiIDw
sSLVTmVXCxzwctmkGj61Ltebs3Rhnm0BrGKLYwfxaGSEk5gMc66TuHL2tjCg8UnL4bd2y51QZncG
/EpIy2A+ulM1vc/k121RKxHc5hXd3QIJIGQAWO7coZkiTUzzPdx478vAzSXq+bNeoTtgCpAfBjRw
e8sM4mflZ82Ooav71SfTfj6TRpafE6ciM4/5I4TFqYc2WpUqylLfP3Ru2+4kUiNwvYa5BS9lhokP
aLwl9fSLDwH8d2aQwQ7J6+QTflXVW54b+86ex668nnPxlA5G/oS8bn7TaIutsF4c/aw1+Nl8DYRB
U+l8yFmA8lBgJArxueOPI0TtFOtufWMZqjmXo/GUTproybO25cFH1s3+VHLR1dhrzKoNrmxAqlPI
7ZG3m4wMN+8waKjDdm1XQLgMyGEuNsswjSeCkXZ5baogXKbW2qW28FkV04kB8jCrwzygVK2XAAGc
aQ+AIEoTM6QFXdxE74SvvzPoQiZzqW7pSg6BI/GYD7U8t6751pTSi6+lVU7pFcSHTy7MwXtCHfZ0
zIZ27LLBjs09sQZ54YUqGOvgfYFHmW2RpC43Cwl+t90AhfKdvG4ye+waLbzfD0+OmKz1Ik7bYYsy
/NGOu3wbtIOxTco6OI3srmmt4w4DHdhBcS8mrUJEmc0qOaBWLNonsxztYoocvaj7NCJutPFOmBb9
TosqJzd1VJcu73ulxLKL3bwm5Qibo/66pHLsN7rQkoucvcr7hD7VlO22gztwV0/BEH9FUcqyLVuC
kBMuTA1bs7c6sT98c52CRUdFGHLQ2qTbTqqE86n3Qf7F06C4H3wCB5qj05SjFuIJHYroDzTumq1j
n0cG3M/VDDC6oETlm4JNMTkaaa+jNJfjdMsMxv4621Zf7InhU8g4Z+YFkdIyhv49wYXgv5yCP7mU
SeuG1QTi1UoA5pLPV0IM0keR7f9AHvRFjDCGRhgKAL6k3AoVaQDNDSA2s3GJCpap1V8V5ejoUYPj
Oky8yUu2DC/cG7xI086xgXQAasQD0Tq8xxvXiOfHcvTNqxbJYxsWTYtSmNTcEfCz5Z7rwJbHIgt4
7icnjpyitPuNOVBEDYaJDhyb6L6B3H9bmyVx4AEO5JZEXVZrq+lTCI/errdThkW+x0OlEDlGQw3P
vWdot1aAe0eDJcqzyq7PSNxs2yaNpe10L9MfgJnkW9fsFmNjjY4WulpdX+gdm3tfee6ld8mvpNM0
ibSygis0lkATWHFFxapR7T/kqsuHdLVaVaxgPb9wR60eCdvdjavWNfuQvZqrAjYhcHk3gY55clZ9
rL0qZWGLldivUM82q46WyAH9pMgGeV9WlS0ozajz3OTI0RkfKn7VS+EZWYSLzn9V0CIaVIKodvNV
v+thfjjbjokoW7KIFOOck49lEY+2an9tlmjQ9u1w+hAGsxShpMxXvXC+KofdIM+3aRHsu7IWTwB9
++PsKmSRICD2VOXIj3ODKMml09RmXNXJOI4os9tVs5xZHPFgwhiEtCipxlXbPK0qZ3PVOycmymex
aqDVqoa2V120ywvYia5ALG1gR+BoREFtfYip1aqrVr7Zn2HOGt8UdkjU8uivC5zBB3fVZGsTf89c
ddooZfDRZkR3tXVfXopVzz2sym6UxO2tw9Lg2mdPhVK/zq8LEkT20krVpcAHuXHM0j2USMblqh2f
VxV5vOrJ49gI+CWdSyWwys2HVXkOG1S/dPC2UVSuynRn1agHptu++cjWJebZyCIU7g6qNqJ2e9W3
V6TP3BWr5t1Y1e8jQ8tQTJWOVLuBq6snn+JVLW/U5NqVpMCtIwy09B+yeh2B/bQq7ce0kWcWtDMT
iVWIz+1PG4hVOLKJmcvDibmJZg69Hw1dgprcBjAYrNr+7kPmLx0dzDUaviysExN3N4o3zw31wjUS
fps++kiseahb1Uc46J03BATUFDa5ZRBCc06ClplOxVNFGqX3YH3P1oByn6SPnTuL7J/6/v+niCGQ
+L8yQM5vTDrf6q8/l/cU5esPfS/vPQYS0B+Bs0HHgsT4k0HQC35jTeZYkDHYtqy6tx8DDiv4bUWD
YDJhFQNobc3t+lHhe78hBl2XZI6HkB9dy98ZcKzji5/EcuuW7mNWogdU9xD6ftHH1PqQt1VaLAcv
MRz22squr5MpmZ8qg1C8JHGczU/tz/+x3lp/4S9/kMGNryPjAsJp/4oc6Smee21x5wOs8PaOrldt
PrB///2v/AoC4WWB4cBZuRoeDfNX/l7vdAjPnHQ6zL3M9qM5yTvuN1L+PFtsdW3kfMNuAB4i1+67
0Zue/vufdwgu+/VlGqsAkkrSxxKs/0rEHIbZz9Ts9YemROGwm8Z02ZVeqh8U7Fq8AiDaUDTAQJpj
j82AYIOAT1AQo8DY3nIeGiZbSfgxzO9gxYkwMWzEB8tY7MC98/8tmxnLo1VqVI+TwEQT0mfNDiv0
GdYWHuR7IEzoXibAK6ntsKPwXHmqXEe+xJmc97GqGIOLhNEBIxiLrGamX8tBlxCeoNaKSzvi2DIn
Nd321hCfRrcTb+QMEPbELGb+nRZm2am6VM/lwHy1y6f6OjbIK4WE5GMga0zmvkxgPqfZLF6NROcH
xykLrjvJcNkgDvc+UB6hx6oT6xbB6+EiJgYNJXABBoR7sip5mbrXmVtvyUzSKYHneRNXnCOXGi55
wMoComYZCi9r75pSWaBcParBvPf8sOOEPwNXJ9VYr0YQ51kLCNWUd13Vr1sW7glX4nCXPXos8iHU
MzJq9SzzxX3g0zG3S8dqtzYdelCMH+8zTKpNwkZyk431/JT2cfM66AufjBS1fkBdyjM0suSw+jrA
YaBlBynT+fdxEPOT3vIjs952n9yGgzyeEvsok954JFeh+5T3Y309NQ0WqMrnHQlyLKFcViPTMRdt
JLbGEhuSAHw91srcNriE7oULLGWgbtowPm/f7Zj/mBSoqjdJbjIb0yZ6ldoe5PvU8Tj7eNb3bjaU
x8bnw0U0QUADG6Q06qy6rbc6KbkkCKGg6hcH05etTXu8UcV9Mhq40f1UXmy2/ZsSdta3AmNIWIPj
31UlLTd5Eg38eameYzLNzoFU/CqLQF9RsWA01qsrGDWclcX6sCNducFYoTZ2wGtxqTvCPiB0SBUF
X0UW8+qbUWC8J57YvklsPolYQVy1UbtEFe1VFZVi4H0tEvHmseVBwxbnedSzHa+jJo3je1eP5bsT
6Mu5HtP5yRyJ/KhBf+GcA0Ci0WF81XPXeATqDX0sYUdkaLy3XcLnyOyTt3r9ipb1pL7NLa9+KeZ1
TrfwSdhuM+9tg+8/w1WAf4kX00kXr//D3plsx61kWfZX6geQC31TQwe8d2dPieQES6Ik9IChNQBf
n9tc71W+iMgVUTGPYTSSnE40ds89Zx+p9eNJgRHuE/8XdlwmgEyrXPqy48o8pr3zoZtL+2bG8fgl
Mbk2N6ZWZGo36Ee2XX5QXTH9HGxP3Inc4aKczSmcU35RrqcNOzIj4p64nX0fsEa9Hzl/vtRZL95H
Wko/tAGYweoV647y3ebDwpN/zi3NeWZDjFley31yhTXEv8T3wCxkpJ2Zd4Iiuv1wfspN0De99jQv
okZrzvL1Kv2l/yp6rXhamoEG6wnBNzSYWE5zibLsSj07DA1hafoOOLw5c9Z9ihLoBVdtMZISYi30
BpIxuOT6QgzaNa2WQ7uZ+OZXv6C3w32faNYbPrNutN8zzlpFciCdWtuHbFi1emvpuhyvlA7DsZVE
6+wn9uVECex5eTX8RQUJRoC7rIxoaSGVteM6dPTNgI5PsolU5Y6W4ruxCRCpuMJwTxYPg95rjw3E
Xs0Z72zU652fes7jyji0cbzZIoiUPKNW3VVaa5G95iZKKMI4VmbxilGcTWoZUyBgL98zH1yPPY0/
itQkDl0nn8top8d0dam/MUZxaapJbktnojIupiHCyPqWrpv+PA8trRcAgk/zWgSRsXReyF46iRKR
0G3IrH3VAjHR+bbGJzf3T1rB1JSVLfBHEcTtEUEQ/IMGE6OF9UJlQzE1m6osfyViHXysBTXjWQ/m
gmDI01J72dastOCcs+SlszmXOzflhm3zyjhnS0y6O/BJSC38IklI6ke91qYD5X3EmNSetZGaGQrl
1oOMlO9T3cPvqlX6WTpZcBgT4xmXXkCs0OsvRh1Y5dbku//shZSU1beBhqNw5Xe4ScphOpgCg6Nr
yI+6gdI09mYZ1qY+HhMZGLRhBLhyHcAr0RL3n1Yjx33iJLzzeIH7uwl+7yY152HL6N8+wQJFdxyK
fpdMIw0xaYFiFfgz1A7mWzytMy6GZCLYUhTvgRY3XujOLsYZxj4Z4vAgVOvghvAm22LlZbWPnM78
nT2ixx4Fz1c2OzxEkFwKwYZWcF9daSwXZ0lR87ahgPRozqKHPJVyV/XbhJD0psYGx7bRcE7C7ebX
FRplyB5mCv0eUa+MrElrTgZIkG+Ag5yjuVTri8hZFYRGHxxgkgXHaoyXh6yw1miKx/ZE+NUOXbOs
uNwpkS5lUmx7G/EKjwuWlxjn/CbpZLXRhb9rtanaUney4sygxJiQRP7GjJptSI7LnR2rOvNg0nZt
ypp0TCjaBIET9pkuj1lmzRbG3ClKtCT4UkI22ZcZV7xrNenRB2K9pa7FvsLGRdAtpPZUDbN/Z7Tr
cmKTzLRoO0Fqb1u3q37aRPrSePUuwTyYLi3Csks2JXanqLLT4iqY6Y8irbw2zFK3O5drbL2PubfQ
/uxI1tqmLPtziu/Zp9o4138K0A5lZHu1O8N31afjSuchEQWtQ4gonXdZjlkGvjXLL6i1/SfYLRew
Q29PBJWM2kic9wBh+CDTos82gAx62tdnaEckJqfvTQ4+bSilOheI9hFxscSZOdXN1qfb76wBKYPi
BKnF4/Kr0mNnTd0FQn1jh9iD8YPKxskOc+3HfZhngMUWM84OzLXiuyl8jY5ksZDl1CYdMgJHpDy3
eA+Vxoo40NMoYsY0qqJqI3bGRFUxTANS1oueF47gKfyrLks/EoSfnkThqXug4Jjgxcq3ljhkw700
o68vFc79mmXak9YIjGpTZqU73CrwfBLgbmHFIQ8WmjuL77MYV4Flh1+SQbHmZhk5Ff4+fLUZkIvc
WPofbN5ySreclJ/PqGKYo/OyQDDKhPs8Fy3HMnVgrLfmZOMexTJ2RJ2rL2W3rgeb5VVUNbidML+g
YVXCbOModXpe7kHVaE91EoxfMtNK7rG+F1GN8+iOjk71KYL2zdJcjqWYmdRDGbfXL+waPuqrx/Ek
aFvjgcdg/cMSbjNFWuJig+OYeHITHkQM4XycRfENUkMbv6SYrlCWWs2vQ73qln1C0+xZn3J+/nGS
rB94lzcctt5Fn1Rhv6jjb+A2794wl0cTCABeVtt48at5+eUzU8MNjEnv57S4GJlkRbqoZnRcyFZ5
LMyg/T1zf87/N/nZ/C+TkvG/zRBqeaIW3b6yKjJj/IXc0plB0STk8A+JZranOOBhyHFY6Rp52z2W
6kSzWgAtJn4xH/1CGUoN3TYGJ+v8q4HG+HtXYqD//iRsqGgPoaLvbz/L2IAvE3k7HOyMkz+QrdG5
99zBBNYlMfbYHAjTgG8WAvUMM6KB59E71oGM0UcS11yYhLBPgDeWcy1F+zaOtn0/Zeb8Kjlx7/75
9GX8/dJKfVi6i7FPgtFhF/Z3H5Y0ZUH+2OoPWmbpbHFq93kR3Gi6AXVPG7nqeBVxgRkTV3wxUDeh
8546FfXcfMsF52bP5hD0zz/UbeT828HXcjzcpupDefY/DL7J2HKNUFdMYsxqiU0FVhz1cAYvq9Sm
fYcRi765ct0u6G3sT0ZOULlgePVSdZvaU/GUS7s9WaULSRNf1A+RsVny3QSNj6I1Vjtd027awdGi
f/7JMVT8wzDrkYlFvGCotlzv7wtAnBFhC2xAd5hb3mngVRBn2ypYMFfOPJ2yWkZBanm/Jtx7h8y3
kp1mmN/8XHyVdYJ25nBc0hyZRKOomuvUmfY7rvj6mq1E2nW9sj5MdlLzVSQC5F2Xpv4xhtsd6RR2
7XDZLfuKR8khCTLnHg8lqiIVYU9zWQUXDpArXELoxXbKab5rRxjY6gnDckR7mpDVnzXHW35hItAR
PmvU3Q0WCkYa2+XcK5vyOI48wFIi+QzSEI9DHOf8n1aYTvWmU3m632f1uV7bx7ps1TMlUMf2ggN9
UAE7tFklPttWgfg5x+KusAwfSE3LGdRAcsBrPH1JVo0FDqbf8qOzRkpOhnL1pksb0yL2VVLbxSsJ
nMnWAbeth6Ogo0w7qOSG1SGIDjRIQB4bwbo0sW1sEFsBJHguawMU+imL4lX9FzEH+jjSCQC5If3E
WMJgTKDv0xfR//BKayYQIDnTd3qa1xGsRH7ipA6a7cxDGKF+5ijvQVGmDpZDPuO0fmD65hHr49Kj
wsANzdpwQrIqUKyrQKzXW92Hz4rq+wLRcNdlQ6YCD9xPNNAd4nVgoGADMX4ZshKQH/PjOhvinfZg
K4u6JUP/Vt9dUEg/O60rXz4vHe2pA0B+NHhxPBasYfcseHnoYQUtj4PjN9/mRWu+2dREcN6nJIuu
HX6f1uB3qtnQv9ALjjosGfrdEot2XTHLzLNhHfWZp9GgZrs6pYkI0XiSmH5LPLlLKUda/hI4ET1t
m3nNyoKzk/dYWd34RTfwDdK3hx27pzVGt5mwhHHzX9Yrb4ABP8dXM0dQagmi3A1e5nEH2zxNhrj2
I8sfmIxi2x68EIWbe0QhASi2Nfgfkf3bz1vhE8W4gPCYDjdOZpMmSXkntoIMF0ciXjlgWHmFphWP
S2fBUlxWZvsmF8+/GBKZpRdpcEkM0Z0gndYXlxzmvuMFugfR4YQNm6wvPlndzSBJu/pKAQrYXt9V
BfoQCBEUAlmvv+DX0pmW+cDsCxfgxuyJ78M4MG7rDvvxmhJFqgtQx23+0lpTB2f1qWc7QMRiccuF
0ZTqd0D0+2ioWxUgL7v2opD4wnlNsREZd3MHJHUD5cXcwglDGVHDawalvY7S2W4f9brjNwOUjMtW
vYtFnUBxR+tZzgUhQnYXnUTXsVy+KiVKNKW3nOGZL9d5Ql27XYYm0aSMy7vVD/NIEaidoHhY/dI+
3hSf2uLyqSiDYw+GctJWTMFlbWSH0uZAVfqufxlj1wE4jjygJRpfg90y2SI48tUrIW/N/GVXCAQh
maa/On9driu3G9gNuB3xRsJqp0kQ9Uqnu/upFbZaQLDKYU7hSDY23vzQqgBxWg/8ihOpY3Rc+Yl0
sHGIOCu3YEMF54uJyRz5r9CdUIxasw2w2+9rhDu5rSHrhMlcOfdm4TrPHHh0YGruhKc2JyjIM6xo
31bLRihzcP984twwMc8OyyvRN3QbsyvxdXBRAB3gscZEH59uSo1GKdHG56jRsWrO+JsqE7GnXXnE
WQb//E2/ub0k54LKlloViVF+9VMHcsRx2dP49ZUVh6W214vd70szQ7oU9BEcocbGKpZYX0QD7qaF
qHzxh759aww0NDZHaGqjOivLykrvMUbz3Er0gYe7Rn1OUwbNx5xw2On0NrhIj+dsI4H1bHCZdZ86
C/dQFgWr5xs7CCAIUkXOPa2u55awmNJkmv5c9iWKZJB5nHlhv660jrcLKzMOfKlSvTmXqLcAA9qH
srfynBj7H2MbN99SI07uPeAtO6NT109BbSijDmKky48TK/Xrdrz1AxTSBKPYUwWcdLfavCZd9sQv
t3eDMSABY49jY8cjH90JEXXSHPveSzSHV4UM/EsbcAxp6T5/kd0yhSo9TsMsJ2GbcThM3dx4Ea5F
umDkF4mbsjwupV5fVppkL47JjUPXRAN4NMNJ3ctO7Lq14XAu8UmYdjLhZuSYLIhNXvSmpGW2oqMp
5jn21vSkXCiGi0/oF254kwQnQDA0ihCTSepURvnM8bPnaSLwIPZkK/yZK0Q5t2kz0DcVN/Z+gAaG
m7vkplio6fvA/o9AjW/ti5XFjAoDB2fLpQLARFze8rLn4rk9Zmdl2UU5Ws5dYydfmeoX0ElmpeaJ
njwOxgiMf4g2r0IZ46D8IFlMUDrvPZ3HWzpxHxUBtl7dnQQznsW1punxE07m5oPIZpUda9BNJylK
RET1qKSHxtx2hVXcrz5+mhKEBqqX1m+tNuD9kCKZcE92qNMs9ZerFxis6ltv/OnV8bwf+Ois/Atu
3IzoYSToDPzeVx1HjrZfy2Nec5NlVJ7fm179MU0O39qtXsT0U26VqeA7GEqdaQi+xhunEgzx40xu
eUMda8C5ZXQy2p91HrKy5TjRNARz8LTDv8ECclnI/V4LE0n99h9vNyaOQF4xmjF2n47knUosEp/4
imFyNjVwCGme7RvZcENnnCoTwhFiMzlc2bbwVooEMExchbsykUlv2c198Wu018bdpj0D7E0o9nqC
AyaTqeyQb5eZdXYkSIbuERL4ieXRK3N5GH37fe2SNFrVJmZAUNmOjsc/BmjXPw3x0PwH5/H/taq0
XIJXfznZ/4P3+uvPfvg/XzLabers21/3lX/8yT/3lR6rR5cqKYuYHhs0FQH7w5LoUz7gsNSycQT+
Cbz505FNyQH3CGtMZkMV5GdY/Z+Fpeok0nXP5aSp2t//rYWlz1ZU/HWQYoIiAgi2hhwhKtatqu0v
Y3Gy2JS65HTX9pSZnjnZENUhfd2frQUkOC6Vhpt/tIyn3tA2S5UwNUNkisitykORdlq+RYX3dh3V
jc+EhBDDrTL4kuEZ26f0+kCXHgPFBIb+TlR2wBZUpM6xR9LqdmM+xlgUNFu6vMcdMjAEjd1oChYs
eaKaD0AYTzgOR3JjS9KB4/CTV6Pug5ibq4vDwM3fAim/GH0Zu9Cx++V1HaaVc3m57LJJ0yPk6vEx
kY1xgpaITQPUu9wOsVZOISzn9snBjnXhjxiCF6A37UWjPWaxyHuOTtxundU211UugB17S/+6dt3E
MkBfXoBNW7ul61OVjoc3GqzqJy8hDiMRQ5Qj7YtNzyOasUnlUj0nqePsTDUzYLnIIggFxjkwstcG
k4Yy7UxX3152/lQOodbqTZQQdCFLkdnDc4F+9IDH2XqM6Ywjpu3irmJWHPmJS19bI1xZFOEivm5N
6CYbd2nLiM+MV6Mf7NBuAtDxGs6LeLa+jkUhDvhVLp69mHtjTNmwrNgiCAjaZeSR5yZzAi+zJghi
Xwatm+INA/+w8d112MTVcMDGNrza/ZLnG5GtxlabzI4o0GJV+KVrh9+HM1546nNM0N8zym2ikZ9l
W8TDl7jG90M26nUpFpsHrl5/AHxfThxsPaibfootCl65MThRmSfJU2+DLIomrymvJJnbu7ImH8C3
XKXehtHXpZ2ndx8KCyi3lnrTOwA/83Fpm5zBz50vyyp+DihjEM+W1d3GbZY8rDLvT3OA4yN3rRCV
aL6UbsFpGBItfiotfmR5+YbzE0oj0fUjmmqcnOWA0+txppmn/YYxtf/AgTP+yvLJeHQr4QDrbK3n
guVbRHJpvBCXaXnNTxVfmRRVdx1N/UPO9ninCVPbmlL/adfVhydl04eVU7dQqe2RnhpLvwf+YvQR
+pr/zmlmfFm1sQlpZiu3LgD2EUfZOFYHHW09x7lHRyuuGik/UnxuOhuQMWPfprX9vCnyzuDIitAI
saraZgpO8Dg1axkWeqpfREtbSjgbS/w4CfNBOsb72gfvejdusLsG287TQe4EUOqC0PbStttPJBH2
Ok7dr07svySx+KmbCOwbcgVICHSiHJxymvz7tLTFhjc0XTuQ6pAZeHbwNxAFtfoU03J2JqsiaVat
Kzjmrp3O4Zj00rz2Qb8mez+eO8AInXivyP2PTx1gbz5Sv8u1MX5gD9Vs2DuKK8nGKeqVF2/Ugz22
wPRY4P1sH00ikRWajkFenvh/zpBD+9CWBR9kdCJ2zhUpLd56SoxPq9jYtgJaHptBLTKE63+lwGJx
2Nuea93TDgkF30C8yoSKBFPbOUr4D9QKoLZzBqK5LN5mtSCo8laeaXjY2TVVDeK2TPDVXqHocucx
bapiK9TWwSWBEfpTAYadrP4pV9sJsKRYwelICCejSq4UXUm+gXxdX1q12nCYxa+zPmhf0HzSsTyT
B0uiigVKucmSxt/ilKp2uTi7y8xOdCbf2vUm4w/LFUetWUoHN7JRWkQxAVdCiG5vOxnntp8p3Mnn
SdW1j1bQWS/Y4NEjXUSH1DFSGS7kj/Gzqp1PoNY/a06E1Z49ai9sA+m/mz4A3edkD9XmyPGCbmeq
ddK8Tnflmiy/YChy4Js8b4dMjuaK3DWSC+zZsbOdoqkA82bqqjCd2l7FFSXcnMfoHSnHD14sGAyH
cjqgFrH4KmOibZvhthDDOzF8mrc1Gcae/kLtQ7CbWKIlnusfLLVXy9SGrav9fF96LP/TtTv0wteh
VAT+ltKKBVsaGzqT2MqR4zFWiYAeCVfa89bFcwOxGNGaN7bPzKWbZOiM4DyrLeBslk+xu4K/7xNv
L0VAPC7uMsWnHJsNIoKNUM+zV8JJjQLLbI9tYAAEyVlsRfqMuZc1idbM5hI6akuZqn1lRl1YWJQC
cqjaZsLlNk74bWLSju15rqqWJNTcwxTv5jCphNzm+BguDAXgodS+tFsxaAcDEGOn+9EGlDKMhfwO
o2vc6sbCvnXkdWN0bKC6PjkAsrIiDAV3E+PjAFX/zqrMeuOPk/MoGdp3ndbfJUv+NKo9r0zzh5nv
9QTw0uRuLO8Sr1p3s1uwICZXy6qOOdndOWvfIeURONg40ziEBL+XV6Q9Eucj3+tTSzDTJYs8LKyj
ez1pMDiuRkfZ2kxqGqjLwkBpM37o9Br4K3iSGGHsGZtMoL3J3pyXKEPdX6PM6cHekBsiqAXGuSxJ
NAyGsRzoN3kuisbLo/WWOu4x2t5NhUEgvUGLh9Gbk8vUyRv/XG7BZX1c23uzMbU0EkSzv1pinL9W
jT6fPBV+HlUMul00jDBT5c1oNUsxnSh8kTz6y5rvYEoJUas4NQ154uAXmvttUWFrznP5adKD0drg
3qqe/HXMTpVesee0nC1LAYn3SIW3zVHbM/o5D/3itzsJEmVn3fLeVc3jtWjRCDbFQpUebsrki73E
IvLyasDfVPQcOjAyHLJOZcr11RnZoI2G3PB2W+WmsYV17sRYpdvB7LCRbsyFHTWc+EnfOXj9442P
uQCUjzdmQMbAjy69QRRk9ftpPOrpMp6h22hH7RaHB8tJkIvAYXBvOJqLbWBY22xXsJveNvTVd1Fq
jS7tfK3+3jt5apAJ03OIhF37lAe5JHbsLlmIMOHs+yyed5QAu4f1FuOHRcacq7PCZ1+gkv4lAMco
Vun/6gYCKPnlo75k9o6Yy94a2Ohushs9ADcGefMii7FSARdIMg3OgJb1ydbCGH9nLy7N75yA2jKs
iAcdbQUrQK/NQa7ocRomowXNQNzIBn0x6GHWDcMbD+91S/mOe24C4zuu+oIb29HZDnPeamFH05CE
8aNIt3IY82XTjY4ZDoO7Igu7aXVfAxsykDPScTs46VU4UuwChWmQCtjg3tgNteU7j/2N6NA7dbm3
lRE/4Jd28m/sh7K2lx8ACdKPgDP3K+F87xzbSMDK6++RcuNoFsWJkQTXCmNkaC7e26Dyt1ThUSeQ
kMnF0ZaE5uzox85c1i6kLMB9t1COJEK06A6Z5fEcKM3gWtJA8pMBNAkZLY1vPE+zUyY1Y7uQM3qb
CCwtBGkqL95pLVkRJbWSDRmqbrfUg/U0Go21dVygww0C5BYZJ9gHM6sKZ56mM/K8vKMzQD7R0Nht
mGfnMHcK1n2FSL/hTIF4bDaNvTOyZnA3AuV12wJDDqsG/KsVD+1Wc1N3Z0669wNRY76IPlvv/HYV
zwKaBfKp1+S/sNf0L0Gtl29430A1ABkKTpCp4xMF6PqJPW+787hez3qbuJSqDDKUumiO5qrzD6xY
4w1lacTqYXD2192tQ/o7JCueFjyaq3onYXbs81Krj7POWVwEpXyhO9LaabCZB9HmxDu7dJNjVLjL
Pc8885CYIm5AbhaPTElPOROxSmh/UDdIDKl6q8U2oKkX09KSjlHRgc7OzyLjjFJWessBaig/UxRJ
lOUyldusHd1f0wAGAfJQ6oeiDOYrIInZ2snObn5v//4D7flX2WuDVsB/Nv9fm3r4Vv/N5G/+/jN/
hq91wtdqaUovia4rcM//m/wNw8XFjKuWFCBDvm0y3v85+YMB1bEP6yaLTYe9JnrBH5O/bf+X5WL9
YHuoO3S028a/M/nbqvbwr5M/sW7i2IRqFaOGRvYb+fMvk79YmwIH3YLKJwSkmFKrVFAtZRXhtETF
Dl5TWDXGhwRxa5NZ4oo7VAtLTPE/+thfm43HOg+9Uk/bGbdWS/UAfSfu58qqfYv4ySkIX9hyaVoI
ZF+z1W4vTb/qP3Irmdn5jwXML90xPGVEnCZrn2lu8+oNg2ce+zaYptNsZZ28drSibFOqZGs0y5IX
4uLieyFkGRpjDIt30S76iJ+A9yHRZiOvV/oIlu6DTEW3Nc0UfRcy0QIp3zd+wgUdnQ2UO3sX+OR5
t7FUXY08sbNrOdEPNJajd9C6sTtOTQXMt8vq+XFqtb2ZjyZn1IAlLIHMFHICFSlJoz7VsuZfZ6cX
oTUSWRiX+ZIy23eHnKONYUQ4f+MhGpuS3CBDUOcMGGnUHrShhlTJEMVqbPjN8y0DiDceMjNzTqzM
SYcJmbtn9Xj75BthXUO7X9y9rK5Yj0Nn95p99rpkhvnArCdQUciLg2iDEQ5yQl7RPfEdlTw2FsPQ
yT2ufgUCiChKOliHHCootd5hX4hp9M6k5eoOhqHRAxaciWQUY54y6ySEX6ajURVGQCWdDCgWGdi1
0Z1+axz2PIFM6bCCtkw0on6ZH0qsavOPoPaEqrEy+l8Lvg5p3Zkk0CrYhsxcO3fIPIQlSom9N4Hn
yGZnFEwXLFnFya1Hup69DlJZuJRjfsxsAnLbriweYbzSj5FV3SZOC3nfL+WEHJXlXJYzPSyLKCjo
MA3j5BNGwUemk6LPsmJf4HMmfjk/De5os+DVSjPKgg4SWtkOycn3Bw+lxOLbDs3cjw86RRTDtgRe
dSRG1u3WYO2/NaYoP82hNaxdULAJYQ5d083gAxjhPZh36GYcV7BlME7aVlKe8irLjQOxvo80t3mX
rY3tPAD3QwznZJZ8JJ2tn5PcrnbV7Gh7Yko1lmy9u5auJfbGasyPNW+0fSqZsO5tI0YlaX0FKDB1
qjhh68iNNPsp8gu3Pk4sFe+yIc7NDbYr+0L79Xqq41XfrNhGo2JMv/EZ852P7r0by+TOTXsieKPt
XnTP69/SuYg/UuoUdw2LsL3ISU0VbQEg3/DEK63cd9ghnUd1ZRO873VELGKxuL6vK34zeszEEPqW
cHZ+JuAW2ZbQfzUGTL3GKZK3BLHo3LW2vDRTUR760mUFQbfkPs+nYh9nYJRimJg/TAk2Bsdf8JzY
mrNBHIV5WXhfVkKLtZW3IVFC98Kg71xE1mo0vvTyK9kvyUu3mOVlzizzHc8uhTzjsjbJRkL/eQJ8
MW4RDq1fmuczgA98G7uCOeQ48nIlGR6EXRbjXNHGpQ02xeTaz8KS5GNNb2o+bX9JXpzcTnTOK53z
faga1nRB3/N3CNp7/NIMLUtoG1aQ5VHqbnMqZtLSPsMGfmv6u6068Q8z5EEEoXpS1ED6kwcn4Uju
AbM5GwFaDzusIiz5fl56EhZc1uTzzAW3d6qFThEHBw2l39/4bEpOfkfscYOJyf8xw558CEo/O4BC
qH8Q+AuQZ8k1IJKRV9kujY2TUjdwgeRPnNd8kBvTHBVc3c/wauhyNeRiHhhU4lAO66uv50a0zE7i
bTxQi3d5iYpJZsz6aEq6DKp01KJZGqhds+46744vKQ01xPrUzEGGWNTJr0XaMwFaeXMFgFbQtujN
n7gEp+1kWsOvBM8j/Fa6Jxuy27Szm9abWa/V/Wpkwf2EbQQCpNPsjDIZHsyuEyCoJClGo4M/3dPn
1u4awBnbvmn1b3R2M3LOZBnZMDZDuMjUClOqxDe2MSS/5hXfRT3V3rtlDisVflxa25VHTphCp3A3
iGwyqhue/L6kDNDzJ/dKjDsJuSOtnZ0Y5mvS0uDkSyc9NVRpPLQUPkRDq098s0G6/MyWbnh2qDrJ
w5YQIOWCCwH21OgrmrdaF7VhMo9rtyxjaJvtT3QLa2vMDR2OoKiucy7ykM1/d1nrRj4iVGzHpQiu
7WQ6dL0uWQo0k8D6NdWNNjLMNv8o+4mtZ1+Kqyf85VmXIAI2nI6DJxuT6GHyh/nYzHFm42m1WYex
yL6HH1l8rYKm/cpOvXuoMV+zqoyz8wh6E4naX18N2CnbFBDtfummZRujPbA9r3usjvy0TchSVh+O
kDkn9ufe+GqTz4KZBsg10jKnhhJks6FGW3ygXRWfkkfd4qmWGjnXqpDL2cmXqmC2UrHyxrb4Hgf5
hpLkIBWk7n6ZgXkhisXrycgM99Pk79fCJq6zh2RAiHJzPfi6rA5QW3vlRe8TtlIGjz7b0UTjXtCV
BF2JE/ZY+mJxPyexn9mRL+fL2DYdEg6On9/pq/8cjv/F4dhwkXP/2eH4zI5t/CyWv+7F/vhD/4Pp
AKpBSC8geXfrevhzKxb8l+PBvObUHHjEshQi6I+zMTE+nDBg0dXB2TVVDcSfZ2MYHthtArJ/hk1U
TP2pf4dT9PexOprADaQAuNpgiv4x8Ga5VooFJU5OqGOEuy3yg4/SAHNhsf3YZy3YiAmyjybno2ht
G70F/eOJPcdw6Lxq2lut0e71AQfJv8j7sR/821M7ATh+OEf3GRBMm6YNZS39y6l9JorP3Ezy1psc
0dwHQHzv/dUd+Qy3BD64wufMUKn8DHlnSKyAyraJPcMtvQ98x3jsgcsS6he3hD8vsORuueX+7bQ3
3isOh6gQ5YQjY51czY/KGzEAqLLCB9juoPkHWcRrZP+mCxi/WQMNEkn3mioGQfObRxAAXXvCyQ2m
AIGW/RBZoYAXF2aSxlzy7dwFL+1vykEgfethNdzxNWhQtWXXQkALShPZfaQS+DuVbPqTTenvrWCa
JyadBDx8/MKBiDjFHPJPg9WUBUu/hY46jH72IwJMVMgEpb6Lv8xxou0BkHanNsmN/Tha/Wempx0d
As4cASClC6g5icbtXzx6px6MYF72Xj8OZ4QiJhFtolvaW1vaReF+37W2tVzqBHZ2lhcCIoTRPGk2
6xMrB18H57vBQl+mKqHEaouRQ161hNUi/R/BHHrU9m1lNs0X+HzP+pgAqGNzg2bOoXnTS2LLO3RE
+zt0FYIYIu03M7PiGo4W/r4n3S/E05TVVoh+Wz040+qlgFbJVl3hUffWa64kCGXYul/XdotgaO5a
JVQsSrKoUwvxQskYpRI0xE3bIEcxhmw43e2qpI+ZMl1igtQEWUoYgevaHG0llgDOcB/51lt2OEVH
tzOiSmJYAX1biMPpTXOJlfwilBDTKEmmvakzBUW+z62SbCwl3lhKxkk8BB1bSTsUTDK+KbmnXCaG
tpsGxPdu75D9UYZoAUq/FUouskzU70FJSKsSk1jZyjvg8dPZkT2wDCU62fh+t4RiqUGXvGpXJU6l
SqYiX4hg1SntqrzpWPiI0LRWJW/REW+HxBM0kH0BmlUgjW9mQvtddVPFQHRd2yrldTLP3cG+yWfY
oNz3/iaqxcCpj+aNhtdIRcZbb5S86UbMg+XIesC8kfScG1WP/doSlTfWnquwe84MWxKcoYLxzWD5
AuE0DjZSPGyTp7h92OnSS8Ih/zynvM8supFYck85rnD47eViOjnkkNj+rCi6dCkAlAyJHDQvASoq
Xx8k1qujUILUycUhReTq7rqxBpNScQchjMMgNBWO0Kv1zNl7ReMei6F7DVK5fvemdWZQ7u0jC/cG
3KniGwqFOuRJKN+nG/9Q+C4ut+rGRSxujMREKl5i04NOrGMvGCMcZRAVmxtd0VKgxfnGXISSQFDF
uLEYlxuXES/OdGxutEbqTzlI58xY986N5zgptGNf2ujv3cTxeb2xH5e6L+9tbgzSydT2oIIrTmTX
GzAjhcJHujwOzhVG1WxDcXT1JR7q9ikbrQG/bmla17iV7UVrcTtEntXq95mfNy8ea4EyMkbOEWBH
24vLNcpq1FjSE8uF7vrf7J3JctxItm1/pezNUeYAHI0P3gSIYHQMNkGJEjmBkZSEvu/x9XeBmVkv
xbpPWTmviUxmmQpEA7j7OWfvtUcjiijXx/RzRXI0s7OOJK4ZgAzjmXTL8szia7Vp+paEUCk4K8Vw
zjSzse/aeM60rxV4ktGH06Quholod8vQNZREjzR2cyVFrr43WBKOc66PcHmJvoZEOlz0bqj3ZKZv
FtwdiCLg0+6FQUsfc1ckT5EaoPSPQ/NABvKSeIFuR/doU4wv5ZDHF5JVcn3fMgO6k1JCkR/mLs2o
c6L2mbkL0FapkxWwa+Yk2wZ2n75EtYLFZ+FgP3c0EEhU1DkM00RZUVDp3GECmNZoQ2touRxn9uEH
67u6EGA+XtWO3T7bmuISIR7Sa/QY5hVqgeTQpLQZ6tGqt6wN0yFx0uDrkA46f3DTeZhhaIWaZLvO
uIyQIC9UQUowpKJxXDvXOJEUM+XZiBhJtHp9VNNI1stA6sCpc237/Wfba250ykWjRV5v8iEH3dm2
kf2GhmPcjK6syDmbzMcY4P8hQfx2p8wI5qqZvxl1i9tRWal5C4noGtoGS45FuPjsBniAy4NyevzE
lsYwTs+1jSugdVSVTG5mq3R2stQq/sEyGbcFD7r0xtgdbyyEAL5h0EjKo5lQ+YY/YldozzDo6vsG
fcgJHZ3EPAsG+YlW4PA2mPi3UrwQm4ZW+G49l7xmWlq+cZfS8ZfYB1g6EvAxW3iw0TVu8oH0RZdc
N9OtaThZRBCadHUWR1JZaLPcjHmjVvEKnNbNtPTi0U66rsBuVqeviKpxxc30WyZib4CabJJWA6LY
0e4iWSByxpeiJa91V6GU1/x+EM1T3EbpI0c4fq7oRZPJcKsJmV5mYT+kU0C7PAHTvzUlUEWfcsI8
t/FID0nn4HUbpIUkbzEqn2ei5666Xss3ZSf4vQIBZYyHJSmeTavOec14+GbosAOFjRicTbTJz6Rh
6NctyxlPUTsvaApJWfA4dxkQikn34gZxjPRFV85Tq+k28wAdVuSYqOpIm0dzPJ46TXrmPNFroiYa
i60GQfEyRqK7KZNkvke8FT9M2SDMjd0SiE76MDKAvm0voRrZrAmqPkdWGW0mkpQNwhVJd9qAS2tb
+mwgYzwrl+FWkWqyIc/OeRuTqWZMW1dImhZNHR0JkIADpkWzMk9KtZ31pYPfSyYRgeuAmzziP+1r
2HCLRHCT9XR3tMWpYTUnOB70xapoKZgh5sgC+AWO8qRBPE/A1z39pFzuejb9e55axoGCewDvIQyF
45DAu/RlHBf1HguanKjogyhga5Wcv8rMdB8Q+ctNCbISS0Yy2ycXjzaloqI15ZZ2lpxJYEgnn6U9
v1nDiB5p+9YXHYHjcx0wcy/tsOnW/BftjdYV8K7SqYtd3eI2IUQ3Bw0W6QtbRg2IaBeTnHRn0Fom
o7GiCRD2TvWDQY6M/UyE4lC5SSZ84NAEGTJjhDb5G6LJ/g3Y9F6r/Les+4uyjqih1an2/8cvPpR9
F/1j85KW3U+Dj9//4e+lnaIWk7hiLOqxP0YYvxd3ZGsRZYZri7VLoov8U3EnrX8qAglgfKyYRYxx
/6rtpPFP6VqGTcYgx8i/W9u9Zy/8NPdQvITBRIYFhmwABgw/V1CKqWkXBLV2gko93LuWzLeLbOj0
EvS5daq+ZZA+GBesYRCZS6bAAArUwdXRp4VpyTEa7fvJbI2c43Dn7gk1HSyAg0nB/aknPt7NaJt2
4SWszL1MuwGvyorDl8Xj2Kd3oyF5KsbQ9bXUiFgFkwkeq6SXl7PLoRgSwBFkZjxwQAFuXhmgjQgB
uZHj0H4i6xXBvdPJDTSj7JvQem92OfBzzjYr+jVO0N/Pau4uSWlbOzZXWXjYnvILGIL+SHp7fZop
FmjgEztEw3mJNwlkhut5tB0C5id8hhD5j7JBS9O1venTRl9s8IxC3DS2ZkzeSDmxGUj2zj0H/xrH
AEGQzyIasRWVDPzKqq1r0ZDSmhmXSoAxMzulk3Sun5B25wjd0Q8heISIHUFhrGuScztRkU+oaB+5
BVqHmv6gF4+1H6b4tfix8hNLIg5jSyOLnlM3ga9B7vXSqa4mI5wKDMMmTiqrJWWAqNYH3K71Zpyj
R5Ljjc9jbtmHSaIPLPSSiCMmKRsBwD24qdh/xRbMV9wov9YoX05DEZjLQ0GkfNpv47F0tbc0m2B0
sSb22oKEtU1g8hcMsnxhlRKhAd2xzuvobl1qs3BvFMccbYuKgx0Um0E97nKjbfawkMmRygtCZ6jO
ndspJ0RAczrR0QbXmA977oKhk4KdtEnqG4FdGxbwVksXDS/JoIg3TcAa3mgzozhto8H3DJddyeG2
aZj0ZLEWcRqDh0JDjRdqHVzdAy674ggFk4r+CTuKdWlofcapp9oyJj/eazrS88Z7QgvyXVGXrhNC
BlyGYbwi1gFlzE4uVdNd1G9JM0T0teJBG94zaJhj4Bj0jd/yaaCFvcfVpL+l14xxMZNlU78H25C9
rH8pXdJuqOXA6c7vITjImwjEIbNuQiy7xuRobKpqi7BBe4zeg3TAkpNP0THlPqf0hAhXUPU3awlr
FHN0Wi9FFpEYxkpCQA9VePQY/Bbbk8yG7jN4FCAWR3tAArGG/LBflHhUu6I4zmsKEGdKbRsvDtFA
IzJBQPoRgUHmmh2UvscIMQQ1nzlQG5RqpAxBn6lv7TV5qMNt6dvvcUS8AXFeRGvBXCWtaFpzi+I1
wchum+JR0VsFGV2vEUfyPe4IIXhzQIIUHKI1DcmtHIKRrJaClgkS/Gpd07sFdRJtAETJBCollkm4
ko4ul9Zs212gGxd39ZrC5ECKj/TBulXJEH4K3rOa3mObSOldnv67If4nPGKl/zq4ZxO3XRO/df8o
f/wDW1yfv/5sBfjt3//hBCDEFsM7m5sL8Qn/OTvc79ui4/xTX7UDTMyADf+U40NYDzkIoIKRybqu
dGzaob/rAfhPrlBsmdgB8ELjMvhbPc/V//5nIwCaA0ugErAMSWyvuX7yPzcWybhI9WiexD6dSibb
P7JQu8U0c4AYsDrh94jwji0Jzirov+qp5iVm+xfWaLX2Lj++BTq7KBL4zDR6P/Q2S0QPlYu1eA/5
F0Sh/Dqr6hpgN9Y8rF+c6QXV3UZVyAtlFpyrKiSg15DAeY0nUq4AIG4K2plnsWheXLpXHdrSClIy
5PHAk9bgkSG/0QY0hqJ6kzgI45LCsCDJLX1O8Bauf50lsgVclO1SciolT0Lbzpbay5LiGt+gfc3k
pwAfLLqyR/7amsBt0t6fzeIR45DXcE/sJzLwcmoFBlunsKdMYPu9l127ZgOjvnO1tRuDT7AzW3x1
11Lr7zMi9Fg/VqGa6u5t9aSb2hZ16cvS8g7yREc7R7lnO37OgFJE0RZBARtx7pMHdJm04BMC5Gab
Aoceuuq55+Szo1q4C1vnlOjF6xL2PmhQvwZ0vsPq7Hpj1xEvVhRv+STFLk0IwJnF+FZI+Dl2317j
lLAwTFV+ZbdcDEsptXCIdfy/Q5T/yGGkM0P55Wn7kGVxUcbtT0OU3/7RH0MUh6mHY2BTAJmHU2gV
C/2+pCj9n0R1kg3qsnQYaw7wv8YonKctbK8kOui2w+tJDsB/LCmsUaSGuijwGX8AVzT+zpJif0za
pgowHGYyCJrw95sMdH5eU2I7lkmmt9FxqnUnplDF7cJJyT5V73XlvJaYsk/UQ5Xi9QbzCv0fWa9L
Tz5su7LeNwBTAt9dS9blvXpFpEMl261FLU1+6lv9vdZN17K3fq+Ah/dqeA5WhcGAOuI6G3MXwWZA
98Xr3+toCKg2GO+1um7XQnt5r7mLtfxeMhQ624EQGaryscSy2QbU6tLV6le1FvDuWsp3rgq34YIA
gniJrGv9mQKG7TscpQGFBuZyq3L7PEr6uvnQX9q1aeC89w+QrNBLQCIfP1Rrg2FaWw1NaOSXPGFE
voXJpzEHdafQ8gpLhK5nJ9Uls6phx8vXW30p53042upokKh20iOXtGWD0XVUQvq2YA/4Bg0ZvszR
SFHgWkge6eoYCGrpn8dmkz2g77G3EIaeQ4ygtFVntSkW07zrMasie6JFFOnGXWQv7caCHb3lyGl7
E/E/d6ajZXTwx4slRijQWYYXupqc6M0G0LuTTmn6jVOkJ6TQ2QZCd30ZGtPha4/i8NyC0roZo8Lk
vfVLfy3ILULzeRNUTf4jGWzk+ykmqNaKXT9EB3wxbPVmkZGxgYkb+LYWQVVs+QN78hclNd1j1lag
f7SOwwjl2QHh/EAWtHkxJzWdzMoZ7+JW1PdVGr0mhhm9WKU9bpZwOmGrmDdW35AnbQR0W+yKdkk5
5Q9Zk5ITlGbtjWECwu/4RlZXwH2TJd2NNrHQxzyxn1PMFZ5Ej34zxy29cFTxW93inWoTHg0xBOGn
hRT3nCYU8m7CVDFh+QXJXRRJFbk7US2Os+i/Zfz/9Dpkdu8Af4xQXQTq4sRWde8y1PCWJkgCqJLL
ciOJrPKTatB2qZjKHbag4oL/xiBgre+ujVTKE3lgXtWYaGi57c/lZC5PA5CIeKt1XYSgDD12JVO0
CaY5yE0NRGAHRRi6CB1TSu/2KCL7PAxt7XiLTS1KPZAgYZlAZwCmJMaTexDJB9iEPtA6oDXdo6Zl
V1G7XNx4FleBc5KDmuBpFF/nsU/uIrO51brsETCb2qhMXghxzbZE/r219FoPtLseZxPuXGa0z7nT
ZFdpbHTEHsQG5hIUGsRBnbL5m4bXiKlBB9i7F19kzwSNgjzYV+OgwdZTahv0VbhJhHxiMWxvDZyD
VzC4Sz9LQ/Jl6lY+SlujRZg4WKuCBiSHafBYaZRGEaV7bDwRxEAf2skbrCK1ccAktnQYA/MOaBkn
8rmIb4oA4JW0Gac2UBPzKckJ5K6Qv9PS82WatMw6zey+cq0QPxdfMzYO8wBOh/bbRMe06FJjU1VV
s1vSyT7LZjjOjTkemlkG6QYRx4jxonvsyTTZa/Vs3YzAjwsesLKVqF8KAuMytan1xkhAZo9mfg0s
6wY5zysZ7dbWthf1KTFnIgANpgwRBKw7WvTxLdypl4KR1YEuau0tSLvtakCDGDWie24bPrLII+yP
VWac4MvnVxAuuKVFyLghl9k2m6PsbmbZ9aKJ9S4rm7L0cZQ/L70i1CFgfR6IDr2O52l+VjNuEI+j
Yv3AsOehEHgjUZzktyXTM+UNKuuru9AK9INZjWh/KoMqHp4ZwwuGB+WhStEwESYHN6ysCnXpEudH
VYrRDyFQXI2Rm/UeiYtk8uI/cD2koXm59jFzQij8sreSniaprQEfgRYAXju/YrQ98YgXSH4mKFYZ
BgdJclvRHfNCRD17i1a/AbwrkbAxnKCIi0bDvk0bl/NdUk40eMgIWMBFN/b9xIb9YDYBj0g6cusd
mm6wvrZI4o4RdBASthYTeRh3f4w6lZQBHxamQ/ffrpxLnWmusQl00RzxOrnHeg40jqhE++6DujtQ
14eY5/rswSUeD8/boDm7KEX65CtSm58quDHop2SOfzOMXlyX4sDL3SbBxzB38jpkAoxiCMO57S1j
zyik4qA5msNASOK0aPcVS/uPIpXEEZoSeWg3tO3dPBk1Uj6sY4wrGPyElJw9rQvJZOCLCMz6pW5E
/MSezKF7zPtzayLUCgZL/RATQPMNqTrmhTiT4YtG7+UmF87B0Ukshstkf7MKhYopjsy693pryLah
kjEJAMOBYQaQMM4P82bOGpiIKuBbRDgfuY/9MFvYMtvsm4Z/JDjmvQHGxa5iOhUMax/ZR9S2Qtl1
1QNSQySECDXwdcqX8NDE0/SWxnADWIzC4FGlxYB1Cb4jDtNIu4sTm2O4YebNE0j49MbMKqKdhwBa
qG+ofDkoyFLf6Omkl2osHuBajIYfL0VwSPU03+hpxMNaUQzcLrVZYzkZWw7OBnaWfDsbSpwrNPpP
1jiP3/Ft1M/Ad4kW1hLVeMAAQ8AzmImOZJ8Pd4XFegM+qaFBLub2dm6KMKAD4bb73pnxZtAcqJ4V
DS7g5UvQHyq9M0FFxAkJnsrJky81CifpkQBNw08GyKG0yaxv7K7KDjxzcbJj3kRE6Cyn2uOdq63p
NOIpUF0gt0UsSIjQgWTseubmF4xWYlebs+MXfU+SALx4lGBmRJ1i6QNs5NRw6BN2NXbdbs0ulVAd
B5ql2cpaxwNK/LnbQC0UVo1Yy+i2VkTogae31b3et92mtSx1nWkkOtOmLEGjOkl1aB3ZwEPJiuYJ
o2RHpYSnV/d7Jmxf4cRWxbaTCmMEsLTl+zqAOQfEOGxMw36VYaQ+O1GRv5T4da/MKMNsxxJPa3Ae
0lLzR5WyIlrTLA4x5O+zAkL1jG8821cRpH5aVxYigdmczVdQw9GpC3TzUXUAPjw3Nyckyc0A9Lc0
yj04Dv6aIt9w9wks3oubQibxAU/rLwPgXb8qrOo5RMxwb6lOMaKcDPHUA9IItiHsVe4l0faei7ji
m6oR8W1JvQzXmUgSfI1VV3yel85ukYlG06lve+AliYYjjeF/7eeOmR6wDt6hDo+/1oWDL2+AzQsL
c3DXVmMf+cXcKSpMJW56Zy3gVO7EG0tVxq2dcTZ0dXyKNRQOokmbQb4qh+QFT5ZV+IjFCPVugnIA
84tm6pgi21jsVBaGN21nLNTWC5HdiEB3i7S6zQKfDymF6K91LdraPUa6KDHIRI972/luE48YeTDi
ok1qox8ILSd4tWUZXA2lYJbLr7m0ftUQ6Q5/FAU5x6zWCwJLVB6sBUAd4MKSb5VQaE6b9Y+KviZL
i4mcHYTolyyYsk+xJaIdOgWN+iDor5tqUggIUts9YVAiJVtwRsxHdN1LrrXof2pSS2NF/Y7sPv3a
uihJvSgYGZRGsdUFzG0Ne4vycDmlml4dR6wX13zC7NpgQvYWLHF3hdu028O0HK4wNBeHOgvNjZEu
X6p5GntfN/TmJTRr5w6So/ZdF3Fz+G8L7j9pwTGicc1fzaSuyz5u4w9OnN//1R9lMo0y5Hz0lEDk
v8sN/1+ZzDxK4uWlQKbttHbl/lUmmyb2HYSAlNWw2pWxFq+/l8kGL6ionKm9WdKR6/wtJ475QW2o
6wydDVOS/GTR+qf/9qFKnpuxL2M6wxbDVHeTJJp+wVSznIlKra7KOnGxuVSOeG01J/iEY7o5zHhD
jxqa9WOLJsV3oAZcl6h1d6mEZYTOIcs9Fw3ZJ7fCcIpsnDKgFJ3y9SiZII9p/fekMXTiZcLsEVly
t61yHPvMX4NzKfDkk3LsDJumZgIDbb4Zd12uLXtm4/YDsTPTzZ9+srvfWnz/KPr8ruTo1v7f/7Mi
JP/U+OMbAOFI35GvYe1nrGPBP/ceyT1uEE9W1QH503RnY/vcoaNhutB16+fiff/6eh+gJ+/XU6Yg
0IC8Bkf/iGA04HVNWE2qw6hh25jC7BUhDix6JMN/caW1w/Hhk+HXormroyYlD/PDJ1t6W19QnOAK
IDeJcHScokQCazsXhP7DYGRyN5NkePnbH8+hMYSGlZvJpa/74esURjvmKKIOvc2M3tPWQhf+vgOL
Y7Ka2fv7V8Psj0tCh2VD8+jnq4XKZdyTJxDqxGilZ4KQV2d4o4+3faY+/fpa+tqF/vB9kmvPRRyT
phI9tJ8vNhFRG+WpiA91NGUQPCL0pXAC83LjNjolyhxNtz0S0+uR3J093ZyuAv0AwOrX7+PfbyCa
Wq7j0MBR/Ol8+FnpaTlz3qNiqvsUGDDik3Zjh0HwSdmUK39xsX+/hyym1chHgC9wXnxnof5J8tsg
3jQ7wrM5AC7LfYl/f9NpPMEcY+AVzG1MRJFTqNT9i+v+bx/SsXWGUraNTFt8WJfSMBmx61fJoRhr
RP8Dv+Zo9uPoFXGf/L1rEaPE6yvFHI+fF5nAh2tJTNtMuVR8iNGYbuoJD7FXiWY+hfNofv71j7e+
1p/uofdrWRDIUSk40CU/Io/wzqObQ08Eqn0ZAU+gYDkCXxn0za+v81GqvX4mRimusllkuF2Nn+9V
kp3bxsa/fAgEIHUUNmjcGAQWBhkPhJJEcYyLf2IGi/e+qZJgi/ov+gtQ7od7Z/2s0CxY6Oj1Grb4
eO8gGCQP0ep4D0O7JkkNNRpY8KnnAL7TsQxda9Pa5vwX6/n7V/jhKzZYgmz8WTi0aDX//NEHWNLl
Ejgxc87A/AJsJz/appzJYyiiXWNWBaWytponx5mQcj8Y+3k4jHYxfaN2BDxYMfA+pkER7EOh5ceA
8uoYLIl2/+tf6H97nxY/jMKLwJRN2B+GXikkmBF0nLYXpmO/4tGRjT/UmeInyuzR3lO5IeCeE/hJ
KMPG9Cyg8q5jkyA49GkpT5z2g8MEpfdGaXYLkX+IyoTDuQIm9ev3+u93rUvEjylo9nMiIf/o569U
qAJxajbGRG6JGTv6ighET9d2219f58NTzx3DSICfzHGAFPOAfFhhY83gSyGG6wDPbrlX8QL4swBT
BeNRWg+/vtbH5fz9YswbDHZHi0HF6ir588Y/u63VyilhOS+bdBO6ARQLAkn8jEflip5y6FcT3iGS
kJ0ngIrhDpld9xdfrC6s9Un8+XZFdiQcgUmbHxo39M9vI2sqzeDJCPZOPzYzqD2DxbRTQEkOIWjK
ew0j96sVBbEfxz1F+0z4c8jf6RJ5NuiF0zs3XfX9fIdUw+jpgSZV49dZRyPISPPljNEtINKkNi5L
ZgY/hqnPHt05I1QnayYSE+vGfnBItDsauWudhkaw4Lb5aFws+MYPMEvFnugQ/TqiXus3gmijT8ga
lnvYBiboKETQtwASu5csmMXronGMa7UK4aYiYO1H7mpWdSzyGgZNMVTBfqEJBlEJ5V3k0RNYzwgl
jSGgi4Z8iWjFvHGYMz+PmBprb1rDjXxAkfJHNnQS5GU3mdG2dZPoHJo82dJiadGbIX7tIxZvrHnW
D9wOruEXOcdGJIICwxbU3bC/oscsd8xFOAwVDjgb1wEGXCS18+Qyv3QvKKi433j6w/QKOD+Xp2Oq
0Q6HG+FRQztPiwwskrVVeHbWf9sivjyHs4VbtY7HdgQwlGmfVGnOZ/aZ7LGu5/H2/esN7LGDOxyJ
+womeHosF3gKh4DQH/No0AM9p5TN/RZTL+R15321ohl7arqFFQpSmEbURsodCRtGJ8xuTR0At8V3
N1tuTDSBENEnOcXySw8gR6O9IIq7tWtSbBLJ64xRHJ3pzYQbOuzxayMgqUENAmy3U8saNMFY3npI
QtP8DF64MTzN4LvNTSN+RYBigEct5QvSZw2VmAU0hL51vtxbI+Jr/KzNdCeGerqNZ0nytSP1+Dmz
O5amRV8b8NDdtuZ6H+brTMvtEwhTc+R2RD1MOgcYCBSAv4eMe4kUqeUcjjM5BQGlFwqcdljuc0vD
zLT2ODd9RCiAn/ABcCYkZHj4LTfYVrRR9RKN6/R+crl7rVRCFQ2iqdz3ERWDbZXaJxvRF79jCPQo
1LLkCFlrq1A4baZGTrelltVXtHx1BlzLiruFMg+durnHARgfBPGzJww90o/JBd/YRkswhVksx74G
I4MOKPgUds62lGjWa7tIzzNX8+ktOLf54uzSGDRLvfJFBYGfT+iVCEWX+U6UM0GzIA43QpsWhPCG
4et20VypiaES7akM1+IsjUcVD9A9ivmY6Ooqimp4G31UHvGQ4QDSehic+biyj/lYILEaP0rTjBZZ
19MelFixMMkz1TLP5AreNhPda6AH02aYXYlq1zCvrDr+bAc2fcS2MoB2ZT64HTDFXTHuiCckWh1U
DhQrYSOBQFJEiO6ljeZXujwvVQ9cNdFyczPbaP4MBIwghN2vNQaTwhvMKgMp6rKr9ZXxnJvyuDBU
Zjwa30Q2oPdU2p+GITiVhRN+7Sq6PpGcp2OU5SzAcj0j5cZ8Y8emee6Wtr7X46w9agPo/2XBje3U
azSSzJmvqHRdRML2ey0gDc56SUe+CAaIOXNoJke9lKXuBVroXPdWxhsqM6CGeBCM5TMoLJNotzUW
qBsMdYLnVN9yUJLRZrRXM5cjss8NnbvPtDXHh7m0OD+ULdQHrxrgRZPoYa59NRhsaed+w33fHKbM
hk1RrzztgFP0uQnFBSr3eHHGed6aS99v1/3H8vBTYD+Nqzq/Q461+A5PGuQITF2GZ6TMGJqZs0jq
YqBKC7v1beHELEXFiEw+YEdwQuXsq4TSp+f+2+Qc867UItBfjwM2g6Yy8ttWdI9OtmDjxfx1I+uF
+VpI8ARxW2CPkyt8dvlJq8D/Fklq3Qm6oJDZ+hD+dDiezH7adMSaHJOxRzVoYLt+NkFKBJ5V0H/2
B9bJQwHU4GjWnNtxP9FIXoacGzPh7ECJkGn3GYClbT43X0nwsq4EzPanXhbuj05OqDHBsBmfjNxy
vkwjyIOdsGJoZP04eUzMOY8VU72vlkXdTFptMxPFPWWWZeVrXe3sqaDVXk260XkVnNzvFYGMWwAW
87HuzLOTS3FWQcNYT8J0Qh9ccIRZ85WcTN1nQQ2dl9Q+k+I/iUB7RI3+SYs1ug9kGRG056iHyWLc
wCacdR7YNvk2Iby7dzqNrgGQro2LKHCD9ArTSlIAFwhCazcyryZurRvoksbyczq3JW7i1vRgUCSH
IKmNM99gvDHppdZDoO8Gy+LGVsUZoKvwg1wZd2GdWXscJ+a1Av3oNdVikWtV65vcHctdJpbqitg5
96Vf+74sNLU/tBjPfBdtJfE+geXuooFUX68YsSuFIKAfCxhwN71wy1uxBBz7lVnCPGq1pNjOqVbK
FdCV7TLoZk9WatPEKevwNGnQ+skZWLnUmpq/d5Tj4N/G/r6TxNN5ZqWweeKxZE+XUDZXtbx1Q8Ve
7dKccWtArtwx0+eOp6urzmOSZ3eVbXW3bjtNe7NuIwVu2d3n09IcRrfQPMyv7glESHCGp+3uYFzn
r2mBo2ebVqr+IkOYrradpD+UlaPbqBxsgsyl6SUlWfPoADQGLz1tm7rE0qKshYgquK/DC0LhZGQR
aLVDWOF2Z3MVpLZGhbUBe9KfiFKOfYzoW37xGEaS8TaS47WJ+yog1EohmirCcKVG9+UrubfDcZkS
HDiKPZDc5mU3W2iUMYN1d7oY2tekSVmz64xdg0WgSUNQbtKpU+tzR3CA077ZklrRE7KYoh+RNtd+
F7cZYi/ZFZRJnfajtqPiPFmVcRNDN/3MQHp4lU3sPoW9YnxRFAqb2CQWd+2vz3nm5D4dkWKv2XI+
GkaCWCS3hy+kWcU3Is3rjQbpVfeSenXTgYfxOUVhwgXfBbeaNBOIgcGak02MlJDdBEIkEWc5xtkm
S0f2DOxVM1j9vrcRe8A26T09qae9HozdEbJd1cO9NUqWs3kJH1wzgTOIQqE/WIpkXprVnJLSAKeI
H7aL9gm1q4BoUvK7sSnsTFF1R9IF+reK2mh17GSbAjbQj7px4+fAWG9lOkriHDkVxEAHR+beFmbw
OFuG+aIZlfbDwI58HbxDM4ol8fWSl53kpGD3xoNn9FbzHFQy5jgpEF638WcOxsG2C2xib9L6YpuP
IT5CBugsr+QlcVPlj8Iq4MO52sUZphToaIEA2yFkDBOcRyzyzAhe5N7E4WTjOBHC+gISgEuN7RWm
LH01xa9pZkB80aiTEaR04GLscG9MmoGqe/zO5FbtqOXJgsPIcpXqruOnuX002tzy9XjQvdzqr1xm
eD44JW3jBNzOIpn002zlu37RXxamCKhwendHOGHq5aAsd7KLp4faNgCJQKc/J8XwQ6uwvqCDLkAm
DsYxprG7belmHeNmzvZK0B4gJ3TmeW76XRV14jXtdAC/pmTX4SB0lH0pt62K66t87Npr0U2kPuvT
LrURNpocuHyKanvTjdPtiJ2CsfZk762mjshtAj3S1tUm610yEzkK3k16i28wS6ort2u/dw2RCJVW
LjvdjonCq9VzM2vAIOfKPoE3MzxwGgdIfoivtJfYlldlEM2cU9QNNNcjUX9PY77c9mkAb9n+XDUB
mMeShlEWdye7WX4kdfioKzQuRgFrOa0QxWQvSsQjogialE6nXnVLQEVqQoSemm59LrMY1UxpvE5K
52ClhSzykXHI7IZoT0NcJX2FK9YZCWGz3/JBMdwFixZ64DvkNhz7/stiLm/TEB/spMcI7WRk1uGR
CL+Iqg0Xr2ncFMMDGq8ZTCXqHhPyznao46+EtTKJ7aJrq/4s3KHHrA7oMGrjB0Tj0d5hvug39dB/
1YwGCOuI+X+ghrnu+4bB1JSsjznAY8uMna82LGPkpLXtbtpobA4xOsxbrO1rOeGoaAIer3OExjcr
GcPbC0xqS2uuony64IxR34SNo+uoVRkNHVj8rSt2xgBU6YQjsyWCDYw94CWjWV/PqNPkZabpPNK4
gF9wCPOOO9oZUyyJdDVl0nkCWd4V4RBR6aWch/aO2TvaTdcTtrJptTJBX6FomtrtSMmZgnVpeiOA
SJwGP9rA5gHkqowYIAFTiBguhdTGcEvKopDbvt+ULC/0mdaZxlz2wVMfUiAEGuESjFPhJcfLdFOz
xz26dTCfNWlRJcegT7q5tsVNolnxsO3UTNnROyxLY5uYfqGv1YkekyOaLMZ4m9gzUzqdrBM9bNIj
PKjgKcw1mtyhdPSL3lrd1mbaCa1kGcQriBfbOnfRsJa8qgP+GllVi2Zw4OiQabbYVbrZHDjb89Ka
XWjbqKRAxzII9sHRyRcRuBafbYJiNnHD8Y/4kerOahY/1YfigHIiwfZdIu+H0uXHrUl2bWSRANJS
5LswH0/vk5r36w2VRFUMyBskj8nMJmW4CiYu//r+vyg3Ny4QRu0HMKZq51iQ/xiTVv/D3pk1R42k
4foXqSO1pJZzWaWqcnnDNsbgvlEYDNq31JbSrz+PDDODjY99eq4nJoJpusEppXL5lnd5wGuXHEwr
iyqBb08fpoWwxyDZpNez4MoV5Ewm/VcJPrhHI2ctFDeFpo2icVgacn5blGkjNmmaBAcDy6zTMpkQ
3MJZ6ODivfS5TnteIIXZgcCWXq47Ci9XMi3ML+Ug+OpVLnjmSaujkpW+yjXx7mJguLHkA/5FzYyX
KKJA6oh6ZHTbSNK+dkyaeosQY3sgVCO3H4bCU+GYR1OOgCdVEYqXHAaDSXYiAIpBqpHtMY9EWbL+
gXKfBzXmtBT/0oPIMyqK/nIWKCSON2YR9JRkWgikOL8v9b4HleOco+klLqU5ybM6w/mzWyTFq2jJ
T5/WHca2eEkhFkT4DzgNCONynfSdS5qkjfX5kib6YUBopChCmnVdDOucFANdNogc13wrfYmWI9NG
kXLrIHx0gZFTdajXUlw3VMuFBzzrw1JMfljXWG65DiugdwQ/OxjXH1hk7sfYCgwwmCOGXwWc8x4p
nxBtYfGlFPwVWLHq6CEUtUJNmC3T1atase3NFyM/aDcvKpBhi4fFl8SUKDHlfR4c0o51nxiE16ZH
nZX+NAm/aVjRj8V0KCrh23KwF34omL76gVJiRQ+7ssZPPeCq88DEem7EuesB6o8GYpawdSBF8TFt
5PDkhNFz1Jj1Q+51CBW0qE5v5m4sBEzWIjJvSA54wwrZkmETYeFJBAyf9hBUqXVO3qI+98E6vSU2
gqdDzTSNXW3dTHmfEWnx4FaXJ4/lUjYPwFoYWg/deFr0MBB6Sq6ADjFGeVjAbcSCihykK6QxVIoO
Ggi4QXY4uJgpqUfffKswXsOLJvIP3YiFtOj5On0fsdmRsttGwxxQsaiCQ68QeYtrd76wKYFfNOUY
3asJfZXt4i7mGQ5JJppjbnQqC5sn78l8ZFhxHB6ELSl+0Bb1Q0CRwXZqKM3JRlJSkAB+trmP4MRm
CgZWibeIr7HImgdakQbIuaRhT9dKRmFNdgqUgvMxcJipGETI7UJC8MOLGl446Nc1qAReNZ7EKCYF
JIxgrz1j0eKtZpW+R9qHgdP43XfJk7ckGPoLzC79tx59ulAdAbmilNrEkIfwdNhYwGjOzW6sLpOp
H24xK/Ufm9GJfqRId52OEnQc1kncTFg5t/tZenO8CaDkHcegje4zV+Lh1inwb6FXU+DGOjqt55/l
5/+Rb98j30r6p79Vz/80HHnokrSK8an4nRBg//xrv5AOq7AoBBN4Mr/It7SD/kW9tZy/PNbxinGg
5P+73ChSWgEr1sVty+YRfoEcIORKmmM2xCNaObRa/xHI4XlXAf4uMAoaifTbTVgFf/Rtl3ppKVEN
LlT0oiSrSPWwFhDQ+tVT2/3928Rc/Szc/w4nWMv1/ynnPw1GK5EGOC1iVASeyv2/NUxjqR1MxXrn
mmyuua+c2rqdqcvf5VxvLpBv0dzH3LcPKGWok/9iaPy0BRwKCMsvkQypQSTe16ZzvQSaoQNlBLtx
njy984AC3No+BRJ68QpvI3JhTpW3h38OpFjfHL4Tylgr64MP93J4y6ZACTHTvi5KHNG3voEexlYA
t29O03odTpf4U709psUaeTHdDMpScUyQnSZwh+fdk6qpoiFuAutacpvAUfbtIyYoC1LLNN7uml76
50ghMPhAXag7JISZjy76zQfCLuahdVFTbLw40yedoeJoh3Wh8+BS8m+3Echg84yWxWyG6UJ9eNM1
a71aF5Vt/yOoxs+5cykTr3JkJtiQF70oH9EM2kyJBVzRYK2AiqR8iErtngKJeVukc32mc9k9vj17
z5vEv0YN2B6gkBg4eIEkcA3hZYAyzOvMHPGhN5b00HpV8oPUsr1GDIIEwGnMS0mWAA49GdJ3ul9/
bkwPZqHt09+n+w5N5fnHG4OgQuVT42RiuPomXTfMHBD1xWNrvtcVfmWh2GbAzlo7mR5ghudjYfzc
V+DqzGt0mvSNgchJvh9TM6IuY9vdo84d52EU7ro7if4oKE1sFiMj9s5y1F/envjXXtwWDqcl+rn2
H6vWQi0yaJG0vx6IJVp0K6OiPgcxTjyDTE/wX2wS4sN1X/K/P0FeMA9Fatijda26HkIloHoknGJd
nw2eqM9KlTlHWNv1WdumrHL6QeYl2SyodnI4SMJmttRnhjvqm7iVK89dWFT/cuSIzN7VV0lC6slP
JUgGH1/p6TSAv13s356yF+3yp8XqWXw/QbwIUutluzYr4mjw58C8jqJMtHs8nNTJ07rRfdncK0Wz
r/Anzj0kLM+pjwa7GC+3dNvNAZVj9B/jTZo7bXFYJvqe8HoEHUAl9M3bz/nKKUh/DkVrAT7HAanz
fJ0Z2hpGRGLMa0lvH9LGOs1mg6WMKSLzti3Ueyt7vUGfHYEAPVjVkHTRlqBD/3LEso+tTFBevkaL
pT6TfSkfokCvv9iYD6CdSivMdjuXpl0UUc8YM3gv0zQHH1OcxRsABXP/aNck8ZngBBAGmwD3RA7O
dU08TVHHrYGaKKkblFivPptN2z8nonaOlscLLViPnL09jbzBy9fiTfjONisXIgYIr+cTufh5gALs
HF/XXL/bgIayCjPPyD60djH36KqufnuID2U4SEmjwJdgLKNkHyRxihIUP1vQdsJByMqsEXRL7+2x
kceCO3G7Ae8/M57tDaqFiAkKe0HOSSST8akxyrgPhYf96WaK50TSMUCdKgTcws7Iugkp3zJx6bdl
RQ0zr6muKTonZz5qeee0z+vLMYu8loaAEtBBEC3/YgIn+mDWc/FN5J0ZUo0CpYx0Gx3BGQOPRzSb
ZlyE56QK0577+xSkQEmVzs7QexUJfUCdBCuHuEb3GL89v0XS1jOau6HClS+0I8/7iNJagpoNQG0K
kqAJRgqGsaID7waz2rq95X+ld6t8muJdn58seumtTTuAODlaLRoQx8g3nXMrJv+kn0XaghX3x3ka
zWHrQWVQ18aEDgv0jL6SFE0t6GllEjcN/uBlobY6cJIo9LMpuMM3ims3Z414M/LtGxeG364l1Y/x
jMHbyUNkgKerpXzo8FdMt1itmJeEgBzEY8Mt0KUzf23GJT4JI7sytn4XFc5GY2rmrWrM+cDNbCam
j+9iNQivObXJcOYL164RUdPYwO3jGcYPEK5UY7gRpwkeLEH/za9yF/0wKxFrE1bhjUPdW1mO2iu4
RPCYmvtJiOWL2eFgbI2+pqHjW1/nHsqRTNvuAE432luLXf9dBp38UttoRLdukzyyUPT3eIiobS1J
XIWCelazTZB5O6i4kWFpeuOWhYXuEFZOlaZhMhsGEpJ1/+jQP6ZAnsbNLT0WUsqx8rsc57mqCMpb
D0YSZWpNclR7YenR6wbHPoMqRmSWPlZk8f+mNVkSNTFwbPRoU3S23DL0czNovhjJiJBEGeRZpcK5
nUt/b4g1+FmkvqnznJmmnVWfQfUkGOIEd0iAJ8/eAfZpZhT1ouKTNjq+2Bz1XArzbA/b0Qs4V4Ka
s4LeNErqiQ9/f+/Qe8XKEsHu+0B1fFnQp3xUlKSNrRC4vE6ISePOFXd8+nzkyE6d+HrAUQd1cjrH
DxG9Uep2gni1L3xOo3KSDzpagrsJDs5jtyTO0R2w8zUcziFKVij9q6TtNqg4df4W0g8/fm4lD0fG
UZ8R1kV3g0vNIZ/L+gz7VusWhsj6h7CePe/7kfOZ4yzC3AnXY2AkZs+/iRfNO4F+Ni8tsRZOFhQJ
872PVeCDsripKVnb/AmVmNnlULUcMQDh/PMYFfnzwKv1jSVdLvXU4ER9OiOJ4fzzSHKJelmrTqLa
7x6R1GcqA+WYtx1iNwMBB0+LwRrGqHYLeqEm7IS8KtP5CqFD/jEvXEd9qMpcncTxaF4OC19kdIgM
Z2syb0dzCXb0e+abISXdsIsMoebI4nruNX7J8xo9zhZzb5YzL8WWZKQ8GbvHlGb2Tbb+00itnTZh
RvQp8lE++Gju78AYdI9NwW2LsVN7n+Ul0a8GnHHzFCgseQssQWeF+2Bp4vtVHPoedfoApyo/e3Rs
SI3b1LPtY90a4lIkbGm3jsRlh6h+TX2N/uXWWp+2qlsunq7GKSviiUQmCMLrmrq3NPPmHo4RtzkW
uobaRVZAlN4t1CRGaij1se0UTz7yd8YN1VZsEFpDVeX2KcAZ1lBlVVx//Jn84AHBpOEKVKIvO9Mf
dIy8pQHQuINzQQ3GP09KCRbJg7B84NrhARtLZ8vGN6opA61uRujgAVenJrluITOSyKyPWq1hEDdP
H6rp2nem7rEIOr5RE/kEd/w2iE0uYPxqOdvqNVXJkzI9mDgksDBd++jypS+rzvaOvE59Zo+Ge4Ot
F70BiCg87Tjg7DBN3Lj9ujyx7TEvRZxxM+XIcqpdhtb5leNn+Lw0U2wkJ2USkQOCKGHVYobm2zuo
ezxMJFnA6BoxZyC7gjtaFB7myX6Lemkr8NClQphuiqSQD5BZmFM0l3j/p0Mgx37+Zk6R4oPjmgbn
LvinIygHNpy7Dk9jyN9idEU41pvNfWbW9RnuheqEcL/FVdPmq6YWevd0G9d5mAhBKdRFdwYKIFd6
jt0HRf/6LKe2XKLHSpMtjCU7nrIrT/K0EoFNmN3ZlHIESEj4emcijYdERdzG3VWgIwtJdUhKEW1O
h6PJgr5zUioTb9B+wf+jJx3tdotL5ZUGAkAq+lFx+XEWmXywswynbsMnBwgy0hBH+ybQY8Uk2xYS
mBCQMzwc5zRo7t0Y4atta0766ukNuYmIkbvV80nRgD88JbzLZDT3i2mzRWNS1JSjW2wmUtrboeVf
0oLhs/RrlLb4E9/pKWJ8ujbnRbCimsKwj7af8O4I7gXnleUjgDJYZaiGgUxmnTVaSDoIs8kslhDw
O5t+dZTGlsoBndOzX6skhgAHiOJGLLNNDc1e7P3QYfCOBFDMcZTmbC4A/ZyOSackAnkseeAzeaRv
kpRWwW4avfZkTmVR7mQwFPJGq2l1FZ+cfNnSCZAPGK6xavjTwV2lBWkr3hrHvK1Xq3OA+sVpidhr
uSuGxGo/Ii+NEn8R5Uz0sl4uafZ09mkrMw51bHLIE4rEa0ru9OQrScmaeJqAn2fRmriPmcW5sB6s
Kva4cZ7WboQpSYwNBSRG7aXzV6D50fXT+nTwjDxkFAIOY9U6+QWFzLWoKQZkdSXOakk8g6n8uSBK
hBt+NJTax22pRnUCPiKAjtzIhxgRGbB2rAp6UWwKjGzMS4BPbOS2Mi8zuVYb8g6Fy62L4nUF+Kri
JIKRbWzhd1OEUJJmwAYANlnVRFME9hmAK+VM/LeZQEiFnPfmpenwCiw581YmLm7fqyWBv4Uszg0D
kcXe1w2LZshqTns7NT+g0wNmNllY1MIwof73E4f20wkIKAkC6Qo2x38iMtbrG0EWJKe8iW2zXkB0
vGN7nrYN+AysMWM1RvvWANewq4b1aTPacxoL7ZlxY4hnN+XsKIAjpGp36FUT+MmY9wZK7bO60Zkz
QB4qveokGLjojTiv65N+GCvMULpM1DStSvMSqClPIcECLtz8NatdmNGibns5EITERh7cQbnE76LR
6/viW3flDJb3cfB1+QEuz7fEiLBzCLIOA9BWbDzFyT5BHvgR2x0mQWAZNrZLSr0da6QfbM31mNH1
brdzCr6gp+QZEKHM7l2ezcxz2vBBazkt+mAMmb0XlY/nZtzWUNbRuzmi859d0Aw3TbQYZHkks9cn
ldlU87ZoGhAbtV3/CHRBvOBamsOQIDPa0C7qadLqrhen7Xr4nyJ9QCEySBJiqgF5n9AqquJo1BZV
GKpsA+jdaDI+xpnF5wFUwa8t5icLvg0LzUABjZomnDqx1Xr4tyMxTrmGdG3i6xtAJkR4dETQHZvY
M2uinOM+fjbZAVs1SAAi0j/g8TBCpthk1cQHTjTxpPrpMokSzu1FpnX+vSbG5HYJmmCXrXe4aWTR
XeRHrKCnxDAWcdWc0lWCvK16zrTa1V6EsQxS1V5SB+cAb53j1ATmZaxlcGcaPT4ry+yHrp07R3Iw
vmvlWtyfCvrmyVDGnFaLm1q3IyNvn87NAHeVqyXgwsQPrmJPFGu82USBf44EQVqGUUP5atJOc49g
HtaDcIwfVMsW6ukSHNLIyE+NWu7deD2Zl6XmBiK3S04smaTfndEV3ZmkCXhJ/CcswKNtcG78jDBa
aiQGN3OZV75zxKEeijkJm+5PIOFAqqXffqhRK9wXjmX55Cq9fBBgJW9936RkJwNOJeo8TImXGVwb
UWSRSZQuF4uLlt1tQsU6XAB4HWngsB+WeD0OnkJmKcofLtIDG6pkpUCDqvT8nTv31p6Rk9tEDfqT
RijlHLhk+qkZ4hzbRy/gdCbbWfZciAMmKiDELUjYjXGlsLhC7hGdd39nK1ufwEE2vg2NLR/xVV2+
Q7pFPLnQHeH2hPg9cZVF5aIT5yZBGYrtPpYZPK4KhygCotS2QKd3ba1bYAYaD9G1jRhnbvq5bPr4
o0uMj7tuiQJ/3klxQKVmvgzsJvqUGF7+rW5nfhK4GtDLqVEF8dVSGWSsKK5O5hZtQhAZcHDd/6nJ
ff//obJajnTf7PB8UN/j592dX3/lt+4OAiOkb5BRn1o5z7o7ErKNj1wpLAr+1H9aPO5f9FypMtAP
8QTNHGpX/2rxmIjLIc3kYTHveA4V4H8i9wTJ/lm5CL0ph4YHtU0pOPd96jHPy0V5Nyz5hCoI5Vrq
XsHWhmbZbhQVkQ8BgC8HNeWW+7UuBPDqKKKFIzfTmLrbPBrrCayA7ZrNxqMeven6NF+F+4FmFPqz
9EcjF7hpKryVxyoHbFqJ6QqwnHgsBeR6YP8djnNbhR6SAGFm1mCh6gQax3ioAxSYy6TNEA+tzB92
XIF6CbrW/2pYHA3a9eNTj6okSUuMiEHvFTd4GkUHAAVLaAeF+JDnaT1uaQUPw4boocw3S9EouVls
x/jkCeOrr90kBCKPDD/lNJy1gBuly5KdU9JOj94oh78nwsWdI5pghau5yY3y/ByZqFrPV+OwREHY
WFOpdnbDG3OmLdxWXVs0YYDW21kb5fsY5fttT3v2awrU6BPW10l2KcGvhR236YdUCXxIZkzdkEwm
H9j2oODA1AY6GGk49en80ZN9X4V8iflLNCOGacCyR0AWb4yPnmNjIt/VSGJsgc2Px9SNkrNl0voL
FHhTHlxHi2Nc2eMucPOu2gozw0bM693V2Du1m8+z0mob44LUbX1vLE+NrhLod0v8mfCpWPwPfj55
w8YuVjGKbEktkj2NdlCYyQ7TYLfw5vse9y33ijdZZdLzsdSoBkFFTsVANWStfuJQmPxAKcjZUWHM
T7rUGfYTHJQQ7PyAxV7iXbeLo6moJFhkW9SNrhHrVadYYHHdlq15bWDtsKtGgH2RA6QK+Jd0H9e7
EQ5nPVx6lrkQff8sXsXzWslqK/Tfsf6iviV+FrtQW5oofQWS/MvfMREAvDEvQvbTyVEZPS5VSqFO
2BRO0QfzUxfF2LJzzifUzpFoSSqUHimNmY7tEDIwe9cDSKwE4NfofSybCkC+RxWtAZtCvL8hT0Rq
46n+qJ5qkbbWCBm5oOzr0wyvbPK/BlPGsvXmZkuJLvfQnZpL43ykptVtI1/Xl53hp+eo3iRnblRN
D9bPAupaS52bqpyP+qnQCiKjQqikcEVygv4/yhcBzBGTBBXs6nZ6qt0KvDP2VZymV6mmP7VNQPjg
6qCikp0d+R7RXjOn5N9ZPRDLEheM5wtw0ja0DMfe1vQl7LAZy9HciqfrJnu6etyna0iVQ+ld6KWc
Lov1xlK5N4RJbMeADDG1GSk2c8Oh6JpeGtSkR8xf1nuQfh43Wblej9Z6UULdauNTR3Q3i+7RXgwG
45vxdOt2TzewjwidvOxru1v26DqW/T4e5vqLptKHnsp6tS+Lb9UHB20ykD3CWaN1o0ICgpNo/ui0
cEOOv0pMCB27wMAT8l0vi0gT0eT9ge3VJ7nWyexUdoTeuTU2J1OemPVRRTNlzcZABoyS/sWCYd81
PAL2Y+RQDtllCIZs5CAqvBXa7LBo2z/NQBLmeFkZWp9rk4DSs7sKGdxG5Qcfi51dYcYE4SnfqiY1
WLLQgkxxDQNMjHt7AMHrBpl1VrskULZPFLQz0oY2KkR/87ZZsEQUdmHxnXMnzr6q1sseMtEbnyi+
jPed0JiywD5y2GuOHkMjg2hRmq7RH1Ucw16xh6zbYScYqzP+gANKD6RXsQG5CFtj4yLDAWq1MySS
2dRNJQi0bC4wrNbw07dW5yLOI10VY6A4NiPiV8qud1GPgkdPIkBwjhdrM2B8Rwnl1iRHuhun5bPD
Eu43abdmmijFWycuVdNrV6ZmGPfRHPZW0h49HHXErqLUvisMibdxrSd9g5SXcwmQb6AKrrzSvJjQ
tLpY+sXNDn5b21/aXn+JtR4pU7jpYoZmGhX+dhxF320G/PyGi3JNnZbZ7JDtqxGJo+Cl42s8MiKY
W/huzst8Utpe78mM0laEAzEyZJN/6VAU/tmV+x9i5h3EjEmTnm71/1uufo8WWfr48Dtc5tff+RVQ
+eIvfoTgdCD++SWS+Qsu43t/gZVxJdEWcIoAWMC/Ayrb/Evg50veyAMIBC7piv0KqMDYAHJH45de
vucCzJX/JKB63n0jkAM/wh1gShJ4l87ii9Z8PK2UgqYeTixrgLRQQAKDkGZRhnMG9Po2nlTVee4O
KZf6iiT8ba5eAdE8b2lKYji8xnxEUSABA4l4yYlt23gJMP7pD9NA8w65A3dnphaMNi8t3wHNvDpU
4NOoBWjE1L3ABeBKOppmCbHXManYcRChUAabkKMKz8N//lZMZWC7nslH/0OPw9Q5Tu9OT3KuKQ7a
sLFU3+fbXnvD8e2hniM7fk6gzTs5dDrWePjFW2mYf3khmUCgiEjfzdZ1pbDu1iO11CrCKIDu1aaN
iLgaAUPh7cHXzux/IFD/GtymacsqJo5eQ/XfIFC9TqLIbvr+AJ2IrjFyprvKdNp3UA1/fjhpsS6R
40C+ZcWQPB+li327G9toOCiAWIq1WXVI1ejWG3dZU1Jxe/ulQK+9eCkJU5zEgiyGZfJSJEJiiok/
Tz8c4pmjP8nVd4o/P/y4xsK0KIlssmbz9oh/TiOyGxYCukjZron1i4wGl+EMWFA9HDIhAVjCIeRj
BfXu7VFe5E1sNUZxAEP5UNBXmu/zaaRvQDGlzYeDjX8dCnDGeWygB2fCRNWilO+802uz+PtoLz4a
Kr6U6GUxHPxxghaJ+gTELpCzq5NdHQT9RuX517df8AVEbF2OEhYAOuVkmgEL8sVRNuNf7wPN7g8m
/O8PDoSwuxjg69GtF/9kqKmbDO2NBxeWqpvTPbo9+ojUNU+GWNWHcQjG3YCj9UZNXvNNa9s40qwM
NlbUtx8XBG1A+2H9nbfLOweT+cr3ByPkrUo6PryglyvO72LXqnu2UTphvrBxjIngWms57gwD3mra
me228SkM28zeziq08zcuO1SE6Y1fenCKtnETBx8AYP2Szf6m/0/8vX7teH710Tif1x1O6v9SNYoG
iJvjSNUfdJ/sMJ6V0BLg/rS+CwydHswnrJCzLaSFAC3NAh8IXWXqvIvKEXqqxpZkXENMZyWPzFCr
bLOJwqgie0YkDdmVwVKXlrsYR1L6OmzHvg8nQrdt26vgbphS464f/Wgb2GlL2dzw9rZtQdy3ocIM
tT6Fkd5tJqOgAh5JVA8LeZY4+acBUuolKr9Ax+0l3yt7SMPJ6D8AJ15OWhwWN/QCUWSC9XUukll8
NmDYHLKKun0k5x/5bN/0fo+BBTZVJySf/Qd+crV/e7X+uUF8Vqxtseu5g9HBeL4dNfoFA3B3PnqX
XMIMh0jniyPMk1sS9WY3DLCJ/4sRJYc1NRRvPW+ejwhzcfSDJe8PCl0Rs3PWeP5bUDnnyq4cauvu
l7fH+/Pc9gEM+h6IXARoUft4Pl4Xo6zHt+kPxOE03kZnOsY4F+58S83h20P9uUxRLaIAtcJVVnuD
9b//dhHFyH5m01hzC/ojhAyjNREWoSr6X4zigAWB+GLjhvZiAksRGWUPl+BguEpgIeMFxgn6q/7V
28OYzxGM6zm2ajCZpk+0SBnuJVoyTw3YWU2AabU267CmjbJ3NbAFt6uAIkWdR0jBwheeHZ8q/7Oy
4kMNwua9Y8lm0p7f7iB9KYYhdQtkG1T180ltYdQu6eh1B0cX3m5CIGofTVm/d6aeIpjtLM7RrDRW
haL+XtSTdwPLYjrEUowX5bLYpxJG+ztfwHr1mdZSIr3SgJj1xbUSO4ZhRIndHap4qI5CyV0ghgl/
xr69jDqqQIk3NPeFZCsXrTF/GJp03rpYtYWBX9UIWBXfC/KnSzj2qApMfw+ZYW3btG8+zhX2oE2f
QsPGrfu0motLQ/TvBRevv0CAGB9gUECDKxT+95UamSooZ39iUhH4RIC82Q+TE38CksalT0ocRh0E
t9Jze24sVZ7OyfLg07NH5Ck4wk2OVgHUEapFHVzXi1ff+s7yfZFRdUrnONhPTTyHUw5T2c76Yq/S
tnknPHqppvO0OklY/v0GL3bB1GPFG9czHUzai+glBdVpj0hCmBkC6QB0r+3BReszExQpYJV0yF+8
swrsV1cBFejVewDZu5fbnVadM81y6A6ZkaDYPRS+/EpYdeXhE453rnikaKM/U2ZLvnVqSzMy3ma1
hVroKgQ+xt3eEl0dKsrVWCaaE1qx1gCOiwEPWiJ1TCXG/D5XpslR6UHExGZTZHWIw+RnPOLUCY44
4tyQZnGy1PWDN4qP7sxAsQOMrpnAjL0z53+Gbr5LNgg4DjMzQbb0fNGsUU8OGKE7tFnxuYoOYCGL
0FgE1edF2u/Eia8c20h4kRgS1/ODX0ozdUWOLgmHzgEHlB9B6lNqM8dsg1Zz8M5Ia27y4oBhJJwj
AoQZ6Ru82MxtFA+NF0lWkopvc3wPP2fFiiSj4+xCcc8xWRZ4Q59GLnC3t8/YV25fpOCwe7NRxaSl
sD7abxcGBlgIMYE7Qhlivo96/wr15hsBSQktv6+kvO47F9RT7PnHu0qc50xrJWy8PNOD0eg0sk7d
gTS8uhls4p45QkgFTaWtPS7fRVTe1mmBJcXcENw4aESipaZAqC7vvPqriwkeDjeLDcj65bWcDrB+
k5H9OwFLDEWDsDKgTuxp0hrWeZL9eHumX7maXSBNfGaT3Jsk//lMUxLMV/cuPjLF+0PcYLKwQAx/
J0d8dX5B2eMmu04vqOznw2Qd1trgKLoDObLa+qNOwrGiO+RGvnGcOhRG49EZQoQXit1EU35LNaDY
6dE4Q1zmvTPyz6QcoVeyQpJyEJry5X6d5kEuSZfzMGMv6CJ48b5Ty8U8rsTC0jS2DdTAQ+KBza1z
1ODfnnHztR1MNMRkE7f7zsu11seYlduVUGBMnORr4ynwq5OK+w8dTZZyM7k1kg64k0AvNuYV/zW6
yI+E0Acx76DAj6DRZMzTxZjYaIVbfQ+MWsbvklJeeUwf8T5kC4VHnPPEA/htDyY0C2asP9qDqyOM
s9GU3TkdIMDVoOWdKXllKAwZHQ9aCGU44LzPV0cKiKxplQc7eInKHw4C5NdYOsOehJL9Htfm1bFY
iQKmos2ALxZ8UzVLj4x+e5BWqq4DlCH39QwuIFOr3+W/C42vZGevHGJEu5RFCBHRB32ZNyKZHdP+
YKTUFnEICrn5iEOcteN2w99Nl3hM1ck/FGJdr39cfdyV8+ZC0HhJJYoRHOuDRLYHDPCATK1s1DSD
rk4/7T3900C+ctETaYhVOdHzbU6s59/Nz516iBeTJeIoqCAu1G80wBNnQqOnjKpi6wK5CV1i8mLb
2uNk7MkcB71btGeX14jcsblwPFiCY9TNxZ3VjAARVZX7A2i7woVui9z3Qz1J4yK3fdnt46QALdvR
QYPszSvZW8/F7jAMRjlhDWELez6TBsT2FI2jZVc7irZUTMvl1h0savg0HqW1z8wS8xs7aBLrCybv
aYlkOcUSJKTIYBKUJBTIPGjFKvnUFbU5H4uK6tohSc3S2RmiMU/LRWvj0AFo7S5lWQ3+hUPfMrpG
nb6o9vzemBDmAH2tsajEfiCs8tGJL3wPvf9wwJM72w9oS30cUViITlVl1CemyoEDzbGyFL7s6V3Z
IZYJAdqps6MXT3Gz9YcaPNOc01Lclc1cqfMMDRsXgHeAscWh6xCjCPUoaS3V4xyJM4TPI0HdAdxS
2JRI8YOm9n3rwesi6iVe1Ovt4ju1+ogyND4T4Gey+WqKvPFjlTqq381GG3g3oi79eAegLB5W+KPe
t74OUmDmMfQLZzWm2aI+ERyq1Ux6V0Rr+U8A28k3bSf9T1nSFltdlNgCdU6ChErWNPKk9Idr6rz7
YZTN5wh+xheMMcRNX7movZSwAA1aj8DcAvSD533Vdnv0PaqbyKOI6iRQn+ivHiwnR7YsyDGGG8ZT
G4rl1mq6hyx3HZpn+FYPmbb3wKRBPxvTDsu2jmdQ3gFJC7HDhcI9IEVfb4iYAdaBfTnrnEZ/9Xrw
b84w08j3xoeldeUJIm24ket5gw7CnRDuDsJTeyUDmvWmqNIrpOmX7SBS88wvi+TCnvgeZAvA2sHT
avxADtIwr5FcWPvKOjpGUC6woskHgorOgy/lIMHaeauygD62Pe6w6TJLfsk/5FSX9OSo01xrK1xE
3u50jyNMlkRwzL28BE6WhClf9irynZvSSEDhTn6yXxZ0KWajH8LImq3DQuh6E8VF8zfEBnFeJaiM
z33rolnUqx+u0aKK049N6FOwhptey6MqgmXjIZZ3tEVqHbsZ3BNFilPL1PtUNuY+lzNSBUP7BdTw
iScdeEzzF6kjvPgQNtyoIfpSukaMPX1e+sdx8Kr9aLRRuEjjNg98VBkiGw2/uPZ3Ai0GvkOLAmIW
YChC3nCTKmO8amMEIbsBn77J7s5RAqCvrZcU4kb1vWun5sS3+/QEA6bypCr98YfTobW3ggqpcOUj
MON5O9Qt1lak5pZYmaU1Xgu3mKRCpbRYPJ9LC8xv6IH9yrlMOSSyeJjuG+b+sp1YZViEVBs6dkcx
xDMCsH29h1GBKBaElJ1mQ+wi0DBzd+7PCBN293OivA6pO0ylJrTxOkvdGyYQxiz2Y/QceeaDZ1j1
N+0tqOPZCBINyIgpD25HbXornctF1iD3fLSLihkJmFPKswKDhLpNT5RipmjRVkW4+OUIbi3TV0+o
/ais8vQ4Za4CFpy2l+Zk+fs6pUu60YDD0B3t/i97Z7IcuZFu6Ve51uuGzDEDZrd7AcTMICM5M7mB
MZMkZsDhmPH0/QVTupWiqiRTr7WoMkmWzAhGAA7385/zHfHNERH7SfRd4JaLKC4kD9nvXevFDp7a
uA6z0U7NIw5J59aCzvHuI+73IbuAksN3NIgVjsHpnjlT+a6kApcxl63+XE2uWnFEo4cUwsBXKrhG
CDftvO3Ysdx5s5V9HWjs5mIspnXdGc3hnOIN04ned8My20dUOMYgWUtfTzf0XAmJ6TdPSew13xtJ
628Oa+7JbYx0l6moK/bm1OUb6qbaRxv/GufDehxXTmSX3apfyDMEVK3ZYS4scLIOhejkL8x934Aq
dJGQ15xKfbXJOTeVuxI8AkmSNB4emmiMl7XH8NgL/HgE9MrQv/HDktHgXlYJOIaRdeQQ+1lyK0qq
dmsXJM6m5ePUHug54Vd0Ze4nF7Gx8FadfHgYMG+Pl0DB41PqNcBA4FZc1h3efyux+FtNfJGWSJ3b
oTNsLK+z2xyIMiUn+EryGenOWCOc2Sdq1BtnXdVn1ko/5ZuxnsBWui5lvUUhBzeUdmKfuIkabiq+
XUT45pCXvnXCASS/qXN2zFoUIZeUzzvN8nm7zNW8BaOU7jRlzRcal+a1tJX8Bm7u7Cd3Fqq+yGOk
Wz7ZdGdPJX+tRipYV1ZzkHrmH5ehld+6WaqnIeFzXVy3+V5D4qFiqk/4WJuqjA4xasS29/Gb+mNr
n6ylIco61H58mlKMvux3wQW9LhlJx4kn8GhaGIRH+G9HerENuRpJOYUacTtapKokq1ih+oiwUY2z
XeqzfUrtOrqXmJDAi/b1M+7SfNWRsiDdpy0RhEuPTSSFRsYa33ZzmJWIVrHWDxeq5JcnVzjd07bE
uhhH6c6U/LQUWnzq/cYBJk/eCKIJxKSTZTbFXuUR/tzOR8RZpeCGDhhH+APR4HtBHI9Ft8oWSWvU
wn2OjFW1jzMounfsUO2rG1s2LNIZSr6C1xckxPwIJ2aGfZuWyfCAAbl3Qwqnm0Nhi/zG65QkB5E4
t5q/UI0oqzE5ESqr9ACUlHoqGkzIHjHKByGn/IYUhnUyFCEXG+TTTWMNvFCuzRvfdbHTsslITlbL
pwa0d/4iYm1+FwvufW2yYHog2kc3RkkEmbBjdXTMkb+xXvIbtuzTPRag9nUZB0s7LApJfE1d9fzu
SmQ+YCoAYwL0llYFFR1rFTV9tUs9a0b1CqZSJ7qxEo5cgezbZt6XA641fneupAWbB0uvY3GlsWYl
pyLPanqb6Tf8opkZIu4AghYptfWwo5Es9KrQb7t3Krk5Mw2izMKmHJt3YFX6gxVjnx7GVn9zhqwn
HmdMDa3WxfJeG2cQs2OQSA4V1VZvRAsWOt8Gl2tfSj4Whyd5uxVg+FRAOa9+B6dQu/E7IBGp6wxv
k/Sa6y6qEP4bQ151Awn5KYuAoHZefIqcJt12PjiWtPVMiuMS7PogXc19pcXdY5OmlbhWdDqxxtd5
ae/rmRYudtTuJWfiaCPJDLGI0UCCbtoBuCKc4z2Tx+quopKa56Eohp3llHw1PDaPprJyGtDcOP3i
WK3cyMpq70meYHBfkvcurvlPrZRyFQ3S/Gb7sb2xJMkNSUZtZZhTFdqD6dAkKceAiaYFOEhxH3Zm
Od/oJQDFD/N2ZeEwN4qztUerbzvfuiShh1NSiJSzjCIb0fvZFdGEg+iT4ZCVUvGyuDzFiCsmcQlU
OXTLbyci75eTo8lTNdvRLSWR9R4QXx+z6IKi1iuGjQ2B6r2ddodhhraVcm9eYj9Wxyp2q0OcULXL
Vp8toM/4Dwn1xbex9eQuKZq8HszXobAOTSp0ljSP/yPYtK4wkWLjtC6mKbMe2W8Lim2n+ps/nudM
dbdJUJb3TVS7TMtoRtkNlL89ggOOb0SVjBt3kjunLpqVP2opgfWm3nnj8oL+V37FAL7g6MZFxAJj
xSz0nHBCd54tOjvzvN3nmjCpE9MwjWIL3LR9b1+UEehWqzDKa/7BRZSPNHJHcAvN0Y9v+pYX6e3I
/dLDeA8QpinidXHP+6nvPDhtV+zS1H2YMgFmcIgphRJs5ejYm+ugTsfkMvUQbmrd2FNdr39LRDRu
6IUS2w4v48pLcduNHwBvScn8mCMVxjMNrGwurMfMsreVPdWQYDMW4DrjdBo7jU/9k++/D3lvPE7S
0q/80l9wLZTWnUymLKSl0jrTas+/Wgte2nbd63ngW7KHdgL7wb6QJIKiInWa5Bum8oKGLBIRMN+4
DNKqiFOqyirJsiZnaKUlptFJ4qJigBD4mLXIDDps6DGjvWTzlB9i+qe7vCmywLa0Yz1n0/UijMcu
hU3IrbhJzSVjo2bbbMjc/qq07OieZCPbDNrXcpbALJAEXG48oZYV4UnvoiU9F0YiWSd2kQe5qexT
KW1ixsno6wwtimU/z/Vw6WDqrdijaTk3nFMdZDxlp4IOsJqo9wIjW6mKY2mhEWkJmKENQG677Kk0
LGdr6wjwSGvk/JpFImn0qUZKjVK944yYzanOHdI8oJ0lP/hjKm5gDBwUUbpdNMAoJYN8+UEdaSsq
pFurJvHGgAeObNsd0X3h9bbZTp80/wm0ccA550XVFW5b+lHDRjpns2SVnDHTnf40ERXa14b7TV+c
t0jVzTM71uK5aMuaRavFxlzY2sYc+njduX15PTvsWKAF6wy9iTKE8RQluFzFtBuMckgPmlmP1mpw
Revu3FwnG0v5bn3Sxhg7XjW79Qn5BgYV+dO4ZgxQsAjVup09l5iwr43GK68dUuZkk2cW0Awe1WvR
GuJb1WbJaxNB1Q0NrJqnBhfAwcZLeguCG3unYsfD95ZyyMH/B3yQfKa5LyRZ5eVM3OFpiXa2FOfs
VYwgua+p97xjf8zJlKYW6xDnUOdLaKevbd+eg1dzX77nRMcSGii76Fm0mf4tTxRP+toi1tfCv302
ckLkoRWlmh/KJWpf4enT7gpm23fXS25TFNhMLAxtMo31xo27od5Y/oii0cOizIIE+ucU1FVR3yYO
UG/2mHX0bOvwKQJfTqTNIP3l4G8xwRLPNucuXw0t73KdUeUMLgSXFsBBzN5lkKVW1V6ki91xbhTV
oCfhKAE+b9i88jcvGnbfvTUiP66o3Jy1rTaftwBEzviVOEz5xyyBdbtyVMmmtYgcviWoM64TUpAZ
PQ9qwIoc9xBawLjZ5bvR97xq35ggeEbL9J9/fJj2oMXYuRlPpuHSnnEtrk5qO+A8UW9N345DsyF/
gvf7LApALqhubfxj1bYAL/hwdhZQVlnlU76TOirQyQBrom86e7EvZipRbu0RRwVfIfPWkO4kfr/c
tdFDlAQCeNHiYhi2EFbd5NIfuuF9cNBGg54QfnLpkMG/y+fB2FZ9VT2WkKKucxeEWSilJ+5IwLcz
He3wDk5Wzy+9MwbBe2RXzrtOoZVzypunSmP+VxMK5Dvh3kX7T2YSU5ANueY6/vwCdvs1/Yga8mb9
IzC89i3N2qzY+r0iYtT75w5GQavtFBaC+ycY+TqXXYX+dxjTVhMB1yE7OjuxaNnBwoyIopitgAVu
Ultxq8N64mc1nl8hBEbwx5XXY6syoEcUp2SAr9Gct5CFW4HdJv+U3OuZMNZNUYsDM2mSyrQUXZex
Nx3xMqUPy5KM90QDhx9jsH88qH/hQcWJdh4h/I80/Adq29Xb+F+Xb1P6vf7Zhvrrj/2W6xFUzQmL
cxn8GAf/Fbr0b9Q24f8i6BASFrkdOpjOM5pf0W2myw8xq/bPc1bm7meN+VcbKg5V0uE67e9c2uKD
tvZ///t3zqL207//TFOzP82J0Hh5eZtkkY0i7iOf/17qbbAzL2NcZUdl9On8gnvLphfTcjtrLRJs
8T4bGQXofZfCZCg1HjPsqhT5CLfa1TzXto7Wzq/KjPsyREK1Ub/mYbmY6BZ/a1ThrlLMtGppdlXH
+Y3obF6Ms3WroQl47BWH3kDae+Ua51gp5thzbTTAJUv8E/vLzqW5ux90cy0dzkzzrVmhE4QOGRnx
tTBHnqDBYmk8DlRSi6o8pAi0TOpdLTCG0p6XHNqEnU/J0SGRLL3bxHCXesQ5RRcPrd6l1S300hKV
be/Y4Tv62ssAKojHtMHf1ROLHTx87ayAlbhI9TTv14toCMW2auM2cv5ikyt1oWuMGT/qzNryLCvK
A370PP1zA/7FDWgy9fjTG/DhTZV11f189/36M7/efa7+i8Ws+YfDmsv77Pv49e5zzV/wX5/H34z3
ITs5vNJv4ET7F/4DdiPjTPWyPvzhv959lvELAT1at7hfQEFh6/o7JvBPN5/hc9MxZDlPw5kJQ7T6
/c3n6aTDUsoadh7B1qBM2NBlcWMGPy1K/2Ze9WnebzEUxWjukB1kLuaYn50FUU/7kVnH0a7PyMtz
vEbS8IjDPFcdBBXqF9hjLU2uVjUTtK9//trn7+tns8HHi6NA06fJx+b+wTPCNg7Sfe75u9jymXK4
quUwP1EEWZ6VkEw36heaeST5tCo1V+0yp2+T1lXV2lGOuYLmhWuQgPwWQ2LBrgMdjGqu5ERBEZyT
rKBEppuVXLdA5S/71o1uSqcYV/8fv4SLh1e3fQIFxuc5plCWNGnO8XcIM8Z6sujTKTWO7ak7zveN
Kdi16jmBeq3EeYOsAunorBrYNd1FYcdu64tTQYqpW88LxMDh2QcjwEEuL/Yk+GDfYNa9K7EIbGbi
LFlAG9bfQwHitOAiwMONG4DBJZLDp3W+tcy+n8Gas44jpyixFAHJn5mJwF85D86D1p8sFz9eCQgg
r8lzhbjE7y9qe9DbUuq80gCuY8cogi/PQfpSndlcCxsPwJ9/O59uoo/XY97LOJZL3PA/T/0NvQX/
oBW8XszglxWlRaWExvHnr/JpvHx+lTMZD/uhR+ndHwCSvmK5KEbN2yljTLd0O79L0093eevd/fkL
fWQvPn1+OOGJS3y4ZP6wKOCBMvyRa3DHYLPYL25rrBOfa2aez5ihkthWgNEahkTd5TfMEbyjxC1M
uwbaYAKi+qK07eZazQ6bcGfgaS71VOAI1s1lx5goOtQFAjGuk/l+QIeh5oUqGw0q0ciz8ENsQxbg
4eghoraG0z6ODqr3n/+S5gdN8He/Ja4uzGy4OXGO+2wXfn+VREYEpmShXmLMTOoXOF0zDY3aPcph
vqnz1giQBd85PWkrO+coyMWb7Yoy6zeDLrsNuHt1JfN0ZJYM6ZpKKPGok/i9sv3ZenbHsny0EdYV
05Jb3S8RWWmn0UPlkDIzRE7H00KypkPevocoZqzIPM7bPN7o2RA/s5zlO6ezkec5dOyGFMIOeSBw
PzIy1mbsIC9W/hzWdlquE8PSty0S5p0CU7TPNDhCld6gxzRx9B2CtxOWbR7vLbkMJ1noI3i5xbUg
KIJKHCLHXsvBsEK00j6EvlUXYYenZperOn/oCOMWTUW9DEypkw2j75UigzbwigS4NRnqrR1ZWRtk
TmKETJ2cleYu1rWdmOIOUbZ8dOMkf5d6Uk9BLvwZzJ9KmEaP9HVzYk2mJxdq28otDbUjLVXsM9SX
49L4DtXiubfqvPS8ASzT8dR3VfONQgfwC027JsGaAWDL37Rc8y61qtBWgODiteaqQ1k6vGtHb9a5
4e+x+lRXdSQxtEwVAkesqCzX3GorZHY8f57411FLTB/oDm0SbaCX5ld4LCPOt4RUMviaI0nN+V4r
cnw7OtD4Kxiu2NXmITHWgudLmJWjuTVq39v3JCNfVOS0XzI+p2rf0V4RNm5r3uXWpkokV8SAJMSB
13ypG1Vv8oS6D1NOXhmc47H3jJL7sM6nka9mwpEw1fEOXxGVYOa1EdEgx9o27LuiRsejnM2DUma8
QgkBFuTo8npWxWUa2Umojcwph7gguBzlFJKXHXtUIQ7SIG1KRRqsP/ift1VGWWfsPCcU2e+SrmOS
qy/zOlMOhTI5Sd6qWmE3yEItc/yHjkqGjamUfnSZPh0qQBRBTYwL6QbwXZ81WtANIgowSCcsUSR0
9bI62yrr6UKj3WSbt4jEs+ZFX+GzzryZKdqQo7eoM6PrKcDrMXBxDaO74jHEJC72HAymY5quKOAw
tgot6QIaUH2k31OEarLnF+ZZUFYZdnsoQ5jFUXQzeVpqwTekk6C4mHFD7ZNqKna6mYqdW3O7ONpc
C4z+jUG3wNoYDeYGbsJ0qUsw2oqs+q6wVTxlkd6/Om47P5mDGg/QjYc9qLEOL6nEPi80uW26PArt
SAz7Xuf+0mZyLjgLyJEGInNbfV+lpA9o5WroXitFTIuMtkz3FvmIDUeABA5bLNdWUVshVK8o8Akt
bHWnqY7pWdqr4FqS0eZfs6rPqSlypubgo1KsnLqfMaR7yH+toM4yG+b3oVNjfcUppoCYwqZgGWYB
qMpg8AS6cpXGPDmAJYFAEr2EEzoyWusSdcB1zDiQpsaVkYj5YukYgC7+yNCHG/VqTkXTr/KIREQg
ZD286ZkaCc8jNsxZpr4n7hRvoDW5D0naVUecKPqdJthfFLVMwBvQff0xxSLFKgKHISfvDnpNE/Q6
Z6CJMoobpgHNU5aZjNbFMq5+kPVsOVNTpZv70WqgwcR+/4CTpNijXjAyOhdDFJnF2qP4JRvsIpdO
Qf3g4lu8r9mUV2ZCP4PbEvqbRyCkIQbCfJWR9l37auA3z9Pk5ItyXH2M8JpuAaFgW/FpcSWjodxa
+BnDL9rHj1Fvr0zeSd77Yovmya+kOTqjBtNdACfkmY3th0GpzsIAthICo+yMZScyh3Iqt48O7FVo
24scbCa0mhxQlLxANxl1sQceHlIqGddmzQCbzMTAmNK2jK0OU2AbVZp90alau5l5gWRFfJ7tBQRS
3jb00ucxshnnR4RVbkBl8k953N8oYZA8dBP9CSbzRZvrGdbhpt62mbGMgEeFeWFPaPgNi4KuevNq
gEi4kUkzwcExnHAosmRT0/azRvK90yO88mPXAf/NR3vtpoLmxQrwQ57Ew5b50Jxs+fhhvijLa5Kj
assGeXi2u6Cbqn4OqCsQK2UyQTz6UUmNFRyxFiHXM6zkahoNij5+pCP/ObD+1YGV/Bsbmf+sGD0C
l4Dz/7sD64+f+R+5yDprQgbEbvbo+of17je5SCebfE72cJ799VD683mVSRmZ1w/Qi8mW+7fzqjhT
YBjlnhUNNskYeD+pQ3+mFn3aanOKs897YMyTMOFxqp83yT9ZR6MeU50dNeNVX77GdLMnxbefPo1/
c1T9ZK38wwt8MnGqySxKOfECXkbdFg/l3n+hTjH1wdO9/vlLfdhxf9qBCo+jEIKAweEb3Yss7+9/
GeL9Oj2cln6Z2QVkQgmAxEDCmwNEubyxn9tsir3vCdiLDqKtNFqNKQc8y7Q6EB1v4vIVpq2HUSPu
rYTm822k4jOGqerfiJSBzTr2CjCCdSEcueyL1s8ixYieBd4BTx7dzU23yYzUPrRdpn/Jmhpb2czA
q+pCUPvwv5hbUQU5MHknbTfQa7SCDUi57W3jG/HA4NuqYEWveBM8pFJoUjyveuOgdJnez9Dt6cVp
8B3wFCpwLQ5pYZYXbkefvD05y5XHQGF85jmOJKfFZRp4naGoXSO1fiLyJ5eLDMOpdjuCaLWqtTnE
kQ91l7W2m4hCFLgFth/fyD+rxl+sGhikdRy4/3nV2L++JL+TmH/9id/WjPPCgJaFyEOfKhrzv0Qu
FpBfuMB1nld0dPzEObCQnmnQEIKDJFYA53xK/23JOIOjMBizoNg2BzNh/p0lA3GB++jn++z8N2Cd
BJzAIAgR4tN9lutchbYbOVdMQiiFhM/cXFRM1fFredh8XFiSRpmbZFiF7xS3SyptiuIM9y0hZXNr
uTntN3pt3oGFnB5zmO8X+O8nJiIcyCO8Mw7LhL+0fr3SzGXubhhIx02QxOPY3IuqiTTIIx/XPlVn
LZuHIstAASV+E4xN4W0wvVT7MpqxHGegr8tZj1dVWVgrgoL2Bm+wYazht11Ti9mhFYsxOhamlMe2
N7rt7AzNwfDV+MpZ/dkqqaa1/BZteqxd1oxUPgOUEqFllw42l/aFkwK7FsyFmFApV4TCNCfTjl2d
teGL0q6qTIswzrjDJmH9UjTT/rjVXeh55bChGvrcOJyO2UlLEuNxgMNr9aaEYTLJsE0TccOpp77p
+qZaoZE/Fnbq30/2NJ+majK30vAfoWM760HMYWQO5bWVac3O6pVxpcpS7XvPjCg+TNNjCbRrbztJ
ekn/5YvfNTaOJvZuNj6qi6bM/W1Ra8O3Nnej/RzZJrVWevFGd7NaL5mnv51T/g28PgVmyEjf+t5Q
a+bg05Ote3Rjw5CP2TVSHU6nsvdsGD1hLzdL+GzqxzItHxuNl0azx1GfjANZIY0tnlnVaxKXbmhL
l45Fd6TgLSjKwdYDM/XLW3eZiDAx+Zf78xV5z3HG2eCgYP4L3TjfkTdrYDS5LoiIeuCUow2DuRW4
ZmaM6dPYB06uxzdWrudfOD8up2hMRJgssBUS09DaIBWTzauAsEHVtbYWXahQvDUzvR2dtjja2LeP
yeyYl8SASY8m0fhlVI3aVG07fe88q6gCuCNd2OeafPexV/d0MnEgKt1sPKoFn9oEeOrYRR725ckZ
49cEw1II+9LeAUeoALeT3brQpY9HIe1ccTVWbL8d5aPnqcoQFY0rkG1iD/OYOc1kNJntGngi84ae
UEYTKyNOICslBj5Kij+BO5WGfzGUJafdTlrYvtip0o89Tse04U25jSNpWZvb+1i5VRlAO0re654G
b89Dc3PT3DkqW3t1FpsIYpJkqJecaLGdaaMRTAtyn4kbcuNmwn+EgJAHg3IvZIS5mvNcsikIrn4b
HL3YGKnufM+baDksE8St0BkSZzsqDGFK78Ynv7bML1oeuWSzvGjTdzgNwyof54saIFMXgkqqD7B/
R7kqIy1ZzwQDvvA0q9foGVjXHLKS3WTid2bgf1NgkNoi6PUP+CtrHNwViY0syjUOz3FKUTNGHbuk
rS/0fH4lpwZtEhjgpsmIjhxU1TCvOXBmBPSjeZ2O3nI/TM0UDGOjbxJbMJ/3Z76SzoouE69SXxyH
Q2jkqbs0BzrNMXOnKnM5jb0Y4Ra5B3zt6RiA5Zr2aVSOuJKcGkK7oWH61tsp8KQ33+ZtIS/LdqDI
2WiyZ6xR9FA6OaN/ZnR7b06TaF+xFbmloNII/boNzUmKy5L2RVHV4zXHPHWcM5mFLJ4Qwnu+7tqu
EmoLUpNFofFXsTmK/dLor/poO1fSaqo9gRNjX7a9E6RIuyHeHoP6vCjeKsgEqyiVd2wXZjIOhtnd
Ln4yv4Htoz1Ac2dOqKV17c4N+wvwfcMKkEBC46qdb3Hscp6OWMiFsXQXadJP98C9rU0jqzh0vMG5
FMzpkTlZiHyywasIk9xXsz7jy8hFhNpUEIK2uhkSbms7X3kILjvL9zUOyCgh05hA3Hes/j2LtPqK
Gsr6pm0cHbtcCaC6ES/xUsbrRi+KlVEPA8QMGoo4IzbJV2OJu6Mqi5u2rvsDdLYqRHaRF9jmOjia
dr0ZJ2/5IvTUP7WJypug66NlbcWO2pZWDejZnCgDBVC46t3EeovnipZqd/reF+QOc9ZMSKX5mKBH
2tox0c58QmmPj5IAxkfr4A1EDX/VmbXzldAe94bpSOz1HsbPNJ8uq6TXWLBiXHN2aj1TW4hBym3S
Kz2qqu0iav1lLGNrNXXLfdSzpBvjbOzswZElEY4IW2qqT7hhF29f+sXNIvQ9uwcR+MrUKYAWM19w
xcx65abD9Sjz+FGbbLJ7kO6C2amSLxn14DAGm3h8EHjKDr7ZuIcYuLXHChr5O9ZNLWw7cWxdzbxZ
lv5LH1Pg1xR403EQ56HNtXeXzUZ5NsGzAXVgEPs69tQlTvZogTf57HOpwe6i/NqE7UUsxdulk9Nv
Yq8r1tjOS6a40REjSb6tnbbfRyJDg1qwMY6S2Qw3VLLpS3ywcddnqI8FAQsvKo+xrVi+x2h8SVIh
txqlRBfL0LrfdbcovqlWald2q65bs7RvidHci9kCa+FHzXFEx9irTlu2Xu/268Z2h/u2TPoD7sGX
DP79PsnIHDYQJbcD3de7fimw5U9a3B5SI+rXVhpbN21c1V+Ws2kdo789ENm+xrJpfMVgO3JANwc6
TPVoeNTTVNsVy2Ajk6bZgZMCmkBG45eB/9CxHiZtBERILmVN1yOiXzwUd74Xy22PG/qEJU4Pp1YS
UGiiN486dgqGE2TB1seqkrTFrgUcAtvWGi+kncdPg99i2mmHeiUX/JE4GpZ3okx3CRokwMbMvc0j
3kKn513I+8OglpmXA6vqWib6M9A1jdYRC4O7rI8MSma8odNxjnTrvmjy6tDgA19bmhq2kEz8TTrl
0bPq5wnKQaqeJ61yAhQmf10PxrB3AWpuUFqeR511BZGIzpERwcOKP+jmL1pvzys1A2lxvWw5+D6p
pzwuLqbuwq1BYhDAK4crVL34nC7H9yfc4v5c/HrLpiq/qOjgwGirkzlJx9zLToxS9K3vxvIKJWxT
OqbcepNQl3jWiXhNtrZNMqvciMSIj7RvsuwYWb+LoyzFrUw040tjy2mfQOjbTF5PE0iW2eFojc8t
1VAhaQJbbsdRX05ydLMwt5V+qBdVbUCRTi+9R9Fu0Db42iMMEjYOibihQHpuLCaIy/S9yhP57DBZ
FGxzX8rYj1a8kXdois0mKyu/DmdYi/u5FZR0ZLkGQFXlDiz0vMwC3cqrSzkZeQgP2iF0wAkyxN36
itfXwJO2jDzSHOxIjD6x3ebZiX0vM0tRbBhCLRsRSZ6gY6QfFtaBkIewXCWeJ3aRqYl3jxgufSkF
1P4OkkztdPGa3J0K2HooSk7ya5s0jBm0Yp4uoqjF0lQZuKH4qp/Jusc7FOho7Va9pBZjbvODwrgX
xhgsKECFbg/sI3Kf6N5R/kanZ5fklLh2JQ+kYJzjjDBMp3+fpFucCO6xIAz0dptRbmyiaiHcd8uY
u89A3wxeUn9Pe/j4VlD+aH6ZkpwamOijE6abPL++G+eBTw3zIFWxqAAfPTIo8fqCuF7oVMxQTmGv
COHkLshOemi07lxJM5zbaeRHT43PO2SPYD/xM/WzRtZkMwOH3EdzNKlAP3feYHlPD/3gNZeN5E/X
rVN/NbnzzHxWG/bmJCKpcUBvJ9qVwuShUUdO1auKhH5J+6e3p4Bx4Q7mMHfl9s7dQgwkaBSgU6uQ
bUSZyiIvoPKMa3vx1Y0qsRNkZ0yqBtXwWoxomAzWIDfWydjvrIIRBqvBvGLXxyjGYgtjjG1J5AEE
q3OGseIdNS5E1eJePVNaUzzMa+ZP08p2GEYGrsbriVzWIIkG67FFVZhIx8kSwyT1tEFDJSws0DG7
GUl6himlr19HOzrFGdikQBT+dDvhlF4NWZxGIWWG4nKWsRFmXdsiWiJUB6QNnXPtrIQzy1M4I7DX
9BhbSRMELYDTw1Rm2V3sFd3Xjq0nZ6Z2uGKQHt+W9tIyXOfDjsokoxWZ0VoAqRLyTzSMihHYNKyd
Xor9nLXNbRSVdIukNX+0pw52n7equulin6BbozcPKlH6k05i4Kmq44eodMXRMnBnYhYU2s40JKGP
yhcMIAZxAShc3jJebKtVFMnKvcQsal1XSfPiLhSzBHKZoBijoi+hR6qOpuMlhvEr8Gye8mIuHjMG
ZPdUPkVbD2MCVXG9bmw5CnX3uerH14HsWShxUWOXjOWKd1RtMpVxE06qovmc8eUccPRgr9MAXVjB
kBq/Lez62PFrDIXVGU7cfHCKK79Ib1TMXEU0CxkfUhbGuvU0fY1bykd0B3OcnIHH8AvSfXmGIOMn
PiN+ASM7QvtWePXCGNWK7MDRGRwG5syiIex8fsxZKpjaDaMIl8xdGNDAXS4Aqmw7YyhuqvM+yVy4
rhQtFIHeCNAmZ3CzZOcbpqlf7yqmQNjvmYly/jxvZHVbHW2TzTXpi7OrdonX/tyMLh5fEtHNU92N
XnnS86w1Cb85HMaaD3D0ULeJF/aMzs8MVstZXrX5DJrWfS3bOfSA8RcO2vzYVZOc7mgVyXi+ah0H
3g73PqUxBnQoxtmSIZGaxgs+EuURxYubxAnNVq/7PPjfpTW0CeUM09UST9tIcxtaOsrp4Sf559/I
pPrZQ/GzpnIWYgXuCpddGerO2Tn4sxArm2mk7Usfr2DJ2SvNZ4CmGwPfSLnXiE1H8bNRmuf6joOZ
2xuNDi47waHmRpeyX9Zt3YFJ1rY+LNkce8afv7lPTokPDfdDvAYuwmT/M7us1IemEjTEXEmprlzJ
XjHaoeH+/RcBzALmQdBv637+AGxESA69w3iVGpDa+J+jFZvKrTcfL/OPJPkXkiTzhzPd5z9LkjdJ
/fr2X/u2eKnQ3X8g8vev/+d//fqD/7Lf6QYeVQdsqnMGGHCd/ma/03/x4M8ITGGflEnjF34C353j
4VnjQuL6+pcyCfpAkMlHPfpb9FUEyN/fQRY2KCYizDKAkkJz+Iw4aFTcq9JnfdGAy4MsTupbPze6
dB17VDykhv00Emi7LDSZ0s0in9AptL0Y3SujRkkKyyVhqtta5bU/lNWXohcPTKGJvsiiyTa1RXn4
0tMrpDhU/D/2zqSpbiVd1//lzlUhKdUO7uCujgUYjDFme3uiwNio71JSKqVff54E1z1meR+Imp+K
iqpymY2kVOrLr3mbrbcgoQfXBVORIbzuKgUhWdPyp7x5wMDkKpirKwioZxA8k90o/Xg7zTWZhEIX
Wcn8abKn/LpmHYEydM1mwsiLMi6CAOxDnMrt9bKN7ZvAGQQV3PwAgUkzK4Sq5tFukWP+NFQFuoAI
be/DNroOhT6bcZOAtoPSEOnh7KjbRPuQdfLp4Lnl1bSsN16xYFvHT2GBskF4/mHpRjK8fn30x/Ki
Us5jGwZf+2U4tBVDV1ln4q+k9465jILNbA+k8pggw06MsP0QX0tVPYT26hwggN3asrwyKzDWoOS8
snoqOtB8QzoWB7wn252oZ0AaKSFdzeqOlsQttqfBNnKD1LDXHxFbj1Gb9DBqWy4hMiHLbrzLGJSw
MLbpt+IwmE0obJb6LkDxa+68r5mAa6SrB9kXD3SWr8NMcO7AtNt7PNDs5U/tuNx46I8fFjEe+rjr
N5ZXXqxIeG7QYayNeCKFZMtCuZlMNox+x03swjPKcQTZTsbob0T4DF8ds5ZZ/TA5C0e6gSGTHSOI
xrU6jx+w+vUG3MTN6M5noKAunYg2GYXoZRe21laV2ZMA2ryHU3FVlvrS5eUcoxZ3gSLnCaGu3OPo
hKveGMCqi4WFAwgXQiqgoO3krTTkiot2We8h9CabzNd3NSelXpoZnyo57ii5HxqF9RzdpkfO7kvl
pvm2yGR+Xfbh11zb36NefKRdy9Qe/Y3FHY+rj4tTr9UdlSuctW5ko4pjWvOOLBtoZjmqcTNN6yXO
Wtl+nnmfaCyLizhkJ2CHSfHPkbTB7uS+SZ3HWIAFqklVNmNaXZBc3/VyukPx7qlGjH9rB2gkTbW+
E1hRbrD27g4I1sf7NbBoH1EZb5/X3WmCazwwvgLQoNvq+dcdgN3DaP45nnOTaarvWQRf81AuR+Ru
1o3l6OvOtbpvNIViOv7QPiS54Cc6wO2u0mmypezyt0s8qiOS++qib311PtRBZJBM1scyW6q9IXx9
bBBgpyKs1AX2EwOEpko8js7wbVEy+OBEZYeGj25zijhJ/VbsAKGJXViu80MStmCgKPmr4KygwXaP
QMh9ra1g2q3egFcm9GUsKZNrrNW+SUHhV2o0k7Jg2a7oKnQAXvc96CgHzFEQFJtcy/QCUSnalGF/
jXHeTdPS9qQret9aZI7D5Pt7NeH12CzysWlc0lS8FvZV0NM1YhLRrXFwoOk+4arQJjfOyNwR2yHa
nIX72DptR3Vao3ChcOnQrnMQIYL23AV9R1hVsFode6dRnP7o2eF0pl023VKGX0MruJ7QRThPlHyy
ZnnpBeXFb4fOPyRCJs/5LQ8iijNwj5l78+mHAFtO8qC8oL9XzGV79PAQQQGvH40jwnXu92jvO8E7
QOqTzOb5ajEHmlEZ8lCYPplkxd48NcEC8SHlUwfkV164lcgAKhLQ336uk/zOXAmlyyjkYjZ+MKez
6TkMtSiovI8uKLA4IRqacFw4M2jNAZzcOf/Lfsl1XlFDfqeCnKhnvVwTyHuA8jYj7vBkLVPRxBle
sA2QXT/b+4O6azUftiW842wZqhTPC9PvUg5Et7cf91RZ8OXaMQqpYehg2X2qC0dnYV4LRufHoZYC
kFAd3SyAaky4uESCvzzasX6cBw3hc1aQkhUVq4wbAfxuecww703BvU4pOuloshzjGH56QQMCUuHl
HBC+o8A1Bq7s1ba4agJ5qH11i7bnPXal9S7Q3vWENctWt2185vs41abk3Fvc+t5TTP2HLcSYFp0/
VJxsKAYnW8itGFO1rtccM3c4eK19Q0/npjZV19sreirh9LyiTFvN0BewCLqmfDm/QTWQP8K3Bl2i
YxrjNjpgRrY4OZyeiiDcoA63G6Lyakyd+lOllptwtOtPWcoZ6q3pU6+IyyZVQU7C2N/qS8oM+nDz
dIeu0bWgiZdFhHu/y2tsYRjT9NrVX1PfXc7q1O32Ol/yy8mWwy0kwHstOfYZb3gXCJjW+znAlw9O
5hPtxGDTYHe5kUz9zrRVPCXteh+l02EdBw7vThyzhcFX1uTot63GfERfMgGutu7EbGehteECkj7Q
L/4mqTZhKZJjvb2Q/xBhYIlEBkKDSDTGR6/XcQ2ttvcs0RxXbLNMOqGJbH7nBhtrFse3r3UCr3l+
Z1A+Pd5WGMb+aeUk3SUPK29pjpgl3npDflG37wXME9dvMPk8ChLdVE78Z+yeCvblWY9ol21D3ooV
FPZcu1Bf10cT6fNVIO0ik4vS9Y6x5V7PSZzRnKsuLJ38NRTF9wga1QaKsASBXAi49RziWUx0wv79
ynHSpzVAaBg5gfJYCUQ2Cl/Mm8lehw9VztA56r5EI/93gDDNOaZqmPr55C3AxMdtH/fdwZUUskjE
uGcMh8xgKH/yEXeAMFleKajipZ8u2ygoSFCxEdA+WgBNgycS3h23beNme0+s7/ike//wxfIuYuZ7
xGHP893XGwDhm1G3S90cnYpCQWEou80R/0cioOSZ4TYbd8kCOnV0XftIGiYDWqyrU3/Em+Y+whVo
T98ZJ6ME6N8YICw8ZfbXuejELjIik6UKrhMY8dsp8a8zpsY7XxKJupZOTlgs97Y7P64DNW6Yf9aC
7BAn8nwrLX1WZvb9QiKGgE/WnYlqPkMu7Db16ZUVkv3pIT+xGQI1427jFQxFq/gMLZr7uJPqhaD2
Px4d//CRcGaYfzlQjFxAZq+CzZz2YTXOqjnOUbMjxdGM5rkdz6Zt16XvvBHnVKjZ7OGIU5iwBvcc
ksnJN9kjJChcRtVwMYZm7wSIyuKYeJFwUsUO7weKHy5eCwUSw4SRAQsZYFpdMZlaN1ObBPT94m6b
16rfx8FK36eCfdUsEWgG54Oloo9Ygw/bLCbb100rwIcPj9jz3upquWT8y2HMNktF+ZDMJkud6VbS
tuwnsNK6dbekq3s1FtEBRcXr5/Jy9bTY5T4/GMvyIrAQQSi6WWGxOIFjAQN8ruG4PxdBwGPa3TyW
7UUzzXc5vSysxtNpu/aUev4638kxRfMCgfxYqDu3dG56K78QgmzNwU4JK85lZ/4H7d4eJRSzIbtJ
HRxPDnvzGQ3av27D+S7AR2fzLNgcBZ1RbSZbspPiSvfg/sOOn2by/hVNBz4x1Po+xL5+lEYnfmKB
iyq/Qt8PB1/EVbde5X3F3poGr0cjrIUwQU/WUsXFWoMylikf8DhWFxTFZ3XCyYImExuTryOYx6vK
8b9lw9xclI5/rQYmxMiUb01hpBGkOZsB6V9CxruuRu+rK/P3zuPgHz5vch2ATogas6NOyXHVwkgN
p776OITLYzOo28Hm3FOUWYnPZ23yr+dSux1jGOyQtSDf8M03GVyteQBeUfCP9bVAbKUp9nEZ7yIl
RbirxrTfwhlq9rGelmPlDBYFWlkjduTlezgd6WMPaemqkzGqHynn4rhi/tKQ/W7XUFy7FjGmGJd7
JUi3bCm6bWDn01anKORXEZl1SmHIeZgJ5s2wBuHPFNPdqIig0h1vZURJio3wlZqmW88H1d5Wgd7n
soQtM0MSymbsy0Glo4u6AnFfHrH77g6yG29DqoNjmQeYn1M/gTi6E4G+Mdk8FrW/ztf/7bC902Fz
sI75LTv4g1v+/6qHoUSY9L9bay//xL8xf278L4xqoU5FIW2sZ/zeS2cNyPC/6Kuh3ok8KXy439wi
YcMKz3S9SLAxInFM1/RXa83nr3z8SYzCvlEnxvfoP8AJP8up/3ddZm7HccFbkOTSnwV6fFJLoH2y
1GgaeD+Zb3TFU0XyJuzdPLtWT+NgLNzlvkAoZjwMC4hfdCYX33/EGKJrPjgtfAv30FlGjKHsI6sF
ixAnSCyQdJTwtaQNbGnZwskMVuZRiU4VPROh0MXaiorWFaG2QP7jI3TULmR2Y3fW/CUDoSH3FR7Y
Iy2nJc5dytuJHvuZGFCl9jc6L/xYbqtZw485NKoYuny7DBkMgHcIi445n35fnRhhOZqicPsD0LRg
N14fl8z8HJgUq/+zG2aFaW1Np4upifSEKK+QdYq5pHbypn7qkY1Y7hAMj7k1OlqS52mcOdVffttb
/1BHP9cdr26JhBMpH1JPwiCa0Se3FBawANpBpj8ckFHlFV2q9Lnz1UOlyEBncOjVYY4qIayDLpo2
ZaG7MgQO2bUlDcdhIdKHE1Ohi8pWAy0xRHJX+hmV5lXsR2Lbep/BvrP0PljLPrhe19Lhx5A2G/we
RtQwIQH69kO9Tqc9JiNmD2K8A2eX9vOp8QaaGDq3yqr5aQNHCD77TW61t3VFjXHz9oVeV87mQhTr
xk4E7KKxSDjJRxZQ2Ugo6eQHB4xrxApwXfeAi9l84VqEhfeRca1Pp2AJ/Moat4iihOq2zP3mPe7t
69Ps+U7gWOGB5SMyRs/dLMlvVZ9Di5dKuQh+qCGSIG67paDzJkEohuIiHQDpvdcTMRvjt43DsxNM
PDy32ITwy0/76C6CT2WX++4P7aRYdv50jWxLdk7SwV5I2948NlO4CWjH24t+IrdtnpVs00UTmUKJ
KHfaIyna1qEZ4NY/horzOzzmcdJ8qWjh98YfNWVe/FHHa2LXH9pcNoG991VWrvfFEHad2IBUTTS+
oZyB8ScyRDQ4tplq3OpDiaZitBzxh/Bq+R9VeNwzch8RgRe+kx2aNtLr90M3zgrbKhSP1URis+z6
pbNIKVS0JhRCby/QH9ufxBjmPf8mR+akOOkAwBMeJCrwwyO46olcuAiriD6/a+Vsibcv9ccmMF4l
eA1DLXewUzoNaE5cRq4GfPrYIBTN4korLosn5SykkG1bB+TQWBNhG/7OdU8snMx6mrwNaDRGZcjl
nIatxHIg2wM//b6iw+vivR76iP1vw6jLpL11ROUCdOIzKcOHBYlpUuteSknyX1vaVXcI1c0kpFlE
g/p72iB9eRCYpaM1jRfC8J7pHm/65GPhBkN6XLx4ChjkI05ev5/OHSaosv2OcSy+T5siWsb1Zgi0
5P2si50u6iweuiG4tkSSsz+GxvM4DOg6LgTLGADU8si7rIsnptisDMefR70FuRs56aeXAAxbluji
ayibXzEDQrJsq+qw5KWragQQhsD2GHAMN+ik8kayOjEhGkGWjAu6EEeiTxSUo/4bpWJSiA3iVwlr
4cIPJMjbax4w4XK93pTufQak+6YLvAKt7XlycoDYYzKsN2zo2Ec/uOGLk2tbcI9AoeIG+9Bmcr6W
Q9sVzX4KdLXer7D41J2SIJdvId2gR4ONbsE3sckyLNXRNkR5i0vXIstp8hSiswgqScTvgMVsF0WW
HpasCRp/M8yFy08GeHryI0jP0Lk/83ElGD+Nc1hzmC29LgjBg8RsBKJtGnNpK59jfnwVqK/CIsAK
giYXzvL9332U++qYeKrPryqviZYzA8ZtLjNMbqaLSU84+W5BFZpvGalmZ7kERZpxWNrJaM7MPkpc
ggiYEdPQar2mK8vjrwdghp3xqHiYxkGxsxEOZEF9u2H7DTo1AbMCYmLV+35IAv6Lid2CMObQlVih
/Podfddb+EpDOc4zxmOYlWlA2KvPGkxYFHNp3WUE4kW0PBMyP2ZVPTihrJwfdRM/MM9jVl40lZzo
qzlZbK4oAPQWTwt8SZalQ7uWxyN0me3SxtQ5T6KEmTjsiyQo6ttm9NuQAafhoQSbDu1AvinVxDG7
JnUBu9C01qBZnhCoAHN3GClhInFhgfxbHvsaJ9YOCLQquD6OhMD1P0cV6P1it4Z0ZRkfBI0CEoIt
uMndCkcL/m6ByW8eooi7QF/1IlFNum8tad576CqiwF6uQvEwrQvwLAJLRB+vZrwreqEugAh5/BYE
Oz0+hamAW1fw5seQaCxxheOWaECbC80TOpDFzoszU94GKPMuj0vUl+wUsQaBd1RINXF7RZ1HJm9D
TRkZgoGps/81nzz+wCBsCbmtwsOqGMF8BsbF0wTbgOVcI/QmmTyRAnrHYtQe65PagdmiJrVWd13U
8J+9A7pp3ISgoqjChnUly/CY4arbRS6rCR5ZSSJW9EKaTxqpFX6pZIjBm/AH8kbmNZ1DwwC8vssq
ZG1odNKURhGvvkJnkx7cHvt2yf2t5GJmV4s8Z1aI7vHq+EcmAb6Wu8K+g2abx2rnQAQykSmrsmI9
gAI6wEZPgZuO5ZJ6WBJlKwp5qUIX+cZfFs32jwamON4+rudqaTj65jZA2ddXhh9vj9i94xpSiPxj
62Q5DGBydfOGG0gDtgM9BmyqdZ4PthF90rIfQbfrCkb6fFnizcU9JtbAu+nxcGn9h2ZwkKbE1bFA
//ozw7fEQ4dgaGMdmULam6s9gZhwsx9FWiw9Xn4TBomQooNIq03iBmMGxrGY/BQqXkmYDR7XGV1N
ZtKOt/DMcaHLFWYJxnxZln5AlWZywutRxyBst0temJASjvNCX7NcMOykisePhT2EOHpfppctFvT8
Xe+qSWI37AtC5dAj4k5NjuiiaDbatpypvx7mALT/oWj6ibeE06cZOdOSnPldcW+bKDix+OxcBAaT
UR3ssZv5SUqYnr+jo2viUmmrWn+Kx8JkhJk3pYSnzkPAdb4cM4vooFhFvgXHHQc2lMKoeWnPefv9
4l9GS8pOj6ph5cYzbU1c2nMA53UHwiXHkVoYXQuajD66E3uILuaQHeEhsR01vs00LhE+X4gPSwTe
/aO2Ue1Bf3Wpfe/Y9WPDI0WtbOVmrdFThPWDG+PyiEgG1QgTeFOHEPXN4sxtLxjTlJKoit5pViDe
fT4VoLG6DZiPdIfed5PsaT4mQPp6zcMD6auI9mqZQ+4Yrg2K+Ie2zkI+7ALIIZsHLdXn5s7Ltkbx
wvzd4uEijrJGrk3iHLTGuH07WBGHloNuH2ssQgnkYkPWm9p8n1aKaNnWixJmleAqnbC7dnPC7m6I
S4Djm3B1luCb1cyV/GzXGsC266I6vpESkN5FgN5YCZVfTd0jDt69dSnT2vIMeDHEXL3p8v5bTsxd
kUukUfQD+tEqb+sWeOfDDAFt/rhC1rKNNSMjlk74M2gRhJJimng0Tb2BNvSMyfm17LMEOcegBln9
QVQcq3tYrpi297wjxroM/voVZctGSU8jD1oqk6SucgZ154VL5cabTlrL+HfsOpP3OQDU6eH11Xul
tjZxhcUSYL2Y50eVf0nS8XzMOMmqbbhW87oiCV2ttjwksOHbS83HAe9qLK9m23a6A6qbqdj5JGjr
XVq4WcvBF4zhxbAswGGEh/LtFkmJGAUOephDvLNQPkXRLYRPt8X6NIXlJUZYsTZdriRuMBdzZicD
Etxpp4ETH1ZrjnaJ8K2brmxr7wvq1WiQQtcLl46OcGtrpjxQhcYraxgb69azvGG9Hxt29cZn5C6/
rKECxG/wF6E0UHE/XTXCTiECLDHijeVZko+FPqywhup2E5etYb2Ech366LtTF1EDrQslB70rg3Hp
f8bMSRC2nsKuDTcIIvsQjhGl7v1oN5W2D0wgqa0SqIMTWmV5RlOXtDb7Ca9I0JXctlEJBGbn+OOy
4mAhRmGl1wyTur64+ZV928htB87tnNZtC5kY+4BnjKVAFvcLlm5d5+26ZJYJOta2nZKjLCpkQorN
yMwHI1EnYf8DMi/4DKVAOIpjJSaQ8HH3kUkfgZMiMLTPvMBEOLS9TIaZW+D/E5BPFXK05sG6Obpc
+9QiJUXpWXH0MH4tOGXGxkdb/2yBmTfC7fJbk6egMGoqh7Bw0IrAXF7VTDAmqETBV0hyRuTB6awQ
JFBqjfQauqn3CZP+MJDZR1BKOvfMc32y4Nkmd2NysswdsayIUOecLxMLCoiBGg2+vVcgSVZxjD23
IiWCRyeIKQDsbR6UvCSi3+T7tTQBsa5czug5Qs5+Pp8BirBAAFPNyRn1s+ZOZZqFXHsK8QlcPyvP
p9G7bZPYoF3ws0v4lga/ldw/nHATJ0svrPgRt3Bi7qhJusEBGIZjIT8SJ4po446TDL7Pc98gX+oi
/fshbQvFsTh2ncmlmi40KUsWj2aNxrYJRudpQpmRfjS6R2qCYOA09A02iGtAXYJTwdCqviKGLyZF
em73BENtTqlfJ5jntKxj2dqmYxHAB+TuHZFYLGSXYubRni15TdFRTRYLS5iBLt5tp8ECV3/890rg
CcBoZeqw4qY/1GT8xrYegxptcoeBS7UhITJbMYeOR81S68T/iuYbvaeX18iB6Tj3lH/TeBf1ieaJ
RdEgZn6cBhU68rpJSzVnN+tc2En8t0JGFrAAOj9pPZ97pKPglULXZLGA5k3zScpJ5dl5Z0ObBIs2
Fjkp+MzglUMxCno2S02/Dl3WfLZlOAJOc8lSUjcx2bxqOyn9o92lg4puGNu4bf4hSEKb+1lWz3wH
QiCiA4S6JMm8qwbPfCI9YxAaXk3R8wOJ8kyi5lSUxnnvmA0mkgmE9lnvhsgK7dKX0zVTKuXQnFCd
5oNivkMWGABYI98cA7MfE3jMZNY2K8DcfEVul9Eo2pv8NFmJBGBWRSHHpZNxX+42y0KTGuIoj23D
zhGduduXz6Mcfd5LhSAuL1UOBL76g9AQ/r+paEZT7eg7YcmEsgbLzzbNF3KC4uBJz+zdqnHj5qqe
nVSNu7QaIme64BfUgqQWzBvvFlxczbWaVfIIdqdy04MBuQAkSrWUfGkY5/JBySkX9WYop24kuCyo
EX/wZgdHFAYxLvusZhLKyhadT8VmO9q8kMGLSS8pPHnP4+Kvy6WYXeqnIIwXrUAiib58UJkDK3ib
vGQ+Q2orco2hjSRPm+u4JDH4VRFHK6L16qAx26L6alBi5E8pNQtQSgxQ9SMS2iD3bJB69lZkaK5H
O5XJdLCODNHEdBeslZgscIgO649dlSm60Wo2WZjUjinyw1iaRD7tWvZHMiQpb22saeiC24+sNd7m
UvkNOUoM9eeeVTcRd3V6at5zA/6ErUP9wHYKEEPmF8lkNaGyIyYHRwglxi+6CTVb/+hEDuCYpYzI
o14+vUZVJrWqrDqGybv0bTX0aKCpwWyMZjZtMSsRi9mS+FPOzUfb07rpWZDVVNx+bI0s5Oygxlwe
qZbT7ioISiTkjQBqepag8jR9CvC/Gc6jSWPTGQ0uNQUHm+WRH+DuogidEARafk3s4XYUnxV9YzJR
F2wlcWZ+qRp1maIOdN4XyiFIkfBPASi2mei8j1NlqsCXwqJKVnPT7aphA235ypiHb8ZopeL1VITy
/44iyWb3z1nT8EpzZzK3PjX4AdQg6qZkHNEya7zyKuxojvCD68KOgv9oAtbIawRvqMsBfjAI83xY
mQxkoikfRKtNhb68RI5YDybRrR0E6d6Dgv1DzwgxxRj1YKBu/h92wAh+R+Awqvm7TkZTZ6rMqvAD
tzwsFVHNnCTP+05b7bRzSJuKEbvPnN1jvk7i9LpLuXQNVuFjMH73g9lMb162RoU5B0fX253DPy8V
IiToxmDOXJrnp+NXN0u7VdGd+J57iYlPsPcEMFpNsCZ2vX2t527g771qhzZ1iOagG3qoLv8xlcIi
ZajmqhTftagnCpkpM1L+W3/0Mj5DZOEdzsI1aAkaU4MOMk0UVfVg4LrRpe6mC2EmGzElr4k9L5H5
1+yjkQgNkyKF/sCZEAb9zJ/evv0/lgpuNOo7MQIBlOPuqVislkk9pnPoP4yQd7kPDihTFnK4UkK9
fak/9pyg3x0zCmISBG7ztHVMGoWYOwnUA4hAwfQ6WSAi3TtraD6RIEmhu7/zcKcjFKzuMRR2XWB1
NKuZi7/ecrIfRJQyK3josJTht4+aj+1myonst6mLov6yS2LyfZKJhT//rNzQlh8NKtt/0a76H7Es
p8vM1NT3TXeeMSn4ktMdOTejBhqdim/0JCgdlyyjSxU1oSnn/7NVxvzK5mmFjQgxE6TT5nVJYhgJ
p3C+AegPAeN1lSnN84JK7YhAg8ka377gayUWBjSoutB2ZsjrM+GjffR6kYGkrASTRX7D1sL0k6VI
TJgjKC6810T2lXY2WZ4uGdDo0s84Gd++ASNb/mpaRKqFeLmN7CfMJR7dfX0HVIlZ5XRh8w1K55I2
e2ZZa7mn65HFxdlL2qKg2XHmBR6yhQu+ZM9NccsfTcurDka8HM7nl8WpC9+0eGj9L3zFLXpVVAtr
FTUcCUOJ3dKwi8RoRVAkIC0TrcPZN4elWqYW/G6W2Hz4G0F0IhcZQyiXj84Mswtj1pIW3T4imXfH
85zRcrTu2tIyudWgBpN2WdLFZxHJld4c50GXk9sgM2mO+K6THbcVvjToB1J7omZZuiZpKtCSMser
65hkOSlqwMsbe8BejvZYWkg6k67SyjRZYP2+B/47/ayJe3jjBrDGYlf8ubUnKovMstfl7zbrBTlr
2o2mBMKUxWQAv1rWb79x893+HnJNqEVinhkNArpgUU/mysycEAAeovnvOA1Mj3HC96a8Avnslta1
Pdjcwcar4okiSjuJSQqtqjZ38/ZtnD65EFCJiJzG44lv7hR2i9ttM/Mus7/LlvbnBQzlsf7ilrMr
P7jD+A437XSTI9vvh4IGaCAiZqOniEGAvymGkMPwTfUdKCe/CM22KIrOZFZvP5dRl/t9ffntUQj6
3Q5CJm/iheb028A3nbVdVY1yv2DEgehIQvtyTA8pbVQq3byYOR0wGFxr/iukYcO+1L6I7ynWfBlt
0D0lSb+k5DHz+26GbksfYfVMop7DYvmKKidfRdYWmWlracu0AYBwtnyEKgpMm7ismY7cGTYqD2eV
PmdRmlpmUuSo2sRrCoJS9+cWej4LFL0W8dN30Icn680axMQVm+8Urfc/B8G+n45xHSAfMtV4zZQ8
L6MKFEpmBA7u315vo6T3er0JYD7KzEZOi77+6X6e246equMld/irPl9rgh96XSpQtRxNhHpC0Mvs
vQKkwyo0CC+xuX/9SSpM/gxRyWZxfS80/UxqwY5I59ZDQkfBKovJWj8MfKrg3+FRl/PZIiYKpj00
EcrjfCWoqcOvwR/TIjNEsqrC5dtZI3vl71Rbmxe++gVXsZ4n8eFLa0I5dEDHHfwk8yYLh6xl3qBN
ad47ZmGmsfxrhMYXyd5FtMEUz0lCl0NsFqeeaYG8vaTR69eHuwVOfIYkaKOGLwyv9fWZ0PMEOPl1
yWOlRPi1kA1Ovi7j0WNQRp1Hjx+oXerp+HKJ8irZdR4Uhdotq3v0vm31bJrC0BTB19hakGNFirP/
klC/DjeVHtARAqruHvO4+FQzantUnTd0m0BaGXDxMA0+Kj9pLzM7H644kbKVaj1DutcaCvHXyhxZ
XSTYX/jw+mLb29E1LO+t1RopDiqdzdshljcep1J5gDgmrsJFqt3YLf2emXh1j8yGB2fCZUpQdCPt
vLacGeGNaIWBA/AvF50i0j2tve0AMpXhncv5/NBlmCltEhlktDDSYThz0e2/m0Mx3ecCiaVNZFvo
Ulj07f5GEBX3DKuTnyGXDaRFyXQs9FQcGBMsBrrJcBkZlTi3NpNXq4sKBa1xhji7ibKi+GuKAsx+
o2TCWRGtlbu1mGiJeY6FDbNlefCw7E8o7Njf3WUcvjmIS3/JJn/aZjqoQeIPOZImQP3f3hF/bAjS
L4NOI1NhHvRHmj75aLmVnqx/9E1DPSeqrtSHWjjgwd6+0DMu4b9PJ7Ye9ZTrMo8HuGyooCdbz+jO
uQq4CmJHLVtJuMbOqKUOyHc6q8Lbxq2T23xIrA5ivh93O6G6HNXu3MdetxpBQ4FhCz5KqMgXjdWH
XziG0HKg3Tbe1zVnujs2EKfc0fE+2apo0OwQ0YeGruUn5S7uXzEkFVjvrWPjhlSmH0WNxizq2HVA
U6NkRIWMPv0mGS8/ijYd6bBP8uCkvv1g61FsV+qqdwhVrw/K5xV5Xn3SNA9z81MoEyafZdj7afOD
bwU7Mzdpyj26voZbJu3gy9vr/zqYvlwsBKRoUizy59NsMFk90mpoPD8CO6zBZ2n7zkFcatjUNXh/
T0zU3mlbf2I8G5bv5MInIDwubtIA0iA2gOCMPk0JHIDZ2ouW9QdAcnZZlovsDD/B6qhX/YAvePW3
sGK9m9yUoUcvreDoIXDd7N5eAt9ssVdbMDRgTYMHgXTFMX6SIDnYjjI+yMIfKWJBJe00WaKBhwzs
bmBKMu6UV+tjWI962uRWVzPtaesjQiDxleoCwO1VmFofVyf1jogf0jiTCSZe6ED7W1laV/nShB8W
aB2NqMUdPdDqY2uxOzcBgzGAxqNm7FJA1N2GXRzekjbij2WosEtQ5NcixMW2pFN8zNO2+1j7Izao
bTJM35cqm77Abyo/WU3EARFoZz4Id5xxDZN5ejdXcYZAfI+cBhoYDqrLY8oIICz6gkEIZ+Jnz7ei
D3m2eH85dLUhcJVGOOTtxX0NS+IVs7YwA8lBA6rZ8JRPg6cW4zU7TH70uedfW70o7rtcLAuiB42N
dozxhXv7iifUhOdLkhtQ4qArCwTvlMgG86tCcqUrfiKy5l3QNsNeLZkW65JGZXFgEDES6f1U/uiE
Xd3nqR4/oHJhf7JULA7v3Ms/bK1fzBUHi9E/OkfCZdaGkn35MwqoQKFvxcV3cAQLc6mm+UnWHv5Y
hyk5Dxrr+wKXB9fnQKEQ9s5toD56usMjA3LlA4fxT/X5+nwHizPUwxpWP5M6WKZdMGBSG+AjXH3I
q2A82Pjs3fUSisyCXuK+ixP9dxZJ1R2zYXXu3rmZf9gS0OHoXrI5AcadYkLXesJ2WZfFzzS0g8/I
wQ23CCxaeNVyjHHETNdT1Y8XndfU5xjXOFdjE3ImQG/RN3mYRUBem1l9wMpUPIHN7v1NBKvi89t3
+UwkfR0UKBIIvs8OREimmBPyt6xewv6HIsVLSjWjITouGAq2mMCqXV9jH9/bbklvqm6RkRt9urw7
vIThyQFk3tHhiuMto+o628k2gM09omhO057hR2MN2VUZ5MMR/wN9HUxZep4iwOpheB2782ZYHNgD
aWfX00Y6UbuN6hXlKosNfSjK0bqKAwd1MppQ1ofn14ikAYlIgdsz+lzkXdsWeboPNQN6agFRK3ST
+qoBDISB2F4xrr73UUvak0UOn0f8IM6zuhJyI0OATsQQBn3bgH7tDc4qKP+FQDwxVkRh8QDRvYLI
DGrlau7QzcQctQtAREdu65wDK5rlmR2k7l8otedfJ3wmnrzczWnSKTQd39vQfxxbUOeAz/OJg5mm
qDzZ0Aqx2DruveknXe8+/cLp5qOh5XrLZhpsde0GqmSmNKyYNEbSb5+y1Q7hIyVoBZ1BnR7u/bhK
P9gQib640puYkHAKHGQhKz6GtAi3Xs+49+Wu/5dncbd0P//v/3n4ga46NswUKY/jK9aEePbV+5+V
TI4P80Oe/8M/8m+mhe/9CyYeOGf8LslKjU/YvxXZA/tfNIiJaRT7Pj9C6Pslye666C5DxYiBe3qe
0T75/1QLJ/oXBADAueC0IXjTYv1PqBb+f3F3Js1tI8sW/iuOuwcD87C4dyGKmtqyLXleMSiJJkCA
mEEC+PXvKwCyCUge4YhGPHQv3C25iCpWZWWePHmyvxtFUy+a9zmCBCuD11PY0bcVQB5BvSV7/jbL
YtF1vN5lFRQl3nNeBzQEjfVNeuN6QXofW776znV96VZ1ElwCXSJCCDxUuYKsNMlNE38iJ6rMc4S+
F0a5jz+DYTGOKW3QI6fm3XuzTeH9n0ixQfNVl371Be7VIoY4+1KVcBhdJ6R9hOhCH6mVf0vz9/rC
2VjZiatIxTqsJVoMuTqdLaSS7g9lGHjBiZvlhxXUsWoFSa7yTjcuyzantwGhUeqn9ZkVyMmVUUnx
HZKO2xUgeIUQLB1LVfKdn6u0ph1hjN8616o6X+/TjXKixhQ9b4DTb6hOppm35HknZLvU94VW1v5P
fLjGT/1mrpuvwKSWmm8VSW1k5cUNeGSudwAm6DZn5ts61ZxLuBz09FHL1DyBhidkCdQkR2lQ3Tlv
MGDqy5AyGIRiTDtCDw1a1nntYh4JVqJLpy72KBcY7iu10KMHrKn0ER5IdusK+214W0pfjRxJDNvN
gw9BsLTPN24anxU0IHpt2+n7PKD+3YjR7d0c1Heqq55brvOwTczk7sd3lDNAnmhBIDBysjc0cqIs
dnitx8Ajm6Uc48lFu+VnRXz7Gyj5n0golG8k0Hk4WVp6CcKZL3Q33KnoJOf1WaZt62t4s/Jd7Css
g2McytcbMnBXh0gz3i4r/pRgUtcQZBTqztXDa7cwYSltkvKNYS8/AAWo547nBchm0NrE9AP5wgsP
IWUqqXTu7zXztIrSfFHL9CGCjSzv/5Fr7SE0i5eHVFUuqAMyLio75VbXl5QKlZW/KCnNXMiIKtNn
93MQO6QP9ehw77mRBslHO9zH8EovIT6lF2muwA50kXGN98UZJN/ylkPpv7L2iOMHmU9LMO1Bpjcs
DecJ4bNTf0vXWxvlyrmHNAUVmo2ECy2Bz+U6JUL0kMCxQlqek2lFkAOAe3uNlg5tpO1ApQtQGK/t
IEFSMTyktM+kkjEhRLEUEpFZduGUsfcPELR8vXSr8o0dKvtrw0+YnKoVAdxht95eVKm7dea1vlFv
If+Xr7NcYUEhpp0BJtUXsBo5m5Jf3+z2h+yj7mbJnUM4+lInwz+X6fP9E4B0YLOAeGzwM4FXUi4s
gj+tf2DoXrBcbvaWdOvmcn2TO0V4LpGb+4A/AVHXKpw5YD57J43q+4Nq1/Msz+Jqrh8q9wF9USRc
THV5leRy8tFK9Pg0cAP5PLHjT6Wj+6dJYe7e7xJG8fepEZxs9xqdifnuX0ZLqsjkfIMEmrEpFxVS
DLclYkT6CcCNg8QesqW6u4QeBr3vDOYOUilxTRE+Ap65sjBySV14ckE3sW25L1+lflTfNNs23iak
7unBcJ0mhvJSiaPllyiw5U+2tMsI85XsYyjVySsv89LtyS528c5QM/fuQtk/R29b2s2hkhdkI4rC
PNdRDLIWvu0ieCjDvV78+OgOir3E8qOfZeMEmya5LhK8/eU/JBSjbup0eaumsSmd5gpkxSpNpLfb
2mEGylaFiptk0rtt5eHvGWXsxNfwf9zy3AYoq2DhlayMGiTLK9vfxyuK2NFBd5JDvKG4KV1+TvWK
yRAMKbQLKqSfRDbPTUAX1ytxjZDuasQvjgxuWPsZatIb6zYw63yB31i+ogMRyruQwlM6SWJn6FKC
vVBFE7zQNaSFSVpoJS9l4x/lYC6/cPY0DHMVrbTSUl6aELeu4OQVyzN6AizfBVYC2uSGm8D+ifc4
qAFpFp/6S4sMLu4jlcWDvX/YpR5ahwfjNkKWJ8RPzJZf2M1LOgtmaUCS1auvt2VWvg6sfXie053e
gx0Rmpd27O2vUEbx5gdHTS8D40DTdyuR3sGncs5pF5VDPaMI/XVtZ6SgVeZ/QN2Z7uDZIfsCTyXm
K/L0u2x5KC7lurbRFaKf5ZtCP/jhubW3EL/eGoiKqaiR5EWx/KhS73ch2ZJ9RZ5LhSJqmWdBpm3O
YvQ/P6dmWJ+nh/3y0qtcVP9DK0Q4VlXLNaAl9krd6dJ+nsWqsqi1mMqayIf8mF5kECgS9E7j+DLQ
98vPocVRxyco3zRHjy4jm4cUBXeUOX3+ZxH6dJUqU/WWYh7ix91W26P+lLgPcpzVZ1vZXX5m5+3X
erATFkQszdZaXhVeWF/rsmhFriNKcht76DIgOO3DQULf+0RPTO+Ttdvea9Euukw2bnlJPiibp6m6
RyA3UF9SdZKdGlZQviIw4S758SnESeSYfXMb2AkUzeEz0EaCNhu4gwO3AVsNL4rUwS050dyaVzIH
7KSxzRShJucVSuRzy10yAbemxAVXLF6Zal7f1Cif+ovNLrt0AR3pwrMNrhJEDA4n1U72/Ple2npC
wjU8yxNfHFfFku8qwIf3ovbrTj3o+3XhWbp0SknjzjrNXBuZbFAZqsUp5lgQjVXsAz3UgpNAQ93t
LFCWdJJ3CJ8v7I1UnlZ1bF2W+u59eYjQIbXcrEIpSIWumJjSDUhfdTjNCrl4gL6NifRDEYwm0UWp
1Nm5zqm9sFAEweUU3ysSqvnHjGbxhuTvq9NS9eqFo1UflTgOT2msSOpKrpBfy7YcCGejs1m3akbL
RGRU7sFg6L0HP/kqojv6Re1AaDwx4Rue1wnkYWTmlrozjwvf/cA94H3IpG0QnNTkumyCyN32Y2br
DpwoalI3Fy5+C930NKzBSQa/60FCF+ZW2h+Eg5OW0ZVsl1xVFBWdpjVZWmptinyRl+5OZro+Ji+g
xECmDCnlz8uc+pqTylXrJaIlma6fBrUSvtvAWkasXOfWqZWtdudS6lXNN4oZ+/9IeS7cH6e62eRw
5hf1JpHvdjRyo8lZQrF+hWWX51JYK8iYH/yrio1gE5DToBJCkBvNDUXTPilR7dnsp6K+gfwNu1qx
tuVtim95kdO4cnOSUUHyRSW/Ak+rlhZBsfPJ65lL1HHltD4s9P3eoVzDpKjITFHJpgsDu9CDpBGd
lJv0NHcMOiUY8VI+9bQ6+GJZh9s8SpAPMnBb6S8JP51Kan/3yrJ27hsV0Yw5l4HDyjhVfdMcpP83
kW03EVHhvwhzL69uinVa3a4zcNavzbfET99EXpi/i/7slx6r9Z8fqJMR+EmsTID7RPWzeanmjX80
RgDpKC8eCMQ1a0Z3MOTL4Fg2D/FqENE+tf2xZNkzcDGENzvBGId4leD8aJG+tww/nmG7nj/+nR/N
4EhnAd4bMX4PMfjtVUCdQXT2xrx3T38VbHMGEQe8H3ygeUD4/pVVuI+KMBe7ceNF4TEIogruzq+s
wWCEo53gzAzB9BFwa/Pg6RzvBIcWVFD+gOap0RfPv7UG38WOkA8QUka/sgqDMY5WwZ5xFLje4Wc0
DwP2VgG1DhrAm5pht6sAYv2v7ITBDL6dB7wTwKtxi0AXMkM3Yd+AkIgHV+d4ESBmzkzQMpIUrYxU
+4ETMgpEGyYvPWoVdHXmaLj8uD/tKgwOhGXMiGcgXpAObJ7JbQWV72fsgdBNRGiadDvAkXgGe8HR
Z2RCNcQ72k+a1iZQiJXHbQJ5JjTSHCSs2+kP7IGlz+g9S51zdxCmZxVBbYRI3qhV0JRZy46Djtc8
w03gzGDEwgoAQW8evAg+cEp7AcSd8ztqFXQZDXSsYncQnhwFy5qB7iPYiATANFdBEBdGnwgE38nQ
4yjo7V4YmEVHw4+gXZ+CklTzTM8sUpsxehW0GVxwkwqFziMcrALaXZCmUTESSQbxTM86Kkb3Ui3X
/msk8jvRgzqDCyio4e2GF57HsaNg4ydw8GSySu0qTG8v6A2cPcouaMYM/SbSht1WeHJFEmOB4dLP
uYuxJucuwfYQVOVRqyDcJYeCBZLtX63f8V6AITGjUoPcE0ha80zujqBSdKzTKPYCSRILamw7SZb1
eBUsZwaAiDyJaU71RODdt8f0z+2CTg4e0Nyhgfmze8E2ZiQjibdF1C2eydkFjQzxL0bUg0jsWyzJ
KhAt4zqaj7BCfy9gHS2cJgI2bIN4WgdlQl4TZWui6miUXdDUmdD7B5Z93ne0NfQvAR3QnZzoKuBA
CzrquFXQYJEAnSB69nWWx3bBFr4lS4B68kRPxHNtz38XZ+NEQCqUoXY+bxcUhSPDcYBLNz2c8fF8
/rlZ5CiIRk1QfzqncOA0AjNC0xB4QxdGTc5RgGWujT0KhFHUsxugCs8DjTarRK4NYcxuk0xuFeho
NdpP4IYUUqdorLXnfYC7O+CMCGYa5PtbezG580DRr9AqHmUVdaIkUESNSKmd5QBdAXNGdlGAClNd
BdqvjHWWNAiGFG8bREntIgzAFRqPzERtGaDzBD1mwdIftwcs7n/qAW1wtvbpe0ncl4BPgnc0VXNA
Hac6GmEzMP3sc7S4n7UHXA1CjRj2andSprcXnulB+Nv+gQKkDtnsMbniDKyiQFUEg5GeK+0qTW4V
IP+LIqxRJ0LkZKly48seTJ+wSeh7wN+kUad4JpeCI+sieDHjpm/PKMPG6DPT5hnYQ4cUHQLC3J3d
JmiRiymFTeyBFgH/c18RLwnqLdC98Q1M7gUMAAlIfeAmdaswOS8J2G802CzuRnEWDGZ3PHvLxEek
IdLXZPT0DAF82Rbz/fM9oNozqGYktbXB9HGRWVtNR8K9PSKTm76ImUcfAR0fmOwqQHpr7gZYmvAM
CEcAFjoazIRMAO+ljfYJyKoZCKd8xRIH1wG6T0TLgIkIuT8aSizvhFZBA/sfuwswAYTMgpfyHfxI
hotAtQ81nFM9C7T0G3sp6njJCK6gBfOds6DKoOvC+eiIK+0HTmgvqAo6NiNdA1YBeIT2IKCFzYPd
O74WEKVgs2Aw6Q3VfNSU5q+TLhw7f1BEcgdc+50DOLgXwGvZBYCIorRtWqYAKeexs9dgoJFsJJH/
zeU5/vYh5OAyozindDHU5DAThQ6O7VX9506BJs8oWiPBTvK5ffpnwBGd2oVIHx0Qm2dyJ0FxxhNS
9FmjQ4HmSDvJoWugEEmKKJH08zSvRhhqo/1DDQdJFVJ8R6DA8YFAO2tGvTNXo6hxnJY9gDfRMcb+
/CiQTpARJOGfwT1ATzVqpWioxNybZ3KWQJVpJTb2NlBnkDDJnJFLfdzkx18/aAn9hLgwuzBsQpch
Hv1Yv1BgxwgCGfgDz8+eNIIm2vZ02NyEZg9h8kk3wd+GygwAQWHiHi/DgQU0nRn96lARQa+reSZ3
DfD66mjsnBCJE4BP0G2CQQKBdKrgZ6JQav4GxeAXtsrXSpA5tfgPTQ2It86eKxX53i881j48/XlX
93D58N//CFp/7xdFSUj72S3jW/z3/3oMhCb+O/rhYzzYfE7317sJPv3o3mc9zurxf15463SV3rsI
bIu6mO41X6121JHQ//JutVsdlyTgo2Dhvr3JE9WHryjhTwZ+vrFm8w7PVsj82riph25O/4Ubv2T0
C6c+3WpW2ePUxdfYJgzHjjxfBd6XKA293lu3fP/RY0dBlK4eouO3bnNb40dG+OY+9+6LvDd4cwOM
Hfx0HaAHkq6PR24jjdEjd+IkL6IvL+YRJXV3/WWnmSE4/9hPOWPVvYfe9wlBRDiGY0c+X0fppv/K
HZtn7MjfV2AZeSQvH1ZubwN2lJOxL3wZBF4Yef0T2UL0o4cOH7zVwIq09WijR44O/W3RUrfHDvvP
U9vUpmxGD8wAxb1fPe7cxuy1ybCxQ7+MCoQWhsvchtJjx75eeWHPenS+2fhx0ypYhQ/Hy9ElRMYP
nWWre7fI1nne29NdTDF6fO8e0fBVv7ywJYWOH5q7IIvy3s7uqpTGj51lHv/Gsddb9Jbm/jdGj4p0
OLQorxo9dBTmg83dYaVjR361vkuHbck72s74ofer/r3VZTzGD3x4cbHaxZnr9a91xhdVG39j/Kt1
mq17lgo0RpSK/Y3Br9eld9+7xjqo528M/jlK/cfXbOKDts5x9NAoLLkv5qs04qbsH86WE/93PuB0
5Q/PPhkiAtOxw792vf6KtzTF0cP6AR5JP6qBASn0j0YPna43wwruJj8wduA36zBEvWO/GoQJ9CcW
BXBjh791o4f1i8vsyd3Wsn/GDv82Kr6zETsS9t/5gKcbsctXjx3+Hau/Rri751J0/LDxY5f9qLKr
7Bw77vt85T5uDGFTOlxm7LAf1umOm603cov5jh7ZI7IZbO9OC2Ps0B9X3Dv0Je4fTUg2IoE7evB1
lr/48NzLt2ny0eN72X1EH8We59YVsoweu4pQ7Nw8LkKzT9qisR+P/BzS9JWi8BR/epQFee6v9cE1
8Rv3wXqV/u//AAAA//8=</cx:binary>
              </cx:geoCache>
            </cx:geography>
          </cx:layoutPr>
          <cx:valueColors>
            <cx:minColor>
              <a:srgbClr val="F1EEF6"/>
            </cx:minColor>
            <cx:midColor>
              <a:srgbClr val="BDC9E1"/>
            </cx:midColor>
            <cx:maxColor>
              <a:srgbClr val="045A8D"/>
            </cx:maxColor>
          </cx:valueColors>
          <cx:valueColorPositions count="3"/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628650</xdr:colOff>
      <xdr:row>38</xdr:row>
      <xdr:rowOff>0</xdr:rowOff>
    </xdr:from>
    <xdr:ext cx="2847975" cy="2657475"/>
    <xdr:graphicFrame macro="">
      <xdr:nvGraphicFramePr>
        <xdr:cNvPr id="1063908205" name="Chart 1">
          <a:extLst>
            <a:ext uri="{FF2B5EF4-FFF2-40B4-BE49-F238E27FC236}">
              <a16:creationId xmlns:a16="http://schemas.microsoft.com/office/drawing/2014/main" id="{00000000-0008-0000-0100-00006DF3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0</xdr:colOff>
      <xdr:row>38</xdr:row>
      <xdr:rowOff>0</xdr:rowOff>
    </xdr:from>
    <xdr:to>
      <xdr:col>10</xdr:col>
      <xdr:colOff>236765</xdr:colOff>
      <xdr:row>55</xdr:row>
      <xdr:rowOff>187779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2A113-7A84-4103-961B-FB7B3FE79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58</xdr:row>
      <xdr:rowOff>0</xdr:rowOff>
    </xdr:from>
    <xdr:to>
      <xdr:col>10</xdr:col>
      <xdr:colOff>236765</xdr:colOff>
      <xdr:row>75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DF484-CB89-425E-B231-056B9F601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638175</xdr:colOff>
      <xdr:row>95</xdr:row>
      <xdr:rowOff>76200</xdr:rowOff>
    </xdr:from>
    <xdr:to>
      <xdr:col>10</xdr:col>
      <xdr:colOff>93890</xdr:colOff>
      <xdr:row>113</xdr:row>
      <xdr:rowOff>63954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FB493-7EC2-4BCC-A3BB-C8AA18B62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5</xdr:row>
      <xdr:rowOff>19050</xdr:rowOff>
    </xdr:from>
    <xdr:to>
      <xdr:col>12</xdr:col>
      <xdr:colOff>552450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7B0F8-4E4C-4288-A665-8512D3D27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9</xdr:col>
      <xdr:colOff>152400</xdr:colOff>
      <xdr:row>43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616FF-2D21-45D5-94A8-A1EDD0146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9</xdr:col>
      <xdr:colOff>152401</xdr:colOff>
      <xdr:row>63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175B0B-7AE5-41AA-AEFC-8D332C1B29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30</xdr:row>
      <xdr:rowOff>114300</xdr:rowOff>
    </xdr:from>
    <xdr:to>
      <xdr:col>16</xdr:col>
      <xdr:colOff>2047875</xdr:colOff>
      <xdr:row>48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59B613-F027-4EE4-AEB4-2830A1B678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47</xdr:row>
      <xdr:rowOff>47625</xdr:rowOff>
    </xdr:from>
    <xdr:to>
      <xdr:col>12</xdr:col>
      <xdr:colOff>19050</xdr:colOff>
      <xdr:row>65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09BE3-F0B0-4A7F-BEC7-8F36B9B9E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11</xdr:col>
      <xdr:colOff>590551</xdr:colOff>
      <xdr:row>85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7B6CD7-D266-4DE1-BB95-5ECA41326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9</xdr:col>
      <xdr:colOff>152400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74BCA-1817-41FC-A1A7-2B728E1FF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15</xdr:row>
      <xdr:rowOff>57150</xdr:rowOff>
    </xdr:from>
    <xdr:to>
      <xdr:col>12</xdr:col>
      <xdr:colOff>352425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B2853-6D6C-4A37-81F0-845CD2D4B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9</xdr:col>
      <xdr:colOff>152400</xdr:colOff>
      <xdr:row>51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AE212-239F-4A97-A5BD-B477D0EE4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9</xdr:col>
      <xdr:colOff>152400</xdr:colOff>
      <xdr:row>71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E4636-EE7B-480E-9916-0E3F687AB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9</xdr:col>
      <xdr:colOff>153609</xdr:colOff>
      <xdr:row>55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86E2B-C036-4AE6-A827-41789CEC9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9</xdr:col>
      <xdr:colOff>152400</xdr:colOff>
      <xdr:row>57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EDC70-9BE7-44A9-953A-69633FD62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180975</xdr:colOff>
      <xdr:row>59</xdr:row>
      <xdr:rowOff>0</xdr:rowOff>
    </xdr:from>
    <xdr:to>
      <xdr:col>9</xdr:col>
      <xdr:colOff>357039</xdr:colOff>
      <xdr:row>76</xdr:row>
      <xdr:rowOff>166659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080CA-7965-43D9-92D9-2F80C438D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22</xdr:row>
      <xdr:rowOff>0</xdr:rowOff>
    </xdr:from>
    <xdr:to>
      <xdr:col>10</xdr:col>
      <xdr:colOff>195942</xdr:colOff>
      <xdr:row>39</xdr:row>
      <xdr:rowOff>187778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DF1BB-EB5D-490E-9AA9-C79693201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43</xdr:row>
      <xdr:rowOff>0</xdr:rowOff>
    </xdr:from>
    <xdr:to>
      <xdr:col>10</xdr:col>
      <xdr:colOff>195942</xdr:colOff>
      <xdr:row>60</xdr:row>
      <xdr:rowOff>187779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E1FD6-4010-42A5-89FF-D67125B3F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134471</xdr:colOff>
      <xdr:row>63</xdr:row>
      <xdr:rowOff>100853</xdr:rowOff>
    </xdr:from>
    <xdr:to>
      <xdr:col>11</xdr:col>
      <xdr:colOff>330414</xdr:colOff>
      <xdr:row>81</xdr:row>
      <xdr:rowOff>86926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930F6C-8B6F-4F0B-8966-35FF8D56A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313765</xdr:colOff>
      <xdr:row>59</xdr:row>
      <xdr:rowOff>73959</xdr:rowOff>
    </xdr:from>
    <xdr:to>
      <xdr:col>18</xdr:col>
      <xdr:colOff>2263588</xdr:colOff>
      <xdr:row>72</xdr:row>
      <xdr:rowOff>194982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3367E6-9849-4E08-08DA-4501BF27B3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7290" y="18962034"/>
              <a:ext cx="4559673" cy="27213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26</xdr:row>
      <xdr:rowOff>171450</xdr:rowOff>
    </xdr:from>
    <xdr:to>
      <xdr:col>8</xdr:col>
      <xdr:colOff>609600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16857-5E44-483B-8FEF-B5266C666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8</xdr:col>
      <xdr:colOff>628650</xdr:colOff>
      <xdr:row>68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7322E-B43A-4BAF-86A7-646CE8279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0</xdr:rowOff>
    </xdr:from>
    <xdr:to>
      <xdr:col>9</xdr:col>
      <xdr:colOff>195943</xdr:colOff>
      <xdr:row>56</xdr:row>
      <xdr:rowOff>187779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976C5-8737-4D63-BE7B-E8A0C6BFF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9</xdr:col>
      <xdr:colOff>195943</xdr:colOff>
      <xdr:row>76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79D0E1-18C8-4EBD-8089-7ED7C32BE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79</xdr:row>
      <xdr:rowOff>0</xdr:rowOff>
    </xdr:from>
    <xdr:to>
      <xdr:col>9</xdr:col>
      <xdr:colOff>195943</xdr:colOff>
      <xdr:row>96</xdr:row>
      <xdr:rowOff>187778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38574F-9B58-47E3-A53E-93729477E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2505074</xdr:colOff>
      <xdr:row>63</xdr:row>
      <xdr:rowOff>197826</xdr:rowOff>
    </xdr:from>
    <xdr:to>
      <xdr:col>12</xdr:col>
      <xdr:colOff>32970</xdr:colOff>
      <xdr:row>82</xdr:row>
      <xdr:rowOff>96714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36032A-D93E-49A3-AA40-B81B6652B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968704</xdr:colOff>
      <xdr:row>64</xdr:row>
      <xdr:rowOff>65430</xdr:rowOff>
    </xdr:from>
    <xdr:to>
      <xdr:col>26</xdr:col>
      <xdr:colOff>291696</xdr:colOff>
      <xdr:row>82</xdr:row>
      <xdr:rowOff>162145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D86A48-3582-471D-A914-BAE99986D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261938</xdr:colOff>
      <xdr:row>64</xdr:row>
      <xdr:rowOff>71702</xdr:rowOff>
    </xdr:from>
    <xdr:to>
      <xdr:col>17</xdr:col>
      <xdr:colOff>581392</xdr:colOff>
      <xdr:row>82</xdr:row>
      <xdr:rowOff>168417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A272C5-E938-416A-A9B8-FDCA38F07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439615</xdr:colOff>
      <xdr:row>85</xdr:row>
      <xdr:rowOff>21981</xdr:rowOff>
    </xdr:from>
    <xdr:to>
      <xdr:col>17</xdr:col>
      <xdr:colOff>747346</xdr:colOff>
      <xdr:row>103</xdr:row>
      <xdr:rowOff>79131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F3DF65-239B-42C0-9E33-075680A74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40823</xdr:colOff>
      <xdr:row>4</xdr:row>
      <xdr:rowOff>4762</xdr:rowOff>
    </xdr:from>
    <xdr:to>
      <xdr:col>23</xdr:col>
      <xdr:colOff>360276</xdr:colOff>
      <xdr:row>22</xdr:row>
      <xdr:rowOff>42862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C71D86-5165-39FA-4A64-3723B42CF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048" y="766762"/>
              <a:ext cx="6605953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149679</xdr:colOff>
      <xdr:row>3</xdr:row>
      <xdr:rowOff>122465</xdr:rowOff>
    </xdr:from>
    <xdr:to>
      <xdr:col>34</xdr:col>
      <xdr:colOff>427265</xdr:colOff>
      <xdr:row>21</xdr:row>
      <xdr:rowOff>160565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E207946-F4BF-4CAD-BE24-6C4C6EC87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7004" y="693965"/>
              <a:ext cx="6373586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309955</xdr:colOff>
      <xdr:row>23</xdr:row>
      <xdr:rowOff>152400</xdr:rowOff>
    </xdr:from>
    <xdr:to>
      <xdr:col>23</xdr:col>
      <xdr:colOff>5155</xdr:colOff>
      <xdr:row>47</xdr:row>
      <xdr:rowOff>69273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EE39D0-DA9E-4B9B-8EF6-674F4D220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2205990</xdr:colOff>
      <xdr:row>60</xdr:row>
      <xdr:rowOff>3809</xdr:rowOff>
    </xdr:from>
    <xdr:to>
      <xdr:col>6</xdr:col>
      <xdr:colOff>640080</xdr:colOff>
      <xdr:row>79</xdr:row>
      <xdr:rowOff>41909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C1EE08-E6F8-4E7F-97D3-53402ED6B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thanolrfa.org/pocket-guide/" TargetMode="External"/><Relationship Id="rId13" Type="http://schemas.openxmlformats.org/officeDocument/2006/relationships/hyperlink" Target="https://www.eia.gov/totalenergy/data/monthly/pdf/sec10_7.pdf" TargetMode="External"/><Relationship Id="rId18" Type="http://schemas.openxmlformats.org/officeDocument/2006/relationships/hyperlink" Target="https://www.ers.usda.gov/data-products/us-bioenergy-statistics/" TargetMode="External"/><Relationship Id="rId3" Type="http://schemas.openxmlformats.org/officeDocument/2006/relationships/hyperlink" Target="http://ethanolproducer.com/plants/listplants/US/Existing/Cellulosic" TargetMode="External"/><Relationship Id="rId21" Type="http://schemas.openxmlformats.org/officeDocument/2006/relationships/hyperlink" Target="https://www.afdc.energy.gov/fuels/prices.html" TargetMode="External"/><Relationship Id="rId7" Type="http://schemas.openxmlformats.org/officeDocument/2006/relationships/hyperlink" Target="http://www.ethanolrfa.org/resources/publications/" TargetMode="External"/><Relationship Id="rId12" Type="http://schemas.openxmlformats.org/officeDocument/2006/relationships/hyperlink" Target="https://www.eia.gov/totalenergy/data/monthly/pdf/mer.pdf" TargetMode="External"/><Relationship Id="rId17" Type="http://schemas.openxmlformats.org/officeDocument/2006/relationships/hyperlink" Target="https://www.eia.gov/dnav/pet/hist/LeafHandler.ashx?n=pet&amp;s=m_epooxe_eex_nus-z00_mbbl&amp;f=a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://ethanolproducer.com/plants/listplants/US/Existing/Sugar-Starch/" TargetMode="External"/><Relationship Id="rId16" Type="http://schemas.openxmlformats.org/officeDocument/2006/relationships/hyperlink" Target="https://www.eia.gov/dnav/pet/hist/LeafHandler.ashx?n=PET&amp;s=MFEIMUS1&amp;f=A" TargetMode="External"/><Relationship Id="rId20" Type="http://schemas.openxmlformats.org/officeDocument/2006/relationships/hyperlink" Target="https://www.ers.usda.gov/data-products/us-bioenergy-statistics/" TargetMode="External"/><Relationship Id="rId1" Type="http://schemas.openxmlformats.org/officeDocument/2006/relationships/hyperlink" Target="http://www.ethanolrfa.org/pocket-guide/" TargetMode="External"/><Relationship Id="rId6" Type="http://schemas.openxmlformats.org/officeDocument/2006/relationships/hyperlink" Target="http://ethanolproducer.com/plants/listplants/US/Existing/Cellulosic" TargetMode="External"/><Relationship Id="rId11" Type="http://schemas.openxmlformats.org/officeDocument/2006/relationships/hyperlink" Target="https://www.eia.gov/petroleum/ethanolcapacity/index.php" TargetMode="External"/><Relationship Id="rId24" Type="http://schemas.openxmlformats.org/officeDocument/2006/relationships/hyperlink" Target="https://www.macrotrends.net/1369/crude-oil-price-history-chart" TargetMode="External"/><Relationship Id="rId5" Type="http://schemas.openxmlformats.org/officeDocument/2006/relationships/hyperlink" Target="http://ethanolproducer.com/plants/listplants/US/Existing/Cellulosic" TargetMode="External"/><Relationship Id="rId15" Type="http://schemas.openxmlformats.org/officeDocument/2006/relationships/hyperlink" Target="https://www.eia.gov/totalenergy/data/monthly/pdf/sec10_5.pdf" TargetMode="External"/><Relationship Id="rId23" Type="http://schemas.openxmlformats.org/officeDocument/2006/relationships/hyperlink" Target="http://www.ethanolrfa.org/pocket-guide/" TargetMode="External"/><Relationship Id="rId10" Type="http://schemas.openxmlformats.org/officeDocument/2006/relationships/hyperlink" Target="http://www.ethanolrfa.org/pocket-guide/" TargetMode="External"/><Relationship Id="rId19" Type="http://schemas.openxmlformats.org/officeDocument/2006/relationships/hyperlink" Target="https://www.ers.usda.gov/data-products/us-bioenergy-statistics/" TargetMode="External"/><Relationship Id="rId4" Type="http://schemas.openxmlformats.org/officeDocument/2006/relationships/hyperlink" Target="http://ethanolproducer.com/plants/listplants/US/Existing/Cellulosic" TargetMode="External"/><Relationship Id="rId9" Type="http://schemas.openxmlformats.org/officeDocument/2006/relationships/hyperlink" Target="http://ethanolproducer.com/plants/listplants/US/Existing/Sugar-Starch/" TargetMode="External"/><Relationship Id="rId14" Type="http://schemas.openxmlformats.org/officeDocument/2006/relationships/hyperlink" Target="https://www.eia.gov/totalenergy/data/monthly/pdf/sec10_5.pdf" TargetMode="External"/><Relationship Id="rId22" Type="http://schemas.openxmlformats.org/officeDocument/2006/relationships/hyperlink" Target="https://www.afdc.energy.gov/fuels/prices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epa.gov/fuels-registration-reporting-and-compliance-help/rins-generated-transaction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s.usda.gov/data-products/us-bioenergy-statistics/" TargetMode="External"/><Relationship Id="rId13" Type="http://schemas.openxmlformats.org/officeDocument/2006/relationships/hyperlink" Target="https://www.ers.usda.gov/data-products/oil-crops-yearbook/oil-crops-yearbook/" TargetMode="External"/><Relationship Id="rId3" Type="http://schemas.openxmlformats.org/officeDocument/2006/relationships/hyperlink" Target="http://www.biodieselmagazine.com/plants/listplants/USA/construction/" TargetMode="External"/><Relationship Id="rId7" Type="http://schemas.openxmlformats.org/officeDocument/2006/relationships/hyperlink" Target="https://www.eia.gov/totalenergy/data/monthly/pdf/sec10_8.pdf" TargetMode="External"/><Relationship Id="rId12" Type="http://schemas.openxmlformats.org/officeDocument/2006/relationships/hyperlink" Target="https://www.afdc.energy.gov/fuels/prices.html" TargetMode="External"/><Relationship Id="rId2" Type="http://schemas.openxmlformats.org/officeDocument/2006/relationships/hyperlink" Target="http://www.biodieselmagazine.com/plants/listplants/USA/proposed/" TargetMode="External"/><Relationship Id="rId1" Type="http://schemas.openxmlformats.org/officeDocument/2006/relationships/hyperlink" Target="https://www.eia.gov/biofuels/biodiesel/production/archive/" TargetMode="External"/><Relationship Id="rId6" Type="http://schemas.openxmlformats.org/officeDocument/2006/relationships/hyperlink" Target="https://www.eia.gov/totalenergy/data/monthly/pdf/sec10_5.pdf" TargetMode="External"/><Relationship Id="rId11" Type="http://schemas.openxmlformats.org/officeDocument/2006/relationships/hyperlink" Target="https://www.afdc.energy.gov/fuels/prices.html" TargetMode="External"/><Relationship Id="rId5" Type="http://schemas.openxmlformats.org/officeDocument/2006/relationships/hyperlink" Target="https://www.eia.gov/biofuels/biodiesel/production/archive/" TargetMode="External"/><Relationship Id="rId15" Type="http://schemas.openxmlformats.org/officeDocument/2006/relationships/drawing" Target="../drawings/drawing3.xml"/><Relationship Id="rId10" Type="http://schemas.openxmlformats.org/officeDocument/2006/relationships/hyperlink" Target="https://www.afdc.energy.gov/fuels/prices.html" TargetMode="External"/><Relationship Id="rId4" Type="http://schemas.openxmlformats.org/officeDocument/2006/relationships/hyperlink" Target="https://www.eia.gov/biofuels/biodiesel/production/archive/" TargetMode="External"/><Relationship Id="rId9" Type="http://schemas.openxmlformats.org/officeDocument/2006/relationships/hyperlink" Target="https://www.ers.usda.gov/data-products/us-bioenergy-statistics/" TargetMode="External"/><Relationship Id="rId14" Type="http://schemas.openxmlformats.org/officeDocument/2006/relationships/hyperlink" Target="https://www.irena.org/publicationsearch?keywords=jobs%20annual%20review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biofuels/biodiesel/production/archive/2020/2020_09/table3.pdf" TargetMode="External"/><Relationship Id="rId3" Type="http://schemas.openxmlformats.org/officeDocument/2006/relationships/hyperlink" Target="https://pubs.rendermagazine.com/2023-04/" TargetMode="External"/><Relationship Id="rId7" Type="http://schemas.openxmlformats.org/officeDocument/2006/relationships/hyperlink" Target="https://www.eia.gov/biofuels/biodiesel/production/archive/2020/2020_09/table3.pdf" TargetMode="External"/><Relationship Id="rId2" Type="http://schemas.openxmlformats.org/officeDocument/2006/relationships/hyperlink" Target="https://rendermagazine.com/wp-content/uploads/2019/07/Render_Apr19.pdf" TargetMode="External"/><Relationship Id="rId1" Type="http://schemas.openxmlformats.org/officeDocument/2006/relationships/hyperlink" Target="https://rendermagazine.com/wp-content/uploads/2019/07/Render_Apr19.pdf" TargetMode="External"/><Relationship Id="rId6" Type="http://schemas.openxmlformats.org/officeDocument/2006/relationships/hyperlink" Target="https://pubs.rendermagazine.com/archives/2024/2024-04.pdf" TargetMode="External"/><Relationship Id="rId5" Type="http://schemas.openxmlformats.org/officeDocument/2006/relationships/hyperlink" Target="https://www.eia.gov/biofuels/biodiesel/production/archive/2020/2020_09/table3.pdf" TargetMode="External"/><Relationship Id="rId4" Type="http://schemas.openxmlformats.org/officeDocument/2006/relationships/hyperlink" Target="https://rendermagazine.com/wp-content/uploads/2019/07/Render_Apr19.pdf" TargetMode="Externa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www.eia.gov/biofuels/renewable/capacity/" TargetMode="External"/><Relationship Id="rId7" Type="http://schemas.openxmlformats.org/officeDocument/2006/relationships/hyperlink" Target="https://www.eia.gov/dnav/pet/pet_move_impcus_a2_nus_EPOORDO_im0_mbbl_a.htm" TargetMode="External"/><Relationship Id="rId2" Type="http://schemas.openxmlformats.org/officeDocument/2006/relationships/hyperlink" Target="https://www.eia.gov/biofuels/renewable/capacity/" TargetMode="External"/><Relationship Id="rId1" Type="http://schemas.openxmlformats.org/officeDocument/2006/relationships/hyperlink" Target="https://www.eia.gov/biofuels/renewable/capacity/" TargetMode="External"/><Relationship Id="rId6" Type="http://schemas.openxmlformats.org/officeDocument/2006/relationships/hyperlink" Target="https://www.eia.gov/dnav/pet/pet_move_neti_a_EP00_IMN_mbblpd_m.htm" TargetMode="External"/><Relationship Id="rId5" Type="http://schemas.openxmlformats.org/officeDocument/2006/relationships/hyperlink" Target="https://www.epa.gov/fuels-registration-reporting-and-compliance-help/rins-generated-transactions" TargetMode="External"/><Relationship Id="rId4" Type="http://schemas.openxmlformats.org/officeDocument/2006/relationships/hyperlink" Target="https://www.epa.gov/fuels-registration-reporting-and-compliance-help/rins-generated-transaction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ao.int/environmental-protection/GFAAF/Pages/Offtake-Agreements.aspx" TargetMode="External"/><Relationship Id="rId3" Type="http://schemas.openxmlformats.org/officeDocument/2006/relationships/hyperlink" Target="https://www.icao.int/environmental-protection/GFAAF/Pages/Production-Facilities.aspx" TargetMode="External"/><Relationship Id="rId7" Type="http://schemas.openxmlformats.org/officeDocument/2006/relationships/hyperlink" Target="https://www.epa.gov/fuels-registration-reporting-and-compliance-help/rins-generated-transactions" TargetMode="External"/><Relationship Id="rId2" Type="http://schemas.openxmlformats.org/officeDocument/2006/relationships/hyperlink" Target="https://www.icao.int/environmental-protection/GFAAF/Pages/Offtake-Agreements.aspx" TargetMode="External"/><Relationship Id="rId1" Type="http://schemas.openxmlformats.org/officeDocument/2006/relationships/hyperlink" Target="https://www.epa.gov/fuels-registration-reporting-and-compliance-help/rins-generated-transactions" TargetMode="External"/><Relationship Id="rId6" Type="http://schemas.openxmlformats.org/officeDocument/2006/relationships/hyperlink" Target="https://www.gao.gov/products/gao-23-105300" TargetMode="External"/><Relationship Id="rId5" Type="http://schemas.openxmlformats.org/officeDocument/2006/relationships/hyperlink" Target="https://www.4air.aero/saf-map" TargetMode="External"/><Relationship Id="rId4" Type="http://schemas.openxmlformats.org/officeDocument/2006/relationships/hyperlink" Target="https://www.icao.int/environmental-protection/GFAAF/Pages/Production-Facilities.aspx" TargetMode="External"/><Relationship Id="rId9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mer.pdf" TargetMode="External"/><Relationship Id="rId13" Type="http://schemas.openxmlformats.org/officeDocument/2006/relationships/hyperlink" Target="http://www.fao.org/faostat/en/" TargetMode="External"/><Relationship Id="rId3" Type="http://schemas.openxmlformats.org/officeDocument/2006/relationships/hyperlink" Target="http://www.fao.org/faostat/en/" TargetMode="External"/><Relationship Id="rId7" Type="http://schemas.openxmlformats.org/officeDocument/2006/relationships/hyperlink" Target="https://www.eia.gov/totalenergy/data/monthly/pdf/mer.pdf" TargetMode="External"/><Relationship Id="rId12" Type="http://schemas.openxmlformats.org/officeDocument/2006/relationships/hyperlink" Target="http://www.eia.gov/biofuels/biomass/" TargetMode="External"/><Relationship Id="rId17" Type="http://schemas.openxmlformats.org/officeDocument/2006/relationships/drawing" Target="../drawings/drawing7.xml"/><Relationship Id="rId2" Type="http://schemas.openxmlformats.org/officeDocument/2006/relationships/hyperlink" Target="http://www.fao.org/faostat/en/" TargetMode="External"/><Relationship Id="rId16" Type="http://schemas.openxmlformats.org/officeDocument/2006/relationships/hyperlink" Target="https://www.eia.gov/totalenergy/data/monthly/pdf/mer.pdf" TargetMode="External"/><Relationship Id="rId1" Type="http://schemas.openxmlformats.org/officeDocument/2006/relationships/hyperlink" Target="http://www.fao.org/faostat/en/" TargetMode="External"/><Relationship Id="rId6" Type="http://schemas.openxmlformats.org/officeDocument/2006/relationships/hyperlink" Target="https://www.eia.gov/totalenergy/data/monthly/pdf/mer.pdf" TargetMode="External"/><Relationship Id="rId11" Type="http://schemas.openxmlformats.org/officeDocument/2006/relationships/hyperlink" Target="http://task32.ieabioenergy.com/wp-content/uploads/2017/03/03-Fiona_Matthews.pdf" TargetMode="External"/><Relationship Id="rId5" Type="http://schemas.openxmlformats.org/officeDocument/2006/relationships/hyperlink" Target="https://www.eia.gov/totalenergy/data/monthly/pdf/mer.pdf" TargetMode="External"/><Relationship Id="rId15" Type="http://schemas.openxmlformats.org/officeDocument/2006/relationships/hyperlink" Target="https://data.bls.gov/cew/apps/data_views/data_views.htm" TargetMode="External"/><Relationship Id="rId10" Type="http://schemas.openxmlformats.org/officeDocument/2006/relationships/hyperlink" Target="https://www.eia.gov/totalenergy/data/monthly/pdf/mer.pdf" TargetMode="External"/><Relationship Id="rId4" Type="http://schemas.openxmlformats.org/officeDocument/2006/relationships/hyperlink" Target="https://www.eia.gov/totalenergy/data/monthly/pdf/mer.pdf" TargetMode="External"/><Relationship Id="rId9" Type="http://schemas.openxmlformats.org/officeDocument/2006/relationships/hyperlink" Target="https://www.eia.gov/totalenergy/data/monthly/pdf/mer.pdf" TargetMode="External"/><Relationship Id="rId14" Type="http://schemas.openxmlformats.org/officeDocument/2006/relationships/hyperlink" Target="http://www.fao.org/faostat/en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facts-and-figures-about-materials-waste-and-recycling/advancing-sustainable-materials-management" TargetMode="External"/><Relationship Id="rId13" Type="http://schemas.openxmlformats.org/officeDocument/2006/relationships/hyperlink" Target="http://www.eia.gov/electricity/annual/html/epa_05_07_c.html" TargetMode="External"/><Relationship Id="rId18" Type="http://schemas.openxmlformats.org/officeDocument/2006/relationships/hyperlink" Target="http://www.eia.gov/electricity/annual/html/epa_05_07_f.html" TargetMode="External"/><Relationship Id="rId3" Type="http://schemas.openxmlformats.org/officeDocument/2006/relationships/hyperlink" Target="https://www.eia.gov/electricity/data/eia860m/" TargetMode="External"/><Relationship Id="rId21" Type="http://schemas.openxmlformats.org/officeDocument/2006/relationships/hyperlink" Target="https://info.aee.net/hubfs/Market%20Report%202019/AEN%202019%20Market%20Report.pdf" TargetMode="External"/><Relationship Id="rId7" Type="http://schemas.openxmlformats.org/officeDocument/2006/relationships/hyperlink" Target="https://www.epa.gov/facts-and-figures-about-materials-waste-and-recycling/advancing-sustainable-materials-management" TargetMode="External"/><Relationship Id="rId12" Type="http://schemas.openxmlformats.org/officeDocument/2006/relationships/hyperlink" Target="http://www.eia.gov/electricity/annual/html/epa_05_07_b.html" TargetMode="External"/><Relationship Id="rId17" Type="http://schemas.openxmlformats.org/officeDocument/2006/relationships/hyperlink" Target="http://www.eia.gov/electricity/annual/html/epa_05_07_f.html" TargetMode="External"/><Relationship Id="rId25" Type="http://schemas.openxmlformats.org/officeDocument/2006/relationships/drawing" Target="../drawings/drawing8.xml"/><Relationship Id="rId2" Type="http://schemas.openxmlformats.org/officeDocument/2006/relationships/hyperlink" Target="https://www.eia.gov/electricity/data/eia860m/" TargetMode="External"/><Relationship Id="rId16" Type="http://schemas.openxmlformats.org/officeDocument/2006/relationships/hyperlink" Target="http://www.eia.gov/electricity/annual/html/epa_05_07_f.html" TargetMode="External"/><Relationship Id="rId20" Type="http://schemas.openxmlformats.org/officeDocument/2006/relationships/hyperlink" Target="http://www.eia.gov/electricity/annual/html/epa_05_07_f.html" TargetMode="External"/><Relationship Id="rId1" Type="http://schemas.openxmlformats.org/officeDocument/2006/relationships/hyperlink" Target="https://www.eia.gov/electricity/data/eia860m/" TargetMode="External"/><Relationship Id="rId6" Type="http://schemas.openxmlformats.org/officeDocument/2006/relationships/hyperlink" Target="https://www.eia.gov/electricity/data/eia860m/" TargetMode="External"/><Relationship Id="rId11" Type="http://schemas.openxmlformats.org/officeDocument/2006/relationships/hyperlink" Target="http://www.eia.gov/electricity/annual/html/epa_05_07_a.html" TargetMode="External"/><Relationship Id="rId24" Type="http://schemas.openxmlformats.org/officeDocument/2006/relationships/hyperlink" Target="http://energyrecoverycouncil.org/wp-content/uploads/2019/10/ERC-2018-directory.pdf" TargetMode="External"/><Relationship Id="rId5" Type="http://schemas.openxmlformats.org/officeDocument/2006/relationships/hyperlink" Target="https://www.eia.gov/electricity/data/eia860m/" TargetMode="External"/><Relationship Id="rId15" Type="http://schemas.openxmlformats.org/officeDocument/2006/relationships/hyperlink" Target="http://www.eia.gov/electricity/annual/html/epa_05_07_e.html" TargetMode="External"/><Relationship Id="rId23" Type="http://schemas.openxmlformats.org/officeDocument/2006/relationships/hyperlink" Target="http://energyrecoverycouncil.org/wp-content/uploads/2019/10/ERC-2018-directory.pdf" TargetMode="External"/><Relationship Id="rId10" Type="http://schemas.openxmlformats.org/officeDocument/2006/relationships/hyperlink" Target="https://www.epa.gov/facts-and-figures-about-materials-waste-and-recycling/advancing-sustainable-materials-management" TargetMode="External"/><Relationship Id="rId19" Type="http://schemas.openxmlformats.org/officeDocument/2006/relationships/hyperlink" Target="http://www.eia.gov/electricity/annual/html/epa_05_07_f.html" TargetMode="External"/><Relationship Id="rId4" Type="http://schemas.openxmlformats.org/officeDocument/2006/relationships/hyperlink" Target="https://www.eia.gov/electricity/data/eia860m/" TargetMode="External"/><Relationship Id="rId9" Type="http://schemas.openxmlformats.org/officeDocument/2006/relationships/hyperlink" Target="https://www.epa.gov/facts-and-figures-about-materials-waste-and-recycling/advancing-sustainable-materials-management" TargetMode="External"/><Relationship Id="rId14" Type="http://schemas.openxmlformats.org/officeDocument/2006/relationships/hyperlink" Target="http://www.eia.gov/electricity/annual/html/epa_05_07_d.html" TargetMode="External"/><Relationship Id="rId22" Type="http://schemas.openxmlformats.org/officeDocument/2006/relationships/hyperlink" Target="http://energyrecoverycouncil.org/wp-content/uploads/2019/10/ERC-2018-directory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agstar/livestock-anaerobic-digester-database" TargetMode="External"/><Relationship Id="rId13" Type="http://schemas.openxmlformats.org/officeDocument/2006/relationships/hyperlink" Target="https://americanbiogascouncil.org/biogas-market-snapshot/" TargetMode="External"/><Relationship Id="rId18" Type="http://schemas.openxmlformats.org/officeDocument/2006/relationships/hyperlink" Target="https://www.eia.gov/electricity/annual/html/epa_05_06_f.html" TargetMode="External"/><Relationship Id="rId26" Type="http://schemas.openxmlformats.org/officeDocument/2006/relationships/hyperlink" Target="https://www.epa.gov/lmop/renewable-natural-gas" TargetMode="External"/><Relationship Id="rId3" Type="http://schemas.openxmlformats.org/officeDocument/2006/relationships/hyperlink" Target="https://www.epa.gov/agstar/livestock-anaerobic-digester-database" TargetMode="External"/><Relationship Id="rId21" Type="http://schemas.openxmlformats.org/officeDocument/2006/relationships/hyperlink" Target="https://www3.epa.gov/climatechange/ghgemissions/inventoryexplorer/index.html" TargetMode="External"/><Relationship Id="rId7" Type="http://schemas.openxmlformats.org/officeDocument/2006/relationships/hyperlink" Target="https://www.epa.gov/agstar/livestock-anaerobic-digester-database" TargetMode="External"/><Relationship Id="rId12" Type="http://schemas.openxmlformats.org/officeDocument/2006/relationships/hyperlink" Target="https://americanbiogascouncil.org/biogas-market-snapshot/" TargetMode="External"/><Relationship Id="rId17" Type="http://schemas.openxmlformats.org/officeDocument/2006/relationships/hyperlink" Target="https://www3.epa.gov/climatechange/ghgemissions/inventoryexplorer/index.html" TargetMode="External"/><Relationship Id="rId25" Type="http://schemas.openxmlformats.org/officeDocument/2006/relationships/hyperlink" Target="https://www.epa.gov/lmop/renewable-natural-gas" TargetMode="External"/><Relationship Id="rId2" Type="http://schemas.openxmlformats.org/officeDocument/2006/relationships/hyperlink" Target="https://www.epa.gov/agstar/livestock-anaerobic-digester-database" TargetMode="External"/><Relationship Id="rId16" Type="http://schemas.openxmlformats.org/officeDocument/2006/relationships/hyperlink" Target="https://www.epa.gov/agstar/livestock-anaerobic-digester-database" TargetMode="External"/><Relationship Id="rId20" Type="http://schemas.openxmlformats.org/officeDocument/2006/relationships/hyperlink" Target="https://www.epa.gov/lmop/landfill-technical-data" TargetMode="External"/><Relationship Id="rId1" Type="http://schemas.openxmlformats.org/officeDocument/2006/relationships/hyperlink" Target="https://www.epa.gov/agstar/livestock-anaerobic-digester-database" TargetMode="External"/><Relationship Id="rId6" Type="http://schemas.openxmlformats.org/officeDocument/2006/relationships/hyperlink" Target="https://www.epa.gov/agstar/livestock-anaerobic-digester-database" TargetMode="External"/><Relationship Id="rId11" Type="http://schemas.openxmlformats.org/officeDocument/2006/relationships/hyperlink" Target="https://www.epa.gov/lmop/landfill-technical-data" TargetMode="External"/><Relationship Id="rId24" Type="http://schemas.openxmlformats.org/officeDocument/2006/relationships/hyperlink" Target="https://19january2017snapshot.epa.gov/sites/production/files/2015-12/documents/biogas-roadmap.pdf" TargetMode="External"/><Relationship Id="rId5" Type="http://schemas.openxmlformats.org/officeDocument/2006/relationships/hyperlink" Target="https://www.epa.gov/agstar/livestock-anaerobic-digester-database" TargetMode="External"/><Relationship Id="rId15" Type="http://schemas.openxmlformats.org/officeDocument/2006/relationships/hyperlink" Target="https://www.epa.gov/agstar/livestock-anaerobic-digester-database" TargetMode="External"/><Relationship Id="rId23" Type="http://schemas.openxmlformats.org/officeDocument/2006/relationships/hyperlink" Target="https://19january2017snapshot.epa.gov/sites/production/files/2015-12/documents/biogas-roadmap.pdf" TargetMode="External"/><Relationship Id="rId28" Type="http://schemas.openxmlformats.org/officeDocument/2006/relationships/drawing" Target="../drawings/drawing9.xml"/><Relationship Id="rId10" Type="http://schemas.openxmlformats.org/officeDocument/2006/relationships/hyperlink" Target="https://www.epa.gov/lmop/landfill-technical-data" TargetMode="External"/><Relationship Id="rId19" Type="http://schemas.openxmlformats.org/officeDocument/2006/relationships/hyperlink" Target="https://www.eia.gov/electricity/annual/html/epa_05_06_c.html" TargetMode="External"/><Relationship Id="rId4" Type="http://schemas.openxmlformats.org/officeDocument/2006/relationships/hyperlink" Target="https://www.epa.gov/agstar/livestock-anaerobic-digester-database" TargetMode="External"/><Relationship Id="rId9" Type="http://schemas.openxmlformats.org/officeDocument/2006/relationships/hyperlink" Target="https://www.epa.gov/agstar/livestock-anaerobic-digester-database" TargetMode="External"/><Relationship Id="rId14" Type="http://schemas.openxmlformats.org/officeDocument/2006/relationships/hyperlink" Target="https://www.epa.gov/agstar/livestock-anaerobic-digester-database" TargetMode="External"/><Relationship Id="rId22" Type="http://schemas.openxmlformats.org/officeDocument/2006/relationships/hyperlink" Target="https://19january2017snapshot.epa.gov/sites/production/files/2015-12/documents/biogas-roadmap.pdf" TargetMode="External"/><Relationship Id="rId27" Type="http://schemas.openxmlformats.org/officeDocument/2006/relationships/hyperlink" Target="https://www.epa.gov/lmop/landfill-gas-energy-project-data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preferred.gov/BioPreferred/faces/catalog/Catalog.xhtml" TargetMode="External"/><Relationship Id="rId13" Type="http://schemas.openxmlformats.org/officeDocument/2006/relationships/hyperlink" Target="https://www.biopreferred.gov/BioPreferred/faces/catalog/Catalog.xhtml" TargetMode="External"/><Relationship Id="rId3" Type="http://schemas.openxmlformats.org/officeDocument/2006/relationships/hyperlink" Target="https://www.biopreferred.gov/BioPreferred/faces/catalog/Catalog.xhtml" TargetMode="External"/><Relationship Id="rId7" Type="http://schemas.openxmlformats.org/officeDocument/2006/relationships/hyperlink" Target="https://www.biopreferred.gov/BioPreferred/faces/catalog/Catalog.xhtml" TargetMode="External"/><Relationship Id="rId12" Type="http://schemas.openxmlformats.org/officeDocument/2006/relationships/hyperlink" Target="https://www.biopreferred.gov/BioPreferred/faces/catalog/Catalog.xhtml" TargetMode="External"/><Relationship Id="rId2" Type="http://schemas.openxmlformats.org/officeDocument/2006/relationships/hyperlink" Target="https://www.biopreferred.gov/BioPreferred/faces/catalog/Catalog.xhtml" TargetMode="External"/><Relationship Id="rId16" Type="http://schemas.openxmlformats.org/officeDocument/2006/relationships/drawing" Target="../drawings/drawing10.xml"/><Relationship Id="rId1" Type="http://schemas.openxmlformats.org/officeDocument/2006/relationships/hyperlink" Target="https://www.biopreferred.gov/BioPreferred/faces/catalog/Catalog.xhtml" TargetMode="External"/><Relationship Id="rId6" Type="http://schemas.openxmlformats.org/officeDocument/2006/relationships/hyperlink" Target="https://www.biopreferred.gov/BioPreferred/faces/catalog/Catalog.xhtml" TargetMode="External"/><Relationship Id="rId11" Type="http://schemas.openxmlformats.org/officeDocument/2006/relationships/hyperlink" Target="https://www.biopreferred.gov/BioPreferred/faces/catalog/Catalog.xhtml" TargetMode="External"/><Relationship Id="rId5" Type="http://schemas.openxmlformats.org/officeDocument/2006/relationships/hyperlink" Target="https://www.biopreferred.gov/BioPreferred/faces/catalog/Catalog.xhtml" TargetMode="External"/><Relationship Id="rId15" Type="http://schemas.openxmlformats.org/officeDocument/2006/relationships/hyperlink" Target="https://www.biopreferred.gov/BioPreferred/faces/catalog/Catalog.xhtml" TargetMode="External"/><Relationship Id="rId10" Type="http://schemas.openxmlformats.org/officeDocument/2006/relationships/hyperlink" Target="https://www.biopreferred.gov/BioPreferred/faces/catalog/Catalog.xhtml" TargetMode="External"/><Relationship Id="rId4" Type="http://schemas.openxmlformats.org/officeDocument/2006/relationships/hyperlink" Target="https://www.biopreferred.gov/BioPreferred/faces/catalog/Catalog.xhtml" TargetMode="External"/><Relationship Id="rId9" Type="http://schemas.openxmlformats.org/officeDocument/2006/relationships/hyperlink" Target="https://www.biopreferred.gov/BioPreferred/faces/catalog/Catalog.xhtml" TargetMode="External"/><Relationship Id="rId14" Type="http://schemas.openxmlformats.org/officeDocument/2006/relationships/hyperlink" Target="https://www.biopreferred.gov/BioPreferred/faces/catalog/Catalog.x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european-bioplastics.org/publications/EUBP_Facts_and_figures.pdf" TargetMode="External"/><Relationship Id="rId3" Type="http://schemas.openxmlformats.org/officeDocument/2006/relationships/hyperlink" Target="https://apps.bea.gov/iTable/iTable.cfm?reqid=19&amp;step=2&amp;isuri=1&amp;1921=survey" TargetMode="External"/><Relationship Id="rId7" Type="http://schemas.openxmlformats.org/officeDocument/2006/relationships/hyperlink" Target="https://docs.european-bioplastics.org/publications/EUBP_Facts_and_figures.pdf" TargetMode="External"/><Relationship Id="rId2" Type="http://schemas.openxmlformats.org/officeDocument/2006/relationships/hyperlink" Target="https://www.bea.gov/iTable/iTable.cfm?ReqID=51&amp;step=1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://www.bio-based.eu/market_study/media/files/15-05-13_Bio-based_Polymers_and_Building_Blocks_in_the_World-nova_Booklet.pdf" TargetMode="External"/><Relationship Id="rId5" Type="http://schemas.openxmlformats.org/officeDocument/2006/relationships/hyperlink" Target="https://plasticseurope.org/resources/market-data/" TargetMode="External"/><Relationship Id="rId4" Type="http://schemas.openxmlformats.org/officeDocument/2006/relationships/hyperlink" Target="https://apps.bea.gov/iTable/iTable.cfm?reqid=19&amp;step=2&amp;isuri=1&amp;1921=survey" TargetMode="External"/><Relationship Id="rId9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cresearch.com/market-research/biotechnology/global-markets-for-enzymes-in-industrial-applications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8" Type="http://schemas.openxmlformats.org/officeDocument/2006/relationships/hyperlink" Target="https://www.trade.gov/data-visualization/tradestats-express-us-trade-product" TargetMode="External"/><Relationship Id="rId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7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7" Type="http://schemas.openxmlformats.org/officeDocument/2006/relationships/hyperlink" Target="https://www.trade.gov/data-visualization/tradestats-express-us-trade-product" TargetMode="Externa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hyperlink" Target="https://www.trade.gov/data-visualization/tradestats-express-us-trade-product" TargetMode="External"/><Relationship Id="rId1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6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1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5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5" Type="http://schemas.openxmlformats.org/officeDocument/2006/relationships/hyperlink" Target="https://www.trade.gov/data-visualization/tradestats-express-us-trade-product" TargetMode="External"/><Relationship Id="rId10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9" Type="http://schemas.openxmlformats.org/officeDocument/2006/relationships/drawing" Target="../drawings/drawing12.xml"/><Relationship Id="rId4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9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4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8" Type="http://schemas.openxmlformats.org/officeDocument/2006/relationships/hyperlink" Target="http://www.fao.org/faostat/en/" TargetMode="External"/><Relationship Id="rId3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1" Type="http://schemas.openxmlformats.org/officeDocument/2006/relationships/hyperlink" Target="http://www.fao.org/faostat/en/" TargetMode="External"/><Relationship Id="rId7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7" Type="http://schemas.openxmlformats.org/officeDocument/2006/relationships/hyperlink" Target="http://www.fao.org/faostat/en/" TargetMode="External"/><Relationship Id="rId25" Type="http://schemas.openxmlformats.org/officeDocument/2006/relationships/drawing" Target="../drawings/drawing13.xm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hyperlink" Target="http://www.fao.org/faostat/en/" TargetMode="External"/><Relationship Id="rId20" Type="http://schemas.openxmlformats.org/officeDocument/2006/relationships/hyperlink" Target="http://www.fao.org/faostat/en/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4" Type="http://schemas.openxmlformats.org/officeDocument/2006/relationships/hyperlink" Target="http://www.fao.org/faostat/en/" TargetMode="External"/><Relationship Id="rId5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5" Type="http://schemas.openxmlformats.org/officeDocument/2006/relationships/hyperlink" Target="http://www.fao.org/faostat/en/" TargetMode="External"/><Relationship Id="rId23" Type="http://schemas.openxmlformats.org/officeDocument/2006/relationships/hyperlink" Target="http://www.fao.org/faostat/en/" TargetMode="External"/><Relationship Id="rId10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9" Type="http://schemas.openxmlformats.org/officeDocument/2006/relationships/hyperlink" Target="http://www.fao.org/faostat/en/" TargetMode="External"/><Relationship Id="rId4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9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4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2" Type="http://schemas.openxmlformats.org/officeDocument/2006/relationships/hyperlink" Target="http://www.fao.org/faostat/en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nifa.usda.gov/enterprise-search/project_details" TargetMode="External"/><Relationship Id="rId13" Type="http://schemas.openxmlformats.org/officeDocument/2006/relationships/hyperlink" Target="https://portal.nifa.usda.gov/enterprise-search/project_details" TargetMode="External"/><Relationship Id="rId18" Type="http://schemas.openxmlformats.org/officeDocument/2006/relationships/hyperlink" Target="https://www.nsf.gov/awardsearch/advancedSearch.jsp" TargetMode="External"/><Relationship Id="rId3" Type="http://schemas.openxmlformats.org/officeDocument/2006/relationships/hyperlink" Target="https://portal.nifa.usda.gov/enterprise-search/project_details" TargetMode="External"/><Relationship Id="rId21" Type="http://schemas.openxmlformats.org/officeDocument/2006/relationships/drawing" Target="../drawings/drawing14.xml"/><Relationship Id="rId7" Type="http://schemas.openxmlformats.org/officeDocument/2006/relationships/hyperlink" Target="https://portal.nifa.usda.gov/enterprise-search/project_details" TargetMode="External"/><Relationship Id="rId12" Type="http://schemas.openxmlformats.org/officeDocument/2006/relationships/hyperlink" Target="https://portal.nifa.usda.gov/enterprise-search/project_details" TargetMode="External"/><Relationship Id="rId17" Type="http://schemas.openxmlformats.org/officeDocument/2006/relationships/hyperlink" Target="https://www.nsf.gov/awardsearch/advancedSearch.jsp" TargetMode="External"/><Relationship Id="rId2" Type="http://schemas.openxmlformats.org/officeDocument/2006/relationships/hyperlink" Target="https://portal.nifa.usda.gov/enterprise-search/project_details" TargetMode="External"/><Relationship Id="rId16" Type="http://schemas.openxmlformats.org/officeDocument/2006/relationships/hyperlink" Target="https://portal.nifa.usda.gov/enterprise-search/project_details" TargetMode="External"/><Relationship Id="rId20" Type="http://schemas.openxmlformats.org/officeDocument/2006/relationships/hyperlink" Target="https://www.nsf.gov/awardsearch/advancedSearch.jsp" TargetMode="External"/><Relationship Id="rId1" Type="http://schemas.openxmlformats.org/officeDocument/2006/relationships/hyperlink" Target="https://portal.nifa.usda.gov/enterprise-search/project_details" TargetMode="External"/><Relationship Id="rId6" Type="http://schemas.openxmlformats.org/officeDocument/2006/relationships/hyperlink" Target="https://portal.nifa.usda.gov/enterprise-search/project_details" TargetMode="External"/><Relationship Id="rId11" Type="http://schemas.openxmlformats.org/officeDocument/2006/relationships/hyperlink" Target="https://portal.nifa.usda.gov/enterprise-search/project_details" TargetMode="External"/><Relationship Id="rId5" Type="http://schemas.openxmlformats.org/officeDocument/2006/relationships/hyperlink" Target="https://portal.nifa.usda.gov/enterprise-search/project_details" TargetMode="External"/><Relationship Id="rId15" Type="http://schemas.openxmlformats.org/officeDocument/2006/relationships/hyperlink" Target="https://www.nsf.gov/awardsearch/advancedSearch.jsp" TargetMode="External"/><Relationship Id="rId10" Type="http://schemas.openxmlformats.org/officeDocument/2006/relationships/hyperlink" Target="https://portal.nifa.usda.gov/enterprise-search/project_details" TargetMode="External"/><Relationship Id="rId19" Type="http://schemas.openxmlformats.org/officeDocument/2006/relationships/hyperlink" Target="https://www.nsf.gov/awardsearch/advancedSearch.jsp" TargetMode="External"/><Relationship Id="rId4" Type="http://schemas.openxmlformats.org/officeDocument/2006/relationships/hyperlink" Target="https://portal.nifa.usda.gov/enterprise-search/project_details" TargetMode="External"/><Relationship Id="rId9" Type="http://schemas.openxmlformats.org/officeDocument/2006/relationships/hyperlink" Target="https://portal.nifa.usda.gov/enterprise-search/project_details" TargetMode="External"/><Relationship Id="rId14" Type="http://schemas.openxmlformats.org/officeDocument/2006/relationships/hyperlink" Target="https://www.nsf.gov/awardsearch/advancedSearch.jsp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ublicdashboards.dl.usda.gov/t/FPAC_PUB/views/PartnershipsForClimate-SmartCommodities/Overview?%3Aembed=y&amp;%3AisGuestRedirectFromVizportal=y&amp;%3Atoolbar=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/>
  <cols>
    <col min="1" max="1" width="40.28515625" customWidth="1"/>
    <col min="2" max="5" width="9.7109375" customWidth="1"/>
    <col min="6" max="9" width="8.85546875" customWidth="1"/>
    <col min="10" max="10" width="11" customWidth="1"/>
    <col min="11" max="26" width="8.85546875" customWidth="1"/>
  </cols>
  <sheetData>
    <row r="1" spans="1:26" ht="2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.75" customHeight="1">
      <c r="A2" s="3"/>
      <c r="B2" s="4"/>
      <c r="C2" s="4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6"/>
      <c r="B3" s="2"/>
      <c r="C3" s="2"/>
      <c r="D3" s="2"/>
      <c r="E3" s="7"/>
      <c r="F3" s="7"/>
      <c r="G3" s="7"/>
      <c r="H3" s="7"/>
      <c r="I3" s="7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>
      <c r="A4" s="9" t="s">
        <v>1</v>
      </c>
      <c r="B4" s="10"/>
      <c r="C4" s="10"/>
      <c r="D4" s="10"/>
      <c r="E4" s="11"/>
      <c r="F4" s="11"/>
      <c r="G4" s="11"/>
      <c r="H4" s="11"/>
      <c r="I4" s="11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>
      <c r="A5" s="6"/>
      <c r="B5" s="2"/>
      <c r="C5" s="2"/>
      <c r="D5" s="2"/>
      <c r="E5" s="7"/>
      <c r="F5" s="7"/>
      <c r="G5" s="7"/>
      <c r="H5" s="7"/>
      <c r="I5" s="7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13" t="s">
        <v>2</v>
      </c>
      <c r="B6" s="2"/>
      <c r="C6" s="2"/>
      <c r="D6" s="2"/>
      <c r="E6" s="7"/>
      <c r="F6" s="7"/>
      <c r="G6" s="7"/>
      <c r="H6" s="7"/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3" t="s">
        <v>3</v>
      </c>
      <c r="B7" s="2"/>
      <c r="C7" s="2"/>
      <c r="D7" s="2"/>
      <c r="E7" s="7"/>
      <c r="F7" s="7"/>
      <c r="G7" s="7"/>
      <c r="H7" s="7"/>
      <c r="I7" s="7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3" t="s">
        <v>4</v>
      </c>
      <c r="B8" s="2"/>
      <c r="C8" s="2"/>
      <c r="D8" s="2"/>
      <c r="E8" s="7"/>
      <c r="F8" s="7"/>
      <c r="G8" s="7"/>
      <c r="H8" s="7"/>
      <c r="I8" s="7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3" t="s">
        <v>5</v>
      </c>
      <c r="B9" s="2"/>
      <c r="C9" s="2"/>
      <c r="D9" s="2"/>
      <c r="E9" s="7"/>
      <c r="F9" s="7"/>
      <c r="G9" s="7"/>
      <c r="H9" s="7"/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3" t="s">
        <v>6</v>
      </c>
      <c r="B10" s="2"/>
      <c r="C10" s="2"/>
      <c r="D10" s="2"/>
      <c r="E10" s="7"/>
      <c r="F10" s="7"/>
      <c r="G10" s="7"/>
      <c r="H10" s="7"/>
      <c r="I10" s="7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1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13" t="s">
        <v>8</v>
      </c>
      <c r="B12" s="2"/>
      <c r="C12" s="2"/>
      <c r="D12" s="2"/>
      <c r="E12" s="7"/>
      <c r="F12" s="7"/>
      <c r="G12" s="7"/>
      <c r="H12" s="7"/>
      <c r="I12" s="7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1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1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14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6"/>
      <c r="B16" s="2"/>
      <c r="C16" s="2"/>
      <c r="D16" s="2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>
      <c r="A17" s="16" t="s">
        <v>12</v>
      </c>
      <c r="B17" s="17"/>
      <c r="C17" s="17"/>
      <c r="D17" s="17"/>
      <c r="E17" s="18"/>
      <c r="F17" s="18"/>
      <c r="G17" s="18"/>
      <c r="H17" s="18"/>
      <c r="I17" s="18"/>
      <c r="J17" s="19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13" t="s">
        <v>13</v>
      </c>
      <c r="B19" s="2"/>
      <c r="C19" s="2"/>
      <c r="D19" s="2"/>
      <c r="E19" s="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13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3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3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2"/>
      <c r="C23" s="2"/>
      <c r="D23" s="2"/>
      <c r="E23" s="2"/>
      <c r="F23" s="2"/>
      <c r="G23" s="2"/>
      <c r="H23" s="2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2" t="s">
        <v>17</v>
      </c>
      <c r="B24" s="23"/>
      <c r="C24" s="23"/>
      <c r="D24" s="23"/>
      <c r="E24" s="24"/>
      <c r="F24" s="24"/>
      <c r="G24" s="24"/>
      <c r="H24" s="24"/>
      <c r="I24" s="24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6"/>
      <c r="B25" s="2"/>
      <c r="C25" s="2"/>
      <c r="D25" s="2"/>
      <c r="E25" s="2"/>
      <c r="F25" s="2"/>
      <c r="G25" s="2"/>
      <c r="H25" s="2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3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6" location="ETHANOL!A1" display="Ethanol" xr:uid="{00000000-0004-0000-0000-000000000000}"/>
    <hyperlink ref="A7" location="BIOBUTANOL!A1" display="Biobutanol" xr:uid="{00000000-0004-0000-0000-000001000000}"/>
    <hyperlink ref="A8" location="BIODIESEL!A1" display="Biodiesel" xr:uid="{00000000-0004-0000-0000-000002000000}"/>
    <hyperlink ref="A9" location="FATS!A1" display="Fats" xr:uid="{00000000-0004-0000-0000-000003000000}"/>
    <hyperlink ref="A10" location="'RENEWABLE DIESEL'!A1" display="Renewable Diesel" xr:uid="{00000000-0004-0000-0000-000004000000}"/>
    <hyperlink ref="A11" location="'RENEWABLE JET FUEL'!A1" display="Renewable Jet Fuel" xr:uid="{00000000-0004-0000-0000-000005000000}"/>
    <hyperlink ref="A12" location="'WOOD PELLETS'!A1" display="Wood Pellets" xr:uid="{00000000-0004-0000-0000-000006000000}"/>
    <hyperlink ref="A13" location="'WASTE TO ENERGY'!A1" display="Waste to Energy " xr:uid="{00000000-0004-0000-0000-000007000000}"/>
    <hyperlink ref="A14" location="BIOGAS!A1" display="Biogas" xr:uid="{00000000-0004-0000-0000-000008000000}"/>
    <hyperlink ref="A19" location="BIOPRODUCTS!A1" display="BioProducts" xr:uid="{00000000-0004-0000-0000-000009000000}"/>
    <hyperlink ref="A20" location="BIOPLASTICS!A1" display="Bioplastics" xr:uid="{00000000-0004-0000-0000-00000A000000}"/>
    <hyperlink ref="A21" location="ENZYMES!A1" display="Enzymes" xr:uid="{00000000-0004-0000-0000-00000B000000}"/>
    <hyperlink ref="A22" location="'FOREST PRODUCTS'!A1" display="Forest Products" xr:uid="{00000000-0004-0000-0000-00000C000000}"/>
    <hyperlink ref="A26" location="FUNDING!A1" display="Funding" xr:uid="{00000000-0004-0000-0000-00000D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306C"/>
  </sheetPr>
  <dimension ref="A1:AE1000"/>
  <sheetViews>
    <sheetView zoomScale="70" zoomScaleNormal="70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L30" sqref="L30"/>
    </sheetView>
  </sheetViews>
  <sheetFormatPr defaultColWidth="14.42578125" defaultRowHeight="15" customHeight="1"/>
  <cols>
    <col min="1" max="1" width="77.7109375" customWidth="1"/>
    <col min="2" max="3" width="11.7109375" customWidth="1"/>
    <col min="4" max="4" width="11.85546875" customWidth="1"/>
    <col min="5" max="9" width="11.7109375" customWidth="1"/>
    <col min="10" max="16" width="10.85546875" customWidth="1"/>
    <col min="17" max="17" width="17" customWidth="1"/>
    <col min="18" max="18" width="70.42578125" customWidth="1"/>
    <col min="19" max="19" width="35.42578125" customWidth="1"/>
    <col min="20" max="20" width="8.85546875" customWidth="1"/>
    <col min="21" max="21" width="14" customWidth="1"/>
    <col min="22" max="28" width="9.7109375" customWidth="1"/>
    <col min="29" max="31" width="8.85546875" customWidth="1"/>
  </cols>
  <sheetData>
    <row r="1" spans="1:31">
      <c r="A1" s="447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>
      <c r="A2" s="448"/>
      <c r="B2" s="27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1:31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/>
      <c r="Q3" s="28" t="s">
        <v>21</v>
      </c>
      <c r="R3" s="29" t="s">
        <v>22</v>
      </c>
      <c r="S3" s="29" t="s">
        <v>23</v>
      </c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>
      <c r="A4" s="31" t="s">
        <v>24</v>
      </c>
      <c r="B4" s="32">
        <v>204</v>
      </c>
      <c r="C4" s="32">
        <v>209</v>
      </c>
      <c r="D4" s="32">
        <v>211</v>
      </c>
      <c r="E4" s="32">
        <v>210</v>
      </c>
      <c r="F4" s="32">
        <v>213</v>
      </c>
      <c r="G4" s="32">
        <v>214</v>
      </c>
      <c r="H4" s="32">
        <v>213</v>
      </c>
      <c r="I4" s="32">
        <v>209</v>
      </c>
      <c r="J4" s="32">
        <v>210</v>
      </c>
      <c r="K4" s="32">
        <v>205</v>
      </c>
      <c r="L4" s="32">
        <v>208</v>
      </c>
      <c r="M4" s="32">
        <v>208</v>
      </c>
      <c r="N4" s="32">
        <v>199</v>
      </c>
      <c r="O4" s="32">
        <v>198</v>
      </c>
      <c r="P4" s="32"/>
      <c r="Q4" s="33" t="s">
        <v>25</v>
      </c>
      <c r="R4" s="191" t="s">
        <v>26</v>
      </c>
      <c r="S4" s="192" t="s">
        <v>27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45">
      <c r="A5" s="35" t="s">
        <v>28</v>
      </c>
      <c r="B5" s="36"/>
      <c r="C5" s="36"/>
      <c r="D5" s="36"/>
      <c r="E5" s="36"/>
      <c r="F5" s="36"/>
      <c r="G5" s="36"/>
      <c r="H5" s="32">
        <v>203</v>
      </c>
      <c r="I5" s="37">
        <v>202</v>
      </c>
      <c r="J5" s="37">
        <v>204</v>
      </c>
      <c r="K5" s="37">
        <v>199</v>
      </c>
      <c r="L5" s="37">
        <v>201</v>
      </c>
      <c r="M5" s="37">
        <v>199</v>
      </c>
      <c r="N5" s="37">
        <v>195</v>
      </c>
      <c r="O5" s="37">
        <v>197</v>
      </c>
      <c r="P5" s="439"/>
      <c r="Q5" s="38" t="s">
        <v>29</v>
      </c>
      <c r="R5" s="193" t="s">
        <v>30</v>
      </c>
      <c r="S5" s="194" t="s">
        <v>27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 ht="45">
      <c r="A6" s="35" t="s">
        <v>31</v>
      </c>
      <c r="B6" s="36"/>
      <c r="C6" s="36"/>
      <c r="D6" s="36"/>
      <c r="E6" s="36"/>
      <c r="F6" s="36"/>
      <c r="G6" s="36"/>
      <c r="H6" s="32">
        <v>10</v>
      </c>
      <c r="I6" s="32">
        <v>7</v>
      </c>
      <c r="J6" s="32">
        <v>6</v>
      </c>
      <c r="K6" s="32">
        <v>6</v>
      </c>
      <c r="L6" s="32">
        <v>11</v>
      </c>
      <c r="M6" s="32">
        <v>11</v>
      </c>
      <c r="N6" s="32">
        <v>8</v>
      </c>
      <c r="O6" s="32">
        <v>9</v>
      </c>
      <c r="P6" s="286"/>
      <c r="Q6" s="38" t="s">
        <v>29</v>
      </c>
      <c r="R6" s="195" t="s">
        <v>32</v>
      </c>
      <c r="S6" s="194" t="s">
        <v>27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 ht="45">
      <c r="A7" s="35" t="s">
        <v>33</v>
      </c>
      <c r="B7" s="36"/>
      <c r="C7" s="36"/>
      <c r="D7" s="36"/>
      <c r="E7" s="36"/>
      <c r="F7" s="36"/>
      <c r="G7" s="36"/>
      <c r="H7" s="36"/>
      <c r="I7" s="36"/>
      <c r="J7" s="32">
        <v>196</v>
      </c>
      <c r="K7" s="32">
        <v>197</v>
      </c>
      <c r="L7" s="32">
        <v>199</v>
      </c>
      <c r="M7" s="32">
        <v>198</v>
      </c>
      <c r="N7" s="32">
        <v>190</v>
      </c>
      <c r="O7" s="32">
        <v>195</v>
      </c>
      <c r="P7" s="286"/>
      <c r="Q7" s="38" t="s">
        <v>29</v>
      </c>
      <c r="R7" s="196" t="s">
        <v>34</v>
      </c>
      <c r="S7" s="194" t="s">
        <v>27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 ht="45">
      <c r="A8" s="35" t="s">
        <v>35</v>
      </c>
      <c r="B8" s="36"/>
      <c r="C8" s="36"/>
      <c r="D8" s="36"/>
      <c r="E8" s="36"/>
      <c r="F8" s="36"/>
      <c r="G8" s="36"/>
      <c r="H8" s="36"/>
      <c r="I8" s="36"/>
      <c r="J8" s="32">
        <v>13</v>
      </c>
      <c r="K8" s="32">
        <v>14</v>
      </c>
      <c r="L8" s="32">
        <v>9</v>
      </c>
      <c r="M8" s="32">
        <v>10</v>
      </c>
      <c r="N8" s="32">
        <v>12</v>
      </c>
      <c r="O8" s="32">
        <v>10</v>
      </c>
      <c r="P8" s="286"/>
      <c r="Q8" s="38" t="s">
        <v>29</v>
      </c>
      <c r="R8" s="196" t="s">
        <v>36</v>
      </c>
      <c r="S8" s="194" t="s">
        <v>27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 ht="45">
      <c r="A9" s="35" t="s">
        <v>37</v>
      </c>
      <c r="B9" s="36"/>
      <c r="C9" s="36"/>
      <c r="D9" s="36"/>
      <c r="E9" s="36"/>
      <c r="F9" s="36"/>
      <c r="G9" s="36"/>
      <c r="H9" s="36"/>
      <c r="I9" s="36"/>
      <c r="J9" s="32">
        <v>5</v>
      </c>
      <c r="K9" s="32">
        <v>4</v>
      </c>
      <c r="L9" s="32">
        <v>8</v>
      </c>
      <c r="M9" s="32">
        <v>9</v>
      </c>
      <c r="N9" s="32">
        <v>5</v>
      </c>
      <c r="O9" s="32">
        <v>7</v>
      </c>
      <c r="P9" s="286"/>
      <c r="Q9" s="38" t="s">
        <v>29</v>
      </c>
      <c r="R9" s="196" t="s">
        <v>38</v>
      </c>
      <c r="S9" s="194" t="s">
        <v>27</v>
      </c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 ht="30">
      <c r="A10" s="40" t="s">
        <v>39</v>
      </c>
      <c r="B10" s="36"/>
      <c r="C10" s="32">
        <v>193</v>
      </c>
      <c r="D10" s="32">
        <v>194</v>
      </c>
      <c r="E10" s="32">
        <v>192</v>
      </c>
      <c r="F10" s="32">
        <v>198</v>
      </c>
      <c r="G10" s="32">
        <v>199</v>
      </c>
      <c r="H10" s="32">
        <v>200</v>
      </c>
      <c r="I10" s="32">
        <v>201</v>
      </c>
      <c r="J10" s="32">
        <v>199</v>
      </c>
      <c r="K10" s="32">
        <v>200</v>
      </c>
      <c r="L10" s="32">
        <v>201</v>
      </c>
      <c r="M10" s="32">
        <v>197</v>
      </c>
      <c r="N10" s="73">
        <v>192</v>
      </c>
      <c r="O10" s="32">
        <v>187</v>
      </c>
      <c r="P10" s="286"/>
      <c r="Q10" s="38" t="s">
        <v>40</v>
      </c>
      <c r="R10" s="197" t="s">
        <v>41</v>
      </c>
      <c r="S10" s="194" t="s">
        <v>27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>
      <c r="A11" s="41" t="s">
        <v>42</v>
      </c>
      <c r="B11" s="36"/>
      <c r="C11" s="36"/>
      <c r="D11" s="36"/>
      <c r="E11" s="32">
        <v>7</v>
      </c>
      <c r="F11" s="32">
        <v>3</v>
      </c>
      <c r="G11" s="32">
        <v>3</v>
      </c>
      <c r="H11" s="32">
        <v>3</v>
      </c>
      <c r="I11" s="32">
        <v>7</v>
      </c>
      <c r="J11" s="32">
        <v>9</v>
      </c>
      <c r="K11" s="32">
        <v>4</v>
      </c>
      <c r="L11" s="32">
        <v>1</v>
      </c>
      <c r="M11" s="297">
        <v>5</v>
      </c>
      <c r="N11" s="213">
        <v>4</v>
      </c>
      <c r="O11" s="298">
        <v>2</v>
      </c>
      <c r="P11" s="440"/>
      <c r="Q11" s="38" t="s">
        <v>25</v>
      </c>
      <c r="R11" s="296" t="s">
        <v>26</v>
      </c>
      <c r="S11" s="194" t="s">
        <v>27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>
      <c r="A12" s="35" t="s">
        <v>43</v>
      </c>
      <c r="B12" s="36"/>
      <c r="C12" s="36"/>
      <c r="D12" s="36"/>
      <c r="E12" s="36"/>
      <c r="F12" s="36"/>
      <c r="G12" s="36"/>
      <c r="H12" s="36"/>
      <c r="I12" s="32">
        <v>11</v>
      </c>
      <c r="J12" s="32">
        <v>1</v>
      </c>
      <c r="K12" s="32">
        <v>1</v>
      </c>
      <c r="L12" s="36"/>
      <c r="M12" s="36"/>
      <c r="N12" s="286">
        <v>0</v>
      </c>
      <c r="O12" s="32">
        <v>1</v>
      </c>
      <c r="P12" s="286"/>
      <c r="Q12" s="42" t="s">
        <v>44</v>
      </c>
      <c r="R12" s="198" t="s">
        <v>45</v>
      </c>
      <c r="S12" s="194" t="s">
        <v>27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>
      <c r="A13" s="35" t="s">
        <v>46</v>
      </c>
      <c r="B13" s="43">
        <v>29</v>
      </c>
      <c r="C13" s="43">
        <v>29</v>
      </c>
      <c r="D13" s="43">
        <v>29</v>
      </c>
      <c r="E13" s="43">
        <v>28</v>
      </c>
      <c r="F13" s="43">
        <v>29</v>
      </c>
      <c r="G13" s="43">
        <v>29</v>
      </c>
      <c r="H13" s="43">
        <v>28</v>
      </c>
      <c r="I13" s="43">
        <v>28</v>
      </c>
      <c r="J13" s="43">
        <v>27</v>
      </c>
      <c r="K13" s="43">
        <v>26</v>
      </c>
      <c r="L13" s="43">
        <v>25</v>
      </c>
      <c r="M13" s="43">
        <v>24</v>
      </c>
      <c r="N13" s="43">
        <v>22</v>
      </c>
      <c r="O13" s="32">
        <v>22</v>
      </c>
      <c r="P13" s="286"/>
      <c r="Q13" s="38" t="s">
        <v>25</v>
      </c>
      <c r="R13" s="195" t="s">
        <v>26</v>
      </c>
      <c r="S13" s="194" t="s">
        <v>27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</row>
    <row r="14" spans="1:31" ht="30">
      <c r="A14" s="44" t="s">
        <v>47</v>
      </c>
      <c r="B14" s="43">
        <v>14.46</v>
      </c>
      <c r="C14" s="43">
        <v>13.614000000000001</v>
      </c>
      <c r="D14" s="43">
        <v>13.728</v>
      </c>
      <c r="E14" s="43">
        <v>13.852</v>
      </c>
      <c r="F14" s="43">
        <v>13.680999999999999</v>
      </c>
      <c r="G14" s="43">
        <v>14.369</v>
      </c>
      <c r="H14" s="43">
        <v>14.903</v>
      </c>
      <c r="I14" s="43">
        <v>15.584</v>
      </c>
      <c r="J14" s="43">
        <v>16.542000000000002</v>
      </c>
      <c r="K14" s="43">
        <v>16.867999999999999</v>
      </c>
      <c r="L14" s="43">
        <v>17.378</v>
      </c>
      <c r="M14" s="43">
        <v>17.545999999999999</v>
      </c>
      <c r="N14" s="43">
        <v>17.38</v>
      </c>
      <c r="O14" s="43">
        <v>17.663</v>
      </c>
      <c r="P14" s="441"/>
      <c r="Q14" s="199" t="s">
        <v>48</v>
      </c>
      <c r="R14" s="200" t="s">
        <v>49</v>
      </c>
      <c r="S14" s="194" t="s">
        <v>27</v>
      </c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>
      <c r="A15" s="45"/>
      <c r="B15" s="46"/>
      <c r="C15" s="46"/>
      <c r="D15" s="46"/>
      <c r="E15" s="46"/>
      <c r="F15" s="46"/>
      <c r="G15" s="46"/>
      <c r="H15" s="46"/>
      <c r="I15" s="46"/>
      <c r="J15" s="47"/>
      <c r="K15" s="47"/>
      <c r="L15" s="47"/>
      <c r="M15" s="47"/>
      <c r="N15" s="47"/>
      <c r="O15" s="47"/>
      <c r="P15" s="442"/>
      <c r="Q15" s="48"/>
      <c r="R15" s="49"/>
      <c r="S15" s="189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>
      <c r="A16" s="51" t="s">
        <v>50</v>
      </c>
      <c r="B16" s="51">
        <v>2010</v>
      </c>
      <c r="C16" s="51">
        <v>2011</v>
      </c>
      <c r="D16" s="51">
        <v>2012</v>
      </c>
      <c r="E16" s="51">
        <v>2013</v>
      </c>
      <c r="F16" s="51">
        <v>2014</v>
      </c>
      <c r="G16" s="51">
        <v>2015</v>
      </c>
      <c r="H16" s="51">
        <v>2016</v>
      </c>
      <c r="I16" s="51">
        <v>2017</v>
      </c>
      <c r="J16" s="51">
        <v>2018</v>
      </c>
      <c r="K16" s="51">
        <v>2019</v>
      </c>
      <c r="L16" s="51">
        <v>2020</v>
      </c>
      <c r="M16" s="51">
        <v>2021</v>
      </c>
      <c r="N16" s="51">
        <v>2022</v>
      </c>
      <c r="O16" s="51">
        <v>2023</v>
      </c>
      <c r="P16" s="262"/>
      <c r="Q16" s="28" t="s">
        <v>21</v>
      </c>
      <c r="R16" s="29" t="s">
        <v>22</v>
      </c>
      <c r="S16" s="29" t="s">
        <v>23</v>
      </c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</row>
    <row r="17" spans="1:31">
      <c r="A17" s="35" t="s">
        <v>51</v>
      </c>
      <c r="B17" s="52">
        <v>13.298</v>
      </c>
      <c r="C17" s="52">
        <v>13.929</v>
      </c>
      <c r="D17" s="52">
        <v>13.218</v>
      </c>
      <c r="E17" s="52">
        <v>13.292999999999999</v>
      </c>
      <c r="F17" s="52">
        <v>14.313000000000001</v>
      </c>
      <c r="G17" s="52">
        <v>14.807</v>
      </c>
      <c r="H17" s="53">
        <v>15.413</v>
      </c>
      <c r="I17" s="52">
        <v>15.936</v>
      </c>
      <c r="J17" s="52">
        <v>16.091000000000001</v>
      </c>
      <c r="K17" s="52">
        <v>15.778</v>
      </c>
      <c r="L17" s="52">
        <v>13.941000000000001</v>
      </c>
      <c r="M17" s="52">
        <v>15.016</v>
      </c>
      <c r="N17" s="52">
        <v>15.361000000000001</v>
      </c>
      <c r="O17" s="54">
        <v>15.62</v>
      </c>
      <c r="P17" s="54"/>
      <c r="Q17" s="35" t="s">
        <v>52</v>
      </c>
      <c r="R17" s="55" t="s">
        <v>53</v>
      </c>
      <c r="S17" s="34" t="s">
        <v>27</v>
      </c>
      <c r="T17" s="26"/>
      <c r="U17" s="27"/>
      <c r="V17" s="27"/>
      <c r="W17" s="27"/>
      <c r="X17" s="27"/>
      <c r="Y17" s="27"/>
      <c r="Z17" s="27"/>
      <c r="AA17" s="27"/>
      <c r="AB17" s="27"/>
      <c r="AC17" s="26"/>
      <c r="AD17" s="26"/>
      <c r="AE17" s="26"/>
    </row>
    <row r="18" spans="1:31">
      <c r="A18" s="35" t="s">
        <v>54</v>
      </c>
      <c r="B18" s="52">
        <v>12.858000000000001</v>
      </c>
      <c r="C18" s="52">
        <v>12.893000000000001</v>
      </c>
      <c r="D18" s="52">
        <v>12.882</v>
      </c>
      <c r="E18" s="52">
        <v>13.215999999999999</v>
      </c>
      <c r="F18" s="52">
        <v>13.444000000000001</v>
      </c>
      <c r="G18" s="52">
        <v>13.946999999999999</v>
      </c>
      <c r="H18" s="52">
        <v>14.356</v>
      </c>
      <c r="I18" s="52">
        <v>15.484999999999999</v>
      </c>
      <c r="J18" s="52">
        <v>14.42</v>
      </c>
      <c r="K18" s="52">
        <v>14.552</v>
      </c>
      <c r="L18" s="52">
        <v>12.680999999999999</v>
      </c>
      <c r="M18" s="52">
        <v>13.944000000000001</v>
      </c>
      <c r="N18" s="52">
        <v>14.023</v>
      </c>
      <c r="O18" s="56">
        <v>14.249000000000001</v>
      </c>
      <c r="P18" s="443"/>
      <c r="Q18" s="35" t="s">
        <v>52</v>
      </c>
      <c r="R18" s="55" t="s">
        <v>55</v>
      </c>
      <c r="S18" s="34" t="s">
        <v>27</v>
      </c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 ht="30">
      <c r="A19" s="35" t="s">
        <v>56</v>
      </c>
      <c r="B19" s="52">
        <v>13.420745437372315</v>
      </c>
      <c r="C19" s="52">
        <v>13.472314103798336</v>
      </c>
      <c r="D19" s="52">
        <v>13.472314103798336</v>
      </c>
      <c r="E19" s="52">
        <v>13.820402602173989</v>
      </c>
      <c r="F19" s="52">
        <v>14.091138100910605</v>
      </c>
      <c r="G19" s="52">
        <v>14.3103049332212</v>
      </c>
      <c r="H19" s="52">
        <v>14.735837867106721</v>
      </c>
      <c r="I19" s="52">
        <v>14.903437072944332</v>
      </c>
      <c r="J19" s="52">
        <v>14.864760333135653</v>
      </c>
      <c r="K19" s="52">
        <v>14.98079055256169</v>
      </c>
      <c r="L19" s="52">
        <v>12.943815589304601</v>
      </c>
      <c r="M19" s="52">
        <v>14.310393729211301</v>
      </c>
      <c r="N19" s="52">
        <v>14.4006394554315</v>
      </c>
      <c r="O19" s="43">
        <v>14.6198076476807</v>
      </c>
      <c r="P19" s="43"/>
      <c r="Q19" s="35" t="s">
        <v>52</v>
      </c>
      <c r="R19" s="57" t="s">
        <v>53</v>
      </c>
      <c r="S19" s="34" t="s">
        <v>57</v>
      </c>
      <c r="T19" s="26"/>
      <c r="U19" s="27"/>
      <c r="V19" s="27"/>
      <c r="W19" s="27"/>
      <c r="X19" s="27"/>
      <c r="Y19" s="27"/>
      <c r="Z19" s="27"/>
      <c r="AA19" s="27"/>
      <c r="AB19" s="27"/>
      <c r="AC19" s="58"/>
      <c r="AD19" s="26"/>
      <c r="AE19" s="26"/>
    </row>
    <row r="20" spans="1:31" ht="30">
      <c r="A20" s="35" t="s">
        <v>58</v>
      </c>
      <c r="B20" s="52">
        <v>0.21916683231059494</v>
      </c>
      <c r="C20" s="52">
        <v>0.21916683231059494</v>
      </c>
      <c r="D20" s="52">
        <v>0.21916683231059494</v>
      </c>
      <c r="E20" s="52">
        <v>0.23205899891710055</v>
      </c>
      <c r="F20" s="52">
        <v>0.18049033249107821</v>
      </c>
      <c r="G20" s="52">
        <v>0.23205899891710055</v>
      </c>
      <c r="H20" s="52">
        <v>0.23206043885207436</v>
      </c>
      <c r="I20" s="52">
        <v>0.23206043885207436</v>
      </c>
      <c r="J20" s="52">
        <v>0.23206043885207436</v>
      </c>
      <c r="K20" s="52">
        <v>0.23206043885207436</v>
      </c>
      <c r="L20" s="52">
        <v>0.244952685</v>
      </c>
      <c r="M20" s="52">
        <v>0.244952685</v>
      </c>
      <c r="N20" s="52">
        <v>0.244952685</v>
      </c>
      <c r="O20" s="52">
        <v>0.244952685</v>
      </c>
      <c r="P20" s="52"/>
      <c r="Q20" s="35" t="s">
        <v>52</v>
      </c>
      <c r="R20" s="55" t="s">
        <v>59</v>
      </c>
      <c r="S20" s="34" t="s">
        <v>60</v>
      </c>
      <c r="T20" s="26"/>
      <c r="U20" s="58"/>
      <c r="V20" s="58"/>
      <c r="W20" s="58"/>
      <c r="X20" s="58"/>
      <c r="Y20" s="58"/>
      <c r="Z20" s="58"/>
      <c r="AA20" s="58"/>
      <c r="AB20" s="58"/>
      <c r="AC20" s="26"/>
      <c r="AD20" s="26"/>
      <c r="AE20" s="26"/>
    </row>
    <row r="21" spans="1:31" ht="30">
      <c r="A21" s="35" t="s">
        <v>61</v>
      </c>
      <c r="B21" s="52">
        <v>1.5665999999999999E-2</v>
      </c>
      <c r="C21" s="52">
        <v>0.17186400000000002</v>
      </c>
      <c r="D21" s="52">
        <v>0.49413000000000001</v>
      </c>
      <c r="E21" s="52">
        <v>0.37699199999999999</v>
      </c>
      <c r="F21" s="52">
        <v>7.4676000000000006E-2</v>
      </c>
      <c r="G21" s="52">
        <v>9.1518000000000002E-2</v>
      </c>
      <c r="H21" s="52">
        <v>3.6204E-2</v>
      </c>
      <c r="I21" s="52">
        <v>7.6607999999999996E-2</v>
      </c>
      <c r="J21" s="52">
        <v>5.4348E-2</v>
      </c>
      <c r="K21" s="52">
        <v>0.195048</v>
      </c>
      <c r="L21" s="52">
        <v>0.15414</v>
      </c>
      <c r="M21" s="52">
        <v>6.0774000000000002E-2</v>
      </c>
      <c r="N21" s="52">
        <v>6.9089999999999999E-2</v>
      </c>
      <c r="O21" s="59">
        <v>2.7258000000000001E-2</v>
      </c>
      <c r="P21" s="59"/>
      <c r="Q21" s="35" t="s">
        <v>52</v>
      </c>
      <c r="R21" s="55" t="s">
        <v>62</v>
      </c>
      <c r="S21" s="34" t="s">
        <v>63</v>
      </c>
      <c r="T21" s="26"/>
      <c r="U21" s="26"/>
      <c r="V21" s="58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1" ht="30">
      <c r="A22" s="35" t="s">
        <v>64</v>
      </c>
      <c r="B22" s="52">
        <v>0.39849599999999996</v>
      </c>
      <c r="C22" s="52">
        <v>1.1951939999999999</v>
      </c>
      <c r="D22" s="52">
        <v>0.74155199999999999</v>
      </c>
      <c r="E22" s="52">
        <v>0.618954</v>
      </c>
      <c r="F22" s="52">
        <v>0.84625800000000007</v>
      </c>
      <c r="G22" s="52">
        <v>0.83206199999999997</v>
      </c>
      <c r="H22" s="52">
        <v>1.170288</v>
      </c>
      <c r="I22" s="52">
        <v>1.389864</v>
      </c>
      <c r="J22" s="52">
        <v>1.709568</v>
      </c>
      <c r="K22" s="52">
        <v>1.4666400000000002</v>
      </c>
      <c r="L22" s="52">
        <v>1.317204</v>
      </c>
      <c r="M22" s="52">
        <v>1.2424440000000001</v>
      </c>
      <c r="N22" s="52">
        <v>1.3135920000000001</v>
      </c>
      <c r="O22" s="59">
        <v>1.43346</v>
      </c>
      <c r="P22" s="59"/>
      <c r="Q22" s="35" t="s">
        <v>52</v>
      </c>
      <c r="R22" s="55" t="s">
        <v>65</v>
      </c>
      <c r="S22" s="34" t="s">
        <v>63</v>
      </c>
      <c r="T22" s="26"/>
      <c r="U22" s="26"/>
      <c r="V22" s="58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ht="15.75" customHeight="1">
      <c r="A23" s="51" t="s">
        <v>66</v>
      </c>
      <c r="B23" s="51">
        <v>2010</v>
      </c>
      <c r="C23" s="51">
        <v>2011</v>
      </c>
      <c r="D23" s="51">
        <v>2012</v>
      </c>
      <c r="E23" s="51">
        <v>2013</v>
      </c>
      <c r="F23" s="51">
        <v>2014</v>
      </c>
      <c r="G23" s="51">
        <v>2015</v>
      </c>
      <c r="H23" s="51">
        <v>2016</v>
      </c>
      <c r="I23" s="51">
        <v>2017</v>
      </c>
      <c r="J23" s="51">
        <v>2018</v>
      </c>
      <c r="K23" s="51">
        <v>2019</v>
      </c>
      <c r="L23" s="51">
        <v>2020</v>
      </c>
      <c r="M23" s="51">
        <v>2021</v>
      </c>
      <c r="N23" s="51">
        <v>2022</v>
      </c>
      <c r="O23" s="51">
        <v>2023</v>
      </c>
      <c r="P23" s="262"/>
      <c r="Q23" s="28" t="s">
        <v>21</v>
      </c>
      <c r="R23" s="29" t="s">
        <v>22</v>
      </c>
      <c r="S23" s="29" t="s">
        <v>23</v>
      </c>
      <c r="T23" s="26"/>
      <c r="U23" s="26"/>
      <c r="V23" s="58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60">
      <c r="A24" s="35" t="s">
        <v>67</v>
      </c>
      <c r="B24" s="205">
        <v>125.468525</v>
      </c>
      <c r="C24" s="205">
        <v>125.00080000000001</v>
      </c>
      <c r="D24" s="205">
        <v>116.02817500000002</v>
      </c>
      <c r="E24" s="205">
        <v>128.09225000000001</v>
      </c>
      <c r="F24" s="205">
        <v>130.00225</v>
      </c>
      <c r="G24" s="205">
        <v>130.59035</v>
      </c>
      <c r="H24" s="205">
        <v>135.79882500000002</v>
      </c>
      <c r="I24" s="205">
        <v>140.12067500000001</v>
      </c>
      <c r="J24" s="205">
        <v>134.45065</v>
      </c>
      <c r="K24" s="205">
        <v>121.416875</v>
      </c>
      <c r="L24" s="205">
        <v>125.68987500000001</v>
      </c>
      <c r="M24" s="205">
        <v>132.990375</v>
      </c>
      <c r="N24" s="205">
        <v>129.403525</v>
      </c>
      <c r="O24" s="205">
        <v>135</v>
      </c>
      <c r="P24" s="444"/>
      <c r="Q24" s="35" t="s">
        <v>68</v>
      </c>
      <c r="R24" s="290" t="s">
        <v>69</v>
      </c>
      <c r="S24" s="34" t="s">
        <v>70</v>
      </c>
      <c r="T24" s="26"/>
      <c r="U24" s="26"/>
      <c r="V24" s="58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5.7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46"/>
      <c r="Q25" s="61"/>
      <c r="R25" s="49"/>
      <c r="S25" s="50"/>
      <c r="T25" s="26"/>
      <c r="U25" s="26"/>
      <c r="V25" s="58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15.75" customHeight="1">
      <c r="A26" s="201" t="s">
        <v>71</v>
      </c>
      <c r="B26" s="201">
        <v>2010</v>
      </c>
      <c r="C26" s="201">
        <v>2011</v>
      </c>
      <c r="D26" s="201">
        <v>2012</v>
      </c>
      <c r="E26" s="201">
        <v>2013</v>
      </c>
      <c r="F26" s="201">
        <v>2014</v>
      </c>
      <c r="G26" s="201">
        <v>2015</v>
      </c>
      <c r="H26" s="201">
        <v>2016</v>
      </c>
      <c r="I26" s="201">
        <v>2017</v>
      </c>
      <c r="J26" s="201">
        <v>2018</v>
      </c>
      <c r="K26" s="201">
        <v>2019</v>
      </c>
      <c r="L26" s="201">
        <v>2020</v>
      </c>
      <c r="M26" s="201">
        <v>2021</v>
      </c>
      <c r="N26" s="201">
        <v>2022</v>
      </c>
      <c r="O26" s="201">
        <v>2023</v>
      </c>
      <c r="P26" s="201"/>
      <c r="Q26" s="202" t="s">
        <v>21</v>
      </c>
      <c r="R26" s="203" t="s">
        <v>22</v>
      </c>
      <c r="S26" s="203" t="s">
        <v>23</v>
      </c>
      <c r="T26" s="30"/>
      <c r="U26" s="30"/>
      <c r="V26" s="58"/>
      <c r="W26" s="30"/>
      <c r="X26" s="30"/>
      <c r="Y26" s="30"/>
      <c r="Z26" s="30"/>
      <c r="AA26" s="30"/>
      <c r="AB26" s="30"/>
      <c r="AC26" s="30"/>
      <c r="AD26" s="30"/>
      <c r="AE26" s="30"/>
    </row>
    <row r="27" spans="1:31" ht="15.75" customHeight="1">
      <c r="A27" s="204" t="s">
        <v>72</v>
      </c>
      <c r="B27" s="205">
        <v>1.84</v>
      </c>
      <c r="C27" s="205">
        <v>2.56</v>
      </c>
      <c r="D27" s="205">
        <v>2.5</v>
      </c>
      <c r="E27" s="205">
        <v>2.5</v>
      </c>
      <c r="F27" s="205">
        <v>2.39</v>
      </c>
      <c r="G27" s="205">
        <v>1.82</v>
      </c>
      <c r="H27" s="205">
        <v>1.55</v>
      </c>
      <c r="I27" s="205">
        <v>1.6</v>
      </c>
      <c r="J27" s="205">
        <v>1.24</v>
      </c>
      <c r="K27" s="205">
        <v>1.3</v>
      </c>
      <c r="L27" s="205">
        <v>1.8</v>
      </c>
      <c r="M27" s="205">
        <v>2.33</v>
      </c>
      <c r="N27" s="205">
        <v>2.42</v>
      </c>
      <c r="O27" s="206">
        <v>1.83</v>
      </c>
      <c r="P27" s="206"/>
      <c r="Q27" s="207" t="s">
        <v>68</v>
      </c>
      <c r="R27" s="208" t="s">
        <v>73</v>
      </c>
      <c r="S27" s="194" t="s">
        <v>27</v>
      </c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45">
      <c r="A28" s="204" t="s">
        <v>74</v>
      </c>
      <c r="B28" s="205">
        <v>2.7600000000000002</v>
      </c>
      <c r="C28" s="205">
        <v>3.84</v>
      </c>
      <c r="D28" s="205">
        <v>3.75</v>
      </c>
      <c r="E28" s="205">
        <v>3.75</v>
      </c>
      <c r="F28" s="205">
        <v>3.585</v>
      </c>
      <c r="G28" s="205">
        <v>2.73</v>
      </c>
      <c r="H28" s="205">
        <v>2.3250000000000002</v>
      </c>
      <c r="I28" s="205">
        <v>2.4000000000000004</v>
      </c>
      <c r="J28" s="205">
        <v>1.8599999999999999</v>
      </c>
      <c r="K28" s="205">
        <v>1.81</v>
      </c>
      <c r="L28" s="205">
        <v>2.66</v>
      </c>
      <c r="M28" s="205">
        <v>3.82</v>
      </c>
      <c r="N28" s="205">
        <v>3.42</v>
      </c>
      <c r="O28" s="206">
        <v>3.05</v>
      </c>
      <c r="P28" s="206"/>
      <c r="Q28" s="209" t="s">
        <v>68</v>
      </c>
      <c r="R28" s="210" t="s">
        <v>73</v>
      </c>
      <c r="S28" s="211" t="s">
        <v>75</v>
      </c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5.75" customHeight="1">
      <c r="A29" s="204" t="s">
        <v>76</v>
      </c>
      <c r="B29" s="205">
        <v>3.37</v>
      </c>
      <c r="C29" s="205">
        <v>4.38</v>
      </c>
      <c r="D29" s="205">
        <v>4.7074999999999996</v>
      </c>
      <c r="E29" s="205">
        <v>4.5025000000000004</v>
      </c>
      <c r="F29" s="205">
        <v>4.4349999999999996</v>
      </c>
      <c r="G29" s="205">
        <v>2.95</v>
      </c>
      <c r="H29" s="205">
        <v>2.4550000000000001</v>
      </c>
      <c r="I29" s="205">
        <v>2.6750000000000003</v>
      </c>
      <c r="J29" s="205">
        <v>2.9250000000000003</v>
      </c>
      <c r="K29" s="205">
        <v>2.9049999999999998</v>
      </c>
      <c r="L29" s="205">
        <v>2.59</v>
      </c>
      <c r="M29" s="205">
        <f>(2.65+3.12+3.4+3.55)/4</f>
        <v>3.1799999999999997</v>
      </c>
      <c r="N29" s="294">
        <f>(3.87+4.6+5.1+4.13)/4</f>
        <v>4.4249999999999998</v>
      </c>
      <c r="O29" s="206">
        <f>(3.96+3.84+3.88+3.6)/4</f>
        <v>3.82</v>
      </c>
      <c r="P29" s="206"/>
      <c r="Q29" s="207" t="s">
        <v>77</v>
      </c>
      <c r="R29" s="212" t="s">
        <v>78</v>
      </c>
      <c r="S29" s="194" t="s">
        <v>27</v>
      </c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</row>
    <row r="30" spans="1:31" ht="15.75" customHeight="1">
      <c r="A30" s="204" t="s">
        <v>79</v>
      </c>
      <c r="B30" s="205">
        <v>2.7449999999999997</v>
      </c>
      <c r="C30" s="205">
        <v>3.4775</v>
      </c>
      <c r="D30" s="205">
        <v>3.65</v>
      </c>
      <c r="E30" s="205">
        <v>3.4950000000000001</v>
      </c>
      <c r="F30" s="205">
        <v>3.5075000000000003</v>
      </c>
      <c r="G30" s="205">
        <v>2.4724999999999997</v>
      </c>
      <c r="H30" s="205">
        <v>2.13</v>
      </c>
      <c r="I30" s="205">
        <v>2.3624999999999998</v>
      </c>
      <c r="J30" s="205">
        <v>2.74</v>
      </c>
      <c r="K30" s="205">
        <v>2.6175000000000002</v>
      </c>
      <c r="L30" s="205">
        <v>2.2250000000000001</v>
      </c>
      <c r="M30" s="205">
        <f>(2.32+2.82+3.09+3.25)/4</f>
        <v>2.87</v>
      </c>
      <c r="N30" s="294">
        <f>(3.28+4.13+4.7+4.05)/4</f>
        <v>4.04</v>
      </c>
      <c r="O30" s="206">
        <f>(3.31+3.69+3.59+3.72)/4</f>
        <v>3.5775000000000001</v>
      </c>
      <c r="P30" s="206"/>
      <c r="Q30" s="207" t="s">
        <v>77</v>
      </c>
      <c r="R30" s="212" t="s">
        <v>78</v>
      </c>
      <c r="S30" s="194" t="s">
        <v>27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 ht="15.75" customHeight="1">
      <c r="A31" s="204" t="s">
        <v>80</v>
      </c>
      <c r="B31" s="205">
        <v>70400</v>
      </c>
      <c r="C31" s="205">
        <v>90200</v>
      </c>
      <c r="D31" s="205">
        <v>70000</v>
      </c>
      <c r="E31" s="205">
        <v>86504</v>
      </c>
      <c r="F31" s="205">
        <v>83949</v>
      </c>
      <c r="G31" s="205">
        <v>85967</v>
      </c>
      <c r="H31" s="205">
        <v>74420</v>
      </c>
      <c r="I31" s="205">
        <v>71906</v>
      </c>
      <c r="J31" s="205">
        <v>71637</v>
      </c>
      <c r="K31" s="205">
        <v>68542</v>
      </c>
      <c r="L31" s="205">
        <v>62180</v>
      </c>
      <c r="M31" s="205">
        <v>73193</v>
      </c>
      <c r="N31" s="205">
        <v>78802</v>
      </c>
      <c r="O31" s="213">
        <v>72463</v>
      </c>
      <c r="P31" s="213"/>
      <c r="Q31" s="204" t="s">
        <v>81</v>
      </c>
      <c r="R31" s="214" t="s">
        <v>26</v>
      </c>
      <c r="S31" s="194" t="s">
        <v>27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ht="15.75" customHeight="1">
      <c r="A32" s="211" t="s">
        <v>82</v>
      </c>
      <c r="B32" s="205">
        <v>329600</v>
      </c>
      <c r="C32" s="205">
        <v>311400</v>
      </c>
      <c r="D32" s="205">
        <v>295000</v>
      </c>
      <c r="E32" s="205">
        <v>300277</v>
      </c>
      <c r="F32" s="205">
        <v>295265</v>
      </c>
      <c r="G32" s="205">
        <v>271440</v>
      </c>
      <c r="H32" s="205">
        <v>264756</v>
      </c>
      <c r="I32" s="205">
        <v>285587</v>
      </c>
      <c r="J32" s="205">
        <v>294516</v>
      </c>
      <c r="K32" s="205">
        <v>277389</v>
      </c>
      <c r="L32" s="205">
        <v>242600</v>
      </c>
      <c r="M32" s="205">
        <v>334220</v>
      </c>
      <c r="N32" s="205">
        <v>342876</v>
      </c>
      <c r="O32" s="213">
        <v>322002</v>
      </c>
      <c r="P32" s="213"/>
      <c r="Q32" s="204" t="s">
        <v>81</v>
      </c>
      <c r="R32" s="215" t="s">
        <v>26</v>
      </c>
      <c r="S32" s="194" t="s">
        <v>27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 ht="15.75" customHeight="1">
      <c r="A33" s="204" t="s">
        <v>83</v>
      </c>
      <c r="B33" s="206">
        <v>54</v>
      </c>
      <c r="C33" s="206">
        <v>42.4</v>
      </c>
      <c r="D33" s="206">
        <v>40.6</v>
      </c>
      <c r="E33" s="206">
        <v>44</v>
      </c>
      <c r="F33" s="206">
        <v>53</v>
      </c>
      <c r="G33" s="206">
        <v>44</v>
      </c>
      <c r="H33" s="206">
        <v>42</v>
      </c>
      <c r="I33" s="206">
        <v>45</v>
      </c>
      <c r="J33" s="206">
        <v>46</v>
      </c>
      <c r="K33" s="206">
        <v>42.8</v>
      </c>
      <c r="L33" s="206">
        <v>34.700000000000003</v>
      </c>
      <c r="M33" s="206">
        <v>52.1</v>
      </c>
      <c r="N33" s="206">
        <v>57</v>
      </c>
      <c r="O33" s="213">
        <v>54.2</v>
      </c>
      <c r="P33" s="213"/>
      <c r="Q33" s="204" t="s">
        <v>81</v>
      </c>
      <c r="R33" s="214" t="s">
        <v>26</v>
      </c>
      <c r="S33" s="194" t="s">
        <v>27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spans="1:31" ht="15.75" customHeight="1">
      <c r="A34" s="204" t="s">
        <v>84</v>
      </c>
      <c r="B34" s="206">
        <v>36</v>
      </c>
      <c r="C34" s="206">
        <v>29.9</v>
      </c>
      <c r="D34" s="206">
        <v>29.9</v>
      </c>
      <c r="E34" s="206">
        <v>31</v>
      </c>
      <c r="F34" s="206">
        <v>27</v>
      </c>
      <c r="G34" s="206">
        <v>24</v>
      </c>
      <c r="H34" s="206">
        <v>23</v>
      </c>
      <c r="I34" s="206">
        <v>24</v>
      </c>
      <c r="J34" s="206">
        <v>25</v>
      </c>
      <c r="K34" s="206">
        <v>22.9</v>
      </c>
      <c r="L34" s="206">
        <v>18.600000000000001</v>
      </c>
      <c r="M34" s="206">
        <v>28.7</v>
      </c>
      <c r="N34" s="206">
        <v>34.799999999999997</v>
      </c>
      <c r="O34" s="213">
        <v>32.5</v>
      </c>
      <c r="P34" s="213"/>
      <c r="Q34" s="204" t="s">
        <v>81</v>
      </c>
      <c r="R34" s="216" t="s">
        <v>26</v>
      </c>
      <c r="S34" s="194" t="s">
        <v>27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15.75" customHeight="1">
      <c r="A35" s="204" t="s">
        <v>85</v>
      </c>
      <c r="B35" s="206"/>
      <c r="C35" s="206"/>
      <c r="D35" s="206">
        <v>7.9</v>
      </c>
      <c r="E35" s="206">
        <v>8.3000000000000007</v>
      </c>
      <c r="F35" s="206">
        <v>10.3</v>
      </c>
      <c r="G35" s="206">
        <v>8.6999999999999993</v>
      </c>
      <c r="H35" s="206">
        <v>8.5</v>
      </c>
      <c r="I35" s="206">
        <v>10.7</v>
      </c>
      <c r="J35" s="206">
        <v>8.8000000000000007</v>
      </c>
      <c r="K35" s="206">
        <v>7.9</v>
      </c>
      <c r="L35" s="206">
        <v>6.3</v>
      </c>
      <c r="M35" s="206">
        <v>10.4</v>
      </c>
      <c r="N35" s="206">
        <v>12.3</v>
      </c>
      <c r="O35" s="213">
        <v>10.4</v>
      </c>
      <c r="P35" s="213"/>
      <c r="Q35" s="204" t="s">
        <v>81</v>
      </c>
      <c r="R35" s="215" t="s">
        <v>86</v>
      </c>
      <c r="S35" s="194" t="s">
        <v>27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 ht="15.75" customHeight="1">
      <c r="A36" s="204" t="s">
        <v>87</v>
      </c>
      <c r="B36" s="206">
        <v>79.48</v>
      </c>
      <c r="C36" s="206">
        <v>94.88</v>
      </c>
      <c r="D36" s="206">
        <v>94.05</v>
      </c>
      <c r="E36" s="206">
        <v>97.98</v>
      </c>
      <c r="F36" s="206">
        <v>93.17</v>
      </c>
      <c r="G36" s="206">
        <v>48.66</v>
      </c>
      <c r="H36" s="206">
        <v>43.29</v>
      </c>
      <c r="I36" s="206">
        <v>50.8</v>
      </c>
      <c r="J36" s="206">
        <v>65.23</v>
      </c>
      <c r="K36" s="206">
        <v>56.99</v>
      </c>
      <c r="L36" s="206">
        <v>39.68</v>
      </c>
      <c r="M36" s="206">
        <v>68.17</v>
      </c>
      <c r="N36" s="206">
        <v>94.53</v>
      </c>
      <c r="O36" s="206">
        <v>77.64</v>
      </c>
      <c r="P36" s="206"/>
      <c r="Q36" s="204" t="s">
        <v>88</v>
      </c>
      <c r="R36" s="217" t="s">
        <v>89</v>
      </c>
      <c r="S36" s="194" t="s">
        <v>27</v>
      </c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 ht="15.75" customHeight="1">
      <c r="A37" s="6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31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31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31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31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spans="1:31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spans="1:31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1:31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spans="1:31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1:31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spans="1:31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spans="1:31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1:3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spans="1:31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spans="1:31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spans="1:31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1:31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spans="1:31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1:31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spans="1:31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1:3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spans="1:31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1:31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spans="1:31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1:31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spans="1:31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1:31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spans="1:31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1:31" ht="15.75" customHeight="1">
      <c r="A89" s="26"/>
      <c r="B89" s="51">
        <v>2010</v>
      </c>
      <c r="C89" s="51">
        <v>2011</v>
      </c>
      <c r="D89" s="51">
        <v>2012</v>
      </c>
      <c r="E89" s="51">
        <v>2013</v>
      </c>
      <c r="F89" s="51">
        <v>2014</v>
      </c>
      <c r="G89" s="51">
        <v>2015</v>
      </c>
      <c r="H89" s="51">
        <v>2016</v>
      </c>
      <c r="I89" s="51">
        <v>2017</v>
      </c>
      <c r="J89" s="51">
        <v>2018</v>
      </c>
      <c r="K89" s="51">
        <v>2019</v>
      </c>
      <c r="L89" s="51">
        <v>2020</v>
      </c>
      <c r="M89" s="51">
        <v>2021</v>
      </c>
      <c r="N89" s="51">
        <v>2022</v>
      </c>
      <c r="O89" s="51">
        <v>2023</v>
      </c>
      <c r="P89" s="445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spans="1:31" ht="15.75" customHeight="1">
      <c r="A90" s="35" t="s">
        <v>61</v>
      </c>
      <c r="B90" s="52">
        <v>1.5665999999999999E-2</v>
      </c>
      <c r="C90" s="52">
        <v>0.17186400000000002</v>
      </c>
      <c r="D90" s="52">
        <v>0.49413000000000001</v>
      </c>
      <c r="E90" s="52">
        <v>0.37699199999999999</v>
      </c>
      <c r="F90" s="52">
        <v>7.4676000000000006E-2</v>
      </c>
      <c r="G90" s="52">
        <v>9.1518000000000002E-2</v>
      </c>
      <c r="H90" s="52">
        <v>3.6204E-2</v>
      </c>
      <c r="I90" s="52">
        <v>7.6607999999999996E-2</v>
      </c>
      <c r="J90" s="52">
        <v>5.4348E-2</v>
      </c>
      <c r="K90" s="52">
        <v>0.195048</v>
      </c>
      <c r="L90" s="52">
        <v>0.15414</v>
      </c>
      <c r="M90" s="52">
        <v>6.0774000000000002E-2</v>
      </c>
      <c r="N90" s="52">
        <v>6.9089999999999999E-2</v>
      </c>
      <c r="O90" s="59">
        <v>2.7258000000000001E-2</v>
      </c>
      <c r="P90" s="44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1:31" ht="15.75" customHeight="1">
      <c r="A91" s="35" t="s">
        <v>64</v>
      </c>
      <c r="B91" s="52">
        <v>0.39849599999999996</v>
      </c>
      <c r="C91" s="52">
        <v>1.1951939999999999</v>
      </c>
      <c r="D91" s="52">
        <v>0.74155199999999999</v>
      </c>
      <c r="E91" s="52">
        <v>0.618954</v>
      </c>
      <c r="F91" s="52">
        <v>0.84625800000000007</v>
      </c>
      <c r="G91" s="52">
        <v>0.83206199999999997</v>
      </c>
      <c r="H91" s="52">
        <v>1.170288</v>
      </c>
      <c r="I91" s="52">
        <v>1.389864</v>
      </c>
      <c r="J91" s="52">
        <v>1.709568</v>
      </c>
      <c r="K91" s="52">
        <v>1.4666400000000002</v>
      </c>
      <c r="L91" s="52">
        <v>1.317204</v>
      </c>
      <c r="M91" s="52">
        <v>1.2424440000000001</v>
      </c>
      <c r="N91" s="52">
        <v>1.3135920000000001</v>
      </c>
      <c r="O91" s="59">
        <v>1.43346</v>
      </c>
      <c r="P91" s="44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spans="1:31" ht="15.75" customHeight="1">
      <c r="A92" s="51"/>
      <c r="B92" s="366">
        <f>+-B90</f>
        <v>-1.5665999999999999E-2</v>
      </c>
      <c r="C92" s="366">
        <f t="shared" ref="C92:O92" si="0">+-C90</f>
        <v>-0.17186400000000002</v>
      </c>
      <c r="D92" s="366">
        <f t="shared" si="0"/>
        <v>-0.49413000000000001</v>
      </c>
      <c r="E92" s="366">
        <f t="shared" si="0"/>
        <v>-0.37699199999999999</v>
      </c>
      <c r="F92" s="366">
        <f t="shared" si="0"/>
        <v>-7.4676000000000006E-2</v>
      </c>
      <c r="G92" s="366">
        <f t="shared" si="0"/>
        <v>-9.1518000000000002E-2</v>
      </c>
      <c r="H92" s="366">
        <f t="shared" si="0"/>
        <v>-3.6204E-2</v>
      </c>
      <c r="I92" s="366">
        <f t="shared" si="0"/>
        <v>-7.6607999999999996E-2</v>
      </c>
      <c r="J92" s="366">
        <f t="shared" si="0"/>
        <v>-5.4348E-2</v>
      </c>
      <c r="K92" s="366">
        <f t="shared" si="0"/>
        <v>-0.195048</v>
      </c>
      <c r="L92" s="366">
        <f t="shared" si="0"/>
        <v>-0.15414</v>
      </c>
      <c r="M92" s="366">
        <f t="shared" si="0"/>
        <v>-6.0774000000000002E-2</v>
      </c>
      <c r="N92" s="366">
        <f t="shared" si="0"/>
        <v>-6.9089999999999999E-2</v>
      </c>
      <c r="O92" s="366">
        <f t="shared" si="0"/>
        <v>-2.7258000000000001E-2</v>
      </c>
      <c r="P92" s="36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1:31" ht="15.75" customHeight="1">
      <c r="A93" s="26"/>
      <c r="B93" s="367">
        <f>+B91+B92</f>
        <v>0.38282999999999995</v>
      </c>
      <c r="C93" s="367">
        <f t="shared" ref="C93:O93" si="1">+C91+C92</f>
        <v>1.0233299999999999</v>
      </c>
      <c r="D93" s="367">
        <f t="shared" si="1"/>
        <v>0.24742199999999998</v>
      </c>
      <c r="E93" s="367">
        <f t="shared" si="1"/>
        <v>0.24196200000000001</v>
      </c>
      <c r="F93" s="367">
        <f t="shared" si="1"/>
        <v>0.7715820000000001</v>
      </c>
      <c r="G93" s="367">
        <f t="shared" si="1"/>
        <v>0.74054399999999998</v>
      </c>
      <c r="H93" s="367">
        <f t="shared" si="1"/>
        <v>1.1340840000000001</v>
      </c>
      <c r="I93" s="367">
        <f t="shared" si="1"/>
        <v>1.313256</v>
      </c>
      <c r="J93" s="367">
        <f t="shared" si="1"/>
        <v>1.6552199999999999</v>
      </c>
      <c r="K93" s="367">
        <f t="shared" si="1"/>
        <v>1.2715920000000001</v>
      </c>
      <c r="L93" s="367">
        <f t="shared" si="1"/>
        <v>1.1630640000000001</v>
      </c>
      <c r="M93" s="367">
        <f t="shared" si="1"/>
        <v>1.18167</v>
      </c>
      <c r="N93" s="367">
        <f t="shared" si="1"/>
        <v>1.244502</v>
      </c>
      <c r="O93" s="367">
        <f t="shared" si="1"/>
        <v>1.406202</v>
      </c>
      <c r="P93" s="367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spans="1:31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1:31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spans="1:31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spans="1:31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spans="1:31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spans="1:31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spans="1:31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spans="1:31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spans="1:31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spans="1:31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spans="1:31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spans="1:31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spans="1:31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spans="1:31" ht="15.75" customHeight="1">
      <c r="A118" s="26"/>
      <c r="J118" s="65"/>
      <c r="K118" s="65"/>
      <c r="L118" s="65"/>
      <c r="M118" s="65"/>
      <c r="N118" s="65"/>
      <c r="O118" s="65"/>
      <c r="P118" s="65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 ht="15.75" customHeight="1">
      <c r="A119" s="26"/>
      <c r="J119" s="65"/>
      <c r="K119" s="65"/>
      <c r="L119" s="65"/>
      <c r="M119" s="65"/>
      <c r="N119" s="65"/>
      <c r="O119" s="65"/>
      <c r="P119" s="65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1:31" ht="15.75" customHeight="1">
      <c r="A120" s="26"/>
      <c r="J120" s="65"/>
      <c r="K120" s="65"/>
      <c r="L120" s="65"/>
      <c r="M120" s="65"/>
      <c r="N120" s="65"/>
      <c r="O120" s="65"/>
      <c r="P120" s="65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 ht="15.75" customHeight="1">
      <c r="A121" s="26"/>
      <c r="J121" s="65"/>
      <c r="K121" s="65"/>
      <c r="L121" s="65"/>
      <c r="M121" s="65"/>
      <c r="N121" s="65"/>
      <c r="O121" s="65"/>
      <c r="P121" s="65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spans="1:31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 ht="15.75" customHeight="1">
      <c r="A123" s="26"/>
      <c r="B123" s="26"/>
      <c r="C123" s="26"/>
      <c r="D123" s="26"/>
      <c r="E123" s="26"/>
      <c r="F123" s="26"/>
      <c r="J123" s="65"/>
      <c r="K123" s="65"/>
      <c r="L123" s="65"/>
      <c r="M123" s="65"/>
      <c r="N123" s="65"/>
      <c r="O123" s="65"/>
      <c r="P123" s="65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spans="1:31" ht="15.75" customHeight="1">
      <c r="A124" s="26"/>
      <c r="B124" s="26"/>
      <c r="C124" s="26"/>
      <c r="D124" s="26"/>
      <c r="E124" s="26"/>
      <c r="F124" s="26"/>
      <c r="J124" s="65"/>
      <c r="K124" s="65"/>
      <c r="L124" s="65"/>
      <c r="M124" s="65"/>
      <c r="N124" s="65"/>
      <c r="O124" s="65"/>
      <c r="P124" s="65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 ht="15.75" customHeight="1">
      <c r="A125" s="26"/>
      <c r="B125" s="26"/>
      <c r="C125" s="66"/>
      <c r="D125" s="26"/>
      <c r="E125" s="26"/>
      <c r="F125" s="26"/>
      <c r="J125" s="65"/>
      <c r="K125" s="65"/>
      <c r="L125" s="65"/>
      <c r="M125" s="65"/>
      <c r="N125" s="65"/>
      <c r="O125" s="65"/>
      <c r="P125" s="65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5.75" customHeight="1">
      <c r="A126" s="26"/>
      <c r="B126" s="26"/>
      <c r="C126" s="66"/>
      <c r="D126" s="26"/>
      <c r="E126" s="26"/>
      <c r="F126" s="26"/>
      <c r="J126" s="65"/>
      <c r="K126" s="65"/>
      <c r="L126" s="65"/>
      <c r="M126" s="65"/>
      <c r="N126" s="65"/>
      <c r="O126" s="65"/>
      <c r="P126" s="65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5.75" customHeight="1">
      <c r="A127" s="26"/>
      <c r="B127" s="26"/>
      <c r="C127" s="66"/>
      <c r="D127" s="26"/>
      <c r="E127" s="26"/>
      <c r="F127" s="26"/>
      <c r="J127" s="65"/>
      <c r="K127" s="65"/>
      <c r="L127" s="65"/>
      <c r="M127" s="65"/>
      <c r="N127" s="65"/>
      <c r="O127" s="65"/>
      <c r="P127" s="65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spans="1:31" ht="15.75" customHeight="1">
      <c r="A128" s="26"/>
      <c r="B128" s="26"/>
      <c r="C128" s="66"/>
      <c r="D128" s="26"/>
      <c r="E128" s="26"/>
      <c r="F128" s="26"/>
      <c r="J128" s="65"/>
      <c r="K128" s="65"/>
      <c r="L128" s="65"/>
      <c r="M128" s="65"/>
      <c r="N128" s="65"/>
      <c r="O128" s="65"/>
      <c r="P128" s="65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 ht="15.75" customHeight="1">
      <c r="A129" s="26"/>
      <c r="B129" s="26"/>
      <c r="C129" s="66"/>
      <c r="D129" s="26"/>
      <c r="E129" s="26"/>
      <c r="F129" s="26"/>
      <c r="J129" s="65"/>
      <c r="K129" s="65"/>
      <c r="L129" s="65"/>
      <c r="M129" s="65"/>
      <c r="N129" s="65"/>
      <c r="O129" s="65"/>
      <c r="P129" s="65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spans="1:31" ht="15.75" customHeight="1">
      <c r="A130" s="26"/>
      <c r="B130" s="26"/>
      <c r="C130" s="66"/>
      <c r="D130" s="26"/>
      <c r="E130" s="26"/>
      <c r="F130" s="26"/>
      <c r="J130" s="65"/>
      <c r="K130" s="65"/>
      <c r="L130" s="65"/>
      <c r="M130" s="65"/>
      <c r="N130" s="65"/>
      <c r="O130" s="65"/>
      <c r="P130" s="65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 ht="15.75" customHeight="1">
      <c r="A131" s="26"/>
      <c r="B131" s="26"/>
      <c r="C131" s="66"/>
      <c r="D131" s="26"/>
      <c r="E131" s="26"/>
      <c r="F131" s="26"/>
      <c r="J131" s="65"/>
      <c r="K131" s="65"/>
      <c r="L131" s="65"/>
      <c r="M131" s="65"/>
      <c r="N131" s="65"/>
      <c r="O131" s="65"/>
      <c r="P131" s="65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spans="1:31" ht="15.75" customHeight="1">
      <c r="A132" s="26"/>
      <c r="B132" s="26"/>
      <c r="C132" s="66"/>
      <c r="D132" s="26"/>
      <c r="E132" s="26"/>
      <c r="F132" s="26"/>
      <c r="J132" s="65"/>
      <c r="K132" s="65"/>
      <c r="L132" s="65"/>
      <c r="M132" s="65"/>
      <c r="N132" s="65"/>
      <c r="O132" s="65"/>
      <c r="P132" s="65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 ht="15.75" customHeight="1">
      <c r="A133" s="26"/>
      <c r="B133" s="26"/>
      <c r="C133" s="26"/>
      <c r="D133" s="26"/>
      <c r="E133" s="26"/>
      <c r="F133" s="26"/>
      <c r="J133" s="65"/>
      <c r="K133" s="65"/>
      <c r="L133" s="65"/>
      <c r="M133" s="65"/>
      <c r="N133" s="65"/>
      <c r="O133" s="65"/>
      <c r="P133" s="65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spans="1:31" ht="15.75" customHeight="1">
      <c r="A134" s="26"/>
      <c r="B134" s="26"/>
      <c r="C134" s="26"/>
      <c r="D134" s="26"/>
      <c r="E134" s="26"/>
      <c r="F134" s="26"/>
      <c r="J134" s="65"/>
      <c r="K134" s="65"/>
      <c r="L134" s="65"/>
      <c r="M134" s="65"/>
      <c r="N134" s="65"/>
      <c r="O134" s="65"/>
      <c r="P134" s="65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 ht="15.75" customHeight="1">
      <c r="A135" s="26"/>
      <c r="B135" s="26"/>
      <c r="C135" s="26"/>
      <c r="D135" s="26"/>
      <c r="E135" s="26"/>
      <c r="F135" s="26"/>
      <c r="J135" s="65"/>
      <c r="K135" s="65"/>
      <c r="L135" s="65"/>
      <c r="M135" s="65"/>
      <c r="N135" s="65"/>
      <c r="O135" s="65"/>
      <c r="P135" s="65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spans="1:31" ht="15.75" customHeight="1">
      <c r="A136" s="26"/>
      <c r="B136" s="26"/>
      <c r="C136" s="26"/>
      <c r="D136" s="26"/>
      <c r="E136" s="26"/>
      <c r="F136" s="26"/>
      <c r="J136" s="65"/>
      <c r="K136" s="65"/>
      <c r="L136" s="65"/>
      <c r="M136" s="65"/>
      <c r="N136" s="65"/>
      <c r="O136" s="65"/>
      <c r="P136" s="65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 ht="15.75" customHeight="1">
      <c r="A137" s="26"/>
      <c r="B137" s="26"/>
      <c r="C137" s="26"/>
      <c r="D137" s="26"/>
      <c r="E137" s="26"/>
      <c r="F137" s="26"/>
      <c r="J137" s="65"/>
      <c r="K137" s="65"/>
      <c r="L137" s="65"/>
      <c r="M137" s="65"/>
      <c r="N137" s="65"/>
      <c r="O137" s="65"/>
      <c r="P137" s="65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spans="1:31" ht="15.75" customHeight="1">
      <c r="A138" s="26"/>
      <c r="B138" s="26"/>
      <c r="C138" s="26"/>
      <c r="D138" s="26"/>
      <c r="E138" s="26"/>
      <c r="F138" s="26"/>
      <c r="J138" s="65"/>
      <c r="K138" s="65"/>
      <c r="L138" s="65"/>
      <c r="M138" s="65"/>
      <c r="N138" s="65"/>
      <c r="O138" s="65"/>
      <c r="P138" s="65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 ht="15.75" customHeight="1">
      <c r="A139" s="26"/>
      <c r="B139" s="26"/>
      <c r="C139" s="26"/>
      <c r="D139" s="26"/>
      <c r="E139" s="26"/>
      <c r="F139" s="26"/>
      <c r="J139" s="65"/>
      <c r="K139" s="65"/>
      <c r="L139" s="65"/>
      <c r="M139" s="65"/>
      <c r="N139" s="65"/>
      <c r="O139" s="65"/>
      <c r="P139" s="65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spans="1:31" ht="15.75" customHeight="1">
      <c r="A140" s="26"/>
      <c r="B140" s="26"/>
      <c r="C140" s="26"/>
      <c r="D140" s="26"/>
      <c r="E140" s="26"/>
      <c r="F140" s="26"/>
      <c r="J140" s="65"/>
      <c r="K140" s="65"/>
      <c r="L140" s="65"/>
      <c r="M140" s="65"/>
      <c r="N140" s="65"/>
      <c r="O140" s="65"/>
      <c r="P140" s="65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 ht="15.75" customHeight="1">
      <c r="A141" s="26"/>
      <c r="J141" s="65"/>
      <c r="K141" s="65"/>
      <c r="L141" s="65"/>
      <c r="M141" s="65"/>
      <c r="N141" s="65"/>
      <c r="O141" s="65"/>
      <c r="P141" s="65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spans="1:31" ht="15.75" customHeight="1">
      <c r="A142" s="26"/>
      <c r="J142" s="65"/>
      <c r="K142" s="65"/>
      <c r="L142" s="65"/>
      <c r="M142" s="65"/>
      <c r="N142" s="65"/>
      <c r="O142" s="65"/>
      <c r="P142" s="65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 ht="15.75" customHeight="1">
      <c r="A143" s="26"/>
      <c r="J143" s="65"/>
      <c r="K143" s="65"/>
      <c r="L143" s="65"/>
      <c r="M143" s="65"/>
      <c r="N143" s="65"/>
      <c r="O143" s="65"/>
      <c r="P143" s="65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spans="1:31" ht="15.75" customHeight="1">
      <c r="A144" s="26"/>
      <c r="J144" s="65"/>
      <c r="K144" s="65"/>
      <c r="L144" s="65"/>
      <c r="M144" s="65"/>
      <c r="N144" s="65"/>
      <c r="O144" s="65"/>
      <c r="P144" s="65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 ht="15.75" customHeight="1">
      <c r="A145" s="26"/>
      <c r="J145" s="65"/>
      <c r="K145" s="65"/>
      <c r="L145" s="65"/>
      <c r="M145" s="65"/>
      <c r="N145" s="65"/>
      <c r="O145" s="65"/>
      <c r="P145" s="65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spans="1:31" ht="15.75" customHeight="1">
      <c r="A146" s="26"/>
      <c r="J146" s="65"/>
      <c r="K146" s="65"/>
      <c r="L146" s="65"/>
      <c r="M146" s="65"/>
      <c r="N146" s="65"/>
      <c r="O146" s="65"/>
      <c r="P146" s="65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 ht="15.75" customHeight="1">
      <c r="A147" s="26"/>
      <c r="J147" s="65"/>
      <c r="K147" s="65"/>
      <c r="L147" s="65"/>
      <c r="M147" s="65"/>
      <c r="N147" s="65"/>
      <c r="O147" s="65"/>
      <c r="P147" s="65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spans="1:31" ht="15.75" customHeight="1">
      <c r="A148" s="26"/>
      <c r="J148" s="65"/>
      <c r="K148" s="65"/>
      <c r="L148" s="65"/>
      <c r="M148" s="65"/>
      <c r="N148" s="65"/>
      <c r="O148" s="65"/>
      <c r="P148" s="65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 ht="15.75" customHeight="1">
      <c r="A149" s="26"/>
      <c r="J149" s="65"/>
      <c r="K149" s="65"/>
      <c r="L149" s="65"/>
      <c r="M149" s="65"/>
      <c r="N149" s="65"/>
      <c r="O149" s="65"/>
      <c r="P149" s="65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spans="1:31" ht="15.75" customHeight="1">
      <c r="A150" s="26"/>
      <c r="J150" s="65"/>
      <c r="K150" s="65"/>
      <c r="L150" s="65"/>
      <c r="M150" s="65"/>
      <c r="N150" s="65"/>
      <c r="O150" s="65"/>
      <c r="P150" s="65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 ht="15.75" customHeight="1">
      <c r="A151" s="26"/>
      <c r="J151" s="65"/>
      <c r="K151" s="65"/>
      <c r="L151" s="65"/>
      <c r="M151" s="65"/>
      <c r="N151" s="65"/>
      <c r="O151" s="65"/>
      <c r="P151" s="65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spans="1:31" ht="15.75" customHeight="1">
      <c r="A152" s="26"/>
      <c r="J152" s="65"/>
      <c r="K152" s="65"/>
      <c r="L152" s="65"/>
      <c r="M152" s="65"/>
      <c r="N152" s="65"/>
      <c r="O152" s="65"/>
      <c r="P152" s="65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 ht="15.75" customHeight="1">
      <c r="A153" s="26"/>
      <c r="J153" s="65"/>
      <c r="K153" s="65"/>
      <c r="L153" s="65"/>
      <c r="M153" s="65"/>
      <c r="N153" s="65"/>
      <c r="O153" s="65"/>
      <c r="P153" s="65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spans="1:31" ht="15.75" customHeight="1">
      <c r="A154" s="26"/>
      <c r="J154" s="65"/>
      <c r="K154" s="65"/>
      <c r="L154" s="65"/>
      <c r="M154" s="65"/>
      <c r="N154" s="65"/>
      <c r="O154" s="65"/>
      <c r="P154" s="65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 ht="15.75" customHeight="1">
      <c r="A155" s="26"/>
      <c r="J155" s="65"/>
      <c r="K155" s="65"/>
      <c r="L155" s="65"/>
      <c r="M155" s="65"/>
      <c r="N155" s="65"/>
      <c r="O155" s="65"/>
      <c r="P155" s="65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spans="1:31" ht="15.75" customHeight="1">
      <c r="A156" s="26"/>
      <c r="J156" s="65"/>
      <c r="K156" s="65"/>
      <c r="L156" s="65"/>
      <c r="M156" s="65"/>
      <c r="N156" s="65"/>
      <c r="O156" s="65"/>
      <c r="P156" s="65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 ht="15.75" customHeight="1">
      <c r="A157" s="26"/>
      <c r="J157" s="65"/>
      <c r="K157" s="65"/>
      <c r="L157" s="65"/>
      <c r="M157" s="65"/>
      <c r="N157" s="65"/>
      <c r="O157" s="65"/>
      <c r="P157" s="65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spans="1:31" ht="15.75" customHeight="1">
      <c r="A158" s="26"/>
      <c r="J158" s="65"/>
      <c r="K158" s="65"/>
      <c r="L158" s="65"/>
      <c r="M158" s="65"/>
      <c r="N158" s="65"/>
      <c r="O158" s="65"/>
      <c r="P158" s="65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 ht="15.75" customHeight="1">
      <c r="A159" s="26"/>
      <c r="J159" s="65"/>
      <c r="K159" s="65"/>
      <c r="L159" s="65"/>
      <c r="M159" s="65"/>
      <c r="N159" s="65"/>
      <c r="O159" s="65"/>
      <c r="P159" s="65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spans="1:31" ht="15.75" customHeight="1">
      <c r="A160" s="26"/>
      <c r="J160" s="65"/>
      <c r="K160" s="65"/>
      <c r="L160" s="65"/>
      <c r="M160" s="65"/>
      <c r="N160" s="65"/>
      <c r="O160" s="65"/>
      <c r="P160" s="65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 ht="15.75" customHeight="1">
      <c r="A161" s="26"/>
      <c r="J161" s="65"/>
      <c r="K161" s="65"/>
      <c r="L161" s="65"/>
      <c r="M161" s="65"/>
      <c r="N161" s="65"/>
      <c r="O161" s="65"/>
      <c r="P161" s="65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spans="1:31" ht="15.75" customHeight="1">
      <c r="A162" s="26"/>
      <c r="J162" s="65"/>
      <c r="K162" s="65"/>
      <c r="L162" s="65"/>
      <c r="M162" s="65"/>
      <c r="N162" s="65"/>
      <c r="O162" s="65"/>
      <c r="P162" s="65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 ht="15.75" customHeight="1">
      <c r="A163" s="26"/>
      <c r="J163" s="65"/>
      <c r="K163" s="65"/>
      <c r="L163" s="65"/>
      <c r="M163" s="65"/>
      <c r="N163" s="65"/>
      <c r="O163" s="65"/>
      <c r="P163" s="65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spans="1:31" ht="15.75" customHeight="1">
      <c r="A164" s="26"/>
      <c r="J164" s="65"/>
      <c r="K164" s="65"/>
      <c r="L164" s="65"/>
      <c r="M164" s="65"/>
      <c r="N164" s="65"/>
      <c r="O164" s="65"/>
      <c r="P164" s="65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 ht="15.75" customHeight="1">
      <c r="A165" s="26"/>
      <c r="J165" s="65"/>
      <c r="K165" s="65"/>
      <c r="L165" s="65"/>
      <c r="M165" s="65"/>
      <c r="N165" s="65"/>
      <c r="O165" s="65"/>
      <c r="P165" s="65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spans="1:31" ht="15.75" customHeight="1">
      <c r="A166" s="26"/>
      <c r="J166" s="65"/>
      <c r="K166" s="65"/>
      <c r="L166" s="65"/>
      <c r="M166" s="65"/>
      <c r="N166" s="65"/>
      <c r="O166" s="65"/>
      <c r="P166" s="65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 ht="15.75" customHeight="1">
      <c r="A167" s="26"/>
      <c r="J167" s="65"/>
      <c r="K167" s="65"/>
      <c r="L167" s="65"/>
      <c r="M167" s="65"/>
      <c r="N167" s="65"/>
      <c r="O167" s="65"/>
      <c r="P167" s="65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spans="1:31" ht="15.75" customHeight="1">
      <c r="A168" s="26"/>
      <c r="J168" s="65"/>
      <c r="K168" s="65"/>
      <c r="L168" s="65"/>
      <c r="M168" s="65"/>
      <c r="N168" s="65"/>
      <c r="O168" s="65"/>
      <c r="P168" s="65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 ht="15.75" customHeight="1">
      <c r="A169" s="26"/>
      <c r="J169" s="65"/>
      <c r="K169" s="65"/>
      <c r="L169" s="65"/>
      <c r="M169" s="65"/>
      <c r="N169" s="65"/>
      <c r="O169" s="65"/>
      <c r="P169" s="65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1:31" ht="15.75" customHeight="1">
      <c r="A170" s="26"/>
      <c r="J170" s="65"/>
      <c r="K170" s="65"/>
      <c r="L170" s="65"/>
      <c r="M170" s="65"/>
      <c r="N170" s="65"/>
      <c r="O170" s="65"/>
      <c r="P170" s="65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 ht="15.75" customHeight="1">
      <c r="A171" s="26"/>
      <c r="J171" s="65"/>
      <c r="K171" s="65"/>
      <c r="L171" s="65"/>
      <c r="M171" s="65"/>
      <c r="N171" s="65"/>
      <c r="O171" s="65"/>
      <c r="P171" s="65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spans="1:31" ht="15.75" customHeight="1">
      <c r="A172" s="26"/>
      <c r="J172" s="65"/>
      <c r="K172" s="65"/>
      <c r="L172" s="65"/>
      <c r="M172" s="65"/>
      <c r="N172" s="65"/>
      <c r="O172" s="65"/>
      <c r="P172" s="65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 ht="15.75" customHeight="1">
      <c r="A173" s="26"/>
      <c r="J173" s="65"/>
      <c r="K173" s="65"/>
      <c r="L173" s="65"/>
      <c r="M173" s="65"/>
      <c r="N173" s="65"/>
      <c r="O173" s="65"/>
      <c r="P173" s="65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spans="1:31" ht="15.75" customHeight="1">
      <c r="A174" s="26"/>
      <c r="J174" s="65"/>
      <c r="K174" s="65"/>
      <c r="L174" s="65"/>
      <c r="M174" s="65"/>
      <c r="N174" s="65"/>
      <c r="O174" s="65"/>
      <c r="P174" s="65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 ht="15.75" customHeight="1">
      <c r="A175" s="26"/>
      <c r="J175" s="65"/>
      <c r="K175" s="65"/>
      <c r="L175" s="65"/>
      <c r="M175" s="65"/>
      <c r="N175" s="65"/>
      <c r="O175" s="65"/>
      <c r="P175" s="65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spans="1:31" ht="15.75" customHeight="1">
      <c r="A176" s="26"/>
      <c r="J176" s="65"/>
      <c r="K176" s="65"/>
      <c r="L176" s="65"/>
      <c r="M176" s="65"/>
      <c r="N176" s="65"/>
      <c r="O176" s="65"/>
      <c r="P176" s="65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 ht="15.75" customHeight="1">
      <c r="A177" s="26"/>
      <c r="J177" s="65"/>
      <c r="K177" s="65"/>
      <c r="L177" s="65"/>
      <c r="M177" s="65"/>
      <c r="N177" s="65"/>
      <c r="O177" s="65"/>
      <c r="P177" s="65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spans="1:31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spans="1:31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spans="1:31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spans="1:31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spans="1:31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spans="1:31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spans="1:31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spans="1:31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spans="1:31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spans="1:31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spans="1:31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spans="1:31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spans="1:3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spans="1:31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spans="1:31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spans="1:31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spans="1:31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spans="1:31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spans="1:31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spans="1:31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spans="1:31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spans="1:31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spans="1:3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spans="1:31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spans="1:31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spans="1:31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spans="1:31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spans="1:31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spans="1:31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spans="1:31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1:31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spans="1:31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spans="1:3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spans="1:31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spans="1:31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spans="1:31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spans="1:31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spans="1:31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spans="1:31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spans="1:31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spans="1:31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spans="1:31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spans="1: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spans="1:31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spans="1:31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spans="1:31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spans="1:31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 spans="1:31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spans="1:31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 spans="1:31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spans="1:31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 spans="1:31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spans="1:3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 spans="1:31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spans="1:31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 spans="1:31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spans="1:31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 spans="1:31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spans="1:31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 spans="1:31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spans="1:31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 spans="1:31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spans="1:3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 spans="1:31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spans="1:31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 spans="1:31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spans="1:31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 spans="1:31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spans="1:31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 spans="1:31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spans="1:31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 spans="1:31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spans="1:3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 spans="1:31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spans="1:31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 spans="1:31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spans="1:31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spans="1:31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spans="1:31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spans="1:31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spans="1:31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spans="1:31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spans="1:3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spans="1:31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spans="1:31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spans="1:31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spans="1:31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spans="1:31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spans="1:31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spans="1:31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spans="1:31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spans="1:31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spans="1:3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spans="1:31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spans="1:31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spans="1:31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spans="1:31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spans="1:31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spans="1:31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spans="1:31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spans="1:31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spans="1:31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spans="1:3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spans="1:31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spans="1:31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spans="1:31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spans="1:31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spans="1:31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spans="1:31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spans="1:31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spans="1:31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spans="1:31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spans="1:3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spans="1:31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spans="1:31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spans="1:31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spans="1:31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spans="1:31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spans="1:31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spans="1:31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spans="1:31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spans="1:31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spans="1:3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spans="1:31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spans="1:31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spans="1:31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spans="1:31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spans="1:31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spans="1:31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spans="1:31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spans="1:31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spans="1:31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spans="1:3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spans="1:31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spans="1:31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spans="1:31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spans="1:31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spans="1:31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spans="1:31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spans="1:31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spans="1:31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spans="1:31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spans="1:31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spans="1:31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spans="1:31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spans="1:31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spans="1:31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spans="1:31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spans="1:31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spans="1:31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spans="1:31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spans="1:3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spans="1:31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spans="1:31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spans="1:31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spans="1:31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spans="1:31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spans="1:31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spans="1:31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spans="1:31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spans="1:3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 spans="1:31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spans="1:31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 spans="1:31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spans="1:31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 spans="1:31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spans="1:31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 spans="1:31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spans="1:31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 spans="1:31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spans="1:3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 spans="1:31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spans="1:31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 spans="1:31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spans="1:31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 spans="1:31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spans="1:31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 spans="1:31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spans="1:31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 spans="1:31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spans="1:3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 spans="1:31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spans="1:31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 spans="1:31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spans="1:31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 spans="1:31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spans="1:31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 spans="1:31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spans="1:31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 spans="1:31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spans="1:3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 spans="1:31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spans="1:31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 spans="1:31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spans="1:31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 spans="1:31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spans="1:31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 spans="1:31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spans="1:31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 spans="1:31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spans="1:3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 spans="1:31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spans="1:31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 spans="1:31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spans="1:31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 spans="1:31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spans="1:31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 spans="1:31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spans="1:31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 spans="1:31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spans="1:3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 spans="1:31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spans="1:31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 spans="1:31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spans="1:31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 spans="1:31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spans="1:31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 spans="1:31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spans="1:31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 spans="1:31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spans="1:3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 spans="1:31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spans="1:31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 spans="1:31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spans="1:31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 spans="1:31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spans="1:31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 spans="1:31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spans="1:31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 spans="1:31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spans="1:3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 spans="1:31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spans="1:31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 spans="1:31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spans="1:31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 spans="1:31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spans="1:31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 spans="1:31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spans="1:31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 spans="1:31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spans="1: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 spans="1:31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spans="1:31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 spans="1:31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spans="1:31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 spans="1:31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spans="1:31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 spans="1:31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spans="1:31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 spans="1:31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spans="1:3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 spans="1:31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spans="1:31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 spans="1:31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spans="1:31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 spans="1:31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spans="1:31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 spans="1:31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spans="1:31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 spans="1:31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spans="1:3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 spans="1:31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spans="1:31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 spans="1:31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spans="1:31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 spans="1:31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spans="1:31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 spans="1:31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spans="1:31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 spans="1:31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spans="1:3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 spans="1:31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spans="1:31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 spans="1:31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spans="1:31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 spans="1:31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spans="1:31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 spans="1:31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spans="1:31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 spans="1:31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spans="1:3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 spans="1:31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spans="1:31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 spans="1:31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spans="1:31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 spans="1:31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spans="1:31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 spans="1:31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spans="1:31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 spans="1:31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spans="1:3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 spans="1:31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spans="1:31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 spans="1:31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spans="1:31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 spans="1:31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spans="1:31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 spans="1:31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spans="1:31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 spans="1:31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spans="1:3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 spans="1:31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spans="1:31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 spans="1:31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spans="1:31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 spans="1:31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spans="1:31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 spans="1:31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spans="1:31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 spans="1:31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spans="1:3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 spans="1:31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spans="1:31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 spans="1:31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spans="1:31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 spans="1:31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spans="1:31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 spans="1:31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spans="1:31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 spans="1:31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spans="1:3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 spans="1:31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spans="1:31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 spans="1:31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spans="1:31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 spans="1:31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spans="1:31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 spans="1:31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spans="1:31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 spans="1:31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spans="1:3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 spans="1:31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spans="1:31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 spans="1:31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spans="1:31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 spans="1:31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spans="1:31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 spans="1:31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spans="1:31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 spans="1:31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spans="1: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 spans="1:31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spans="1:31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 spans="1:31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spans="1:31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 spans="1:31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spans="1:31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 spans="1:31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spans="1:31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 spans="1:31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spans="1:3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 spans="1:31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spans="1:31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 spans="1:31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spans="1:31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spans="1:31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spans="1:31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spans="1:31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spans="1:31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spans="1:31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spans="1:31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spans="1:31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spans="1:31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spans="1:31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spans="1:31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spans="1:31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spans="1:31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spans="1:31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spans="1:31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spans="1:31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spans="1:31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spans="1:31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spans="1:31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spans="1:31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spans="1:31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spans="1:31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spans="1:31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spans="1:31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spans="1:31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spans="1:31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spans="1:31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spans="1:31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spans="1:31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spans="1:31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spans="1:31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spans="1:31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spans="1:31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spans="1:31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spans="1:31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spans="1:31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spans="1:31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spans="1:31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spans="1:31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spans="1:31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spans="1:31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spans="1:31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spans="1:31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spans="1:31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spans="1:31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spans="1:31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spans="1:31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spans="1:31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spans="1:31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spans="1:31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spans="1:31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spans="1:31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spans="1:31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spans="1:31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spans="1:31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spans="1:31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spans="1:31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spans="1:31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spans="1:31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spans="1:31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spans="1:31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spans="1:31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spans="1:31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spans="1:31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spans="1:31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spans="1:31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spans="1:31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spans="1:31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spans="1:31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spans="1:31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spans="1:31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spans="1:31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spans="1:31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spans="1:31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spans="1:31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spans="1:31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spans="1:31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spans="1:31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spans="1:31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spans="1:31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spans="1:31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spans="1:31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spans="1:31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spans="1:31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spans="1:31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spans="1:31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spans="1:31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spans="1:31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spans="1:31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spans="1:31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spans="1:31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 spans="1:31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spans="1:31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 spans="1:31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spans="1: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 spans="1:31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spans="1:31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 spans="1:31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spans="1:31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 spans="1:31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spans="1:31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 spans="1:31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spans="1:31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 spans="1:31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spans="1:3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 spans="1:31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spans="1:31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 spans="1:31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spans="1:31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 spans="1:31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spans="1:31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 spans="1:31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spans="1:31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 spans="1:31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spans="1:3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 spans="1:31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spans="1:31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 spans="1:31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spans="1:31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 spans="1:31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spans="1:31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 spans="1:31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spans="1:31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 spans="1:31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spans="1:3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 spans="1:31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spans="1:31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 spans="1:31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spans="1:31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 spans="1:31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spans="1:31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 spans="1:31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spans="1:31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 spans="1:31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spans="1:3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 spans="1:31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spans="1:31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 spans="1:31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spans="1:31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 spans="1:31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spans="1:31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 spans="1:31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spans="1:31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 spans="1:31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spans="1:3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 spans="1:31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spans="1:31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 spans="1:31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spans="1:31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 spans="1:31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spans="1:31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 spans="1:31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spans="1:31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 spans="1:31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spans="1:3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 spans="1:31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spans="1:31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 spans="1:31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spans="1:31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 spans="1:31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spans="1:31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 spans="1:31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spans="1:31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 spans="1:31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spans="1:3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 spans="1:31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spans="1:31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 spans="1:31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spans="1:31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 spans="1:31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spans="1:31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 spans="1:31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spans="1:31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 spans="1:31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spans="1:3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 spans="1:31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spans="1:31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 spans="1:31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spans="1:31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 spans="1:31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spans="1:31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 spans="1:31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spans="1:31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 spans="1:31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spans="1:3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 spans="1:31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spans="1:31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 spans="1:31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spans="1:31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 spans="1:31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spans="1:31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 spans="1:31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spans="1:31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 spans="1:31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spans="1: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 spans="1:31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spans="1:31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 spans="1:31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spans="1:31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 spans="1:31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spans="1:31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 spans="1:31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spans="1:31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 spans="1:31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spans="1:3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 spans="1:31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spans="1:31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 spans="1:31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spans="1:31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 spans="1:31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spans="1:31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 spans="1:31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 spans="1:31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 spans="1:31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 spans="1:3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 spans="1:31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 spans="1:31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 spans="1:31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 spans="1:31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 spans="1:31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 spans="1:31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 spans="1:31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 spans="1:31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 spans="1:31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 spans="1:3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 spans="1:31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 spans="1:31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 spans="1:31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 spans="1:31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 spans="1:31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 spans="1:31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 spans="1:31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 spans="1:31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 spans="1:31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 spans="1:3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 spans="1:31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 spans="1:31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 spans="1:31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 spans="1:31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 spans="1:31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 spans="1:31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 spans="1:31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 spans="1:31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 spans="1:31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 spans="1:3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 spans="1:31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 spans="1:31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 spans="1:31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 spans="1:31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 spans="1:31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 spans="1:31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 spans="1:31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 spans="1:31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 spans="1:31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 spans="1:3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 spans="1:31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 spans="1:31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 spans="1:31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 spans="1:31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 spans="1:31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 spans="1:31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 spans="1:31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 spans="1:31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 spans="1:31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 spans="1:3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 spans="1:31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 spans="1:31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 spans="1:31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 spans="1:31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 spans="1:31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 spans="1:31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 spans="1:31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 spans="1:31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 spans="1:31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 spans="1:3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 spans="1:31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 spans="1:31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 spans="1:31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 spans="1:31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 spans="1:31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 spans="1:31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 spans="1:31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 spans="1:31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 spans="1:31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 spans="1:3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 spans="1:31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 spans="1:31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 spans="1:31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 spans="1:31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 spans="1:31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 spans="1:31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 spans="1:31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 spans="1:31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 spans="1:31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 spans="1: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 spans="1:31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 spans="1:31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 spans="1:31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 spans="1:31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 spans="1:31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 spans="1:31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 spans="1:31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 spans="1:31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 spans="1:31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 spans="1:3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 spans="1:31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 spans="1:31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 spans="1:31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 spans="1:31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 spans="1:31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 spans="1:31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 spans="1:31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 spans="1:31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 spans="1:31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 spans="1:3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 spans="1:31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 spans="1:31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 spans="1:31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 spans="1:31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 spans="1:31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 spans="1:31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 spans="1:31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 spans="1:31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 spans="1:31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 spans="1:3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 spans="1:31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 spans="1:31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 spans="1:31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 spans="1:31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 spans="1:31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 spans="1:31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 spans="1:31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 spans="1:31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 spans="1:31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 spans="1:3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 spans="1:31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 spans="1:31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 spans="1:31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 spans="1:31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 spans="1:31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 spans="1:31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 spans="1:31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 spans="1:31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 spans="1:31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 spans="1:3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 spans="1:31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 spans="1:31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 spans="1:31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 spans="1:31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 spans="1:31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 spans="1:31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 spans="1:31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 spans="1:31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 spans="1:31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 spans="1:31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 spans="1:31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 spans="1:31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 spans="1:31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 spans="1:31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 spans="1:31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 spans="1:31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 spans="1:31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 spans="1:31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  <row r="1000" spans="1:31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</row>
  </sheetData>
  <mergeCells count="1">
    <mergeCell ref="A1:A2"/>
  </mergeCells>
  <hyperlinks>
    <hyperlink ref="R4" r:id="rId1" xr:uid="{00000000-0004-0000-0100-000000000000}"/>
    <hyperlink ref="R5" r:id="rId2" xr:uid="{00000000-0004-0000-0100-000001000000}"/>
    <hyperlink ref="R6" r:id="rId3" xr:uid="{00000000-0004-0000-0100-000002000000}"/>
    <hyperlink ref="R7" r:id="rId4" xr:uid="{00000000-0004-0000-0100-000003000000}"/>
    <hyperlink ref="R8" r:id="rId5" xr:uid="{00000000-0004-0000-0100-000004000000}"/>
    <hyperlink ref="R9" r:id="rId6" xr:uid="{00000000-0004-0000-0100-000005000000}"/>
    <hyperlink ref="R10" r:id="rId7" xr:uid="{00000000-0004-0000-0100-000006000000}"/>
    <hyperlink ref="R11" r:id="rId8" xr:uid="{00000000-0004-0000-0100-000007000000}"/>
    <hyperlink ref="R12" r:id="rId9" xr:uid="{00000000-0004-0000-0100-000008000000}"/>
    <hyperlink ref="R13" r:id="rId10" xr:uid="{00000000-0004-0000-0100-000009000000}"/>
    <hyperlink ref="R14" r:id="rId11" xr:uid="{00000000-0004-0000-0100-00000A000000}"/>
    <hyperlink ref="R17" r:id="rId12" xr:uid="{00000000-0004-0000-0100-00000B000000}"/>
    <hyperlink ref="R18" r:id="rId13" xr:uid="{00000000-0004-0000-0100-00000C000000}"/>
    <hyperlink ref="R19" r:id="rId14" xr:uid="{00000000-0004-0000-0100-00000D000000}"/>
    <hyperlink ref="R20" r:id="rId15" xr:uid="{00000000-0004-0000-0100-00000E000000}"/>
    <hyperlink ref="R21" r:id="rId16" xr:uid="{00000000-0004-0000-0100-00000F000000}"/>
    <hyperlink ref="R22" r:id="rId17" xr:uid="{00000000-0004-0000-0100-000010000000}"/>
    <hyperlink ref="R24" r:id="rId18" location=":~:text=Ethanol%2C%20made%20mostly%20from%20corn,all%20biofuel%20production%20in%202012.&amp;text=ERS%20analysts%20track%20U.S.%20ethanol,production%2C%20consumption%2C%20and%20trade." xr:uid="{00000000-0004-0000-0100-000011000000}"/>
    <hyperlink ref="R27" r:id="rId19" xr:uid="{00000000-0004-0000-0100-000012000000}"/>
    <hyperlink ref="R28" r:id="rId20" xr:uid="{00000000-0004-0000-0100-000013000000}"/>
    <hyperlink ref="R29" r:id="rId21" xr:uid="{00000000-0004-0000-0100-000014000000}"/>
    <hyperlink ref="R30" r:id="rId22" xr:uid="{00000000-0004-0000-0100-000015000000}"/>
    <hyperlink ref="R32" r:id="rId23" xr:uid="{00000000-0004-0000-0100-000016000000}"/>
    <hyperlink ref="R36" r:id="rId24" xr:uid="{00000000-0004-0000-0100-000017000000}"/>
  </hyperlinks>
  <pageMargins left="0.7" right="0.7" top="0.75" bottom="0.75" header="0" footer="0"/>
  <pageSetup orientation="portrait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306C"/>
  </sheetPr>
  <dimension ref="A1:AD1000"/>
  <sheetViews>
    <sheetView workbookViewId="0">
      <selection activeCell="F26" sqref="F26"/>
    </sheetView>
  </sheetViews>
  <sheetFormatPr defaultColWidth="14.42578125" defaultRowHeight="15" customHeight="1"/>
  <cols>
    <col min="1" max="1" width="75.7109375" customWidth="1"/>
    <col min="2" max="10" width="8.7109375" customWidth="1"/>
    <col min="11" max="15" width="9.140625" customWidth="1"/>
    <col min="16" max="16" width="11.85546875" customWidth="1"/>
    <col min="17" max="17" width="49.140625" customWidth="1"/>
    <col min="18" max="18" width="23.85546875" customWidth="1"/>
    <col min="19" max="30" width="8.7109375" customWidth="1"/>
  </cols>
  <sheetData>
    <row r="1" spans="1:30">
      <c r="A1" s="447" t="s">
        <v>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>
      <c r="A2" s="448"/>
      <c r="K2" s="65"/>
      <c r="L2" s="65"/>
      <c r="M2" s="65"/>
      <c r="N2" s="65"/>
      <c r="O2" s="65"/>
    </row>
    <row r="3" spans="1:30">
      <c r="A3" s="28" t="s">
        <v>50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 t="s">
        <v>21</v>
      </c>
      <c r="Q3" s="29" t="s">
        <v>22</v>
      </c>
      <c r="R3" s="29" t="s">
        <v>23</v>
      </c>
    </row>
    <row r="4" spans="1:30" ht="30">
      <c r="A4" s="35" t="s">
        <v>91</v>
      </c>
      <c r="B4" s="67"/>
      <c r="C4" s="67"/>
      <c r="D4" s="67"/>
      <c r="E4" s="68">
        <v>12</v>
      </c>
      <c r="F4" s="68">
        <v>0</v>
      </c>
      <c r="G4" s="68">
        <v>0</v>
      </c>
      <c r="H4" s="68">
        <v>125</v>
      </c>
      <c r="I4" s="68">
        <v>0</v>
      </c>
      <c r="J4" s="68">
        <v>0</v>
      </c>
      <c r="K4" s="68">
        <v>0</v>
      </c>
      <c r="L4" s="69">
        <v>0.44</v>
      </c>
      <c r="M4" s="68">
        <v>0</v>
      </c>
      <c r="N4" s="68">
        <v>0</v>
      </c>
      <c r="O4" s="68">
        <v>0</v>
      </c>
      <c r="P4" s="35" t="s">
        <v>92</v>
      </c>
      <c r="Q4" s="60" t="s">
        <v>93</v>
      </c>
      <c r="R4" s="34" t="s">
        <v>94</v>
      </c>
    </row>
    <row r="5" spans="1:30">
      <c r="K5" s="65"/>
      <c r="L5" s="65"/>
      <c r="M5" s="65"/>
      <c r="N5" s="65"/>
      <c r="O5" s="65"/>
    </row>
    <row r="6" spans="1:30">
      <c r="K6" s="65"/>
      <c r="L6" s="65"/>
      <c r="M6" s="65"/>
      <c r="N6" s="65"/>
      <c r="O6" s="65"/>
    </row>
    <row r="7" spans="1:30">
      <c r="K7" s="65"/>
      <c r="L7" s="65"/>
      <c r="M7" s="65"/>
      <c r="N7" s="65"/>
      <c r="O7" s="65"/>
    </row>
    <row r="8" spans="1:30">
      <c r="B8" s="70"/>
      <c r="K8" s="65"/>
      <c r="L8" s="65"/>
      <c r="M8" s="65"/>
      <c r="N8" s="65"/>
      <c r="O8" s="65"/>
    </row>
    <row r="9" spans="1:30">
      <c r="K9" s="65"/>
      <c r="L9" s="65"/>
      <c r="M9" s="65"/>
      <c r="N9" s="65"/>
      <c r="O9" s="65"/>
    </row>
    <row r="10" spans="1:30">
      <c r="K10" s="65"/>
      <c r="L10" s="65"/>
      <c r="M10" s="65"/>
      <c r="N10" s="65"/>
      <c r="O10" s="65"/>
    </row>
    <row r="11" spans="1:30">
      <c r="K11" s="65"/>
      <c r="L11" s="65"/>
      <c r="M11" s="65"/>
      <c r="N11" s="65"/>
      <c r="O11" s="65"/>
    </row>
    <row r="12" spans="1:30">
      <c r="K12" s="65"/>
      <c r="L12" s="65"/>
      <c r="M12" s="65"/>
      <c r="N12" s="65"/>
      <c r="O12" s="65"/>
    </row>
    <row r="13" spans="1:30">
      <c r="K13" s="65"/>
      <c r="L13" s="65"/>
      <c r="M13" s="65"/>
      <c r="N13" s="65"/>
      <c r="O13" s="65"/>
    </row>
    <row r="14" spans="1:30">
      <c r="K14" s="65"/>
      <c r="L14" s="65"/>
      <c r="M14" s="65"/>
      <c r="N14" s="65"/>
      <c r="O14" s="65"/>
    </row>
    <row r="15" spans="1:30">
      <c r="K15" s="65"/>
      <c r="L15" s="65"/>
      <c r="M15" s="65"/>
      <c r="N15" s="65"/>
      <c r="O15" s="65"/>
    </row>
    <row r="16" spans="1:30">
      <c r="K16" s="65"/>
      <c r="L16" s="65"/>
      <c r="M16" s="65"/>
      <c r="N16" s="65"/>
      <c r="O16" s="65"/>
    </row>
    <row r="17" spans="11:15">
      <c r="K17" s="65"/>
      <c r="L17" s="65"/>
      <c r="M17" s="65"/>
      <c r="N17" s="65"/>
      <c r="O17" s="65"/>
    </row>
    <row r="18" spans="11:15">
      <c r="K18" s="65"/>
      <c r="L18" s="65"/>
      <c r="M18" s="65"/>
      <c r="N18" s="65"/>
      <c r="O18" s="65"/>
    </row>
    <row r="19" spans="11:15">
      <c r="K19" s="65"/>
      <c r="L19" s="65"/>
      <c r="M19" s="65"/>
      <c r="N19" s="65"/>
      <c r="O19" s="65"/>
    </row>
    <row r="20" spans="11:15">
      <c r="K20" s="65"/>
      <c r="L20" s="65"/>
      <c r="M20" s="65"/>
      <c r="N20" s="65"/>
      <c r="O20" s="65"/>
    </row>
    <row r="21" spans="11:15" ht="15.75" customHeight="1">
      <c r="K21" s="65"/>
      <c r="L21" s="65"/>
      <c r="M21" s="65"/>
      <c r="N21" s="65"/>
      <c r="O21" s="65"/>
    </row>
    <row r="22" spans="11:15" ht="15.75" customHeight="1">
      <c r="K22" s="65"/>
      <c r="L22" s="65"/>
      <c r="M22" s="65"/>
      <c r="N22" s="65"/>
      <c r="O22" s="65"/>
    </row>
    <row r="23" spans="11:15" ht="15.75" customHeight="1">
      <c r="K23" s="65"/>
      <c r="L23" s="65"/>
      <c r="M23" s="65"/>
      <c r="N23" s="65"/>
      <c r="O23" s="65"/>
    </row>
    <row r="24" spans="11:15" ht="15.75" customHeight="1">
      <c r="K24" s="65"/>
      <c r="L24" s="65"/>
      <c r="M24" s="65"/>
      <c r="N24" s="65"/>
      <c r="O24" s="65"/>
    </row>
    <row r="25" spans="11:15" ht="15.75" customHeight="1">
      <c r="K25" s="65"/>
      <c r="L25" s="65"/>
      <c r="M25" s="65"/>
      <c r="N25" s="65"/>
      <c r="O25" s="65"/>
    </row>
    <row r="26" spans="11:15" ht="15.75" customHeight="1">
      <c r="K26" s="65"/>
      <c r="L26" s="65"/>
      <c r="M26" s="65"/>
      <c r="N26" s="65"/>
      <c r="O26" s="65"/>
    </row>
    <row r="27" spans="11:15" ht="15.75" customHeight="1">
      <c r="K27" s="65"/>
      <c r="L27" s="65"/>
      <c r="M27" s="65"/>
      <c r="N27" s="65"/>
      <c r="O27" s="65"/>
    </row>
    <row r="28" spans="11:15" ht="15.75" customHeight="1">
      <c r="K28" s="65"/>
      <c r="L28" s="65"/>
      <c r="M28" s="65"/>
      <c r="N28" s="65"/>
      <c r="O28" s="65"/>
    </row>
    <row r="29" spans="11:15" ht="15.75" customHeight="1">
      <c r="K29" s="65"/>
      <c r="L29" s="65"/>
      <c r="M29" s="65"/>
      <c r="N29" s="65"/>
      <c r="O29" s="65"/>
    </row>
    <row r="30" spans="11:15" ht="15.75" customHeight="1">
      <c r="K30" s="65"/>
      <c r="L30" s="65"/>
      <c r="M30" s="65"/>
      <c r="N30" s="65"/>
      <c r="O30" s="65"/>
    </row>
    <row r="31" spans="11:15" ht="15.75" customHeight="1">
      <c r="K31" s="65"/>
      <c r="L31" s="65"/>
      <c r="M31" s="65"/>
      <c r="N31" s="65"/>
      <c r="O31" s="65"/>
    </row>
    <row r="32" spans="11:15" ht="15.75" customHeight="1">
      <c r="K32" s="65"/>
      <c r="L32" s="65"/>
      <c r="M32" s="65"/>
      <c r="N32" s="65"/>
      <c r="O32" s="65"/>
    </row>
    <row r="33" spans="11:15" ht="15.75" customHeight="1">
      <c r="K33" s="65"/>
      <c r="L33" s="65"/>
      <c r="M33" s="65"/>
      <c r="N33" s="65"/>
      <c r="O33" s="65"/>
    </row>
    <row r="34" spans="11:15" ht="15.75" customHeight="1">
      <c r="K34" s="65"/>
      <c r="L34" s="65"/>
      <c r="M34" s="65"/>
      <c r="N34" s="65"/>
      <c r="O34" s="65"/>
    </row>
    <row r="35" spans="11:15" ht="15.75" customHeight="1">
      <c r="K35" s="65"/>
      <c r="L35" s="65"/>
      <c r="M35" s="65"/>
      <c r="N35" s="65"/>
      <c r="O35" s="65"/>
    </row>
    <row r="36" spans="11:15" ht="15.75" customHeight="1">
      <c r="K36" s="65"/>
      <c r="L36" s="65"/>
      <c r="M36" s="65"/>
      <c r="N36" s="65"/>
      <c r="O36" s="65"/>
    </row>
    <row r="37" spans="11:15" ht="15.75" customHeight="1">
      <c r="K37" s="65"/>
      <c r="L37" s="65"/>
      <c r="M37" s="65"/>
      <c r="N37" s="65"/>
      <c r="O37" s="65"/>
    </row>
    <row r="38" spans="11:15" ht="15.75" customHeight="1">
      <c r="K38" s="65"/>
      <c r="L38" s="65"/>
      <c r="M38" s="65"/>
      <c r="N38" s="65"/>
      <c r="O38" s="65"/>
    </row>
    <row r="39" spans="11:15" ht="15.75" customHeight="1">
      <c r="K39" s="65"/>
      <c r="L39" s="65"/>
      <c r="M39" s="65"/>
      <c r="N39" s="65"/>
      <c r="O39" s="65"/>
    </row>
    <row r="40" spans="11:15" ht="15.75" customHeight="1">
      <c r="K40" s="65"/>
      <c r="L40" s="65"/>
      <c r="M40" s="65"/>
      <c r="N40" s="65"/>
      <c r="O40" s="65"/>
    </row>
    <row r="41" spans="11:15" ht="15.75" customHeight="1">
      <c r="K41" s="65"/>
      <c r="L41" s="65"/>
      <c r="M41" s="65"/>
      <c r="N41" s="65"/>
      <c r="O41" s="65"/>
    </row>
    <row r="42" spans="11:15" ht="15.75" customHeight="1">
      <c r="K42" s="65"/>
      <c r="L42" s="65"/>
      <c r="M42" s="65"/>
      <c r="N42" s="65"/>
      <c r="O42" s="65"/>
    </row>
    <row r="43" spans="11:15" ht="15.75" customHeight="1">
      <c r="K43" s="65"/>
      <c r="L43" s="65"/>
      <c r="M43" s="65"/>
      <c r="N43" s="65"/>
      <c r="O43" s="65"/>
    </row>
    <row r="44" spans="11:15" ht="15.75" customHeight="1">
      <c r="K44" s="65"/>
      <c r="L44" s="65"/>
      <c r="M44" s="65"/>
      <c r="N44" s="65"/>
      <c r="O44" s="65"/>
    </row>
    <row r="45" spans="11:15" ht="15.75" customHeight="1">
      <c r="K45" s="65"/>
      <c r="L45" s="65"/>
      <c r="M45" s="65"/>
      <c r="N45" s="65"/>
      <c r="O45" s="65"/>
    </row>
    <row r="46" spans="11:15" ht="15.75" customHeight="1">
      <c r="K46" s="65"/>
      <c r="L46" s="65"/>
      <c r="M46" s="65"/>
      <c r="N46" s="65"/>
      <c r="O46" s="65"/>
    </row>
    <row r="47" spans="11:15" ht="15.75" customHeight="1">
      <c r="K47" s="65"/>
      <c r="L47" s="65"/>
      <c r="M47" s="65"/>
      <c r="N47" s="65"/>
      <c r="O47" s="65"/>
    </row>
    <row r="48" spans="11:15" ht="15.75" customHeight="1">
      <c r="K48" s="65"/>
      <c r="L48" s="65"/>
      <c r="M48" s="65"/>
      <c r="N48" s="65"/>
      <c r="O48" s="65"/>
    </row>
    <row r="49" spans="11:15" ht="15.75" customHeight="1">
      <c r="K49" s="65"/>
      <c r="L49" s="65"/>
      <c r="M49" s="65"/>
      <c r="N49" s="65"/>
      <c r="O49" s="65"/>
    </row>
    <row r="50" spans="11:15" ht="15.75" customHeight="1">
      <c r="K50" s="65"/>
      <c r="L50" s="65"/>
      <c r="M50" s="65"/>
      <c r="N50" s="65"/>
      <c r="O50" s="65"/>
    </row>
    <row r="51" spans="11:15" ht="15.75" customHeight="1">
      <c r="K51" s="65"/>
      <c r="L51" s="65"/>
      <c r="M51" s="65"/>
      <c r="N51" s="65"/>
      <c r="O51" s="65"/>
    </row>
    <row r="52" spans="11:15" ht="15.75" customHeight="1">
      <c r="K52" s="65"/>
      <c r="L52" s="65"/>
      <c r="M52" s="65"/>
      <c r="N52" s="65"/>
      <c r="O52" s="65"/>
    </row>
    <row r="53" spans="11:15" ht="15.75" customHeight="1">
      <c r="K53" s="65"/>
      <c r="L53" s="65"/>
      <c r="M53" s="65"/>
      <c r="N53" s="65"/>
      <c r="O53" s="65"/>
    </row>
    <row r="54" spans="11:15" ht="15.75" customHeight="1">
      <c r="K54" s="65"/>
      <c r="L54" s="65"/>
      <c r="M54" s="65"/>
      <c r="N54" s="65"/>
      <c r="O54" s="65"/>
    </row>
    <row r="55" spans="11:15" ht="15.75" customHeight="1">
      <c r="K55" s="65"/>
      <c r="L55" s="65"/>
      <c r="M55" s="65"/>
      <c r="N55" s="65"/>
      <c r="O55" s="65"/>
    </row>
    <row r="56" spans="11:15" ht="15.75" customHeight="1">
      <c r="K56" s="65"/>
      <c r="L56" s="65"/>
      <c r="M56" s="65"/>
      <c r="N56" s="65"/>
      <c r="O56" s="65"/>
    </row>
    <row r="57" spans="11:15" ht="15.75" customHeight="1">
      <c r="K57" s="65"/>
      <c r="L57" s="65"/>
      <c r="M57" s="65"/>
      <c r="N57" s="65"/>
      <c r="O57" s="65"/>
    </row>
    <row r="58" spans="11:15" ht="15.75" customHeight="1">
      <c r="K58" s="65"/>
      <c r="L58" s="65"/>
      <c r="M58" s="65"/>
      <c r="N58" s="65"/>
      <c r="O58" s="65"/>
    </row>
    <row r="59" spans="11:15" ht="15.75" customHeight="1">
      <c r="K59" s="65"/>
      <c r="L59" s="65"/>
      <c r="M59" s="65"/>
      <c r="N59" s="65"/>
      <c r="O59" s="65"/>
    </row>
    <row r="60" spans="11:15" ht="15.75" customHeight="1">
      <c r="K60" s="65"/>
      <c r="L60" s="65"/>
      <c r="M60" s="65"/>
      <c r="N60" s="65"/>
      <c r="O60" s="65"/>
    </row>
    <row r="61" spans="11:15" ht="15.75" customHeight="1">
      <c r="K61" s="65"/>
      <c r="L61" s="65"/>
      <c r="M61" s="65"/>
      <c r="N61" s="65"/>
      <c r="O61" s="65"/>
    </row>
    <row r="62" spans="11:15" ht="15.75" customHeight="1">
      <c r="K62" s="65"/>
      <c r="L62" s="65"/>
      <c r="M62" s="65"/>
      <c r="N62" s="65"/>
      <c r="O62" s="65"/>
    </row>
    <row r="63" spans="11:15" ht="15.75" customHeight="1">
      <c r="K63" s="65"/>
      <c r="L63" s="65"/>
      <c r="M63" s="65"/>
      <c r="N63" s="65"/>
      <c r="O63" s="65"/>
    </row>
    <row r="64" spans="11:15" ht="15.75" customHeight="1">
      <c r="K64" s="65"/>
      <c r="L64" s="65"/>
      <c r="M64" s="65"/>
      <c r="N64" s="65"/>
      <c r="O64" s="65"/>
    </row>
    <row r="65" spans="11:15" ht="15.75" customHeight="1">
      <c r="K65" s="65"/>
      <c r="L65" s="65"/>
      <c r="M65" s="65"/>
      <c r="N65" s="65"/>
      <c r="O65" s="65"/>
    </row>
    <row r="66" spans="11:15" ht="15.75" customHeight="1">
      <c r="K66" s="65"/>
      <c r="L66" s="65"/>
      <c r="M66" s="65"/>
      <c r="N66" s="65"/>
      <c r="O66" s="65"/>
    </row>
    <row r="67" spans="11:15" ht="15.75" customHeight="1">
      <c r="K67" s="65"/>
      <c r="L67" s="65"/>
      <c r="M67" s="65"/>
      <c r="N67" s="65"/>
      <c r="O67" s="65"/>
    </row>
    <row r="68" spans="11:15" ht="15.75" customHeight="1">
      <c r="K68" s="65"/>
      <c r="L68" s="65"/>
      <c r="M68" s="65"/>
      <c r="N68" s="65"/>
      <c r="O68" s="65"/>
    </row>
    <row r="69" spans="11:15" ht="15.75" customHeight="1">
      <c r="K69" s="65"/>
      <c r="L69" s="65"/>
      <c r="M69" s="65"/>
      <c r="N69" s="65"/>
      <c r="O69" s="65"/>
    </row>
    <row r="70" spans="11:15" ht="15.75" customHeight="1">
      <c r="K70" s="65"/>
      <c r="L70" s="65"/>
      <c r="M70" s="65"/>
      <c r="N70" s="65"/>
      <c r="O70" s="65"/>
    </row>
    <row r="71" spans="11:15" ht="15.75" customHeight="1">
      <c r="K71" s="65"/>
      <c r="L71" s="65"/>
      <c r="M71" s="65"/>
      <c r="N71" s="65"/>
      <c r="O71" s="65"/>
    </row>
    <row r="72" spans="11:15" ht="15.75" customHeight="1">
      <c r="K72" s="65"/>
      <c r="L72" s="65"/>
      <c r="M72" s="65"/>
      <c r="N72" s="65"/>
      <c r="O72" s="65"/>
    </row>
    <row r="73" spans="11:15" ht="15.75" customHeight="1">
      <c r="K73" s="65"/>
      <c r="L73" s="65"/>
      <c r="M73" s="65"/>
      <c r="N73" s="65"/>
      <c r="O73" s="65"/>
    </row>
    <row r="74" spans="11:15" ht="15.75" customHeight="1">
      <c r="K74" s="65"/>
      <c r="L74" s="65"/>
      <c r="M74" s="65"/>
      <c r="N74" s="65"/>
      <c r="O74" s="65"/>
    </row>
    <row r="75" spans="11:15" ht="15.75" customHeight="1">
      <c r="K75" s="65"/>
      <c r="L75" s="65"/>
      <c r="M75" s="65"/>
      <c r="N75" s="65"/>
      <c r="O75" s="65"/>
    </row>
    <row r="76" spans="11:15" ht="15.75" customHeight="1">
      <c r="K76" s="65"/>
      <c r="L76" s="65"/>
      <c r="M76" s="65"/>
      <c r="N76" s="65"/>
      <c r="O76" s="65"/>
    </row>
    <row r="77" spans="11:15" ht="15.75" customHeight="1">
      <c r="K77" s="65"/>
      <c r="L77" s="65"/>
      <c r="M77" s="65"/>
      <c r="N77" s="65"/>
      <c r="O77" s="65"/>
    </row>
    <row r="78" spans="11:15" ht="15.75" customHeight="1">
      <c r="K78" s="65"/>
      <c r="L78" s="65"/>
      <c r="M78" s="65"/>
      <c r="N78" s="65"/>
      <c r="O78" s="65"/>
    </row>
    <row r="79" spans="11:15" ht="15.75" customHeight="1">
      <c r="K79" s="65"/>
      <c r="L79" s="65"/>
      <c r="M79" s="65"/>
      <c r="N79" s="65"/>
      <c r="O79" s="65"/>
    </row>
    <row r="80" spans="11:15" ht="15.75" customHeight="1">
      <c r="K80" s="65"/>
      <c r="L80" s="65"/>
      <c r="M80" s="65"/>
      <c r="N80" s="65"/>
      <c r="O80" s="65"/>
    </row>
    <row r="81" spans="11:15" ht="15.75" customHeight="1">
      <c r="K81" s="65"/>
      <c r="L81" s="65"/>
      <c r="M81" s="65"/>
      <c r="N81" s="65"/>
      <c r="O81" s="65"/>
    </row>
    <row r="82" spans="11:15" ht="15.75" customHeight="1">
      <c r="K82" s="65"/>
      <c r="L82" s="65"/>
      <c r="M82" s="65"/>
      <c r="N82" s="65"/>
      <c r="O82" s="65"/>
    </row>
    <row r="83" spans="11:15" ht="15.75" customHeight="1">
      <c r="K83" s="65"/>
      <c r="L83" s="65"/>
      <c r="M83" s="65"/>
      <c r="N83" s="65"/>
      <c r="O83" s="65"/>
    </row>
    <row r="84" spans="11:15" ht="15.75" customHeight="1">
      <c r="K84" s="65"/>
      <c r="L84" s="65"/>
      <c r="M84" s="65"/>
      <c r="N84" s="65"/>
      <c r="O84" s="65"/>
    </row>
    <row r="85" spans="11:15" ht="15.75" customHeight="1">
      <c r="K85" s="65"/>
      <c r="L85" s="65"/>
      <c r="M85" s="65"/>
      <c r="N85" s="65"/>
      <c r="O85" s="65"/>
    </row>
    <row r="86" spans="11:15" ht="15.75" customHeight="1">
      <c r="K86" s="65"/>
      <c r="L86" s="65"/>
      <c r="M86" s="65"/>
      <c r="N86" s="65"/>
      <c r="O86" s="65"/>
    </row>
    <row r="87" spans="11:15" ht="15.75" customHeight="1">
      <c r="K87" s="65"/>
      <c r="L87" s="65"/>
      <c r="M87" s="65"/>
      <c r="N87" s="65"/>
      <c r="O87" s="65"/>
    </row>
    <row r="88" spans="11:15" ht="15.75" customHeight="1">
      <c r="K88" s="65"/>
      <c r="L88" s="65"/>
      <c r="M88" s="65"/>
      <c r="N88" s="65"/>
      <c r="O88" s="65"/>
    </row>
    <row r="89" spans="11:15" ht="15.75" customHeight="1">
      <c r="K89" s="65"/>
      <c r="L89" s="65"/>
      <c r="M89" s="65"/>
      <c r="N89" s="65"/>
      <c r="O89" s="65"/>
    </row>
    <row r="90" spans="11:15" ht="15.75" customHeight="1">
      <c r="K90" s="65"/>
      <c r="L90" s="65"/>
      <c r="M90" s="65"/>
      <c r="N90" s="65"/>
      <c r="O90" s="65"/>
    </row>
    <row r="91" spans="11:15" ht="15.75" customHeight="1">
      <c r="K91" s="65"/>
      <c r="L91" s="65"/>
      <c r="M91" s="65"/>
      <c r="N91" s="65"/>
      <c r="O91" s="65"/>
    </row>
    <row r="92" spans="11:15" ht="15.75" customHeight="1">
      <c r="K92" s="65"/>
      <c r="L92" s="65"/>
      <c r="M92" s="65"/>
      <c r="N92" s="65"/>
      <c r="O92" s="65"/>
    </row>
    <row r="93" spans="11:15" ht="15.75" customHeight="1">
      <c r="K93" s="65"/>
      <c r="L93" s="65"/>
      <c r="M93" s="65"/>
      <c r="N93" s="65"/>
      <c r="O93" s="65"/>
    </row>
    <row r="94" spans="11:15" ht="15.75" customHeight="1">
      <c r="K94" s="65"/>
      <c r="L94" s="65"/>
      <c r="M94" s="65"/>
      <c r="N94" s="65"/>
      <c r="O94" s="65"/>
    </row>
    <row r="95" spans="11:15" ht="15.75" customHeight="1">
      <c r="K95" s="65"/>
      <c r="L95" s="65"/>
      <c r="M95" s="65"/>
      <c r="N95" s="65"/>
      <c r="O95" s="65"/>
    </row>
    <row r="96" spans="11:15" ht="15.75" customHeight="1">
      <c r="K96" s="65"/>
      <c r="L96" s="65"/>
      <c r="M96" s="65"/>
      <c r="N96" s="65"/>
      <c r="O96" s="65"/>
    </row>
    <row r="97" spans="11:15" ht="15.75" customHeight="1">
      <c r="K97" s="65"/>
      <c r="L97" s="65"/>
      <c r="M97" s="65"/>
      <c r="N97" s="65"/>
      <c r="O97" s="65"/>
    </row>
    <row r="98" spans="11:15" ht="15.75" customHeight="1">
      <c r="K98" s="65"/>
      <c r="L98" s="65"/>
      <c r="M98" s="65"/>
      <c r="N98" s="65"/>
      <c r="O98" s="65"/>
    </row>
    <row r="99" spans="11:15" ht="15.75" customHeight="1">
      <c r="K99" s="65"/>
      <c r="L99" s="65"/>
      <c r="M99" s="65"/>
      <c r="N99" s="65"/>
      <c r="O99" s="65"/>
    </row>
    <row r="100" spans="11:15" ht="15.75" customHeight="1">
      <c r="K100" s="65"/>
      <c r="L100" s="65"/>
      <c r="M100" s="65"/>
      <c r="N100" s="65"/>
      <c r="O100" s="65"/>
    </row>
    <row r="101" spans="11:15" ht="15.75" customHeight="1">
      <c r="K101" s="65"/>
      <c r="L101" s="65"/>
      <c r="M101" s="65"/>
      <c r="N101" s="65"/>
      <c r="O101" s="65"/>
    </row>
    <row r="102" spans="11:15" ht="15.75" customHeight="1">
      <c r="K102" s="65"/>
      <c r="L102" s="65"/>
      <c r="M102" s="65"/>
      <c r="N102" s="65"/>
      <c r="O102" s="65"/>
    </row>
    <row r="103" spans="11:15" ht="15.75" customHeight="1">
      <c r="K103" s="65"/>
      <c r="L103" s="65"/>
      <c r="M103" s="65"/>
      <c r="N103" s="65"/>
      <c r="O103" s="65"/>
    </row>
    <row r="104" spans="11:15" ht="15.75" customHeight="1">
      <c r="K104" s="65"/>
      <c r="L104" s="65"/>
      <c r="M104" s="65"/>
      <c r="N104" s="65"/>
      <c r="O104" s="65"/>
    </row>
    <row r="105" spans="11:15" ht="15.75" customHeight="1">
      <c r="K105" s="65"/>
      <c r="L105" s="65"/>
      <c r="M105" s="65"/>
      <c r="N105" s="65"/>
      <c r="O105" s="65"/>
    </row>
    <row r="106" spans="11:15" ht="15.75" customHeight="1">
      <c r="K106" s="65"/>
      <c r="L106" s="65"/>
      <c r="M106" s="65"/>
      <c r="N106" s="65"/>
      <c r="O106" s="65"/>
    </row>
    <row r="107" spans="11:15" ht="15.75" customHeight="1">
      <c r="K107" s="65"/>
      <c r="L107" s="65"/>
      <c r="M107" s="65"/>
      <c r="N107" s="65"/>
      <c r="O107" s="65"/>
    </row>
    <row r="108" spans="11:15" ht="15.75" customHeight="1">
      <c r="K108" s="65"/>
      <c r="L108" s="65"/>
      <c r="M108" s="65"/>
      <c r="N108" s="65"/>
      <c r="O108" s="65"/>
    </row>
    <row r="109" spans="11:15" ht="15.75" customHeight="1">
      <c r="K109" s="65"/>
      <c r="L109" s="65"/>
      <c r="M109" s="65"/>
      <c r="N109" s="65"/>
      <c r="O109" s="65"/>
    </row>
    <row r="110" spans="11:15" ht="15.75" customHeight="1">
      <c r="K110" s="65"/>
      <c r="L110" s="65"/>
      <c r="M110" s="65"/>
      <c r="N110" s="65"/>
      <c r="O110" s="65"/>
    </row>
    <row r="111" spans="11:15" ht="15.75" customHeight="1">
      <c r="K111" s="65"/>
      <c r="L111" s="65"/>
      <c r="M111" s="65"/>
      <c r="N111" s="65"/>
      <c r="O111" s="65"/>
    </row>
    <row r="112" spans="11:15" ht="15.75" customHeight="1">
      <c r="K112" s="65"/>
      <c r="L112" s="65"/>
      <c r="M112" s="65"/>
      <c r="N112" s="65"/>
      <c r="O112" s="65"/>
    </row>
    <row r="113" spans="11:15" ht="15.75" customHeight="1">
      <c r="K113" s="65"/>
      <c r="L113" s="65"/>
      <c r="M113" s="65"/>
      <c r="N113" s="65"/>
      <c r="O113" s="65"/>
    </row>
    <row r="114" spans="11:15" ht="15.75" customHeight="1">
      <c r="K114" s="65"/>
      <c r="L114" s="65"/>
      <c r="M114" s="65"/>
      <c r="N114" s="65"/>
      <c r="O114" s="65"/>
    </row>
    <row r="115" spans="11:15" ht="15.75" customHeight="1">
      <c r="K115" s="65"/>
      <c r="L115" s="65"/>
      <c r="M115" s="65"/>
      <c r="N115" s="65"/>
      <c r="O115" s="65"/>
    </row>
    <row r="116" spans="11:15" ht="15.75" customHeight="1">
      <c r="K116" s="65"/>
      <c r="L116" s="65"/>
      <c r="M116" s="65"/>
      <c r="N116" s="65"/>
      <c r="O116" s="65"/>
    </row>
    <row r="117" spans="11:15" ht="15.75" customHeight="1">
      <c r="K117" s="65"/>
      <c r="L117" s="65"/>
      <c r="M117" s="65"/>
      <c r="N117" s="65"/>
      <c r="O117" s="65"/>
    </row>
    <row r="118" spans="11:15" ht="15.75" customHeight="1">
      <c r="K118" s="65"/>
      <c r="L118" s="65"/>
      <c r="M118" s="65"/>
      <c r="N118" s="65"/>
      <c r="O118" s="65"/>
    </row>
    <row r="119" spans="11:15" ht="15.75" customHeight="1">
      <c r="K119" s="65"/>
      <c r="L119" s="65"/>
      <c r="M119" s="65"/>
      <c r="N119" s="65"/>
      <c r="O119" s="65"/>
    </row>
    <row r="120" spans="11:15" ht="15.75" customHeight="1">
      <c r="K120" s="65"/>
      <c r="L120" s="65"/>
      <c r="M120" s="65"/>
      <c r="N120" s="65"/>
      <c r="O120" s="65"/>
    </row>
    <row r="121" spans="11:15" ht="15.75" customHeight="1">
      <c r="K121" s="65"/>
      <c r="L121" s="65"/>
      <c r="M121" s="65"/>
      <c r="N121" s="65"/>
      <c r="O121" s="65"/>
    </row>
    <row r="122" spans="11:15" ht="15.75" customHeight="1">
      <c r="K122" s="65"/>
      <c r="L122" s="65"/>
      <c r="M122" s="65"/>
      <c r="N122" s="65"/>
      <c r="O122" s="65"/>
    </row>
    <row r="123" spans="11:15" ht="15.75" customHeight="1">
      <c r="K123" s="65"/>
      <c r="L123" s="65"/>
      <c r="M123" s="65"/>
      <c r="N123" s="65"/>
      <c r="O123" s="65"/>
    </row>
    <row r="124" spans="11:15" ht="15.75" customHeight="1">
      <c r="K124" s="65"/>
      <c r="L124" s="65"/>
      <c r="M124" s="65"/>
      <c r="N124" s="65"/>
      <c r="O124" s="65"/>
    </row>
    <row r="125" spans="11:15" ht="15.75" customHeight="1">
      <c r="K125" s="65"/>
      <c r="L125" s="65"/>
      <c r="M125" s="65"/>
      <c r="N125" s="65"/>
      <c r="O125" s="65"/>
    </row>
    <row r="126" spans="11:15" ht="15.75" customHeight="1">
      <c r="K126" s="65"/>
      <c r="L126" s="65"/>
      <c r="M126" s="65"/>
      <c r="N126" s="65"/>
      <c r="O126" s="65"/>
    </row>
    <row r="127" spans="11:15" ht="15.75" customHeight="1">
      <c r="K127" s="65"/>
      <c r="L127" s="65"/>
      <c r="M127" s="65"/>
      <c r="N127" s="65"/>
      <c r="O127" s="65"/>
    </row>
    <row r="128" spans="11:15" ht="15.75" customHeight="1">
      <c r="K128" s="65"/>
      <c r="L128" s="65"/>
      <c r="M128" s="65"/>
      <c r="N128" s="65"/>
      <c r="O128" s="65"/>
    </row>
    <row r="129" spans="11:15" ht="15.75" customHeight="1">
      <c r="K129" s="65"/>
      <c r="L129" s="65"/>
      <c r="M129" s="65"/>
      <c r="N129" s="65"/>
      <c r="O129" s="65"/>
    </row>
    <row r="130" spans="11:15" ht="15.75" customHeight="1">
      <c r="K130" s="65"/>
      <c r="L130" s="65"/>
      <c r="M130" s="65"/>
      <c r="N130" s="65"/>
      <c r="O130" s="65"/>
    </row>
    <row r="131" spans="11:15" ht="15.75" customHeight="1">
      <c r="K131" s="65"/>
      <c r="L131" s="65"/>
      <c r="M131" s="65"/>
      <c r="N131" s="65"/>
      <c r="O131" s="65"/>
    </row>
    <row r="132" spans="11:15" ht="15.75" customHeight="1">
      <c r="K132" s="65"/>
      <c r="L132" s="65"/>
      <c r="M132" s="65"/>
      <c r="N132" s="65"/>
      <c r="O132" s="65"/>
    </row>
    <row r="133" spans="11:15" ht="15.75" customHeight="1">
      <c r="K133" s="65"/>
      <c r="L133" s="65"/>
      <c r="M133" s="65"/>
      <c r="N133" s="65"/>
      <c r="O133" s="65"/>
    </row>
    <row r="134" spans="11:15" ht="15.75" customHeight="1">
      <c r="K134" s="65"/>
      <c r="L134" s="65"/>
      <c r="M134" s="65"/>
      <c r="N134" s="65"/>
      <c r="O134" s="65"/>
    </row>
    <row r="135" spans="11:15" ht="15.75" customHeight="1">
      <c r="K135" s="65"/>
      <c r="L135" s="65"/>
      <c r="M135" s="65"/>
      <c r="N135" s="65"/>
      <c r="O135" s="65"/>
    </row>
    <row r="136" spans="11:15" ht="15.75" customHeight="1">
      <c r="K136" s="65"/>
      <c r="L136" s="65"/>
      <c r="M136" s="65"/>
      <c r="N136" s="65"/>
      <c r="O136" s="65"/>
    </row>
    <row r="137" spans="11:15" ht="15.75" customHeight="1">
      <c r="K137" s="65"/>
      <c r="L137" s="65"/>
      <c r="M137" s="65"/>
      <c r="N137" s="65"/>
      <c r="O137" s="65"/>
    </row>
    <row r="138" spans="11:15" ht="15.75" customHeight="1">
      <c r="K138" s="65"/>
      <c r="L138" s="65"/>
      <c r="M138" s="65"/>
      <c r="N138" s="65"/>
      <c r="O138" s="65"/>
    </row>
    <row r="139" spans="11:15" ht="15.75" customHeight="1">
      <c r="K139" s="65"/>
      <c r="L139" s="65"/>
      <c r="M139" s="65"/>
      <c r="N139" s="65"/>
      <c r="O139" s="65"/>
    </row>
    <row r="140" spans="11:15" ht="15.75" customHeight="1">
      <c r="K140" s="65"/>
      <c r="L140" s="65"/>
      <c r="M140" s="65"/>
      <c r="N140" s="65"/>
      <c r="O140" s="65"/>
    </row>
    <row r="141" spans="11:15" ht="15.75" customHeight="1">
      <c r="K141" s="65"/>
      <c r="L141" s="65"/>
      <c r="M141" s="65"/>
      <c r="N141" s="65"/>
      <c r="O141" s="65"/>
    </row>
    <row r="142" spans="11:15" ht="15.75" customHeight="1">
      <c r="K142" s="65"/>
      <c r="L142" s="65"/>
      <c r="M142" s="65"/>
      <c r="N142" s="65"/>
      <c r="O142" s="65"/>
    </row>
    <row r="143" spans="11:15" ht="15.75" customHeight="1">
      <c r="K143" s="65"/>
      <c r="L143" s="65"/>
      <c r="M143" s="65"/>
      <c r="N143" s="65"/>
      <c r="O143" s="65"/>
    </row>
    <row r="144" spans="11:15" ht="15.75" customHeight="1">
      <c r="K144" s="65"/>
      <c r="L144" s="65"/>
      <c r="M144" s="65"/>
      <c r="N144" s="65"/>
      <c r="O144" s="65"/>
    </row>
    <row r="145" spans="11:15" ht="15.75" customHeight="1">
      <c r="K145" s="65"/>
      <c r="L145" s="65"/>
      <c r="M145" s="65"/>
      <c r="N145" s="65"/>
      <c r="O145" s="65"/>
    </row>
    <row r="146" spans="11:15" ht="15.75" customHeight="1">
      <c r="K146" s="65"/>
      <c r="L146" s="65"/>
      <c r="M146" s="65"/>
      <c r="N146" s="65"/>
      <c r="O146" s="65"/>
    </row>
    <row r="147" spans="11:15" ht="15.75" customHeight="1">
      <c r="K147" s="65"/>
      <c r="L147" s="65"/>
      <c r="M147" s="65"/>
      <c r="N147" s="65"/>
      <c r="O147" s="65"/>
    </row>
    <row r="148" spans="11:15" ht="15.75" customHeight="1">
      <c r="K148" s="65"/>
      <c r="L148" s="65"/>
      <c r="M148" s="65"/>
      <c r="N148" s="65"/>
      <c r="O148" s="65"/>
    </row>
    <row r="149" spans="11:15" ht="15.75" customHeight="1">
      <c r="K149" s="65"/>
      <c r="L149" s="65"/>
      <c r="M149" s="65"/>
      <c r="N149" s="65"/>
      <c r="O149" s="65"/>
    </row>
    <row r="150" spans="11:15" ht="15.75" customHeight="1">
      <c r="K150" s="65"/>
      <c r="L150" s="65"/>
      <c r="M150" s="65"/>
      <c r="N150" s="65"/>
      <c r="O150" s="65"/>
    </row>
    <row r="151" spans="11:15" ht="15.75" customHeight="1">
      <c r="K151" s="65"/>
      <c r="L151" s="65"/>
      <c r="M151" s="65"/>
      <c r="N151" s="65"/>
      <c r="O151" s="65"/>
    </row>
    <row r="152" spans="11:15" ht="15.75" customHeight="1">
      <c r="K152" s="65"/>
      <c r="L152" s="65"/>
      <c r="M152" s="65"/>
      <c r="N152" s="65"/>
      <c r="O152" s="65"/>
    </row>
    <row r="153" spans="11:15" ht="15.75" customHeight="1">
      <c r="K153" s="65"/>
      <c r="L153" s="65"/>
      <c r="M153" s="65"/>
      <c r="N153" s="65"/>
      <c r="O153" s="65"/>
    </row>
    <row r="154" spans="11:15" ht="15.75" customHeight="1">
      <c r="K154" s="65"/>
      <c r="L154" s="65"/>
      <c r="M154" s="65"/>
      <c r="N154" s="65"/>
      <c r="O154" s="65"/>
    </row>
    <row r="155" spans="11:15" ht="15.75" customHeight="1">
      <c r="K155" s="65"/>
      <c r="L155" s="65"/>
      <c r="M155" s="65"/>
      <c r="N155" s="65"/>
      <c r="O155" s="65"/>
    </row>
    <row r="156" spans="11:15" ht="15.75" customHeight="1">
      <c r="K156" s="65"/>
      <c r="L156" s="65"/>
      <c r="M156" s="65"/>
      <c r="N156" s="65"/>
      <c r="O156" s="65"/>
    </row>
    <row r="157" spans="11:15" ht="15.75" customHeight="1">
      <c r="K157" s="65"/>
      <c r="L157" s="65"/>
      <c r="M157" s="65"/>
      <c r="N157" s="65"/>
      <c r="O157" s="65"/>
    </row>
    <row r="158" spans="11:15" ht="15.75" customHeight="1">
      <c r="K158" s="65"/>
      <c r="L158" s="65"/>
      <c r="M158" s="65"/>
      <c r="N158" s="65"/>
      <c r="O158" s="65"/>
    </row>
    <row r="159" spans="11:15" ht="15.75" customHeight="1">
      <c r="K159" s="65"/>
      <c r="L159" s="65"/>
      <c r="M159" s="65"/>
      <c r="N159" s="65"/>
      <c r="O159" s="65"/>
    </row>
    <row r="160" spans="11:15" ht="15.75" customHeight="1">
      <c r="K160" s="65"/>
      <c r="L160" s="65"/>
      <c r="M160" s="65"/>
      <c r="N160" s="65"/>
      <c r="O160" s="65"/>
    </row>
    <row r="161" spans="11:15" ht="15.75" customHeight="1">
      <c r="K161" s="65"/>
      <c r="L161" s="65"/>
      <c r="M161" s="65"/>
      <c r="N161" s="65"/>
      <c r="O161" s="65"/>
    </row>
    <row r="162" spans="11:15" ht="15.75" customHeight="1">
      <c r="K162" s="65"/>
      <c r="L162" s="65"/>
      <c r="M162" s="65"/>
      <c r="N162" s="65"/>
      <c r="O162" s="65"/>
    </row>
    <row r="163" spans="11:15" ht="15.75" customHeight="1">
      <c r="K163" s="65"/>
      <c r="L163" s="65"/>
      <c r="M163" s="65"/>
      <c r="N163" s="65"/>
      <c r="O163" s="65"/>
    </row>
    <row r="164" spans="11:15" ht="15.75" customHeight="1">
      <c r="K164" s="65"/>
      <c r="L164" s="65"/>
      <c r="M164" s="65"/>
      <c r="N164" s="65"/>
      <c r="O164" s="65"/>
    </row>
    <row r="165" spans="11:15" ht="15.75" customHeight="1">
      <c r="K165" s="65"/>
      <c r="L165" s="65"/>
      <c r="M165" s="65"/>
      <c r="N165" s="65"/>
      <c r="O165" s="65"/>
    </row>
    <row r="166" spans="11:15" ht="15.75" customHeight="1">
      <c r="K166" s="65"/>
      <c r="L166" s="65"/>
      <c r="M166" s="65"/>
      <c r="N166" s="65"/>
      <c r="O166" s="65"/>
    </row>
    <row r="167" spans="11:15" ht="15.75" customHeight="1">
      <c r="K167" s="65"/>
      <c r="L167" s="65"/>
      <c r="M167" s="65"/>
      <c r="N167" s="65"/>
      <c r="O167" s="65"/>
    </row>
    <row r="168" spans="11:15" ht="15.75" customHeight="1">
      <c r="K168" s="65"/>
      <c r="L168" s="65"/>
      <c r="M168" s="65"/>
      <c r="N168" s="65"/>
      <c r="O168" s="65"/>
    </row>
    <row r="169" spans="11:15" ht="15.75" customHeight="1">
      <c r="K169" s="65"/>
      <c r="L169" s="65"/>
      <c r="M169" s="65"/>
      <c r="N169" s="65"/>
      <c r="O169" s="65"/>
    </row>
    <row r="170" spans="11:15" ht="15.75" customHeight="1">
      <c r="K170" s="65"/>
      <c r="L170" s="65"/>
      <c r="M170" s="65"/>
      <c r="N170" s="65"/>
      <c r="O170" s="65"/>
    </row>
    <row r="171" spans="11:15" ht="15.75" customHeight="1">
      <c r="K171" s="65"/>
      <c r="L171" s="65"/>
      <c r="M171" s="65"/>
      <c r="N171" s="65"/>
      <c r="O171" s="65"/>
    </row>
    <row r="172" spans="11:15" ht="15.75" customHeight="1">
      <c r="K172" s="65"/>
      <c r="L172" s="65"/>
      <c r="M172" s="65"/>
      <c r="N172" s="65"/>
      <c r="O172" s="65"/>
    </row>
    <row r="173" spans="11:15" ht="15.75" customHeight="1">
      <c r="K173" s="65"/>
      <c r="L173" s="65"/>
      <c r="M173" s="65"/>
      <c r="N173" s="65"/>
      <c r="O173" s="65"/>
    </row>
    <row r="174" spans="11:15" ht="15.75" customHeight="1">
      <c r="K174" s="65"/>
      <c r="L174" s="65"/>
      <c r="M174" s="65"/>
      <c r="N174" s="65"/>
      <c r="O174" s="65"/>
    </row>
    <row r="175" spans="11:15" ht="15.75" customHeight="1">
      <c r="K175" s="65"/>
      <c r="L175" s="65"/>
      <c r="M175" s="65"/>
      <c r="N175" s="65"/>
      <c r="O175" s="65"/>
    </row>
    <row r="176" spans="11:15" ht="15.75" customHeight="1">
      <c r="K176" s="65"/>
      <c r="L176" s="65"/>
      <c r="M176" s="65"/>
      <c r="N176" s="65"/>
      <c r="O176" s="65"/>
    </row>
    <row r="177" spans="11:15" ht="15.75" customHeight="1">
      <c r="K177" s="65"/>
      <c r="L177" s="65"/>
      <c r="M177" s="65"/>
      <c r="N177" s="65"/>
      <c r="O177" s="65"/>
    </row>
    <row r="178" spans="11:15" ht="15.75" customHeight="1">
      <c r="K178" s="65"/>
      <c r="L178" s="65"/>
      <c r="M178" s="65"/>
      <c r="N178" s="65"/>
      <c r="O178" s="65"/>
    </row>
    <row r="179" spans="11:15" ht="15.75" customHeight="1">
      <c r="K179" s="65"/>
      <c r="L179" s="65"/>
      <c r="M179" s="65"/>
      <c r="N179" s="65"/>
      <c r="O179" s="65"/>
    </row>
    <row r="180" spans="11:15" ht="15.75" customHeight="1">
      <c r="K180" s="65"/>
      <c r="L180" s="65"/>
      <c r="M180" s="65"/>
      <c r="N180" s="65"/>
      <c r="O180" s="65"/>
    </row>
    <row r="181" spans="11:15" ht="15.75" customHeight="1">
      <c r="K181" s="65"/>
      <c r="L181" s="65"/>
      <c r="M181" s="65"/>
      <c r="N181" s="65"/>
      <c r="O181" s="65"/>
    </row>
    <row r="182" spans="11:15" ht="15.75" customHeight="1">
      <c r="K182" s="65"/>
      <c r="L182" s="65"/>
      <c r="M182" s="65"/>
      <c r="N182" s="65"/>
      <c r="O182" s="65"/>
    </row>
    <row r="183" spans="11:15" ht="15.75" customHeight="1">
      <c r="K183" s="65"/>
      <c r="L183" s="65"/>
      <c r="M183" s="65"/>
      <c r="N183" s="65"/>
      <c r="O183" s="65"/>
    </row>
    <row r="184" spans="11:15" ht="15.75" customHeight="1">
      <c r="K184" s="65"/>
      <c r="L184" s="65"/>
      <c r="M184" s="65"/>
      <c r="N184" s="65"/>
      <c r="O184" s="65"/>
    </row>
    <row r="185" spans="11:15" ht="15.75" customHeight="1">
      <c r="K185" s="65"/>
      <c r="L185" s="65"/>
      <c r="M185" s="65"/>
      <c r="N185" s="65"/>
      <c r="O185" s="65"/>
    </row>
    <row r="186" spans="11:15" ht="15.75" customHeight="1">
      <c r="K186" s="65"/>
      <c r="L186" s="65"/>
      <c r="M186" s="65"/>
      <c r="N186" s="65"/>
      <c r="O186" s="65"/>
    </row>
    <row r="187" spans="11:15" ht="15.75" customHeight="1">
      <c r="K187" s="65"/>
      <c r="L187" s="65"/>
      <c r="M187" s="65"/>
      <c r="N187" s="65"/>
      <c r="O187" s="65"/>
    </row>
    <row r="188" spans="11:15" ht="15.75" customHeight="1">
      <c r="K188" s="65"/>
      <c r="L188" s="65"/>
      <c r="M188" s="65"/>
      <c r="N188" s="65"/>
      <c r="O188" s="65"/>
    </row>
    <row r="189" spans="11:15" ht="15.75" customHeight="1">
      <c r="K189" s="65"/>
      <c r="L189" s="65"/>
      <c r="M189" s="65"/>
      <c r="N189" s="65"/>
      <c r="O189" s="65"/>
    </row>
    <row r="190" spans="11:15" ht="15.75" customHeight="1">
      <c r="K190" s="65"/>
      <c r="L190" s="65"/>
      <c r="M190" s="65"/>
      <c r="N190" s="65"/>
      <c r="O190" s="65"/>
    </row>
    <row r="191" spans="11:15" ht="15.75" customHeight="1">
      <c r="K191" s="65"/>
      <c r="L191" s="65"/>
      <c r="M191" s="65"/>
      <c r="N191" s="65"/>
      <c r="O191" s="65"/>
    </row>
    <row r="192" spans="11:15" ht="15.75" customHeight="1">
      <c r="K192" s="65"/>
      <c r="L192" s="65"/>
      <c r="M192" s="65"/>
      <c r="N192" s="65"/>
      <c r="O192" s="65"/>
    </row>
    <row r="193" spans="11:15" ht="15.75" customHeight="1">
      <c r="K193" s="65"/>
      <c r="L193" s="65"/>
      <c r="M193" s="65"/>
      <c r="N193" s="65"/>
      <c r="O193" s="65"/>
    </row>
    <row r="194" spans="11:15" ht="15.75" customHeight="1">
      <c r="K194" s="65"/>
      <c r="L194" s="65"/>
      <c r="M194" s="65"/>
      <c r="N194" s="65"/>
      <c r="O194" s="65"/>
    </row>
    <row r="195" spans="11:15" ht="15.75" customHeight="1">
      <c r="K195" s="65"/>
      <c r="L195" s="65"/>
      <c r="M195" s="65"/>
      <c r="N195" s="65"/>
      <c r="O195" s="65"/>
    </row>
    <row r="196" spans="11:15" ht="15.75" customHeight="1">
      <c r="K196" s="65"/>
      <c r="L196" s="65"/>
      <c r="M196" s="65"/>
      <c r="N196" s="65"/>
      <c r="O196" s="65"/>
    </row>
    <row r="197" spans="11:15" ht="15.75" customHeight="1">
      <c r="K197" s="65"/>
      <c r="L197" s="65"/>
      <c r="M197" s="65"/>
      <c r="N197" s="65"/>
      <c r="O197" s="65"/>
    </row>
    <row r="198" spans="11:15" ht="15.75" customHeight="1">
      <c r="K198" s="65"/>
      <c r="L198" s="65"/>
      <c r="M198" s="65"/>
      <c r="N198" s="65"/>
      <c r="O198" s="65"/>
    </row>
    <row r="199" spans="11:15" ht="15.75" customHeight="1">
      <c r="K199" s="65"/>
      <c r="L199" s="65"/>
      <c r="M199" s="65"/>
      <c r="N199" s="65"/>
      <c r="O199" s="65"/>
    </row>
    <row r="200" spans="11:15" ht="15.75" customHeight="1">
      <c r="K200" s="65"/>
      <c r="L200" s="65"/>
      <c r="M200" s="65"/>
      <c r="N200" s="65"/>
      <c r="O200" s="65"/>
    </row>
    <row r="201" spans="11:15" ht="15.75" customHeight="1">
      <c r="K201" s="65"/>
      <c r="L201" s="65"/>
      <c r="M201" s="65"/>
      <c r="N201" s="65"/>
      <c r="O201" s="65"/>
    </row>
    <row r="202" spans="11:15" ht="15.75" customHeight="1">
      <c r="K202" s="65"/>
      <c r="L202" s="65"/>
      <c r="M202" s="65"/>
      <c r="N202" s="65"/>
      <c r="O202" s="65"/>
    </row>
    <row r="203" spans="11:15" ht="15.75" customHeight="1">
      <c r="K203" s="65"/>
      <c r="L203" s="65"/>
      <c r="M203" s="65"/>
      <c r="N203" s="65"/>
      <c r="O203" s="65"/>
    </row>
    <row r="204" spans="11:15" ht="15.75" customHeight="1">
      <c r="K204" s="65"/>
      <c r="L204" s="65"/>
      <c r="M204" s="65"/>
      <c r="N204" s="65"/>
      <c r="O204" s="65"/>
    </row>
    <row r="205" spans="11:15" ht="15.75" customHeight="1">
      <c r="K205" s="65"/>
      <c r="L205" s="65"/>
      <c r="M205" s="65"/>
      <c r="N205" s="65"/>
      <c r="O205" s="65"/>
    </row>
    <row r="206" spans="11:15" ht="15.75" customHeight="1">
      <c r="K206" s="65"/>
      <c r="L206" s="65"/>
      <c r="M206" s="65"/>
      <c r="N206" s="65"/>
      <c r="O206" s="65"/>
    </row>
    <row r="207" spans="11:15" ht="15.75" customHeight="1">
      <c r="K207" s="65"/>
      <c r="L207" s="65"/>
      <c r="M207" s="65"/>
      <c r="N207" s="65"/>
      <c r="O207" s="65"/>
    </row>
    <row r="208" spans="11:15" ht="15.75" customHeight="1">
      <c r="K208" s="65"/>
      <c r="L208" s="65"/>
      <c r="M208" s="65"/>
      <c r="N208" s="65"/>
      <c r="O208" s="65"/>
    </row>
    <row r="209" spans="11:15" ht="15.75" customHeight="1">
      <c r="K209" s="65"/>
      <c r="L209" s="65"/>
      <c r="M209" s="65"/>
      <c r="N209" s="65"/>
      <c r="O209" s="65"/>
    </row>
    <row r="210" spans="11:15" ht="15.75" customHeight="1">
      <c r="K210" s="65"/>
      <c r="L210" s="65"/>
      <c r="M210" s="65"/>
      <c r="N210" s="65"/>
      <c r="O210" s="65"/>
    </row>
    <row r="211" spans="11:15" ht="15.75" customHeight="1">
      <c r="K211" s="65"/>
      <c r="L211" s="65"/>
      <c r="M211" s="65"/>
      <c r="N211" s="65"/>
      <c r="O211" s="65"/>
    </row>
    <row r="212" spans="11:15" ht="15.75" customHeight="1">
      <c r="K212" s="65"/>
      <c r="L212" s="65"/>
      <c r="M212" s="65"/>
      <c r="N212" s="65"/>
      <c r="O212" s="65"/>
    </row>
    <row r="213" spans="11:15" ht="15.75" customHeight="1">
      <c r="K213" s="65"/>
      <c r="L213" s="65"/>
      <c r="M213" s="65"/>
      <c r="N213" s="65"/>
      <c r="O213" s="65"/>
    </row>
    <row r="214" spans="11:15" ht="15.75" customHeight="1">
      <c r="K214" s="65"/>
      <c r="L214" s="65"/>
      <c r="M214" s="65"/>
      <c r="N214" s="65"/>
      <c r="O214" s="65"/>
    </row>
    <row r="215" spans="11:15" ht="15.75" customHeight="1">
      <c r="K215" s="65"/>
      <c r="L215" s="65"/>
      <c r="M215" s="65"/>
      <c r="N215" s="65"/>
      <c r="O215" s="65"/>
    </row>
    <row r="216" spans="11:15" ht="15.75" customHeight="1">
      <c r="K216" s="65"/>
      <c r="L216" s="65"/>
      <c r="M216" s="65"/>
      <c r="N216" s="65"/>
      <c r="O216" s="65"/>
    </row>
    <row r="217" spans="11:15" ht="15.75" customHeight="1">
      <c r="K217" s="65"/>
      <c r="L217" s="65"/>
      <c r="M217" s="65"/>
      <c r="N217" s="65"/>
      <c r="O217" s="65"/>
    </row>
    <row r="218" spans="11:15" ht="15.75" customHeight="1">
      <c r="K218" s="65"/>
      <c r="L218" s="65"/>
      <c r="M218" s="65"/>
      <c r="N218" s="65"/>
      <c r="O218" s="65"/>
    </row>
    <row r="219" spans="11:15" ht="15.75" customHeight="1">
      <c r="K219" s="65"/>
      <c r="L219" s="65"/>
      <c r="M219" s="65"/>
      <c r="N219" s="65"/>
      <c r="O219" s="65"/>
    </row>
    <row r="220" spans="11:15" ht="15.75" customHeight="1">
      <c r="K220" s="65"/>
      <c r="L220" s="65"/>
      <c r="M220" s="65"/>
      <c r="N220" s="65"/>
      <c r="O220" s="65"/>
    </row>
    <row r="221" spans="11:15" ht="15.75" customHeight="1">
      <c r="K221" s="65"/>
      <c r="L221" s="65"/>
      <c r="M221" s="65"/>
      <c r="N221" s="65"/>
      <c r="O221" s="65"/>
    </row>
    <row r="222" spans="11:15" ht="15.75" customHeight="1">
      <c r="K222" s="65"/>
      <c r="L222" s="65"/>
      <c r="M222" s="65"/>
      <c r="N222" s="65"/>
      <c r="O222" s="65"/>
    </row>
    <row r="223" spans="11:15" ht="15.75" customHeight="1">
      <c r="K223" s="65"/>
      <c r="L223" s="65"/>
      <c r="M223" s="65"/>
      <c r="N223" s="65"/>
      <c r="O223" s="65"/>
    </row>
    <row r="224" spans="11:15" ht="15.75" customHeight="1">
      <c r="K224" s="65"/>
      <c r="L224" s="65"/>
      <c r="M224" s="65"/>
      <c r="N224" s="65"/>
      <c r="O224" s="65"/>
    </row>
    <row r="225" spans="11:15" ht="15.75" customHeight="1">
      <c r="K225" s="65"/>
      <c r="L225" s="65"/>
      <c r="M225" s="65"/>
      <c r="N225" s="65"/>
      <c r="O225" s="65"/>
    </row>
    <row r="226" spans="11:15" ht="15.75" customHeight="1">
      <c r="K226" s="65"/>
      <c r="L226" s="65"/>
      <c r="M226" s="65"/>
      <c r="N226" s="65"/>
      <c r="O226" s="65"/>
    </row>
    <row r="227" spans="11:15" ht="15.75" customHeight="1">
      <c r="K227" s="65"/>
      <c r="L227" s="65"/>
      <c r="M227" s="65"/>
      <c r="N227" s="65"/>
      <c r="O227" s="65"/>
    </row>
    <row r="228" spans="11:15" ht="15.75" customHeight="1">
      <c r="K228" s="65"/>
      <c r="L228" s="65"/>
      <c r="M228" s="65"/>
      <c r="N228" s="65"/>
      <c r="O228" s="65"/>
    </row>
    <row r="229" spans="11:15" ht="15.75" customHeight="1">
      <c r="K229" s="65"/>
      <c r="L229" s="65"/>
      <c r="M229" s="65"/>
      <c r="N229" s="65"/>
      <c r="O229" s="65"/>
    </row>
    <row r="230" spans="11:15" ht="15.75" customHeight="1">
      <c r="K230" s="65"/>
      <c r="L230" s="65"/>
      <c r="M230" s="65"/>
      <c r="N230" s="65"/>
      <c r="O230" s="65"/>
    </row>
    <row r="231" spans="11:15" ht="15.75" customHeight="1">
      <c r="K231" s="65"/>
      <c r="L231" s="65"/>
      <c r="M231" s="65"/>
      <c r="N231" s="65"/>
      <c r="O231" s="65"/>
    </row>
    <row r="232" spans="11:15" ht="15.75" customHeight="1">
      <c r="K232" s="65"/>
      <c r="L232" s="65"/>
      <c r="M232" s="65"/>
      <c r="N232" s="65"/>
      <c r="O232" s="65"/>
    </row>
    <row r="233" spans="11:15" ht="15.75" customHeight="1">
      <c r="K233" s="65"/>
      <c r="L233" s="65"/>
      <c r="M233" s="65"/>
      <c r="N233" s="65"/>
      <c r="O233" s="65"/>
    </row>
    <row r="234" spans="11:15" ht="15.75" customHeight="1">
      <c r="K234" s="65"/>
      <c r="L234" s="65"/>
      <c r="M234" s="65"/>
      <c r="N234" s="65"/>
      <c r="O234" s="65"/>
    </row>
    <row r="235" spans="11:15" ht="15.75" customHeight="1">
      <c r="K235" s="65"/>
      <c r="L235" s="65"/>
      <c r="M235" s="65"/>
      <c r="N235" s="65"/>
      <c r="O235" s="65"/>
    </row>
    <row r="236" spans="11:15" ht="15.75" customHeight="1">
      <c r="K236" s="65"/>
      <c r="L236" s="65"/>
      <c r="M236" s="65"/>
      <c r="N236" s="65"/>
      <c r="O236" s="65"/>
    </row>
    <row r="237" spans="11:15" ht="15.75" customHeight="1">
      <c r="K237" s="65"/>
      <c r="L237" s="65"/>
      <c r="M237" s="65"/>
      <c r="N237" s="65"/>
      <c r="O237" s="65"/>
    </row>
    <row r="238" spans="11:15" ht="15.75" customHeight="1">
      <c r="K238" s="65"/>
      <c r="L238" s="65"/>
      <c r="M238" s="65"/>
      <c r="N238" s="65"/>
      <c r="O238" s="65"/>
    </row>
    <row r="239" spans="11:15" ht="15.75" customHeight="1">
      <c r="K239" s="65"/>
      <c r="L239" s="65"/>
      <c r="M239" s="65"/>
      <c r="N239" s="65"/>
      <c r="O239" s="65"/>
    </row>
    <row r="240" spans="11:15" ht="15.75" customHeight="1">
      <c r="K240" s="65"/>
      <c r="L240" s="65"/>
      <c r="M240" s="65"/>
      <c r="N240" s="65"/>
      <c r="O240" s="65"/>
    </row>
    <row r="241" spans="11:15" ht="15.75" customHeight="1">
      <c r="K241" s="65"/>
      <c r="L241" s="65"/>
      <c r="M241" s="65"/>
      <c r="N241" s="65"/>
      <c r="O241" s="65"/>
    </row>
    <row r="242" spans="11:15" ht="15.75" customHeight="1">
      <c r="K242" s="65"/>
      <c r="L242" s="65"/>
      <c r="M242" s="65"/>
      <c r="N242" s="65"/>
      <c r="O242" s="65"/>
    </row>
    <row r="243" spans="11:15" ht="15.75" customHeight="1">
      <c r="K243" s="65"/>
      <c r="L243" s="65"/>
      <c r="M243" s="65"/>
      <c r="N243" s="65"/>
      <c r="O243" s="65"/>
    </row>
    <row r="244" spans="11:15" ht="15.75" customHeight="1">
      <c r="K244" s="65"/>
      <c r="L244" s="65"/>
      <c r="M244" s="65"/>
      <c r="N244" s="65"/>
      <c r="O244" s="65"/>
    </row>
    <row r="245" spans="11:15" ht="15.75" customHeight="1">
      <c r="K245" s="65"/>
      <c r="L245" s="65"/>
      <c r="M245" s="65"/>
      <c r="N245" s="65"/>
      <c r="O245" s="65"/>
    </row>
    <row r="246" spans="11:15" ht="15.75" customHeight="1">
      <c r="K246" s="65"/>
      <c r="L246" s="65"/>
      <c r="M246" s="65"/>
      <c r="N246" s="65"/>
      <c r="O246" s="65"/>
    </row>
    <row r="247" spans="11:15" ht="15.75" customHeight="1">
      <c r="K247" s="65"/>
      <c r="L247" s="65"/>
      <c r="M247" s="65"/>
      <c r="N247" s="65"/>
      <c r="O247" s="65"/>
    </row>
    <row r="248" spans="11:15" ht="15.75" customHeight="1">
      <c r="K248" s="65"/>
      <c r="L248" s="65"/>
      <c r="M248" s="65"/>
      <c r="N248" s="65"/>
      <c r="O248" s="65"/>
    </row>
    <row r="249" spans="11:15" ht="15.75" customHeight="1">
      <c r="K249" s="65"/>
      <c r="L249" s="65"/>
      <c r="M249" s="65"/>
      <c r="N249" s="65"/>
      <c r="O249" s="65"/>
    </row>
    <row r="250" spans="11:15" ht="15.75" customHeight="1">
      <c r="K250" s="65"/>
      <c r="L250" s="65"/>
      <c r="M250" s="65"/>
      <c r="N250" s="65"/>
      <c r="O250" s="65"/>
    </row>
    <row r="251" spans="11:15" ht="15.75" customHeight="1">
      <c r="K251" s="65"/>
      <c r="L251" s="65"/>
      <c r="M251" s="65"/>
      <c r="N251" s="65"/>
      <c r="O251" s="65"/>
    </row>
    <row r="252" spans="11:15" ht="15.75" customHeight="1">
      <c r="K252" s="65"/>
      <c r="L252" s="65"/>
      <c r="M252" s="65"/>
      <c r="N252" s="65"/>
      <c r="O252" s="65"/>
    </row>
    <row r="253" spans="11:15" ht="15.75" customHeight="1">
      <c r="K253" s="65"/>
      <c r="L253" s="65"/>
      <c r="M253" s="65"/>
      <c r="N253" s="65"/>
      <c r="O253" s="65"/>
    </row>
    <row r="254" spans="11:15" ht="15.75" customHeight="1">
      <c r="K254" s="65"/>
      <c r="L254" s="65"/>
      <c r="M254" s="65"/>
      <c r="N254" s="65"/>
      <c r="O254" s="65"/>
    </row>
    <row r="255" spans="11:15" ht="15.75" customHeight="1">
      <c r="K255" s="65"/>
      <c r="L255" s="65"/>
      <c r="M255" s="65"/>
      <c r="N255" s="65"/>
      <c r="O255" s="65"/>
    </row>
    <row r="256" spans="11:15" ht="15.75" customHeight="1">
      <c r="K256" s="65"/>
      <c r="L256" s="65"/>
      <c r="M256" s="65"/>
      <c r="N256" s="65"/>
      <c r="O256" s="65"/>
    </row>
    <row r="257" spans="11:15" ht="15.75" customHeight="1">
      <c r="K257" s="65"/>
      <c r="L257" s="65"/>
      <c r="M257" s="65"/>
      <c r="N257" s="65"/>
      <c r="O257" s="65"/>
    </row>
    <row r="258" spans="11:15" ht="15.75" customHeight="1">
      <c r="K258" s="65"/>
      <c r="L258" s="65"/>
      <c r="M258" s="65"/>
      <c r="N258" s="65"/>
      <c r="O258" s="65"/>
    </row>
    <row r="259" spans="11:15" ht="15.75" customHeight="1">
      <c r="K259" s="65"/>
      <c r="L259" s="65"/>
      <c r="M259" s="65"/>
      <c r="N259" s="65"/>
      <c r="O259" s="65"/>
    </row>
    <row r="260" spans="11:15" ht="15.75" customHeight="1">
      <c r="K260" s="65"/>
      <c r="L260" s="65"/>
      <c r="M260" s="65"/>
      <c r="N260" s="65"/>
      <c r="O260" s="65"/>
    </row>
    <row r="261" spans="11:15" ht="15.75" customHeight="1">
      <c r="K261" s="65"/>
      <c r="L261" s="65"/>
      <c r="M261" s="65"/>
      <c r="N261" s="65"/>
      <c r="O261" s="65"/>
    </row>
    <row r="262" spans="11:15" ht="15.75" customHeight="1">
      <c r="K262" s="65"/>
      <c r="L262" s="65"/>
      <c r="M262" s="65"/>
      <c r="N262" s="65"/>
      <c r="O262" s="65"/>
    </row>
    <row r="263" spans="11:15" ht="15.75" customHeight="1">
      <c r="K263" s="65"/>
      <c r="L263" s="65"/>
      <c r="M263" s="65"/>
      <c r="N263" s="65"/>
      <c r="O263" s="65"/>
    </row>
    <row r="264" spans="11:15" ht="15.75" customHeight="1">
      <c r="K264" s="65"/>
      <c r="L264" s="65"/>
      <c r="M264" s="65"/>
      <c r="N264" s="65"/>
      <c r="O264" s="65"/>
    </row>
    <row r="265" spans="11:15" ht="15.75" customHeight="1">
      <c r="K265" s="65"/>
      <c r="L265" s="65"/>
      <c r="M265" s="65"/>
      <c r="N265" s="65"/>
      <c r="O265" s="65"/>
    </row>
    <row r="266" spans="11:15" ht="15.75" customHeight="1">
      <c r="K266" s="65"/>
      <c r="L266" s="65"/>
      <c r="M266" s="65"/>
      <c r="N266" s="65"/>
      <c r="O266" s="65"/>
    </row>
    <row r="267" spans="11:15" ht="15.75" customHeight="1">
      <c r="K267" s="65"/>
      <c r="L267" s="65"/>
      <c r="M267" s="65"/>
      <c r="N267" s="65"/>
      <c r="O267" s="65"/>
    </row>
    <row r="268" spans="11:15" ht="15.75" customHeight="1">
      <c r="K268" s="65"/>
      <c r="L268" s="65"/>
      <c r="M268" s="65"/>
      <c r="N268" s="65"/>
      <c r="O268" s="65"/>
    </row>
    <row r="269" spans="11:15" ht="15.75" customHeight="1">
      <c r="K269" s="65"/>
      <c r="L269" s="65"/>
      <c r="M269" s="65"/>
      <c r="N269" s="65"/>
      <c r="O269" s="65"/>
    </row>
    <row r="270" spans="11:15" ht="15.75" customHeight="1">
      <c r="K270" s="65"/>
      <c r="L270" s="65"/>
      <c r="M270" s="65"/>
      <c r="N270" s="65"/>
      <c r="O270" s="65"/>
    </row>
    <row r="271" spans="11:15" ht="15.75" customHeight="1">
      <c r="K271" s="65"/>
      <c r="L271" s="65"/>
      <c r="M271" s="65"/>
      <c r="N271" s="65"/>
      <c r="O271" s="65"/>
    </row>
    <row r="272" spans="11:15" ht="15.75" customHeight="1">
      <c r="K272" s="65"/>
      <c r="L272" s="65"/>
      <c r="M272" s="65"/>
      <c r="N272" s="65"/>
      <c r="O272" s="65"/>
    </row>
    <row r="273" spans="11:15" ht="15.75" customHeight="1">
      <c r="K273" s="65"/>
      <c r="L273" s="65"/>
      <c r="M273" s="65"/>
      <c r="N273" s="65"/>
      <c r="O273" s="65"/>
    </row>
    <row r="274" spans="11:15" ht="15.75" customHeight="1">
      <c r="K274" s="65"/>
      <c r="L274" s="65"/>
      <c r="M274" s="65"/>
      <c r="N274" s="65"/>
      <c r="O274" s="65"/>
    </row>
    <row r="275" spans="11:15" ht="15.75" customHeight="1">
      <c r="K275" s="65"/>
      <c r="L275" s="65"/>
      <c r="M275" s="65"/>
      <c r="N275" s="65"/>
      <c r="O275" s="65"/>
    </row>
    <row r="276" spans="11:15" ht="15.75" customHeight="1">
      <c r="K276" s="65"/>
      <c r="L276" s="65"/>
      <c r="M276" s="65"/>
      <c r="N276" s="65"/>
      <c r="O276" s="65"/>
    </row>
    <row r="277" spans="11:15" ht="15.75" customHeight="1">
      <c r="K277" s="65"/>
      <c r="L277" s="65"/>
      <c r="M277" s="65"/>
      <c r="N277" s="65"/>
      <c r="O277" s="65"/>
    </row>
    <row r="278" spans="11:15" ht="15.75" customHeight="1">
      <c r="K278" s="65"/>
      <c r="L278" s="65"/>
      <c r="M278" s="65"/>
      <c r="N278" s="65"/>
      <c r="O278" s="65"/>
    </row>
    <row r="279" spans="11:15" ht="15.75" customHeight="1">
      <c r="K279" s="65"/>
      <c r="L279" s="65"/>
      <c r="M279" s="65"/>
      <c r="N279" s="65"/>
      <c r="O279" s="65"/>
    </row>
    <row r="280" spans="11:15" ht="15.75" customHeight="1">
      <c r="K280" s="65"/>
      <c r="L280" s="65"/>
      <c r="M280" s="65"/>
      <c r="N280" s="65"/>
      <c r="O280" s="65"/>
    </row>
    <row r="281" spans="11:15" ht="15.75" customHeight="1">
      <c r="K281" s="65"/>
      <c r="L281" s="65"/>
      <c r="M281" s="65"/>
      <c r="N281" s="65"/>
      <c r="O281" s="65"/>
    </row>
    <row r="282" spans="11:15" ht="15.75" customHeight="1">
      <c r="K282" s="65"/>
      <c r="L282" s="65"/>
      <c r="M282" s="65"/>
      <c r="N282" s="65"/>
      <c r="O282" s="65"/>
    </row>
    <row r="283" spans="11:15" ht="15.75" customHeight="1">
      <c r="K283" s="65"/>
      <c r="L283" s="65"/>
      <c r="M283" s="65"/>
      <c r="N283" s="65"/>
      <c r="O283" s="65"/>
    </row>
    <row r="284" spans="11:15" ht="15.75" customHeight="1">
      <c r="K284" s="65"/>
      <c r="L284" s="65"/>
      <c r="M284" s="65"/>
      <c r="N284" s="65"/>
      <c r="O284" s="65"/>
    </row>
    <row r="285" spans="11:15" ht="15.75" customHeight="1">
      <c r="K285" s="65"/>
      <c r="L285" s="65"/>
      <c r="M285" s="65"/>
      <c r="N285" s="65"/>
      <c r="O285" s="65"/>
    </row>
    <row r="286" spans="11:15" ht="15.75" customHeight="1">
      <c r="K286" s="65"/>
      <c r="L286" s="65"/>
      <c r="M286" s="65"/>
      <c r="N286" s="65"/>
      <c r="O286" s="65"/>
    </row>
    <row r="287" spans="11:15" ht="15.75" customHeight="1">
      <c r="K287" s="65"/>
      <c r="L287" s="65"/>
      <c r="M287" s="65"/>
      <c r="N287" s="65"/>
      <c r="O287" s="65"/>
    </row>
    <row r="288" spans="11:15" ht="15.75" customHeight="1">
      <c r="K288" s="65"/>
      <c r="L288" s="65"/>
      <c r="M288" s="65"/>
      <c r="N288" s="65"/>
      <c r="O288" s="65"/>
    </row>
    <row r="289" spans="11:15" ht="15.75" customHeight="1">
      <c r="K289" s="65"/>
      <c r="L289" s="65"/>
      <c r="M289" s="65"/>
      <c r="N289" s="65"/>
      <c r="O289" s="65"/>
    </row>
    <row r="290" spans="11:15" ht="15.75" customHeight="1">
      <c r="K290" s="65"/>
      <c r="L290" s="65"/>
      <c r="M290" s="65"/>
      <c r="N290" s="65"/>
      <c r="O290" s="65"/>
    </row>
    <row r="291" spans="11:15" ht="15.75" customHeight="1">
      <c r="K291" s="65"/>
      <c r="L291" s="65"/>
      <c r="M291" s="65"/>
      <c r="N291" s="65"/>
      <c r="O291" s="65"/>
    </row>
    <row r="292" spans="11:15" ht="15.75" customHeight="1">
      <c r="K292" s="65"/>
      <c r="L292" s="65"/>
      <c r="M292" s="65"/>
      <c r="N292" s="65"/>
      <c r="O292" s="65"/>
    </row>
    <row r="293" spans="11:15" ht="15.75" customHeight="1">
      <c r="K293" s="65"/>
      <c r="L293" s="65"/>
      <c r="M293" s="65"/>
      <c r="N293" s="65"/>
      <c r="O293" s="65"/>
    </row>
    <row r="294" spans="11:15" ht="15.75" customHeight="1">
      <c r="K294" s="65"/>
      <c r="L294" s="65"/>
      <c r="M294" s="65"/>
      <c r="N294" s="65"/>
      <c r="O294" s="65"/>
    </row>
    <row r="295" spans="11:15" ht="15.75" customHeight="1">
      <c r="K295" s="65"/>
      <c r="L295" s="65"/>
      <c r="M295" s="65"/>
      <c r="N295" s="65"/>
      <c r="O295" s="65"/>
    </row>
    <row r="296" spans="11:15" ht="15.75" customHeight="1">
      <c r="K296" s="65"/>
      <c r="L296" s="65"/>
      <c r="M296" s="65"/>
      <c r="N296" s="65"/>
      <c r="O296" s="65"/>
    </row>
    <row r="297" spans="11:15" ht="15.75" customHeight="1">
      <c r="K297" s="65"/>
      <c r="L297" s="65"/>
      <c r="M297" s="65"/>
      <c r="N297" s="65"/>
      <c r="O297" s="65"/>
    </row>
    <row r="298" spans="11:15" ht="15.75" customHeight="1">
      <c r="K298" s="65"/>
      <c r="L298" s="65"/>
      <c r="M298" s="65"/>
      <c r="N298" s="65"/>
      <c r="O298" s="65"/>
    </row>
    <row r="299" spans="11:15" ht="15.75" customHeight="1">
      <c r="K299" s="65"/>
      <c r="L299" s="65"/>
      <c r="M299" s="65"/>
      <c r="N299" s="65"/>
      <c r="O299" s="65"/>
    </row>
    <row r="300" spans="11:15" ht="15.75" customHeight="1">
      <c r="K300" s="65"/>
      <c r="L300" s="65"/>
      <c r="M300" s="65"/>
      <c r="N300" s="65"/>
      <c r="O300" s="65"/>
    </row>
    <row r="301" spans="11:15" ht="15.75" customHeight="1">
      <c r="K301" s="65"/>
      <c r="L301" s="65"/>
      <c r="M301" s="65"/>
      <c r="N301" s="65"/>
      <c r="O301" s="65"/>
    </row>
    <row r="302" spans="11:15" ht="15.75" customHeight="1">
      <c r="K302" s="65"/>
      <c r="L302" s="65"/>
      <c r="M302" s="65"/>
      <c r="N302" s="65"/>
      <c r="O302" s="65"/>
    </row>
    <row r="303" spans="11:15" ht="15.75" customHeight="1">
      <c r="K303" s="65"/>
      <c r="L303" s="65"/>
      <c r="M303" s="65"/>
      <c r="N303" s="65"/>
      <c r="O303" s="65"/>
    </row>
    <row r="304" spans="11:15" ht="15.75" customHeight="1">
      <c r="K304" s="65"/>
      <c r="L304" s="65"/>
      <c r="M304" s="65"/>
      <c r="N304" s="65"/>
      <c r="O304" s="65"/>
    </row>
    <row r="305" spans="11:15" ht="15.75" customHeight="1">
      <c r="K305" s="65"/>
      <c r="L305" s="65"/>
      <c r="M305" s="65"/>
      <c r="N305" s="65"/>
      <c r="O305" s="65"/>
    </row>
    <row r="306" spans="11:15" ht="15.75" customHeight="1">
      <c r="K306" s="65"/>
      <c r="L306" s="65"/>
      <c r="M306" s="65"/>
      <c r="N306" s="65"/>
      <c r="O306" s="65"/>
    </row>
    <row r="307" spans="11:15" ht="15.75" customHeight="1">
      <c r="K307" s="65"/>
      <c r="L307" s="65"/>
      <c r="M307" s="65"/>
      <c r="N307" s="65"/>
      <c r="O307" s="65"/>
    </row>
    <row r="308" spans="11:15" ht="15.75" customHeight="1">
      <c r="K308" s="65"/>
      <c r="L308" s="65"/>
      <c r="M308" s="65"/>
      <c r="N308" s="65"/>
      <c r="O308" s="65"/>
    </row>
    <row r="309" spans="11:15" ht="15.75" customHeight="1">
      <c r="K309" s="65"/>
      <c r="L309" s="65"/>
      <c r="M309" s="65"/>
      <c r="N309" s="65"/>
      <c r="O309" s="65"/>
    </row>
    <row r="310" spans="11:15" ht="15.75" customHeight="1">
      <c r="K310" s="65"/>
      <c r="L310" s="65"/>
      <c r="M310" s="65"/>
      <c r="N310" s="65"/>
      <c r="O310" s="65"/>
    </row>
    <row r="311" spans="11:15" ht="15.75" customHeight="1">
      <c r="K311" s="65"/>
      <c r="L311" s="65"/>
      <c r="M311" s="65"/>
      <c r="N311" s="65"/>
      <c r="O311" s="65"/>
    </row>
    <row r="312" spans="11:15" ht="15.75" customHeight="1">
      <c r="K312" s="65"/>
      <c r="L312" s="65"/>
      <c r="M312" s="65"/>
      <c r="N312" s="65"/>
      <c r="O312" s="65"/>
    </row>
    <row r="313" spans="11:15" ht="15.75" customHeight="1">
      <c r="K313" s="65"/>
      <c r="L313" s="65"/>
      <c r="M313" s="65"/>
      <c r="N313" s="65"/>
      <c r="O313" s="65"/>
    </row>
    <row r="314" spans="11:15" ht="15.75" customHeight="1">
      <c r="K314" s="65"/>
      <c r="L314" s="65"/>
      <c r="M314" s="65"/>
      <c r="N314" s="65"/>
      <c r="O314" s="65"/>
    </row>
    <row r="315" spans="11:15" ht="15.75" customHeight="1">
      <c r="K315" s="65"/>
      <c r="L315" s="65"/>
      <c r="M315" s="65"/>
      <c r="N315" s="65"/>
      <c r="O315" s="65"/>
    </row>
    <row r="316" spans="11:15" ht="15.75" customHeight="1">
      <c r="K316" s="65"/>
      <c r="L316" s="65"/>
      <c r="M316" s="65"/>
      <c r="N316" s="65"/>
      <c r="O316" s="65"/>
    </row>
    <row r="317" spans="11:15" ht="15.75" customHeight="1">
      <c r="K317" s="65"/>
      <c r="L317" s="65"/>
      <c r="M317" s="65"/>
      <c r="N317" s="65"/>
      <c r="O317" s="65"/>
    </row>
    <row r="318" spans="11:15" ht="15.75" customHeight="1">
      <c r="K318" s="65"/>
      <c r="L318" s="65"/>
      <c r="M318" s="65"/>
      <c r="N318" s="65"/>
      <c r="O318" s="65"/>
    </row>
    <row r="319" spans="11:15" ht="15.75" customHeight="1">
      <c r="K319" s="65"/>
      <c r="L319" s="65"/>
      <c r="M319" s="65"/>
      <c r="N319" s="65"/>
      <c r="O319" s="65"/>
    </row>
    <row r="320" spans="11:15" ht="15.75" customHeight="1">
      <c r="K320" s="65"/>
      <c r="L320" s="65"/>
      <c r="M320" s="65"/>
      <c r="N320" s="65"/>
      <c r="O320" s="65"/>
    </row>
    <row r="321" spans="11:15" ht="15.75" customHeight="1">
      <c r="K321" s="65"/>
      <c r="L321" s="65"/>
      <c r="M321" s="65"/>
      <c r="N321" s="65"/>
      <c r="O321" s="65"/>
    </row>
    <row r="322" spans="11:15" ht="15.75" customHeight="1">
      <c r="K322" s="65"/>
      <c r="L322" s="65"/>
      <c r="M322" s="65"/>
      <c r="N322" s="65"/>
      <c r="O322" s="65"/>
    </row>
    <row r="323" spans="11:15" ht="15.75" customHeight="1">
      <c r="K323" s="65"/>
      <c r="L323" s="65"/>
      <c r="M323" s="65"/>
      <c r="N323" s="65"/>
      <c r="O323" s="65"/>
    </row>
    <row r="324" spans="11:15" ht="15.75" customHeight="1">
      <c r="K324" s="65"/>
      <c r="L324" s="65"/>
      <c r="M324" s="65"/>
      <c r="N324" s="65"/>
      <c r="O324" s="65"/>
    </row>
    <row r="325" spans="11:15" ht="15.75" customHeight="1">
      <c r="K325" s="65"/>
      <c r="L325" s="65"/>
      <c r="M325" s="65"/>
      <c r="N325" s="65"/>
      <c r="O325" s="65"/>
    </row>
    <row r="326" spans="11:15" ht="15.75" customHeight="1">
      <c r="K326" s="65"/>
      <c r="L326" s="65"/>
      <c r="M326" s="65"/>
      <c r="N326" s="65"/>
      <c r="O326" s="65"/>
    </row>
    <row r="327" spans="11:15" ht="15.75" customHeight="1">
      <c r="K327" s="65"/>
      <c r="L327" s="65"/>
      <c r="M327" s="65"/>
      <c r="N327" s="65"/>
      <c r="O327" s="65"/>
    </row>
    <row r="328" spans="11:15" ht="15.75" customHeight="1">
      <c r="K328" s="65"/>
      <c r="L328" s="65"/>
      <c r="M328" s="65"/>
      <c r="N328" s="65"/>
      <c r="O328" s="65"/>
    </row>
    <row r="329" spans="11:15" ht="15.75" customHeight="1">
      <c r="K329" s="65"/>
      <c r="L329" s="65"/>
      <c r="M329" s="65"/>
      <c r="N329" s="65"/>
      <c r="O329" s="65"/>
    </row>
    <row r="330" spans="11:15" ht="15.75" customHeight="1">
      <c r="K330" s="65"/>
      <c r="L330" s="65"/>
      <c r="M330" s="65"/>
      <c r="N330" s="65"/>
      <c r="O330" s="65"/>
    </row>
    <row r="331" spans="11:15" ht="15.75" customHeight="1">
      <c r="K331" s="65"/>
      <c r="L331" s="65"/>
      <c r="M331" s="65"/>
      <c r="N331" s="65"/>
      <c r="O331" s="65"/>
    </row>
    <row r="332" spans="11:15" ht="15.75" customHeight="1">
      <c r="K332" s="65"/>
      <c r="L332" s="65"/>
      <c r="M332" s="65"/>
      <c r="N332" s="65"/>
      <c r="O332" s="65"/>
    </row>
    <row r="333" spans="11:15" ht="15.75" customHeight="1">
      <c r="K333" s="65"/>
      <c r="L333" s="65"/>
      <c r="M333" s="65"/>
      <c r="N333" s="65"/>
      <c r="O333" s="65"/>
    </row>
    <row r="334" spans="11:15" ht="15.75" customHeight="1">
      <c r="K334" s="65"/>
      <c r="L334" s="65"/>
      <c r="M334" s="65"/>
      <c r="N334" s="65"/>
      <c r="O334" s="65"/>
    </row>
    <row r="335" spans="11:15" ht="15.75" customHeight="1">
      <c r="K335" s="65"/>
      <c r="L335" s="65"/>
      <c r="M335" s="65"/>
      <c r="N335" s="65"/>
      <c r="O335" s="65"/>
    </row>
    <row r="336" spans="11:15" ht="15.75" customHeight="1">
      <c r="K336" s="65"/>
      <c r="L336" s="65"/>
      <c r="M336" s="65"/>
      <c r="N336" s="65"/>
      <c r="O336" s="65"/>
    </row>
    <row r="337" spans="11:15" ht="15.75" customHeight="1">
      <c r="K337" s="65"/>
      <c r="L337" s="65"/>
      <c r="M337" s="65"/>
      <c r="N337" s="65"/>
      <c r="O337" s="65"/>
    </row>
    <row r="338" spans="11:15" ht="15.75" customHeight="1">
      <c r="K338" s="65"/>
      <c r="L338" s="65"/>
      <c r="M338" s="65"/>
      <c r="N338" s="65"/>
      <c r="O338" s="65"/>
    </row>
    <row r="339" spans="11:15" ht="15.75" customHeight="1">
      <c r="K339" s="65"/>
      <c r="L339" s="65"/>
      <c r="M339" s="65"/>
      <c r="N339" s="65"/>
      <c r="O339" s="65"/>
    </row>
    <row r="340" spans="11:15" ht="15.75" customHeight="1">
      <c r="K340" s="65"/>
      <c r="L340" s="65"/>
      <c r="M340" s="65"/>
      <c r="N340" s="65"/>
      <c r="O340" s="65"/>
    </row>
    <row r="341" spans="11:15" ht="15.75" customHeight="1">
      <c r="K341" s="65"/>
      <c r="L341" s="65"/>
      <c r="M341" s="65"/>
      <c r="N341" s="65"/>
      <c r="O341" s="65"/>
    </row>
    <row r="342" spans="11:15" ht="15.75" customHeight="1">
      <c r="K342" s="65"/>
      <c r="L342" s="65"/>
      <c r="M342" s="65"/>
      <c r="N342" s="65"/>
      <c r="O342" s="65"/>
    </row>
    <row r="343" spans="11:15" ht="15.75" customHeight="1">
      <c r="K343" s="65"/>
      <c r="L343" s="65"/>
      <c r="M343" s="65"/>
      <c r="N343" s="65"/>
      <c r="O343" s="65"/>
    </row>
    <row r="344" spans="11:15" ht="15.75" customHeight="1">
      <c r="K344" s="65"/>
      <c r="L344" s="65"/>
      <c r="M344" s="65"/>
      <c r="N344" s="65"/>
      <c r="O344" s="65"/>
    </row>
    <row r="345" spans="11:15" ht="15.75" customHeight="1">
      <c r="K345" s="65"/>
      <c r="L345" s="65"/>
      <c r="M345" s="65"/>
      <c r="N345" s="65"/>
      <c r="O345" s="65"/>
    </row>
    <row r="346" spans="11:15" ht="15.75" customHeight="1">
      <c r="K346" s="65"/>
      <c r="L346" s="65"/>
      <c r="M346" s="65"/>
      <c r="N346" s="65"/>
      <c r="O346" s="65"/>
    </row>
    <row r="347" spans="11:15" ht="15.75" customHeight="1">
      <c r="K347" s="65"/>
      <c r="L347" s="65"/>
      <c r="M347" s="65"/>
      <c r="N347" s="65"/>
      <c r="O347" s="65"/>
    </row>
    <row r="348" spans="11:15" ht="15.75" customHeight="1">
      <c r="K348" s="65"/>
      <c r="L348" s="65"/>
      <c r="M348" s="65"/>
      <c r="N348" s="65"/>
      <c r="O348" s="65"/>
    </row>
    <row r="349" spans="11:15" ht="15.75" customHeight="1">
      <c r="K349" s="65"/>
      <c r="L349" s="65"/>
      <c r="M349" s="65"/>
      <c r="N349" s="65"/>
      <c r="O349" s="65"/>
    </row>
    <row r="350" spans="11:15" ht="15.75" customHeight="1">
      <c r="K350" s="65"/>
      <c r="L350" s="65"/>
      <c r="M350" s="65"/>
      <c r="N350" s="65"/>
      <c r="O350" s="65"/>
    </row>
    <row r="351" spans="11:15" ht="15.75" customHeight="1">
      <c r="K351" s="65"/>
      <c r="L351" s="65"/>
      <c r="M351" s="65"/>
      <c r="N351" s="65"/>
      <c r="O351" s="65"/>
    </row>
    <row r="352" spans="11:15" ht="15.75" customHeight="1">
      <c r="K352" s="65"/>
      <c r="L352" s="65"/>
      <c r="M352" s="65"/>
      <c r="N352" s="65"/>
      <c r="O352" s="65"/>
    </row>
    <row r="353" spans="11:15" ht="15.75" customHeight="1">
      <c r="K353" s="65"/>
      <c r="L353" s="65"/>
      <c r="M353" s="65"/>
      <c r="N353" s="65"/>
      <c r="O353" s="65"/>
    </row>
    <row r="354" spans="11:15" ht="15.75" customHeight="1">
      <c r="K354" s="65"/>
      <c r="L354" s="65"/>
      <c r="M354" s="65"/>
      <c r="N354" s="65"/>
      <c r="O354" s="65"/>
    </row>
    <row r="355" spans="11:15" ht="15.75" customHeight="1">
      <c r="K355" s="65"/>
      <c r="L355" s="65"/>
      <c r="M355" s="65"/>
      <c r="N355" s="65"/>
      <c r="O355" s="65"/>
    </row>
    <row r="356" spans="11:15" ht="15.75" customHeight="1">
      <c r="K356" s="65"/>
      <c r="L356" s="65"/>
      <c r="M356" s="65"/>
      <c r="N356" s="65"/>
      <c r="O356" s="65"/>
    </row>
    <row r="357" spans="11:15" ht="15.75" customHeight="1">
      <c r="K357" s="65"/>
      <c r="L357" s="65"/>
      <c r="M357" s="65"/>
      <c r="N357" s="65"/>
      <c r="O357" s="65"/>
    </row>
    <row r="358" spans="11:15" ht="15.75" customHeight="1">
      <c r="K358" s="65"/>
      <c r="L358" s="65"/>
      <c r="M358" s="65"/>
      <c r="N358" s="65"/>
      <c r="O358" s="65"/>
    </row>
    <row r="359" spans="11:15" ht="15.75" customHeight="1">
      <c r="K359" s="65"/>
      <c r="L359" s="65"/>
      <c r="M359" s="65"/>
      <c r="N359" s="65"/>
      <c r="O359" s="65"/>
    </row>
    <row r="360" spans="11:15" ht="15.75" customHeight="1">
      <c r="K360" s="65"/>
      <c r="L360" s="65"/>
      <c r="M360" s="65"/>
      <c r="N360" s="65"/>
      <c r="O360" s="65"/>
    </row>
    <row r="361" spans="11:15" ht="15.75" customHeight="1">
      <c r="K361" s="65"/>
      <c r="L361" s="65"/>
      <c r="M361" s="65"/>
      <c r="N361" s="65"/>
      <c r="O361" s="65"/>
    </row>
    <row r="362" spans="11:15" ht="15.75" customHeight="1">
      <c r="K362" s="65"/>
      <c r="L362" s="65"/>
      <c r="M362" s="65"/>
      <c r="N362" s="65"/>
      <c r="O362" s="65"/>
    </row>
    <row r="363" spans="11:15" ht="15.75" customHeight="1">
      <c r="K363" s="65"/>
      <c r="L363" s="65"/>
      <c r="M363" s="65"/>
      <c r="N363" s="65"/>
      <c r="O363" s="65"/>
    </row>
    <row r="364" spans="11:15" ht="15.75" customHeight="1">
      <c r="K364" s="65"/>
      <c r="L364" s="65"/>
      <c r="M364" s="65"/>
      <c r="N364" s="65"/>
      <c r="O364" s="65"/>
    </row>
    <row r="365" spans="11:15" ht="15.75" customHeight="1">
      <c r="K365" s="65"/>
      <c r="L365" s="65"/>
      <c r="M365" s="65"/>
      <c r="N365" s="65"/>
      <c r="O365" s="65"/>
    </row>
    <row r="366" spans="11:15" ht="15.75" customHeight="1">
      <c r="K366" s="65"/>
      <c r="L366" s="65"/>
      <c r="M366" s="65"/>
      <c r="N366" s="65"/>
      <c r="O366" s="65"/>
    </row>
    <row r="367" spans="11:15" ht="15.75" customHeight="1">
      <c r="K367" s="65"/>
      <c r="L367" s="65"/>
      <c r="M367" s="65"/>
      <c r="N367" s="65"/>
      <c r="O367" s="65"/>
    </row>
    <row r="368" spans="11:15" ht="15.75" customHeight="1">
      <c r="K368" s="65"/>
      <c r="L368" s="65"/>
      <c r="M368" s="65"/>
      <c r="N368" s="65"/>
      <c r="O368" s="65"/>
    </row>
    <row r="369" spans="11:15" ht="15.75" customHeight="1">
      <c r="K369" s="65"/>
      <c r="L369" s="65"/>
      <c r="M369" s="65"/>
      <c r="N369" s="65"/>
      <c r="O369" s="65"/>
    </row>
    <row r="370" spans="11:15" ht="15.75" customHeight="1">
      <c r="K370" s="65"/>
      <c r="L370" s="65"/>
      <c r="M370" s="65"/>
      <c r="N370" s="65"/>
      <c r="O370" s="65"/>
    </row>
    <row r="371" spans="11:15" ht="15.75" customHeight="1">
      <c r="K371" s="65"/>
      <c r="L371" s="65"/>
      <c r="M371" s="65"/>
      <c r="N371" s="65"/>
      <c r="O371" s="65"/>
    </row>
    <row r="372" spans="11:15" ht="15.75" customHeight="1">
      <c r="K372" s="65"/>
      <c r="L372" s="65"/>
      <c r="M372" s="65"/>
      <c r="N372" s="65"/>
      <c r="O372" s="65"/>
    </row>
    <row r="373" spans="11:15" ht="15.75" customHeight="1">
      <c r="K373" s="65"/>
      <c r="L373" s="65"/>
      <c r="M373" s="65"/>
      <c r="N373" s="65"/>
      <c r="O373" s="65"/>
    </row>
    <row r="374" spans="11:15" ht="15.75" customHeight="1">
      <c r="K374" s="65"/>
      <c r="L374" s="65"/>
      <c r="M374" s="65"/>
      <c r="N374" s="65"/>
      <c r="O374" s="65"/>
    </row>
    <row r="375" spans="11:15" ht="15.75" customHeight="1">
      <c r="K375" s="65"/>
      <c r="L375" s="65"/>
      <c r="M375" s="65"/>
      <c r="N375" s="65"/>
      <c r="O375" s="65"/>
    </row>
    <row r="376" spans="11:15" ht="15.75" customHeight="1">
      <c r="K376" s="65"/>
      <c r="L376" s="65"/>
      <c r="M376" s="65"/>
      <c r="N376" s="65"/>
      <c r="O376" s="65"/>
    </row>
    <row r="377" spans="11:15" ht="15.75" customHeight="1">
      <c r="K377" s="65"/>
      <c r="L377" s="65"/>
      <c r="M377" s="65"/>
      <c r="N377" s="65"/>
      <c r="O377" s="65"/>
    </row>
    <row r="378" spans="11:15" ht="15.75" customHeight="1">
      <c r="K378" s="65"/>
      <c r="L378" s="65"/>
      <c r="M378" s="65"/>
      <c r="N378" s="65"/>
      <c r="O378" s="65"/>
    </row>
    <row r="379" spans="11:15" ht="15.75" customHeight="1">
      <c r="K379" s="65"/>
      <c r="L379" s="65"/>
      <c r="M379" s="65"/>
      <c r="N379" s="65"/>
      <c r="O379" s="65"/>
    </row>
    <row r="380" spans="11:15" ht="15.75" customHeight="1">
      <c r="K380" s="65"/>
      <c r="L380" s="65"/>
      <c r="M380" s="65"/>
      <c r="N380" s="65"/>
      <c r="O380" s="65"/>
    </row>
    <row r="381" spans="11:15" ht="15.75" customHeight="1">
      <c r="K381" s="65"/>
      <c r="L381" s="65"/>
      <c r="M381" s="65"/>
      <c r="N381" s="65"/>
      <c r="O381" s="65"/>
    </row>
    <row r="382" spans="11:15" ht="15.75" customHeight="1">
      <c r="K382" s="65"/>
      <c r="L382" s="65"/>
      <c r="M382" s="65"/>
      <c r="N382" s="65"/>
      <c r="O382" s="65"/>
    </row>
    <row r="383" spans="11:15" ht="15.75" customHeight="1">
      <c r="K383" s="65"/>
      <c r="L383" s="65"/>
      <c r="M383" s="65"/>
      <c r="N383" s="65"/>
      <c r="O383" s="65"/>
    </row>
    <row r="384" spans="11:15" ht="15.75" customHeight="1">
      <c r="K384" s="65"/>
      <c r="L384" s="65"/>
      <c r="M384" s="65"/>
      <c r="N384" s="65"/>
      <c r="O384" s="65"/>
    </row>
    <row r="385" spans="11:15" ht="15.75" customHeight="1">
      <c r="K385" s="65"/>
      <c r="L385" s="65"/>
      <c r="M385" s="65"/>
      <c r="N385" s="65"/>
      <c r="O385" s="65"/>
    </row>
    <row r="386" spans="11:15" ht="15.75" customHeight="1">
      <c r="K386" s="65"/>
      <c r="L386" s="65"/>
      <c r="M386" s="65"/>
      <c r="N386" s="65"/>
      <c r="O386" s="65"/>
    </row>
    <row r="387" spans="11:15" ht="15.75" customHeight="1">
      <c r="K387" s="65"/>
      <c r="L387" s="65"/>
      <c r="M387" s="65"/>
      <c r="N387" s="65"/>
      <c r="O387" s="65"/>
    </row>
    <row r="388" spans="11:15" ht="15.75" customHeight="1">
      <c r="K388" s="65"/>
      <c r="L388" s="65"/>
      <c r="M388" s="65"/>
      <c r="N388" s="65"/>
      <c r="O388" s="65"/>
    </row>
    <row r="389" spans="11:15" ht="15.75" customHeight="1">
      <c r="K389" s="65"/>
      <c r="L389" s="65"/>
      <c r="M389" s="65"/>
      <c r="N389" s="65"/>
      <c r="O389" s="65"/>
    </row>
    <row r="390" spans="11:15" ht="15.75" customHeight="1">
      <c r="K390" s="65"/>
      <c r="L390" s="65"/>
      <c r="M390" s="65"/>
      <c r="N390" s="65"/>
      <c r="O390" s="65"/>
    </row>
    <row r="391" spans="11:15" ht="15.75" customHeight="1">
      <c r="K391" s="65"/>
      <c r="L391" s="65"/>
      <c r="M391" s="65"/>
      <c r="N391" s="65"/>
      <c r="O391" s="65"/>
    </row>
    <row r="392" spans="11:15" ht="15.75" customHeight="1">
      <c r="K392" s="65"/>
      <c r="L392" s="65"/>
      <c r="M392" s="65"/>
      <c r="N392" s="65"/>
      <c r="O392" s="65"/>
    </row>
    <row r="393" spans="11:15" ht="15.75" customHeight="1">
      <c r="K393" s="65"/>
      <c r="L393" s="65"/>
      <c r="M393" s="65"/>
      <c r="N393" s="65"/>
      <c r="O393" s="65"/>
    </row>
    <row r="394" spans="11:15" ht="15.75" customHeight="1">
      <c r="K394" s="65"/>
      <c r="L394" s="65"/>
      <c r="M394" s="65"/>
      <c r="N394" s="65"/>
      <c r="O394" s="65"/>
    </row>
    <row r="395" spans="11:15" ht="15.75" customHeight="1">
      <c r="K395" s="65"/>
      <c r="L395" s="65"/>
      <c r="M395" s="65"/>
      <c r="N395" s="65"/>
      <c r="O395" s="65"/>
    </row>
    <row r="396" spans="11:15" ht="15.75" customHeight="1">
      <c r="K396" s="65"/>
      <c r="L396" s="65"/>
      <c r="M396" s="65"/>
      <c r="N396" s="65"/>
      <c r="O396" s="65"/>
    </row>
    <row r="397" spans="11:15" ht="15.75" customHeight="1">
      <c r="K397" s="65"/>
      <c r="L397" s="65"/>
      <c r="M397" s="65"/>
      <c r="N397" s="65"/>
      <c r="O397" s="65"/>
    </row>
    <row r="398" spans="11:15" ht="15.75" customHeight="1">
      <c r="K398" s="65"/>
      <c r="L398" s="65"/>
      <c r="M398" s="65"/>
      <c r="N398" s="65"/>
      <c r="O398" s="65"/>
    </row>
    <row r="399" spans="11:15" ht="15.75" customHeight="1">
      <c r="K399" s="65"/>
      <c r="L399" s="65"/>
      <c r="M399" s="65"/>
      <c r="N399" s="65"/>
      <c r="O399" s="65"/>
    </row>
    <row r="400" spans="11:15" ht="15.75" customHeight="1">
      <c r="K400" s="65"/>
      <c r="L400" s="65"/>
      <c r="M400" s="65"/>
      <c r="N400" s="65"/>
      <c r="O400" s="65"/>
    </row>
    <row r="401" spans="11:15" ht="15.75" customHeight="1">
      <c r="K401" s="65"/>
      <c r="L401" s="65"/>
      <c r="M401" s="65"/>
      <c r="N401" s="65"/>
      <c r="O401" s="65"/>
    </row>
    <row r="402" spans="11:15" ht="15.75" customHeight="1">
      <c r="K402" s="65"/>
      <c r="L402" s="65"/>
      <c r="M402" s="65"/>
      <c r="N402" s="65"/>
      <c r="O402" s="65"/>
    </row>
    <row r="403" spans="11:15" ht="15.75" customHeight="1">
      <c r="K403" s="65"/>
      <c r="L403" s="65"/>
      <c r="M403" s="65"/>
      <c r="N403" s="65"/>
      <c r="O403" s="65"/>
    </row>
    <row r="404" spans="11:15" ht="15.75" customHeight="1">
      <c r="K404" s="65"/>
      <c r="L404" s="65"/>
      <c r="M404" s="65"/>
      <c r="N404" s="65"/>
      <c r="O404" s="65"/>
    </row>
    <row r="405" spans="11:15" ht="15.75" customHeight="1">
      <c r="K405" s="65"/>
      <c r="L405" s="65"/>
      <c r="M405" s="65"/>
      <c r="N405" s="65"/>
      <c r="O405" s="65"/>
    </row>
    <row r="406" spans="11:15" ht="15.75" customHeight="1">
      <c r="K406" s="65"/>
      <c r="L406" s="65"/>
      <c r="M406" s="65"/>
      <c r="N406" s="65"/>
      <c r="O406" s="65"/>
    </row>
    <row r="407" spans="11:15" ht="15.75" customHeight="1">
      <c r="K407" s="65"/>
      <c r="L407" s="65"/>
      <c r="M407" s="65"/>
      <c r="N407" s="65"/>
      <c r="O407" s="65"/>
    </row>
    <row r="408" spans="11:15" ht="15.75" customHeight="1">
      <c r="K408" s="65"/>
      <c r="L408" s="65"/>
      <c r="M408" s="65"/>
      <c r="N408" s="65"/>
      <c r="O408" s="65"/>
    </row>
    <row r="409" spans="11:15" ht="15.75" customHeight="1">
      <c r="K409" s="65"/>
      <c r="L409" s="65"/>
      <c r="M409" s="65"/>
      <c r="N409" s="65"/>
      <c r="O409" s="65"/>
    </row>
    <row r="410" spans="11:15" ht="15.75" customHeight="1">
      <c r="K410" s="65"/>
      <c r="L410" s="65"/>
      <c r="M410" s="65"/>
      <c r="N410" s="65"/>
      <c r="O410" s="65"/>
    </row>
    <row r="411" spans="11:15" ht="15.75" customHeight="1">
      <c r="K411" s="65"/>
      <c r="L411" s="65"/>
      <c r="M411" s="65"/>
      <c r="N411" s="65"/>
      <c r="O411" s="65"/>
    </row>
    <row r="412" spans="11:15" ht="15.75" customHeight="1">
      <c r="K412" s="65"/>
      <c r="L412" s="65"/>
      <c r="M412" s="65"/>
      <c r="N412" s="65"/>
      <c r="O412" s="65"/>
    </row>
    <row r="413" spans="11:15" ht="15.75" customHeight="1">
      <c r="K413" s="65"/>
      <c r="L413" s="65"/>
      <c r="M413" s="65"/>
      <c r="N413" s="65"/>
      <c r="O413" s="65"/>
    </row>
    <row r="414" spans="11:15" ht="15.75" customHeight="1">
      <c r="K414" s="65"/>
      <c r="L414" s="65"/>
      <c r="M414" s="65"/>
      <c r="N414" s="65"/>
      <c r="O414" s="65"/>
    </row>
    <row r="415" spans="11:15" ht="15.75" customHeight="1">
      <c r="K415" s="65"/>
      <c r="L415" s="65"/>
      <c r="M415" s="65"/>
      <c r="N415" s="65"/>
      <c r="O415" s="65"/>
    </row>
    <row r="416" spans="11:15" ht="15.75" customHeight="1">
      <c r="K416" s="65"/>
      <c r="L416" s="65"/>
      <c r="M416" s="65"/>
      <c r="N416" s="65"/>
      <c r="O416" s="65"/>
    </row>
    <row r="417" spans="11:15" ht="15.75" customHeight="1">
      <c r="K417" s="65"/>
      <c r="L417" s="65"/>
      <c r="M417" s="65"/>
      <c r="N417" s="65"/>
      <c r="O417" s="65"/>
    </row>
    <row r="418" spans="11:15" ht="15.75" customHeight="1">
      <c r="K418" s="65"/>
      <c r="L418" s="65"/>
      <c r="M418" s="65"/>
      <c r="N418" s="65"/>
      <c r="O418" s="65"/>
    </row>
    <row r="419" spans="11:15" ht="15.75" customHeight="1">
      <c r="K419" s="65"/>
      <c r="L419" s="65"/>
      <c r="M419" s="65"/>
      <c r="N419" s="65"/>
      <c r="O419" s="65"/>
    </row>
    <row r="420" spans="11:15" ht="15.75" customHeight="1">
      <c r="K420" s="65"/>
      <c r="L420" s="65"/>
      <c r="M420" s="65"/>
      <c r="N420" s="65"/>
      <c r="O420" s="65"/>
    </row>
    <row r="421" spans="11:15" ht="15.75" customHeight="1">
      <c r="K421" s="65"/>
      <c r="L421" s="65"/>
      <c r="M421" s="65"/>
      <c r="N421" s="65"/>
      <c r="O421" s="65"/>
    </row>
    <row r="422" spans="11:15" ht="15.75" customHeight="1">
      <c r="K422" s="65"/>
      <c r="L422" s="65"/>
      <c r="M422" s="65"/>
      <c r="N422" s="65"/>
      <c r="O422" s="65"/>
    </row>
    <row r="423" spans="11:15" ht="15.75" customHeight="1">
      <c r="K423" s="65"/>
      <c r="L423" s="65"/>
      <c r="M423" s="65"/>
      <c r="N423" s="65"/>
      <c r="O423" s="65"/>
    </row>
    <row r="424" spans="11:15" ht="15.75" customHeight="1">
      <c r="K424" s="65"/>
      <c r="L424" s="65"/>
      <c r="M424" s="65"/>
      <c r="N424" s="65"/>
      <c r="O424" s="65"/>
    </row>
    <row r="425" spans="11:15" ht="15.75" customHeight="1">
      <c r="K425" s="65"/>
      <c r="L425" s="65"/>
      <c r="M425" s="65"/>
      <c r="N425" s="65"/>
      <c r="O425" s="65"/>
    </row>
    <row r="426" spans="11:15" ht="15.75" customHeight="1">
      <c r="K426" s="65"/>
      <c r="L426" s="65"/>
      <c r="M426" s="65"/>
      <c r="N426" s="65"/>
      <c r="O426" s="65"/>
    </row>
    <row r="427" spans="11:15" ht="15.75" customHeight="1">
      <c r="K427" s="65"/>
      <c r="L427" s="65"/>
      <c r="M427" s="65"/>
      <c r="N427" s="65"/>
      <c r="O427" s="65"/>
    </row>
    <row r="428" spans="11:15" ht="15.75" customHeight="1">
      <c r="K428" s="65"/>
      <c r="L428" s="65"/>
      <c r="M428" s="65"/>
      <c r="N428" s="65"/>
      <c r="O428" s="65"/>
    </row>
    <row r="429" spans="11:15" ht="15.75" customHeight="1">
      <c r="K429" s="65"/>
      <c r="L429" s="65"/>
      <c r="M429" s="65"/>
      <c r="N429" s="65"/>
      <c r="O429" s="65"/>
    </row>
    <row r="430" spans="11:15" ht="15.75" customHeight="1">
      <c r="K430" s="65"/>
      <c r="L430" s="65"/>
      <c r="M430" s="65"/>
      <c r="N430" s="65"/>
      <c r="O430" s="65"/>
    </row>
    <row r="431" spans="11:15" ht="15.75" customHeight="1">
      <c r="K431" s="65"/>
      <c r="L431" s="65"/>
      <c r="M431" s="65"/>
      <c r="N431" s="65"/>
      <c r="O431" s="65"/>
    </row>
    <row r="432" spans="11:15" ht="15.75" customHeight="1">
      <c r="K432" s="65"/>
      <c r="L432" s="65"/>
      <c r="M432" s="65"/>
      <c r="N432" s="65"/>
      <c r="O432" s="65"/>
    </row>
    <row r="433" spans="11:15" ht="15.75" customHeight="1">
      <c r="K433" s="65"/>
      <c r="L433" s="65"/>
      <c r="M433" s="65"/>
      <c r="N433" s="65"/>
      <c r="O433" s="65"/>
    </row>
    <row r="434" spans="11:15" ht="15.75" customHeight="1">
      <c r="K434" s="65"/>
      <c r="L434" s="65"/>
      <c r="M434" s="65"/>
      <c r="N434" s="65"/>
      <c r="O434" s="65"/>
    </row>
    <row r="435" spans="11:15" ht="15.75" customHeight="1">
      <c r="K435" s="65"/>
      <c r="L435" s="65"/>
      <c r="M435" s="65"/>
      <c r="N435" s="65"/>
      <c r="O435" s="65"/>
    </row>
    <row r="436" spans="11:15" ht="15.75" customHeight="1">
      <c r="K436" s="65"/>
      <c r="L436" s="65"/>
      <c r="M436" s="65"/>
      <c r="N436" s="65"/>
      <c r="O436" s="65"/>
    </row>
    <row r="437" spans="11:15" ht="15.75" customHeight="1">
      <c r="K437" s="65"/>
      <c r="L437" s="65"/>
      <c r="M437" s="65"/>
      <c r="N437" s="65"/>
      <c r="O437" s="65"/>
    </row>
    <row r="438" spans="11:15" ht="15.75" customHeight="1">
      <c r="K438" s="65"/>
      <c r="L438" s="65"/>
      <c r="M438" s="65"/>
      <c r="N438" s="65"/>
      <c r="O438" s="65"/>
    </row>
    <row r="439" spans="11:15" ht="15.75" customHeight="1">
      <c r="K439" s="65"/>
      <c r="L439" s="65"/>
      <c r="M439" s="65"/>
      <c r="N439" s="65"/>
      <c r="O439" s="65"/>
    </row>
    <row r="440" spans="11:15" ht="15.75" customHeight="1">
      <c r="K440" s="65"/>
      <c r="L440" s="65"/>
      <c r="M440" s="65"/>
      <c r="N440" s="65"/>
      <c r="O440" s="65"/>
    </row>
    <row r="441" spans="11:15" ht="15.75" customHeight="1">
      <c r="K441" s="65"/>
      <c r="L441" s="65"/>
      <c r="M441" s="65"/>
      <c r="N441" s="65"/>
      <c r="O441" s="65"/>
    </row>
    <row r="442" spans="11:15" ht="15.75" customHeight="1">
      <c r="K442" s="65"/>
      <c r="L442" s="65"/>
      <c r="M442" s="65"/>
      <c r="N442" s="65"/>
      <c r="O442" s="65"/>
    </row>
    <row r="443" spans="11:15" ht="15.75" customHeight="1">
      <c r="K443" s="65"/>
      <c r="L443" s="65"/>
      <c r="M443" s="65"/>
      <c r="N443" s="65"/>
      <c r="O443" s="65"/>
    </row>
    <row r="444" spans="11:15" ht="15.75" customHeight="1">
      <c r="K444" s="65"/>
      <c r="L444" s="65"/>
      <c r="M444" s="65"/>
      <c r="N444" s="65"/>
      <c r="O444" s="65"/>
    </row>
    <row r="445" spans="11:15" ht="15.75" customHeight="1">
      <c r="K445" s="65"/>
      <c r="L445" s="65"/>
      <c r="M445" s="65"/>
      <c r="N445" s="65"/>
      <c r="O445" s="65"/>
    </row>
    <row r="446" spans="11:15" ht="15.75" customHeight="1">
      <c r="K446" s="65"/>
      <c r="L446" s="65"/>
      <c r="M446" s="65"/>
      <c r="N446" s="65"/>
      <c r="O446" s="65"/>
    </row>
    <row r="447" spans="11:15" ht="15.75" customHeight="1">
      <c r="K447" s="65"/>
      <c r="L447" s="65"/>
      <c r="M447" s="65"/>
      <c r="N447" s="65"/>
      <c r="O447" s="65"/>
    </row>
    <row r="448" spans="11:15" ht="15.75" customHeight="1">
      <c r="K448" s="65"/>
      <c r="L448" s="65"/>
      <c r="M448" s="65"/>
      <c r="N448" s="65"/>
      <c r="O448" s="65"/>
    </row>
    <row r="449" spans="11:15" ht="15.75" customHeight="1">
      <c r="K449" s="65"/>
      <c r="L449" s="65"/>
      <c r="M449" s="65"/>
      <c r="N449" s="65"/>
      <c r="O449" s="65"/>
    </row>
    <row r="450" spans="11:15" ht="15.75" customHeight="1">
      <c r="K450" s="65"/>
      <c r="L450" s="65"/>
      <c r="M450" s="65"/>
      <c r="N450" s="65"/>
      <c r="O450" s="65"/>
    </row>
    <row r="451" spans="11:15" ht="15.75" customHeight="1">
      <c r="K451" s="65"/>
      <c r="L451" s="65"/>
      <c r="M451" s="65"/>
      <c r="N451" s="65"/>
      <c r="O451" s="65"/>
    </row>
    <row r="452" spans="11:15" ht="15.75" customHeight="1">
      <c r="K452" s="65"/>
      <c r="L452" s="65"/>
      <c r="M452" s="65"/>
      <c r="N452" s="65"/>
      <c r="O452" s="65"/>
    </row>
    <row r="453" spans="11:15" ht="15.75" customHeight="1">
      <c r="K453" s="65"/>
      <c r="L453" s="65"/>
      <c r="M453" s="65"/>
      <c r="N453" s="65"/>
      <c r="O453" s="65"/>
    </row>
    <row r="454" spans="11:15" ht="15.75" customHeight="1">
      <c r="K454" s="65"/>
      <c r="L454" s="65"/>
      <c r="M454" s="65"/>
      <c r="N454" s="65"/>
      <c r="O454" s="65"/>
    </row>
    <row r="455" spans="11:15" ht="15.75" customHeight="1">
      <c r="K455" s="65"/>
      <c r="L455" s="65"/>
      <c r="M455" s="65"/>
      <c r="N455" s="65"/>
      <c r="O455" s="65"/>
    </row>
    <row r="456" spans="11:15" ht="15.75" customHeight="1">
      <c r="K456" s="65"/>
      <c r="L456" s="65"/>
      <c r="M456" s="65"/>
      <c r="N456" s="65"/>
      <c r="O456" s="65"/>
    </row>
    <row r="457" spans="11:15" ht="15.75" customHeight="1">
      <c r="K457" s="65"/>
      <c r="L457" s="65"/>
      <c r="M457" s="65"/>
      <c r="N457" s="65"/>
      <c r="O457" s="65"/>
    </row>
    <row r="458" spans="11:15" ht="15.75" customHeight="1">
      <c r="K458" s="65"/>
      <c r="L458" s="65"/>
      <c r="M458" s="65"/>
      <c r="N458" s="65"/>
      <c r="O458" s="65"/>
    </row>
    <row r="459" spans="11:15" ht="15.75" customHeight="1">
      <c r="K459" s="65"/>
      <c r="L459" s="65"/>
      <c r="M459" s="65"/>
      <c r="N459" s="65"/>
      <c r="O459" s="65"/>
    </row>
    <row r="460" spans="11:15" ht="15.75" customHeight="1">
      <c r="K460" s="65"/>
      <c r="L460" s="65"/>
      <c r="M460" s="65"/>
      <c r="N460" s="65"/>
      <c r="O460" s="65"/>
    </row>
    <row r="461" spans="11:15" ht="15.75" customHeight="1">
      <c r="K461" s="65"/>
      <c r="L461" s="65"/>
      <c r="M461" s="65"/>
      <c r="N461" s="65"/>
      <c r="O461" s="65"/>
    </row>
    <row r="462" spans="11:15" ht="15.75" customHeight="1">
      <c r="K462" s="65"/>
      <c r="L462" s="65"/>
      <c r="M462" s="65"/>
      <c r="N462" s="65"/>
      <c r="O462" s="65"/>
    </row>
    <row r="463" spans="11:15" ht="15.75" customHeight="1">
      <c r="K463" s="65"/>
      <c r="L463" s="65"/>
      <c r="M463" s="65"/>
      <c r="N463" s="65"/>
      <c r="O463" s="65"/>
    </row>
    <row r="464" spans="11:15" ht="15.75" customHeight="1">
      <c r="K464" s="65"/>
      <c r="L464" s="65"/>
      <c r="M464" s="65"/>
      <c r="N464" s="65"/>
      <c r="O464" s="65"/>
    </row>
    <row r="465" spans="11:15" ht="15.75" customHeight="1">
      <c r="K465" s="65"/>
      <c r="L465" s="65"/>
      <c r="M465" s="65"/>
      <c r="N465" s="65"/>
      <c r="O465" s="65"/>
    </row>
    <row r="466" spans="11:15" ht="15.75" customHeight="1">
      <c r="K466" s="65"/>
      <c r="L466" s="65"/>
      <c r="M466" s="65"/>
      <c r="N466" s="65"/>
      <c r="O466" s="65"/>
    </row>
    <row r="467" spans="11:15" ht="15.75" customHeight="1">
      <c r="K467" s="65"/>
      <c r="L467" s="65"/>
      <c r="M467" s="65"/>
      <c r="N467" s="65"/>
      <c r="O467" s="65"/>
    </row>
    <row r="468" spans="11:15" ht="15.75" customHeight="1">
      <c r="K468" s="65"/>
      <c r="L468" s="65"/>
      <c r="M468" s="65"/>
      <c r="N468" s="65"/>
      <c r="O468" s="65"/>
    </row>
    <row r="469" spans="11:15" ht="15.75" customHeight="1">
      <c r="K469" s="65"/>
      <c r="L469" s="65"/>
      <c r="M469" s="65"/>
      <c r="N469" s="65"/>
      <c r="O469" s="65"/>
    </row>
    <row r="470" spans="11:15" ht="15.75" customHeight="1">
      <c r="K470" s="65"/>
      <c r="L470" s="65"/>
      <c r="M470" s="65"/>
      <c r="N470" s="65"/>
      <c r="O470" s="65"/>
    </row>
    <row r="471" spans="11:15" ht="15.75" customHeight="1">
      <c r="K471" s="65"/>
      <c r="L471" s="65"/>
      <c r="M471" s="65"/>
      <c r="N471" s="65"/>
      <c r="O471" s="65"/>
    </row>
    <row r="472" spans="11:15" ht="15.75" customHeight="1">
      <c r="K472" s="65"/>
      <c r="L472" s="65"/>
      <c r="M472" s="65"/>
      <c r="N472" s="65"/>
      <c r="O472" s="65"/>
    </row>
    <row r="473" spans="11:15" ht="15.75" customHeight="1">
      <c r="K473" s="65"/>
      <c r="L473" s="65"/>
      <c r="M473" s="65"/>
      <c r="N473" s="65"/>
      <c r="O473" s="65"/>
    </row>
    <row r="474" spans="11:15" ht="15.75" customHeight="1">
      <c r="K474" s="65"/>
      <c r="L474" s="65"/>
      <c r="M474" s="65"/>
      <c r="N474" s="65"/>
      <c r="O474" s="65"/>
    </row>
    <row r="475" spans="11:15" ht="15.75" customHeight="1">
      <c r="K475" s="65"/>
      <c r="L475" s="65"/>
      <c r="M475" s="65"/>
      <c r="N475" s="65"/>
      <c r="O475" s="65"/>
    </row>
    <row r="476" spans="11:15" ht="15.75" customHeight="1">
      <c r="K476" s="65"/>
      <c r="L476" s="65"/>
      <c r="M476" s="65"/>
      <c r="N476" s="65"/>
      <c r="O476" s="65"/>
    </row>
    <row r="477" spans="11:15" ht="15.75" customHeight="1">
      <c r="K477" s="65"/>
      <c r="L477" s="65"/>
      <c r="M477" s="65"/>
      <c r="N477" s="65"/>
      <c r="O477" s="65"/>
    </row>
    <row r="478" spans="11:15" ht="15.75" customHeight="1">
      <c r="K478" s="65"/>
      <c r="L478" s="65"/>
      <c r="M478" s="65"/>
      <c r="N478" s="65"/>
      <c r="O478" s="65"/>
    </row>
    <row r="479" spans="11:15" ht="15.75" customHeight="1">
      <c r="K479" s="65"/>
      <c r="L479" s="65"/>
      <c r="M479" s="65"/>
      <c r="N479" s="65"/>
      <c r="O479" s="65"/>
    </row>
    <row r="480" spans="11:15" ht="15.75" customHeight="1">
      <c r="K480" s="65"/>
      <c r="L480" s="65"/>
      <c r="M480" s="65"/>
      <c r="N480" s="65"/>
      <c r="O480" s="65"/>
    </row>
    <row r="481" spans="11:15" ht="15.75" customHeight="1">
      <c r="K481" s="65"/>
      <c r="L481" s="65"/>
      <c r="M481" s="65"/>
      <c r="N481" s="65"/>
      <c r="O481" s="65"/>
    </row>
    <row r="482" spans="11:15" ht="15.75" customHeight="1">
      <c r="K482" s="65"/>
      <c r="L482" s="65"/>
      <c r="M482" s="65"/>
      <c r="N482" s="65"/>
      <c r="O482" s="65"/>
    </row>
    <row r="483" spans="11:15" ht="15.75" customHeight="1">
      <c r="K483" s="65"/>
      <c r="L483" s="65"/>
      <c r="M483" s="65"/>
      <c r="N483" s="65"/>
      <c r="O483" s="65"/>
    </row>
    <row r="484" spans="11:15" ht="15.75" customHeight="1">
      <c r="K484" s="65"/>
      <c r="L484" s="65"/>
      <c r="M484" s="65"/>
      <c r="N484" s="65"/>
      <c r="O484" s="65"/>
    </row>
    <row r="485" spans="11:15" ht="15.75" customHeight="1">
      <c r="K485" s="65"/>
      <c r="L485" s="65"/>
      <c r="M485" s="65"/>
      <c r="N485" s="65"/>
      <c r="O485" s="65"/>
    </row>
    <row r="486" spans="11:15" ht="15.75" customHeight="1">
      <c r="K486" s="65"/>
      <c r="L486" s="65"/>
      <c r="M486" s="65"/>
      <c r="N486" s="65"/>
      <c r="O486" s="65"/>
    </row>
    <row r="487" spans="11:15" ht="15.75" customHeight="1">
      <c r="K487" s="65"/>
      <c r="L487" s="65"/>
      <c r="M487" s="65"/>
      <c r="N487" s="65"/>
      <c r="O487" s="65"/>
    </row>
    <row r="488" spans="11:15" ht="15.75" customHeight="1">
      <c r="K488" s="65"/>
      <c r="L488" s="65"/>
      <c r="M488" s="65"/>
      <c r="N488" s="65"/>
      <c r="O488" s="65"/>
    </row>
    <row r="489" spans="11:15" ht="15.75" customHeight="1">
      <c r="K489" s="65"/>
      <c r="L489" s="65"/>
      <c r="M489" s="65"/>
      <c r="N489" s="65"/>
      <c r="O489" s="65"/>
    </row>
    <row r="490" spans="11:15" ht="15.75" customHeight="1">
      <c r="K490" s="65"/>
      <c r="L490" s="65"/>
      <c r="M490" s="65"/>
      <c r="N490" s="65"/>
      <c r="O490" s="65"/>
    </row>
    <row r="491" spans="11:15" ht="15.75" customHeight="1">
      <c r="K491" s="65"/>
      <c r="L491" s="65"/>
      <c r="M491" s="65"/>
      <c r="N491" s="65"/>
      <c r="O491" s="65"/>
    </row>
    <row r="492" spans="11:15" ht="15.75" customHeight="1">
      <c r="K492" s="65"/>
      <c r="L492" s="65"/>
      <c r="M492" s="65"/>
      <c r="N492" s="65"/>
      <c r="O492" s="65"/>
    </row>
    <row r="493" spans="11:15" ht="15.75" customHeight="1">
      <c r="K493" s="65"/>
      <c r="L493" s="65"/>
      <c r="M493" s="65"/>
      <c r="N493" s="65"/>
      <c r="O493" s="65"/>
    </row>
    <row r="494" spans="11:15" ht="15.75" customHeight="1">
      <c r="K494" s="65"/>
      <c r="L494" s="65"/>
      <c r="M494" s="65"/>
      <c r="N494" s="65"/>
      <c r="O494" s="65"/>
    </row>
    <row r="495" spans="11:15" ht="15.75" customHeight="1">
      <c r="K495" s="65"/>
      <c r="L495" s="65"/>
      <c r="M495" s="65"/>
      <c r="N495" s="65"/>
      <c r="O495" s="65"/>
    </row>
    <row r="496" spans="11:15" ht="15.75" customHeight="1">
      <c r="K496" s="65"/>
      <c r="L496" s="65"/>
      <c r="M496" s="65"/>
      <c r="N496" s="65"/>
      <c r="O496" s="65"/>
    </row>
    <row r="497" spans="11:15" ht="15.75" customHeight="1">
      <c r="K497" s="65"/>
      <c r="L497" s="65"/>
      <c r="M497" s="65"/>
      <c r="N497" s="65"/>
      <c r="O497" s="65"/>
    </row>
    <row r="498" spans="11:15" ht="15.75" customHeight="1">
      <c r="K498" s="65"/>
      <c r="L498" s="65"/>
      <c r="M498" s="65"/>
      <c r="N498" s="65"/>
      <c r="O498" s="65"/>
    </row>
    <row r="499" spans="11:15" ht="15.75" customHeight="1">
      <c r="K499" s="65"/>
      <c r="L499" s="65"/>
      <c r="M499" s="65"/>
      <c r="N499" s="65"/>
      <c r="O499" s="65"/>
    </row>
    <row r="500" spans="11:15" ht="15.75" customHeight="1">
      <c r="K500" s="65"/>
      <c r="L500" s="65"/>
      <c r="M500" s="65"/>
      <c r="N500" s="65"/>
      <c r="O500" s="65"/>
    </row>
    <row r="501" spans="11:15" ht="15.75" customHeight="1">
      <c r="K501" s="65"/>
      <c r="L501" s="65"/>
      <c r="M501" s="65"/>
      <c r="N501" s="65"/>
      <c r="O501" s="65"/>
    </row>
    <row r="502" spans="11:15" ht="15.75" customHeight="1">
      <c r="K502" s="65"/>
      <c r="L502" s="65"/>
      <c r="M502" s="65"/>
      <c r="N502" s="65"/>
      <c r="O502" s="65"/>
    </row>
    <row r="503" spans="11:15" ht="15.75" customHeight="1">
      <c r="K503" s="65"/>
      <c r="L503" s="65"/>
      <c r="M503" s="65"/>
      <c r="N503" s="65"/>
      <c r="O503" s="65"/>
    </row>
    <row r="504" spans="11:15" ht="15.75" customHeight="1">
      <c r="K504" s="65"/>
      <c r="L504" s="65"/>
      <c r="M504" s="65"/>
      <c r="N504" s="65"/>
      <c r="O504" s="65"/>
    </row>
    <row r="505" spans="11:15" ht="15.75" customHeight="1">
      <c r="K505" s="65"/>
      <c r="L505" s="65"/>
      <c r="M505" s="65"/>
      <c r="N505" s="65"/>
      <c r="O505" s="65"/>
    </row>
    <row r="506" spans="11:15" ht="15.75" customHeight="1">
      <c r="K506" s="65"/>
      <c r="L506" s="65"/>
      <c r="M506" s="65"/>
      <c r="N506" s="65"/>
      <c r="O506" s="65"/>
    </row>
    <row r="507" spans="11:15" ht="15.75" customHeight="1">
      <c r="K507" s="65"/>
      <c r="L507" s="65"/>
      <c r="M507" s="65"/>
      <c r="N507" s="65"/>
      <c r="O507" s="65"/>
    </row>
    <row r="508" spans="11:15" ht="15.75" customHeight="1">
      <c r="K508" s="65"/>
      <c r="L508" s="65"/>
      <c r="M508" s="65"/>
      <c r="N508" s="65"/>
      <c r="O508" s="65"/>
    </row>
    <row r="509" spans="11:15" ht="15.75" customHeight="1">
      <c r="K509" s="65"/>
      <c r="L509" s="65"/>
      <c r="M509" s="65"/>
      <c r="N509" s="65"/>
      <c r="O509" s="65"/>
    </row>
    <row r="510" spans="11:15" ht="15.75" customHeight="1">
      <c r="K510" s="65"/>
      <c r="L510" s="65"/>
      <c r="M510" s="65"/>
      <c r="N510" s="65"/>
      <c r="O510" s="65"/>
    </row>
    <row r="511" spans="11:15" ht="15.75" customHeight="1">
      <c r="K511" s="65"/>
      <c r="L511" s="65"/>
      <c r="M511" s="65"/>
      <c r="N511" s="65"/>
      <c r="O511" s="65"/>
    </row>
    <row r="512" spans="11:15" ht="15.75" customHeight="1">
      <c r="K512" s="65"/>
      <c r="L512" s="65"/>
      <c r="M512" s="65"/>
      <c r="N512" s="65"/>
      <c r="O512" s="65"/>
    </row>
    <row r="513" spans="11:15" ht="15.75" customHeight="1">
      <c r="K513" s="65"/>
      <c r="L513" s="65"/>
      <c r="M513" s="65"/>
      <c r="N513" s="65"/>
      <c r="O513" s="65"/>
    </row>
    <row r="514" spans="11:15" ht="15.75" customHeight="1">
      <c r="K514" s="65"/>
      <c r="L514" s="65"/>
      <c r="M514" s="65"/>
      <c r="N514" s="65"/>
      <c r="O514" s="65"/>
    </row>
    <row r="515" spans="11:15" ht="15.75" customHeight="1">
      <c r="K515" s="65"/>
      <c r="L515" s="65"/>
      <c r="M515" s="65"/>
      <c r="N515" s="65"/>
      <c r="O515" s="65"/>
    </row>
    <row r="516" spans="11:15" ht="15.75" customHeight="1">
      <c r="K516" s="65"/>
      <c r="L516" s="65"/>
      <c r="M516" s="65"/>
      <c r="N516" s="65"/>
      <c r="O516" s="65"/>
    </row>
    <row r="517" spans="11:15" ht="15.75" customHeight="1">
      <c r="K517" s="65"/>
      <c r="L517" s="65"/>
      <c r="M517" s="65"/>
      <c r="N517" s="65"/>
      <c r="O517" s="65"/>
    </row>
    <row r="518" spans="11:15" ht="15.75" customHeight="1">
      <c r="K518" s="65"/>
      <c r="L518" s="65"/>
      <c r="M518" s="65"/>
      <c r="N518" s="65"/>
      <c r="O518" s="65"/>
    </row>
    <row r="519" spans="11:15" ht="15.75" customHeight="1">
      <c r="K519" s="65"/>
      <c r="L519" s="65"/>
      <c r="M519" s="65"/>
      <c r="N519" s="65"/>
      <c r="O519" s="65"/>
    </row>
    <row r="520" spans="11:15" ht="15.75" customHeight="1">
      <c r="K520" s="65"/>
      <c r="L520" s="65"/>
      <c r="M520" s="65"/>
      <c r="N520" s="65"/>
      <c r="O520" s="65"/>
    </row>
    <row r="521" spans="11:15" ht="15.75" customHeight="1">
      <c r="K521" s="65"/>
      <c r="L521" s="65"/>
      <c r="M521" s="65"/>
      <c r="N521" s="65"/>
      <c r="O521" s="65"/>
    </row>
    <row r="522" spans="11:15" ht="15.75" customHeight="1">
      <c r="K522" s="65"/>
      <c r="L522" s="65"/>
      <c r="M522" s="65"/>
      <c r="N522" s="65"/>
      <c r="O522" s="65"/>
    </row>
    <row r="523" spans="11:15" ht="15.75" customHeight="1">
      <c r="K523" s="65"/>
      <c r="L523" s="65"/>
      <c r="M523" s="65"/>
      <c r="N523" s="65"/>
      <c r="O523" s="65"/>
    </row>
    <row r="524" spans="11:15" ht="15.75" customHeight="1">
      <c r="K524" s="65"/>
      <c r="L524" s="65"/>
      <c r="M524" s="65"/>
      <c r="N524" s="65"/>
      <c r="O524" s="65"/>
    </row>
    <row r="525" spans="11:15" ht="15.75" customHeight="1">
      <c r="K525" s="65"/>
      <c r="L525" s="65"/>
      <c r="M525" s="65"/>
      <c r="N525" s="65"/>
      <c r="O525" s="65"/>
    </row>
    <row r="526" spans="11:15" ht="15.75" customHeight="1">
      <c r="K526" s="65"/>
      <c r="L526" s="65"/>
      <c r="M526" s="65"/>
      <c r="N526" s="65"/>
      <c r="O526" s="65"/>
    </row>
    <row r="527" spans="11:15" ht="15.75" customHeight="1">
      <c r="K527" s="65"/>
      <c r="L527" s="65"/>
      <c r="M527" s="65"/>
      <c r="N527" s="65"/>
      <c r="O527" s="65"/>
    </row>
    <row r="528" spans="11:15" ht="15.75" customHeight="1">
      <c r="K528" s="65"/>
      <c r="L528" s="65"/>
      <c r="M528" s="65"/>
      <c r="N528" s="65"/>
      <c r="O528" s="65"/>
    </row>
    <row r="529" spans="11:15" ht="15.75" customHeight="1">
      <c r="K529" s="65"/>
      <c r="L529" s="65"/>
      <c r="M529" s="65"/>
      <c r="N529" s="65"/>
      <c r="O529" s="65"/>
    </row>
    <row r="530" spans="11:15" ht="15.75" customHeight="1">
      <c r="K530" s="65"/>
      <c r="L530" s="65"/>
      <c r="M530" s="65"/>
      <c r="N530" s="65"/>
      <c r="O530" s="65"/>
    </row>
    <row r="531" spans="11:15" ht="15.75" customHeight="1">
      <c r="K531" s="65"/>
      <c r="L531" s="65"/>
      <c r="M531" s="65"/>
      <c r="N531" s="65"/>
      <c r="O531" s="65"/>
    </row>
    <row r="532" spans="11:15" ht="15.75" customHeight="1">
      <c r="K532" s="65"/>
      <c r="L532" s="65"/>
      <c r="M532" s="65"/>
      <c r="N532" s="65"/>
      <c r="O532" s="65"/>
    </row>
    <row r="533" spans="11:15" ht="15.75" customHeight="1">
      <c r="K533" s="65"/>
      <c r="L533" s="65"/>
      <c r="M533" s="65"/>
      <c r="N533" s="65"/>
      <c r="O533" s="65"/>
    </row>
    <row r="534" spans="11:15" ht="15.75" customHeight="1">
      <c r="K534" s="65"/>
      <c r="L534" s="65"/>
      <c r="M534" s="65"/>
      <c r="N534" s="65"/>
      <c r="O534" s="65"/>
    </row>
    <row r="535" spans="11:15" ht="15.75" customHeight="1">
      <c r="K535" s="65"/>
      <c r="L535" s="65"/>
      <c r="M535" s="65"/>
      <c r="N535" s="65"/>
      <c r="O535" s="65"/>
    </row>
    <row r="536" spans="11:15" ht="15.75" customHeight="1">
      <c r="K536" s="65"/>
      <c r="L536" s="65"/>
      <c r="M536" s="65"/>
      <c r="N536" s="65"/>
      <c r="O536" s="65"/>
    </row>
    <row r="537" spans="11:15" ht="15.75" customHeight="1">
      <c r="K537" s="65"/>
      <c r="L537" s="65"/>
      <c r="M537" s="65"/>
      <c r="N537" s="65"/>
      <c r="O537" s="65"/>
    </row>
    <row r="538" spans="11:15" ht="15.75" customHeight="1">
      <c r="K538" s="65"/>
      <c r="L538" s="65"/>
      <c r="M538" s="65"/>
      <c r="N538" s="65"/>
      <c r="O538" s="65"/>
    </row>
    <row r="539" spans="11:15" ht="15.75" customHeight="1">
      <c r="K539" s="65"/>
      <c r="L539" s="65"/>
      <c r="M539" s="65"/>
      <c r="N539" s="65"/>
      <c r="O539" s="65"/>
    </row>
    <row r="540" spans="11:15" ht="15.75" customHeight="1">
      <c r="K540" s="65"/>
      <c r="L540" s="65"/>
      <c r="M540" s="65"/>
      <c r="N540" s="65"/>
      <c r="O540" s="65"/>
    </row>
    <row r="541" spans="11:15" ht="15.75" customHeight="1">
      <c r="K541" s="65"/>
      <c r="L541" s="65"/>
      <c r="M541" s="65"/>
      <c r="N541" s="65"/>
      <c r="O541" s="65"/>
    </row>
    <row r="542" spans="11:15" ht="15.75" customHeight="1">
      <c r="K542" s="65"/>
      <c r="L542" s="65"/>
      <c r="M542" s="65"/>
      <c r="N542" s="65"/>
      <c r="O542" s="65"/>
    </row>
    <row r="543" spans="11:15" ht="15.75" customHeight="1">
      <c r="K543" s="65"/>
      <c r="L543" s="65"/>
      <c r="M543" s="65"/>
      <c r="N543" s="65"/>
      <c r="O543" s="65"/>
    </row>
    <row r="544" spans="11:15" ht="15.75" customHeight="1">
      <c r="K544" s="65"/>
      <c r="L544" s="65"/>
      <c r="M544" s="65"/>
      <c r="N544" s="65"/>
      <c r="O544" s="65"/>
    </row>
    <row r="545" spans="11:15" ht="15.75" customHeight="1">
      <c r="K545" s="65"/>
      <c r="L545" s="65"/>
      <c r="M545" s="65"/>
      <c r="N545" s="65"/>
      <c r="O545" s="65"/>
    </row>
    <row r="546" spans="11:15" ht="15.75" customHeight="1">
      <c r="K546" s="65"/>
      <c r="L546" s="65"/>
      <c r="M546" s="65"/>
      <c r="N546" s="65"/>
      <c r="O546" s="65"/>
    </row>
    <row r="547" spans="11:15" ht="15.75" customHeight="1">
      <c r="K547" s="65"/>
      <c r="L547" s="65"/>
      <c r="M547" s="65"/>
      <c r="N547" s="65"/>
      <c r="O547" s="65"/>
    </row>
    <row r="548" spans="11:15" ht="15.75" customHeight="1">
      <c r="K548" s="65"/>
      <c r="L548" s="65"/>
      <c r="M548" s="65"/>
      <c r="N548" s="65"/>
      <c r="O548" s="65"/>
    </row>
    <row r="549" spans="11:15" ht="15.75" customHeight="1">
      <c r="K549" s="65"/>
      <c r="L549" s="65"/>
      <c r="M549" s="65"/>
      <c r="N549" s="65"/>
      <c r="O549" s="65"/>
    </row>
    <row r="550" spans="11:15" ht="15.75" customHeight="1">
      <c r="K550" s="65"/>
      <c r="L550" s="65"/>
      <c r="M550" s="65"/>
      <c r="N550" s="65"/>
      <c r="O550" s="65"/>
    </row>
    <row r="551" spans="11:15" ht="15.75" customHeight="1">
      <c r="K551" s="65"/>
      <c r="L551" s="65"/>
      <c r="M551" s="65"/>
      <c r="N551" s="65"/>
      <c r="O551" s="65"/>
    </row>
    <row r="552" spans="11:15" ht="15.75" customHeight="1">
      <c r="K552" s="65"/>
      <c r="L552" s="65"/>
      <c r="M552" s="65"/>
      <c r="N552" s="65"/>
      <c r="O552" s="65"/>
    </row>
    <row r="553" spans="11:15" ht="15.75" customHeight="1">
      <c r="K553" s="65"/>
      <c r="L553" s="65"/>
      <c r="M553" s="65"/>
      <c r="N553" s="65"/>
      <c r="O553" s="65"/>
    </row>
    <row r="554" spans="11:15" ht="15.75" customHeight="1">
      <c r="K554" s="65"/>
      <c r="L554" s="65"/>
      <c r="M554" s="65"/>
      <c r="N554" s="65"/>
      <c r="O554" s="65"/>
    </row>
    <row r="555" spans="11:15" ht="15.75" customHeight="1">
      <c r="K555" s="65"/>
      <c r="L555" s="65"/>
      <c r="M555" s="65"/>
      <c r="N555" s="65"/>
      <c r="O555" s="65"/>
    </row>
    <row r="556" spans="11:15" ht="15.75" customHeight="1">
      <c r="K556" s="65"/>
      <c r="L556" s="65"/>
      <c r="M556" s="65"/>
      <c r="N556" s="65"/>
      <c r="O556" s="65"/>
    </row>
    <row r="557" spans="11:15" ht="15.75" customHeight="1">
      <c r="K557" s="65"/>
      <c r="L557" s="65"/>
      <c r="M557" s="65"/>
      <c r="N557" s="65"/>
      <c r="O557" s="65"/>
    </row>
    <row r="558" spans="11:15" ht="15.75" customHeight="1">
      <c r="K558" s="65"/>
      <c r="L558" s="65"/>
      <c r="M558" s="65"/>
      <c r="N558" s="65"/>
      <c r="O558" s="65"/>
    </row>
    <row r="559" spans="11:15" ht="15.75" customHeight="1">
      <c r="K559" s="65"/>
      <c r="L559" s="65"/>
      <c r="M559" s="65"/>
      <c r="N559" s="65"/>
      <c r="O559" s="65"/>
    </row>
    <row r="560" spans="11:15" ht="15.75" customHeight="1">
      <c r="K560" s="65"/>
      <c r="L560" s="65"/>
      <c r="M560" s="65"/>
      <c r="N560" s="65"/>
      <c r="O560" s="65"/>
    </row>
    <row r="561" spans="11:15" ht="15.75" customHeight="1">
      <c r="K561" s="65"/>
      <c r="L561" s="65"/>
      <c r="M561" s="65"/>
      <c r="N561" s="65"/>
      <c r="O561" s="65"/>
    </row>
    <row r="562" spans="11:15" ht="15.75" customHeight="1">
      <c r="K562" s="65"/>
      <c r="L562" s="65"/>
      <c r="M562" s="65"/>
      <c r="N562" s="65"/>
      <c r="O562" s="65"/>
    </row>
    <row r="563" spans="11:15" ht="15.75" customHeight="1">
      <c r="K563" s="65"/>
      <c r="L563" s="65"/>
      <c r="M563" s="65"/>
      <c r="N563" s="65"/>
      <c r="O563" s="65"/>
    </row>
    <row r="564" spans="11:15" ht="15.75" customHeight="1">
      <c r="K564" s="65"/>
      <c r="L564" s="65"/>
      <c r="M564" s="65"/>
      <c r="N564" s="65"/>
      <c r="O564" s="65"/>
    </row>
    <row r="565" spans="11:15" ht="15.75" customHeight="1">
      <c r="K565" s="65"/>
      <c r="L565" s="65"/>
      <c r="M565" s="65"/>
      <c r="N565" s="65"/>
      <c r="O565" s="65"/>
    </row>
    <row r="566" spans="11:15" ht="15.75" customHeight="1">
      <c r="K566" s="65"/>
      <c r="L566" s="65"/>
      <c r="M566" s="65"/>
      <c r="N566" s="65"/>
      <c r="O566" s="65"/>
    </row>
    <row r="567" spans="11:15" ht="15.75" customHeight="1">
      <c r="K567" s="65"/>
      <c r="L567" s="65"/>
      <c r="M567" s="65"/>
      <c r="N567" s="65"/>
      <c r="O567" s="65"/>
    </row>
    <row r="568" spans="11:15" ht="15.75" customHeight="1">
      <c r="K568" s="65"/>
      <c r="L568" s="65"/>
      <c r="M568" s="65"/>
      <c r="N568" s="65"/>
      <c r="O568" s="65"/>
    </row>
    <row r="569" spans="11:15" ht="15.75" customHeight="1">
      <c r="K569" s="65"/>
      <c r="L569" s="65"/>
      <c r="M569" s="65"/>
      <c r="N569" s="65"/>
      <c r="O569" s="65"/>
    </row>
    <row r="570" spans="11:15" ht="15.75" customHeight="1">
      <c r="K570" s="65"/>
      <c r="L570" s="65"/>
      <c r="M570" s="65"/>
      <c r="N570" s="65"/>
      <c r="O570" s="65"/>
    </row>
    <row r="571" spans="11:15" ht="15.75" customHeight="1">
      <c r="K571" s="65"/>
      <c r="L571" s="65"/>
      <c r="M571" s="65"/>
      <c r="N571" s="65"/>
      <c r="O571" s="65"/>
    </row>
    <row r="572" spans="11:15" ht="15.75" customHeight="1">
      <c r="K572" s="65"/>
      <c r="L572" s="65"/>
      <c r="M572" s="65"/>
      <c r="N572" s="65"/>
      <c r="O572" s="65"/>
    </row>
    <row r="573" spans="11:15" ht="15.75" customHeight="1">
      <c r="K573" s="65"/>
      <c r="L573" s="65"/>
      <c r="M573" s="65"/>
      <c r="N573" s="65"/>
      <c r="O573" s="65"/>
    </row>
    <row r="574" spans="11:15" ht="15.75" customHeight="1">
      <c r="K574" s="65"/>
      <c r="L574" s="65"/>
      <c r="M574" s="65"/>
      <c r="N574" s="65"/>
      <c r="O574" s="65"/>
    </row>
    <row r="575" spans="11:15" ht="15.75" customHeight="1">
      <c r="K575" s="65"/>
      <c r="L575" s="65"/>
      <c r="M575" s="65"/>
      <c r="N575" s="65"/>
      <c r="O575" s="65"/>
    </row>
    <row r="576" spans="11:15" ht="15.75" customHeight="1">
      <c r="K576" s="65"/>
      <c r="L576" s="65"/>
      <c r="M576" s="65"/>
      <c r="N576" s="65"/>
      <c r="O576" s="65"/>
    </row>
    <row r="577" spans="11:15" ht="15.75" customHeight="1">
      <c r="K577" s="65"/>
      <c r="L577" s="65"/>
      <c r="M577" s="65"/>
      <c r="N577" s="65"/>
      <c r="O577" s="65"/>
    </row>
    <row r="578" spans="11:15" ht="15.75" customHeight="1">
      <c r="K578" s="65"/>
      <c r="L578" s="65"/>
      <c r="M578" s="65"/>
      <c r="N578" s="65"/>
      <c r="O578" s="65"/>
    </row>
    <row r="579" spans="11:15" ht="15.75" customHeight="1">
      <c r="K579" s="65"/>
      <c r="L579" s="65"/>
      <c r="M579" s="65"/>
      <c r="N579" s="65"/>
      <c r="O579" s="65"/>
    </row>
    <row r="580" spans="11:15" ht="15.75" customHeight="1">
      <c r="K580" s="65"/>
      <c r="L580" s="65"/>
      <c r="M580" s="65"/>
      <c r="N580" s="65"/>
      <c r="O580" s="65"/>
    </row>
    <row r="581" spans="11:15" ht="15.75" customHeight="1">
      <c r="K581" s="65"/>
      <c r="L581" s="65"/>
      <c r="M581" s="65"/>
      <c r="N581" s="65"/>
      <c r="O581" s="65"/>
    </row>
    <row r="582" spans="11:15" ht="15.75" customHeight="1">
      <c r="K582" s="65"/>
      <c r="L582" s="65"/>
      <c r="M582" s="65"/>
      <c r="N582" s="65"/>
      <c r="O582" s="65"/>
    </row>
    <row r="583" spans="11:15" ht="15.75" customHeight="1">
      <c r="K583" s="65"/>
      <c r="L583" s="65"/>
      <c r="M583" s="65"/>
      <c r="N583" s="65"/>
      <c r="O583" s="65"/>
    </row>
    <row r="584" spans="11:15" ht="15.75" customHeight="1">
      <c r="K584" s="65"/>
      <c r="L584" s="65"/>
      <c r="M584" s="65"/>
      <c r="N584" s="65"/>
      <c r="O584" s="65"/>
    </row>
    <row r="585" spans="11:15" ht="15.75" customHeight="1">
      <c r="K585" s="65"/>
      <c r="L585" s="65"/>
      <c r="M585" s="65"/>
      <c r="N585" s="65"/>
      <c r="O585" s="65"/>
    </row>
    <row r="586" spans="11:15" ht="15.75" customHeight="1">
      <c r="K586" s="65"/>
      <c r="L586" s="65"/>
      <c r="M586" s="65"/>
      <c r="N586" s="65"/>
      <c r="O586" s="65"/>
    </row>
    <row r="587" spans="11:15" ht="15.75" customHeight="1">
      <c r="K587" s="65"/>
      <c r="L587" s="65"/>
      <c r="M587" s="65"/>
      <c r="N587" s="65"/>
      <c r="O587" s="65"/>
    </row>
    <row r="588" spans="11:15" ht="15.75" customHeight="1">
      <c r="K588" s="65"/>
      <c r="L588" s="65"/>
      <c r="M588" s="65"/>
      <c r="N588" s="65"/>
      <c r="O588" s="65"/>
    </row>
    <row r="589" spans="11:15" ht="15.75" customHeight="1">
      <c r="K589" s="65"/>
      <c r="L589" s="65"/>
      <c r="M589" s="65"/>
      <c r="N589" s="65"/>
      <c r="O589" s="65"/>
    </row>
    <row r="590" spans="11:15" ht="15.75" customHeight="1">
      <c r="K590" s="65"/>
      <c r="L590" s="65"/>
      <c r="M590" s="65"/>
      <c r="N590" s="65"/>
      <c r="O590" s="65"/>
    </row>
    <row r="591" spans="11:15" ht="15.75" customHeight="1">
      <c r="K591" s="65"/>
      <c r="L591" s="65"/>
      <c r="M591" s="65"/>
      <c r="N591" s="65"/>
      <c r="O591" s="65"/>
    </row>
    <row r="592" spans="11:15" ht="15.75" customHeight="1">
      <c r="K592" s="65"/>
      <c r="L592" s="65"/>
      <c r="M592" s="65"/>
      <c r="N592" s="65"/>
      <c r="O592" s="65"/>
    </row>
    <row r="593" spans="11:15" ht="15.75" customHeight="1">
      <c r="K593" s="65"/>
      <c r="L593" s="65"/>
      <c r="M593" s="65"/>
      <c r="N593" s="65"/>
      <c r="O593" s="65"/>
    </row>
    <row r="594" spans="11:15" ht="15.75" customHeight="1">
      <c r="K594" s="65"/>
      <c r="L594" s="65"/>
      <c r="M594" s="65"/>
      <c r="N594" s="65"/>
      <c r="O594" s="65"/>
    </row>
    <row r="595" spans="11:15" ht="15.75" customHeight="1">
      <c r="K595" s="65"/>
      <c r="L595" s="65"/>
      <c r="M595" s="65"/>
      <c r="N595" s="65"/>
      <c r="O595" s="65"/>
    </row>
    <row r="596" spans="11:15" ht="15.75" customHeight="1">
      <c r="K596" s="65"/>
      <c r="L596" s="65"/>
      <c r="M596" s="65"/>
      <c r="N596" s="65"/>
      <c r="O596" s="65"/>
    </row>
    <row r="597" spans="11:15" ht="15.75" customHeight="1">
      <c r="K597" s="65"/>
      <c r="L597" s="65"/>
      <c r="M597" s="65"/>
      <c r="N597" s="65"/>
      <c r="O597" s="65"/>
    </row>
    <row r="598" spans="11:15" ht="15.75" customHeight="1">
      <c r="K598" s="65"/>
      <c r="L598" s="65"/>
      <c r="M598" s="65"/>
      <c r="N598" s="65"/>
      <c r="O598" s="65"/>
    </row>
    <row r="599" spans="11:15" ht="15.75" customHeight="1">
      <c r="K599" s="65"/>
      <c r="L599" s="65"/>
      <c r="M599" s="65"/>
      <c r="N599" s="65"/>
      <c r="O599" s="65"/>
    </row>
    <row r="600" spans="11:15" ht="15.75" customHeight="1">
      <c r="K600" s="65"/>
      <c r="L600" s="65"/>
      <c r="M600" s="65"/>
      <c r="N600" s="65"/>
      <c r="O600" s="65"/>
    </row>
    <row r="601" spans="11:15" ht="15.75" customHeight="1">
      <c r="K601" s="65"/>
      <c r="L601" s="65"/>
      <c r="M601" s="65"/>
      <c r="N601" s="65"/>
      <c r="O601" s="65"/>
    </row>
    <row r="602" spans="11:15" ht="15.75" customHeight="1">
      <c r="K602" s="65"/>
      <c r="L602" s="65"/>
      <c r="M602" s="65"/>
      <c r="N602" s="65"/>
      <c r="O602" s="65"/>
    </row>
    <row r="603" spans="11:15" ht="15.75" customHeight="1">
      <c r="K603" s="65"/>
      <c r="L603" s="65"/>
      <c r="M603" s="65"/>
      <c r="N603" s="65"/>
      <c r="O603" s="65"/>
    </row>
    <row r="604" spans="11:15" ht="15.75" customHeight="1">
      <c r="K604" s="65"/>
      <c r="L604" s="65"/>
      <c r="M604" s="65"/>
      <c r="N604" s="65"/>
      <c r="O604" s="65"/>
    </row>
    <row r="605" spans="11:15" ht="15.75" customHeight="1">
      <c r="K605" s="65"/>
      <c r="L605" s="65"/>
      <c r="M605" s="65"/>
      <c r="N605" s="65"/>
      <c r="O605" s="65"/>
    </row>
    <row r="606" spans="11:15" ht="15.75" customHeight="1">
      <c r="K606" s="65"/>
      <c r="L606" s="65"/>
      <c r="M606" s="65"/>
      <c r="N606" s="65"/>
      <c r="O606" s="65"/>
    </row>
    <row r="607" spans="11:15" ht="15.75" customHeight="1">
      <c r="K607" s="65"/>
      <c r="L607" s="65"/>
      <c r="M607" s="65"/>
      <c r="N607" s="65"/>
      <c r="O607" s="65"/>
    </row>
    <row r="608" spans="11:15" ht="15.75" customHeight="1">
      <c r="K608" s="65"/>
      <c r="L608" s="65"/>
      <c r="M608" s="65"/>
      <c r="N608" s="65"/>
      <c r="O608" s="65"/>
    </row>
    <row r="609" spans="11:15" ht="15.75" customHeight="1">
      <c r="K609" s="65"/>
      <c r="L609" s="65"/>
      <c r="M609" s="65"/>
      <c r="N609" s="65"/>
      <c r="O609" s="65"/>
    </row>
    <row r="610" spans="11:15" ht="15.75" customHeight="1">
      <c r="K610" s="65"/>
      <c r="L610" s="65"/>
      <c r="M610" s="65"/>
      <c r="N610" s="65"/>
      <c r="O610" s="65"/>
    </row>
    <row r="611" spans="11:15" ht="15.75" customHeight="1">
      <c r="K611" s="65"/>
      <c r="L611" s="65"/>
      <c r="M611" s="65"/>
      <c r="N611" s="65"/>
      <c r="O611" s="65"/>
    </row>
    <row r="612" spans="11:15" ht="15.75" customHeight="1">
      <c r="K612" s="65"/>
      <c r="L612" s="65"/>
      <c r="M612" s="65"/>
      <c r="N612" s="65"/>
      <c r="O612" s="65"/>
    </row>
    <row r="613" spans="11:15" ht="15.75" customHeight="1">
      <c r="K613" s="65"/>
      <c r="L613" s="65"/>
      <c r="M613" s="65"/>
      <c r="N613" s="65"/>
      <c r="O613" s="65"/>
    </row>
    <row r="614" spans="11:15" ht="15.75" customHeight="1">
      <c r="K614" s="65"/>
      <c r="L614" s="65"/>
      <c r="M614" s="65"/>
      <c r="N614" s="65"/>
      <c r="O614" s="65"/>
    </row>
    <row r="615" spans="11:15" ht="15.75" customHeight="1">
      <c r="K615" s="65"/>
      <c r="L615" s="65"/>
      <c r="M615" s="65"/>
      <c r="N615" s="65"/>
      <c r="O615" s="65"/>
    </row>
    <row r="616" spans="11:15" ht="15.75" customHeight="1">
      <c r="K616" s="65"/>
      <c r="L616" s="65"/>
      <c r="M616" s="65"/>
      <c r="N616" s="65"/>
      <c r="O616" s="65"/>
    </row>
    <row r="617" spans="11:15" ht="15.75" customHeight="1">
      <c r="K617" s="65"/>
      <c r="L617" s="65"/>
      <c r="M617" s="65"/>
      <c r="N617" s="65"/>
      <c r="O617" s="65"/>
    </row>
    <row r="618" spans="11:15" ht="15.75" customHeight="1">
      <c r="K618" s="65"/>
      <c r="L618" s="65"/>
      <c r="M618" s="65"/>
      <c r="N618" s="65"/>
      <c r="O618" s="65"/>
    </row>
    <row r="619" spans="11:15" ht="15.75" customHeight="1">
      <c r="K619" s="65"/>
      <c r="L619" s="65"/>
      <c r="M619" s="65"/>
      <c r="N619" s="65"/>
      <c r="O619" s="65"/>
    </row>
    <row r="620" spans="11:15" ht="15.75" customHeight="1">
      <c r="K620" s="65"/>
      <c r="L620" s="65"/>
      <c r="M620" s="65"/>
      <c r="N620" s="65"/>
      <c r="O620" s="65"/>
    </row>
    <row r="621" spans="11:15" ht="15.75" customHeight="1">
      <c r="K621" s="65"/>
      <c r="L621" s="65"/>
      <c r="M621" s="65"/>
      <c r="N621" s="65"/>
      <c r="O621" s="65"/>
    </row>
    <row r="622" spans="11:15" ht="15.75" customHeight="1">
      <c r="K622" s="65"/>
      <c r="L622" s="65"/>
      <c r="M622" s="65"/>
      <c r="N622" s="65"/>
      <c r="O622" s="65"/>
    </row>
    <row r="623" spans="11:15" ht="15.75" customHeight="1">
      <c r="K623" s="65"/>
      <c r="L623" s="65"/>
      <c r="M623" s="65"/>
      <c r="N623" s="65"/>
      <c r="O623" s="65"/>
    </row>
    <row r="624" spans="11:15" ht="15.75" customHeight="1">
      <c r="K624" s="65"/>
      <c r="L624" s="65"/>
      <c r="M624" s="65"/>
      <c r="N624" s="65"/>
      <c r="O624" s="65"/>
    </row>
    <row r="625" spans="11:15" ht="15.75" customHeight="1">
      <c r="K625" s="65"/>
      <c r="L625" s="65"/>
      <c r="M625" s="65"/>
      <c r="N625" s="65"/>
      <c r="O625" s="65"/>
    </row>
    <row r="626" spans="11:15" ht="15.75" customHeight="1">
      <c r="K626" s="65"/>
      <c r="L626" s="65"/>
      <c r="M626" s="65"/>
      <c r="N626" s="65"/>
      <c r="O626" s="65"/>
    </row>
    <row r="627" spans="11:15" ht="15.75" customHeight="1">
      <c r="K627" s="65"/>
      <c r="L627" s="65"/>
      <c r="M627" s="65"/>
      <c r="N627" s="65"/>
      <c r="O627" s="65"/>
    </row>
    <row r="628" spans="11:15" ht="15.75" customHeight="1">
      <c r="K628" s="65"/>
      <c r="L628" s="65"/>
      <c r="M628" s="65"/>
      <c r="N628" s="65"/>
      <c r="O628" s="65"/>
    </row>
    <row r="629" spans="11:15" ht="15.75" customHeight="1">
      <c r="K629" s="65"/>
      <c r="L629" s="65"/>
      <c r="M629" s="65"/>
      <c r="N629" s="65"/>
      <c r="O629" s="65"/>
    </row>
    <row r="630" spans="11:15" ht="15.75" customHeight="1">
      <c r="K630" s="65"/>
      <c r="L630" s="65"/>
      <c r="M630" s="65"/>
      <c r="N630" s="65"/>
      <c r="O630" s="65"/>
    </row>
    <row r="631" spans="11:15" ht="15.75" customHeight="1">
      <c r="K631" s="65"/>
      <c r="L631" s="65"/>
      <c r="M631" s="65"/>
      <c r="N631" s="65"/>
      <c r="O631" s="65"/>
    </row>
    <row r="632" spans="11:15" ht="15.75" customHeight="1">
      <c r="K632" s="65"/>
      <c r="L632" s="65"/>
      <c r="M632" s="65"/>
      <c r="N632" s="65"/>
      <c r="O632" s="65"/>
    </row>
    <row r="633" spans="11:15" ht="15.75" customHeight="1">
      <c r="K633" s="65"/>
      <c r="L633" s="65"/>
      <c r="M633" s="65"/>
      <c r="N633" s="65"/>
      <c r="O633" s="65"/>
    </row>
    <row r="634" spans="11:15" ht="15.75" customHeight="1">
      <c r="K634" s="65"/>
      <c r="L634" s="65"/>
      <c r="M634" s="65"/>
      <c r="N634" s="65"/>
      <c r="O634" s="65"/>
    </row>
    <row r="635" spans="11:15" ht="15.75" customHeight="1">
      <c r="K635" s="65"/>
      <c r="L635" s="65"/>
      <c r="M635" s="65"/>
      <c r="N635" s="65"/>
      <c r="O635" s="65"/>
    </row>
    <row r="636" spans="11:15" ht="15.75" customHeight="1">
      <c r="K636" s="65"/>
      <c r="L636" s="65"/>
      <c r="M636" s="65"/>
      <c r="N636" s="65"/>
      <c r="O636" s="65"/>
    </row>
    <row r="637" spans="11:15" ht="15.75" customHeight="1">
      <c r="K637" s="65"/>
      <c r="L637" s="65"/>
      <c r="M637" s="65"/>
      <c r="N637" s="65"/>
      <c r="O637" s="65"/>
    </row>
    <row r="638" spans="11:15" ht="15.75" customHeight="1">
      <c r="K638" s="65"/>
      <c r="L638" s="65"/>
      <c r="M638" s="65"/>
      <c r="N638" s="65"/>
      <c r="O638" s="65"/>
    </row>
    <row r="639" spans="11:15" ht="15.75" customHeight="1">
      <c r="K639" s="65"/>
      <c r="L639" s="65"/>
      <c r="M639" s="65"/>
      <c r="N639" s="65"/>
      <c r="O639" s="65"/>
    </row>
    <row r="640" spans="11:15" ht="15.75" customHeight="1">
      <c r="K640" s="65"/>
      <c r="L640" s="65"/>
      <c r="M640" s="65"/>
      <c r="N640" s="65"/>
      <c r="O640" s="65"/>
    </row>
    <row r="641" spans="11:15" ht="15.75" customHeight="1">
      <c r="K641" s="65"/>
      <c r="L641" s="65"/>
      <c r="M641" s="65"/>
      <c r="N641" s="65"/>
      <c r="O641" s="65"/>
    </row>
    <row r="642" spans="11:15" ht="15.75" customHeight="1">
      <c r="K642" s="65"/>
      <c r="L642" s="65"/>
      <c r="M642" s="65"/>
      <c r="N642" s="65"/>
      <c r="O642" s="65"/>
    </row>
    <row r="643" spans="11:15" ht="15.75" customHeight="1">
      <c r="K643" s="65"/>
      <c r="L643" s="65"/>
      <c r="M643" s="65"/>
      <c r="N643" s="65"/>
      <c r="O643" s="65"/>
    </row>
    <row r="644" spans="11:15" ht="15.75" customHeight="1">
      <c r="K644" s="65"/>
      <c r="L644" s="65"/>
      <c r="M644" s="65"/>
      <c r="N644" s="65"/>
      <c r="O644" s="65"/>
    </row>
    <row r="645" spans="11:15" ht="15.75" customHeight="1">
      <c r="K645" s="65"/>
      <c r="L645" s="65"/>
      <c r="M645" s="65"/>
      <c r="N645" s="65"/>
      <c r="O645" s="65"/>
    </row>
    <row r="646" spans="11:15" ht="15.75" customHeight="1">
      <c r="K646" s="65"/>
      <c r="L646" s="65"/>
      <c r="M646" s="65"/>
      <c r="N646" s="65"/>
      <c r="O646" s="65"/>
    </row>
    <row r="647" spans="11:15" ht="15.75" customHeight="1">
      <c r="K647" s="65"/>
      <c r="L647" s="65"/>
      <c r="M647" s="65"/>
      <c r="N647" s="65"/>
      <c r="O647" s="65"/>
    </row>
    <row r="648" spans="11:15" ht="15.75" customHeight="1">
      <c r="K648" s="65"/>
      <c r="L648" s="65"/>
      <c r="M648" s="65"/>
      <c r="N648" s="65"/>
      <c r="O648" s="65"/>
    </row>
    <row r="649" spans="11:15" ht="15.75" customHeight="1">
      <c r="K649" s="65"/>
      <c r="L649" s="65"/>
      <c r="M649" s="65"/>
      <c r="N649" s="65"/>
      <c r="O649" s="65"/>
    </row>
    <row r="650" spans="11:15" ht="15.75" customHeight="1">
      <c r="K650" s="65"/>
      <c r="L650" s="65"/>
      <c r="M650" s="65"/>
      <c r="N650" s="65"/>
      <c r="O650" s="65"/>
    </row>
    <row r="651" spans="11:15" ht="15.75" customHeight="1">
      <c r="K651" s="65"/>
      <c r="L651" s="65"/>
      <c r="M651" s="65"/>
      <c r="N651" s="65"/>
      <c r="O651" s="65"/>
    </row>
    <row r="652" spans="11:15" ht="15.75" customHeight="1">
      <c r="K652" s="65"/>
      <c r="L652" s="65"/>
      <c r="M652" s="65"/>
      <c r="N652" s="65"/>
      <c r="O652" s="65"/>
    </row>
    <row r="653" spans="11:15" ht="15.75" customHeight="1">
      <c r="K653" s="65"/>
      <c r="L653" s="65"/>
      <c r="M653" s="65"/>
      <c r="N653" s="65"/>
      <c r="O653" s="65"/>
    </row>
    <row r="654" spans="11:15" ht="15.75" customHeight="1">
      <c r="K654" s="65"/>
      <c r="L654" s="65"/>
      <c r="M654" s="65"/>
      <c r="N654" s="65"/>
      <c r="O654" s="65"/>
    </row>
    <row r="655" spans="11:15" ht="15.75" customHeight="1">
      <c r="K655" s="65"/>
      <c r="L655" s="65"/>
      <c r="M655" s="65"/>
      <c r="N655" s="65"/>
      <c r="O655" s="65"/>
    </row>
    <row r="656" spans="11:15" ht="15.75" customHeight="1">
      <c r="K656" s="65"/>
      <c r="L656" s="65"/>
      <c r="M656" s="65"/>
      <c r="N656" s="65"/>
      <c r="O656" s="65"/>
    </row>
    <row r="657" spans="11:15" ht="15.75" customHeight="1">
      <c r="K657" s="65"/>
      <c r="L657" s="65"/>
      <c r="M657" s="65"/>
      <c r="N657" s="65"/>
      <c r="O657" s="65"/>
    </row>
    <row r="658" spans="11:15" ht="15.75" customHeight="1">
      <c r="K658" s="65"/>
      <c r="L658" s="65"/>
      <c r="M658" s="65"/>
      <c r="N658" s="65"/>
      <c r="O658" s="65"/>
    </row>
    <row r="659" spans="11:15" ht="15.75" customHeight="1">
      <c r="K659" s="65"/>
      <c r="L659" s="65"/>
      <c r="M659" s="65"/>
      <c r="N659" s="65"/>
      <c r="O659" s="65"/>
    </row>
    <row r="660" spans="11:15" ht="15.75" customHeight="1">
      <c r="K660" s="65"/>
      <c r="L660" s="65"/>
      <c r="M660" s="65"/>
      <c r="N660" s="65"/>
      <c r="O660" s="65"/>
    </row>
    <row r="661" spans="11:15" ht="15.75" customHeight="1">
      <c r="K661" s="65"/>
      <c r="L661" s="65"/>
      <c r="M661" s="65"/>
      <c r="N661" s="65"/>
      <c r="O661" s="65"/>
    </row>
    <row r="662" spans="11:15" ht="15.75" customHeight="1">
      <c r="K662" s="65"/>
      <c r="L662" s="65"/>
      <c r="M662" s="65"/>
      <c r="N662" s="65"/>
      <c r="O662" s="65"/>
    </row>
    <row r="663" spans="11:15" ht="15.75" customHeight="1">
      <c r="K663" s="65"/>
      <c r="L663" s="65"/>
      <c r="M663" s="65"/>
      <c r="N663" s="65"/>
      <c r="O663" s="65"/>
    </row>
    <row r="664" spans="11:15" ht="15.75" customHeight="1">
      <c r="K664" s="65"/>
      <c r="L664" s="65"/>
      <c r="M664" s="65"/>
      <c r="N664" s="65"/>
      <c r="O664" s="65"/>
    </row>
    <row r="665" spans="11:15" ht="15.75" customHeight="1">
      <c r="K665" s="65"/>
      <c r="L665" s="65"/>
      <c r="M665" s="65"/>
      <c r="N665" s="65"/>
      <c r="O665" s="65"/>
    </row>
    <row r="666" spans="11:15" ht="15.75" customHeight="1">
      <c r="K666" s="65"/>
      <c r="L666" s="65"/>
      <c r="M666" s="65"/>
      <c r="N666" s="65"/>
      <c r="O666" s="65"/>
    </row>
    <row r="667" spans="11:15" ht="15.75" customHeight="1">
      <c r="K667" s="65"/>
      <c r="L667" s="65"/>
      <c r="M667" s="65"/>
      <c r="N667" s="65"/>
      <c r="O667" s="65"/>
    </row>
    <row r="668" spans="11:15" ht="15.75" customHeight="1">
      <c r="K668" s="65"/>
      <c r="L668" s="65"/>
      <c r="M668" s="65"/>
      <c r="N668" s="65"/>
      <c r="O668" s="65"/>
    </row>
    <row r="669" spans="11:15" ht="15.75" customHeight="1">
      <c r="K669" s="65"/>
      <c r="L669" s="65"/>
      <c r="M669" s="65"/>
      <c r="N669" s="65"/>
      <c r="O669" s="65"/>
    </row>
    <row r="670" spans="11:15" ht="15.75" customHeight="1">
      <c r="K670" s="65"/>
      <c r="L670" s="65"/>
      <c r="M670" s="65"/>
      <c r="N670" s="65"/>
      <c r="O670" s="65"/>
    </row>
    <row r="671" spans="11:15" ht="15.75" customHeight="1">
      <c r="K671" s="65"/>
      <c r="L671" s="65"/>
      <c r="M671" s="65"/>
      <c r="N671" s="65"/>
      <c r="O671" s="65"/>
    </row>
    <row r="672" spans="11:15" ht="15.75" customHeight="1">
      <c r="K672" s="65"/>
      <c r="L672" s="65"/>
      <c r="M672" s="65"/>
      <c r="N672" s="65"/>
      <c r="O672" s="65"/>
    </row>
    <row r="673" spans="11:15" ht="15.75" customHeight="1">
      <c r="K673" s="65"/>
      <c r="L673" s="65"/>
      <c r="M673" s="65"/>
      <c r="N673" s="65"/>
      <c r="O673" s="65"/>
    </row>
    <row r="674" spans="11:15" ht="15.75" customHeight="1">
      <c r="K674" s="65"/>
      <c r="L674" s="65"/>
      <c r="M674" s="65"/>
      <c r="N674" s="65"/>
      <c r="O674" s="65"/>
    </row>
    <row r="675" spans="11:15" ht="15.75" customHeight="1">
      <c r="K675" s="65"/>
      <c r="L675" s="65"/>
      <c r="M675" s="65"/>
      <c r="N675" s="65"/>
      <c r="O675" s="65"/>
    </row>
    <row r="676" spans="11:15" ht="15.75" customHeight="1">
      <c r="K676" s="65"/>
      <c r="L676" s="65"/>
      <c r="M676" s="65"/>
      <c r="N676" s="65"/>
      <c r="O676" s="65"/>
    </row>
    <row r="677" spans="11:15" ht="15.75" customHeight="1">
      <c r="K677" s="65"/>
      <c r="L677" s="65"/>
      <c r="M677" s="65"/>
      <c r="N677" s="65"/>
      <c r="O677" s="65"/>
    </row>
    <row r="678" spans="11:15" ht="15.75" customHeight="1">
      <c r="K678" s="65"/>
      <c r="L678" s="65"/>
      <c r="M678" s="65"/>
      <c r="N678" s="65"/>
      <c r="O678" s="65"/>
    </row>
    <row r="679" spans="11:15" ht="15.75" customHeight="1">
      <c r="K679" s="65"/>
      <c r="L679" s="65"/>
      <c r="M679" s="65"/>
      <c r="N679" s="65"/>
      <c r="O679" s="65"/>
    </row>
    <row r="680" spans="11:15" ht="15.75" customHeight="1">
      <c r="K680" s="65"/>
      <c r="L680" s="65"/>
      <c r="M680" s="65"/>
      <c r="N680" s="65"/>
      <c r="O680" s="65"/>
    </row>
    <row r="681" spans="11:15" ht="15.75" customHeight="1">
      <c r="K681" s="65"/>
      <c r="L681" s="65"/>
      <c r="M681" s="65"/>
      <c r="N681" s="65"/>
      <c r="O681" s="65"/>
    </row>
    <row r="682" spans="11:15" ht="15.75" customHeight="1">
      <c r="K682" s="65"/>
      <c r="L682" s="65"/>
      <c r="M682" s="65"/>
      <c r="N682" s="65"/>
      <c r="O682" s="65"/>
    </row>
    <row r="683" spans="11:15" ht="15.75" customHeight="1">
      <c r="K683" s="65"/>
      <c r="L683" s="65"/>
      <c r="M683" s="65"/>
      <c r="N683" s="65"/>
      <c r="O683" s="65"/>
    </row>
    <row r="684" spans="11:15" ht="15.75" customHeight="1">
      <c r="K684" s="65"/>
      <c r="L684" s="65"/>
      <c r="M684" s="65"/>
      <c r="N684" s="65"/>
      <c r="O684" s="65"/>
    </row>
    <row r="685" spans="11:15" ht="15.75" customHeight="1">
      <c r="K685" s="65"/>
      <c r="L685" s="65"/>
      <c r="M685" s="65"/>
      <c r="N685" s="65"/>
      <c r="O685" s="65"/>
    </row>
    <row r="686" spans="11:15" ht="15.75" customHeight="1">
      <c r="K686" s="65"/>
      <c r="L686" s="65"/>
      <c r="M686" s="65"/>
      <c r="N686" s="65"/>
      <c r="O686" s="65"/>
    </row>
    <row r="687" spans="11:15" ht="15.75" customHeight="1">
      <c r="K687" s="65"/>
      <c r="L687" s="65"/>
      <c r="M687" s="65"/>
      <c r="N687" s="65"/>
      <c r="O687" s="65"/>
    </row>
    <row r="688" spans="11:15" ht="15.75" customHeight="1">
      <c r="K688" s="65"/>
      <c r="L688" s="65"/>
      <c r="M688" s="65"/>
      <c r="N688" s="65"/>
      <c r="O688" s="65"/>
    </row>
    <row r="689" spans="11:15" ht="15.75" customHeight="1">
      <c r="K689" s="65"/>
      <c r="L689" s="65"/>
      <c r="M689" s="65"/>
      <c r="N689" s="65"/>
      <c r="O689" s="65"/>
    </row>
    <row r="690" spans="11:15" ht="15.75" customHeight="1">
      <c r="K690" s="65"/>
      <c r="L690" s="65"/>
      <c r="M690" s="65"/>
      <c r="N690" s="65"/>
      <c r="O690" s="65"/>
    </row>
    <row r="691" spans="11:15" ht="15.75" customHeight="1">
      <c r="K691" s="65"/>
      <c r="L691" s="65"/>
      <c r="M691" s="65"/>
      <c r="N691" s="65"/>
      <c r="O691" s="65"/>
    </row>
    <row r="692" spans="11:15" ht="15.75" customHeight="1">
      <c r="K692" s="65"/>
      <c r="L692" s="65"/>
      <c r="M692" s="65"/>
      <c r="N692" s="65"/>
      <c r="O692" s="65"/>
    </row>
    <row r="693" spans="11:15" ht="15.75" customHeight="1">
      <c r="K693" s="65"/>
      <c r="L693" s="65"/>
      <c r="M693" s="65"/>
      <c r="N693" s="65"/>
      <c r="O693" s="65"/>
    </row>
    <row r="694" spans="11:15" ht="15.75" customHeight="1">
      <c r="K694" s="65"/>
      <c r="L694" s="65"/>
      <c r="M694" s="65"/>
      <c r="N694" s="65"/>
      <c r="O694" s="65"/>
    </row>
    <row r="695" spans="11:15" ht="15.75" customHeight="1">
      <c r="K695" s="65"/>
      <c r="L695" s="65"/>
      <c r="M695" s="65"/>
      <c r="N695" s="65"/>
      <c r="O695" s="65"/>
    </row>
    <row r="696" spans="11:15" ht="15.75" customHeight="1">
      <c r="K696" s="65"/>
      <c r="L696" s="65"/>
      <c r="M696" s="65"/>
      <c r="N696" s="65"/>
      <c r="O696" s="65"/>
    </row>
    <row r="697" spans="11:15" ht="15.75" customHeight="1">
      <c r="K697" s="65"/>
      <c r="L697" s="65"/>
      <c r="M697" s="65"/>
      <c r="N697" s="65"/>
      <c r="O697" s="65"/>
    </row>
    <row r="698" spans="11:15" ht="15.75" customHeight="1">
      <c r="K698" s="65"/>
      <c r="L698" s="65"/>
      <c r="M698" s="65"/>
      <c r="N698" s="65"/>
      <c r="O698" s="65"/>
    </row>
    <row r="699" spans="11:15" ht="15.75" customHeight="1">
      <c r="K699" s="65"/>
      <c r="L699" s="65"/>
      <c r="M699" s="65"/>
      <c r="N699" s="65"/>
      <c r="O699" s="65"/>
    </row>
    <row r="700" spans="11:15" ht="15.75" customHeight="1">
      <c r="K700" s="65"/>
      <c r="L700" s="65"/>
      <c r="M700" s="65"/>
      <c r="N700" s="65"/>
      <c r="O700" s="65"/>
    </row>
    <row r="701" spans="11:15" ht="15.75" customHeight="1">
      <c r="K701" s="65"/>
      <c r="L701" s="65"/>
      <c r="M701" s="65"/>
      <c r="N701" s="65"/>
      <c r="O701" s="65"/>
    </row>
    <row r="702" spans="11:15" ht="15.75" customHeight="1">
      <c r="K702" s="65"/>
      <c r="L702" s="65"/>
      <c r="M702" s="65"/>
      <c r="N702" s="65"/>
      <c r="O702" s="65"/>
    </row>
    <row r="703" spans="11:15" ht="15.75" customHeight="1">
      <c r="K703" s="65"/>
      <c r="L703" s="65"/>
      <c r="M703" s="65"/>
      <c r="N703" s="65"/>
      <c r="O703" s="65"/>
    </row>
    <row r="704" spans="11:15" ht="15.75" customHeight="1">
      <c r="K704" s="65"/>
      <c r="L704" s="65"/>
      <c r="M704" s="65"/>
      <c r="N704" s="65"/>
      <c r="O704" s="65"/>
    </row>
    <row r="705" spans="11:15" ht="15.75" customHeight="1">
      <c r="K705" s="65"/>
      <c r="L705" s="65"/>
      <c r="M705" s="65"/>
      <c r="N705" s="65"/>
      <c r="O705" s="65"/>
    </row>
    <row r="706" spans="11:15" ht="15.75" customHeight="1">
      <c r="K706" s="65"/>
      <c r="L706" s="65"/>
      <c r="M706" s="65"/>
      <c r="N706" s="65"/>
      <c r="O706" s="65"/>
    </row>
    <row r="707" spans="11:15" ht="15.75" customHeight="1">
      <c r="K707" s="65"/>
      <c r="L707" s="65"/>
      <c r="M707" s="65"/>
      <c r="N707" s="65"/>
      <c r="O707" s="65"/>
    </row>
    <row r="708" spans="11:15" ht="15.75" customHeight="1">
      <c r="K708" s="65"/>
      <c r="L708" s="65"/>
      <c r="M708" s="65"/>
      <c r="N708" s="65"/>
      <c r="O708" s="65"/>
    </row>
    <row r="709" spans="11:15" ht="15.75" customHeight="1">
      <c r="K709" s="65"/>
      <c r="L709" s="65"/>
      <c r="M709" s="65"/>
      <c r="N709" s="65"/>
      <c r="O709" s="65"/>
    </row>
    <row r="710" spans="11:15" ht="15.75" customHeight="1">
      <c r="K710" s="65"/>
      <c r="L710" s="65"/>
      <c r="M710" s="65"/>
      <c r="N710" s="65"/>
      <c r="O710" s="65"/>
    </row>
    <row r="711" spans="11:15" ht="15.75" customHeight="1">
      <c r="K711" s="65"/>
      <c r="L711" s="65"/>
      <c r="M711" s="65"/>
      <c r="N711" s="65"/>
      <c r="O711" s="65"/>
    </row>
    <row r="712" spans="11:15" ht="15.75" customHeight="1">
      <c r="K712" s="65"/>
      <c r="L712" s="65"/>
      <c r="M712" s="65"/>
      <c r="N712" s="65"/>
      <c r="O712" s="65"/>
    </row>
    <row r="713" spans="11:15" ht="15.75" customHeight="1">
      <c r="K713" s="65"/>
      <c r="L713" s="65"/>
      <c r="M713" s="65"/>
      <c r="N713" s="65"/>
      <c r="O713" s="65"/>
    </row>
    <row r="714" spans="11:15" ht="15.75" customHeight="1">
      <c r="K714" s="65"/>
      <c r="L714" s="65"/>
      <c r="M714" s="65"/>
      <c r="N714" s="65"/>
      <c r="O714" s="65"/>
    </row>
    <row r="715" spans="11:15" ht="15.75" customHeight="1">
      <c r="K715" s="65"/>
      <c r="L715" s="65"/>
      <c r="M715" s="65"/>
      <c r="N715" s="65"/>
      <c r="O715" s="65"/>
    </row>
    <row r="716" spans="11:15" ht="15.75" customHeight="1">
      <c r="K716" s="65"/>
      <c r="L716" s="65"/>
      <c r="M716" s="65"/>
      <c r="N716" s="65"/>
      <c r="O716" s="65"/>
    </row>
    <row r="717" spans="11:15" ht="15.75" customHeight="1">
      <c r="K717" s="65"/>
      <c r="L717" s="65"/>
      <c r="M717" s="65"/>
      <c r="N717" s="65"/>
      <c r="O717" s="65"/>
    </row>
    <row r="718" spans="11:15" ht="15.75" customHeight="1">
      <c r="K718" s="65"/>
      <c r="L718" s="65"/>
      <c r="M718" s="65"/>
      <c r="N718" s="65"/>
      <c r="O718" s="65"/>
    </row>
    <row r="719" spans="11:15" ht="15.75" customHeight="1">
      <c r="K719" s="65"/>
      <c r="L719" s="65"/>
      <c r="M719" s="65"/>
      <c r="N719" s="65"/>
      <c r="O719" s="65"/>
    </row>
    <row r="720" spans="11:15" ht="15.75" customHeight="1">
      <c r="K720" s="65"/>
      <c r="L720" s="65"/>
      <c r="M720" s="65"/>
      <c r="N720" s="65"/>
      <c r="O720" s="65"/>
    </row>
    <row r="721" spans="11:15" ht="15.75" customHeight="1">
      <c r="K721" s="65"/>
      <c r="L721" s="65"/>
      <c r="M721" s="65"/>
      <c r="N721" s="65"/>
      <c r="O721" s="65"/>
    </row>
    <row r="722" spans="11:15" ht="15.75" customHeight="1">
      <c r="K722" s="65"/>
      <c r="L722" s="65"/>
      <c r="M722" s="65"/>
      <c r="N722" s="65"/>
      <c r="O722" s="65"/>
    </row>
    <row r="723" spans="11:15" ht="15.75" customHeight="1">
      <c r="K723" s="65"/>
      <c r="L723" s="65"/>
      <c r="M723" s="65"/>
      <c r="N723" s="65"/>
      <c r="O723" s="65"/>
    </row>
    <row r="724" spans="11:15" ht="15.75" customHeight="1">
      <c r="K724" s="65"/>
      <c r="L724" s="65"/>
      <c r="M724" s="65"/>
      <c r="N724" s="65"/>
      <c r="O724" s="65"/>
    </row>
    <row r="725" spans="11:15" ht="15.75" customHeight="1">
      <c r="K725" s="65"/>
      <c r="L725" s="65"/>
      <c r="M725" s="65"/>
      <c r="N725" s="65"/>
      <c r="O725" s="65"/>
    </row>
    <row r="726" spans="11:15" ht="15.75" customHeight="1">
      <c r="K726" s="65"/>
      <c r="L726" s="65"/>
      <c r="M726" s="65"/>
      <c r="N726" s="65"/>
      <c r="O726" s="65"/>
    </row>
    <row r="727" spans="11:15" ht="15.75" customHeight="1">
      <c r="K727" s="65"/>
      <c r="L727" s="65"/>
      <c r="M727" s="65"/>
      <c r="N727" s="65"/>
      <c r="O727" s="65"/>
    </row>
    <row r="728" spans="11:15" ht="15.75" customHeight="1">
      <c r="K728" s="65"/>
      <c r="L728" s="65"/>
      <c r="M728" s="65"/>
      <c r="N728" s="65"/>
      <c r="O728" s="65"/>
    </row>
    <row r="729" spans="11:15" ht="15.75" customHeight="1">
      <c r="K729" s="65"/>
      <c r="L729" s="65"/>
      <c r="M729" s="65"/>
      <c r="N729" s="65"/>
      <c r="O729" s="65"/>
    </row>
    <row r="730" spans="11:15" ht="15.75" customHeight="1">
      <c r="K730" s="65"/>
      <c r="L730" s="65"/>
      <c r="M730" s="65"/>
      <c r="N730" s="65"/>
      <c r="O730" s="65"/>
    </row>
    <row r="731" spans="11:15" ht="15.75" customHeight="1">
      <c r="K731" s="65"/>
      <c r="L731" s="65"/>
      <c r="M731" s="65"/>
      <c r="N731" s="65"/>
      <c r="O731" s="65"/>
    </row>
    <row r="732" spans="11:15" ht="15.75" customHeight="1">
      <c r="K732" s="65"/>
      <c r="L732" s="65"/>
      <c r="M732" s="65"/>
      <c r="N732" s="65"/>
      <c r="O732" s="65"/>
    </row>
    <row r="733" spans="11:15" ht="15.75" customHeight="1">
      <c r="K733" s="65"/>
      <c r="L733" s="65"/>
      <c r="M733" s="65"/>
      <c r="N733" s="65"/>
      <c r="O733" s="65"/>
    </row>
    <row r="734" spans="11:15" ht="15.75" customHeight="1">
      <c r="K734" s="65"/>
      <c r="L734" s="65"/>
      <c r="M734" s="65"/>
      <c r="N734" s="65"/>
      <c r="O734" s="65"/>
    </row>
    <row r="735" spans="11:15" ht="15.75" customHeight="1">
      <c r="K735" s="65"/>
      <c r="L735" s="65"/>
      <c r="M735" s="65"/>
      <c r="N735" s="65"/>
      <c r="O735" s="65"/>
    </row>
    <row r="736" spans="11:15" ht="15.75" customHeight="1">
      <c r="K736" s="65"/>
      <c r="L736" s="65"/>
      <c r="M736" s="65"/>
      <c r="N736" s="65"/>
      <c r="O736" s="65"/>
    </row>
    <row r="737" spans="11:15" ht="15.75" customHeight="1">
      <c r="K737" s="65"/>
      <c r="L737" s="65"/>
      <c r="M737" s="65"/>
      <c r="N737" s="65"/>
      <c r="O737" s="65"/>
    </row>
    <row r="738" spans="11:15" ht="15.75" customHeight="1">
      <c r="K738" s="65"/>
      <c r="L738" s="65"/>
      <c r="M738" s="65"/>
      <c r="N738" s="65"/>
      <c r="O738" s="65"/>
    </row>
    <row r="739" spans="11:15" ht="15.75" customHeight="1">
      <c r="K739" s="65"/>
      <c r="L739" s="65"/>
      <c r="M739" s="65"/>
      <c r="N739" s="65"/>
      <c r="O739" s="65"/>
    </row>
    <row r="740" spans="11:15" ht="15.75" customHeight="1">
      <c r="K740" s="65"/>
      <c r="L740" s="65"/>
      <c r="M740" s="65"/>
      <c r="N740" s="65"/>
      <c r="O740" s="65"/>
    </row>
    <row r="741" spans="11:15" ht="15.75" customHeight="1">
      <c r="K741" s="65"/>
      <c r="L741" s="65"/>
      <c r="M741" s="65"/>
      <c r="N741" s="65"/>
      <c r="O741" s="65"/>
    </row>
    <row r="742" spans="11:15" ht="15.75" customHeight="1">
      <c r="K742" s="65"/>
      <c r="L742" s="65"/>
      <c r="M742" s="65"/>
      <c r="N742" s="65"/>
      <c r="O742" s="65"/>
    </row>
    <row r="743" spans="11:15" ht="15.75" customHeight="1">
      <c r="K743" s="65"/>
      <c r="L743" s="65"/>
      <c r="M743" s="65"/>
      <c r="N743" s="65"/>
      <c r="O743" s="65"/>
    </row>
    <row r="744" spans="11:15" ht="15.75" customHeight="1">
      <c r="K744" s="65"/>
      <c r="L744" s="65"/>
      <c r="M744" s="65"/>
      <c r="N744" s="65"/>
      <c r="O744" s="65"/>
    </row>
    <row r="745" spans="11:15" ht="15.75" customHeight="1">
      <c r="K745" s="65"/>
      <c r="L745" s="65"/>
      <c r="M745" s="65"/>
      <c r="N745" s="65"/>
      <c r="O745" s="65"/>
    </row>
    <row r="746" spans="11:15" ht="15.75" customHeight="1">
      <c r="K746" s="65"/>
      <c r="L746" s="65"/>
      <c r="M746" s="65"/>
      <c r="N746" s="65"/>
      <c r="O746" s="65"/>
    </row>
    <row r="747" spans="11:15" ht="15.75" customHeight="1">
      <c r="K747" s="65"/>
      <c r="L747" s="65"/>
      <c r="M747" s="65"/>
      <c r="N747" s="65"/>
      <c r="O747" s="65"/>
    </row>
    <row r="748" spans="11:15" ht="15.75" customHeight="1">
      <c r="K748" s="65"/>
      <c r="L748" s="65"/>
      <c r="M748" s="65"/>
      <c r="N748" s="65"/>
      <c r="O748" s="65"/>
    </row>
    <row r="749" spans="11:15" ht="15.75" customHeight="1">
      <c r="K749" s="65"/>
      <c r="L749" s="65"/>
      <c r="M749" s="65"/>
      <c r="N749" s="65"/>
      <c r="O749" s="65"/>
    </row>
    <row r="750" spans="11:15" ht="15.75" customHeight="1">
      <c r="K750" s="65"/>
      <c r="L750" s="65"/>
      <c r="M750" s="65"/>
      <c r="N750" s="65"/>
      <c r="O750" s="65"/>
    </row>
    <row r="751" spans="11:15" ht="15.75" customHeight="1">
      <c r="K751" s="65"/>
      <c r="L751" s="65"/>
      <c r="M751" s="65"/>
      <c r="N751" s="65"/>
      <c r="O751" s="65"/>
    </row>
    <row r="752" spans="11:15" ht="15.75" customHeight="1">
      <c r="K752" s="65"/>
      <c r="L752" s="65"/>
      <c r="M752" s="65"/>
      <c r="N752" s="65"/>
      <c r="O752" s="65"/>
    </row>
    <row r="753" spans="11:15" ht="15.75" customHeight="1">
      <c r="K753" s="65"/>
      <c r="L753" s="65"/>
      <c r="M753" s="65"/>
      <c r="N753" s="65"/>
      <c r="O753" s="65"/>
    </row>
    <row r="754" spans="11:15" ht="15.75" customHeight="1">
      <c r="K754" s="65"/>
      <c r="L754" s="65"/>
      <c r="M754" s="65"/>
      <c r="N754" s="65"/>
      <c r="O754" s="65"/>
    </row>
    <row r="755" spans="11:15" ht="15.75" customHeight="1">
      <c r="K755" s="65"/>
      <c r="L755" s="65"/>
      <c r="M755" s="65"/>
      <c r="N755" s="65"/>
      <c r="O755" s="65"/>
    </row>
    <row r="756" spans="11:15" ht="15.75" customHeight="1">
      <c r="K756" s="65"/>
      <c r="L756" s="65"/>
      <c r="M756" s="65"/>
      <c r="N756" s="65"/>
      <c r="O756" s="65"/>
    </row>
    <row r="757" spans="11:15" ht="15.75" customHeight="1">
      <c r="K757" s="65"/>
      <c r="L757" s="65"/>
      <c r="M757" s="65"/>
      <c r="N757" s="65"/>
      <c r="O757" s="65"/>
    </row>
    <row r="758" spans="11:15" ht="15.75" customHeight="1">
      <c r="K758" s="65"/>
      <c r="L758" s="65"/>
      <c r="M758" s="65"/>
      <c r="N758" s="65"/>
      <c r="O758" s="65"/>
    </row>
    <row r="759" spans="11:15" ht="15.75" customHeight="1">
      <c r="K759" s="65"/>
      <c r="L759" s="65"/>
      <c r="M759" s="65"/>
      <c r="N759" s="65"/>
      <c r="O759" s="65"/>
    </row>
    <row r="760" spans="11:15" ht="15.75" customHeight="1">
      <c r="K760" s="65"/>
      <c r="L760" s="65"/>
      <c r="M760" s="65"/>
      <c r="N760" s="65"/>
      <c r="O760" s="65"/>
    </row>
    <row r="761" spans="11:15" ht="15.75" customHeight="1">
      <c r="K761" s="65"/>
      <c r="L761" s="65"/>
      <c r="M761" s="65"/>
      <c r="N761" s="65"/>
      <c r="O761" s="65"/>
    </row>
    <row r="762" spans="11:15" ht="15.75" customHeight="1">
      <c r="K762" s="65"/>
      <c r="L762" s="65"/>
      <c r="M762" s="65"/>
      <c r="N762" s="65"/>
      <c r="O762" s="65"/>
    </row>
    <row r="763" spans="11:15" ht="15.75" customHeight="1">
      <c r="K763" s="65"/>
      <c r="L763" s="65"/>
      <c r="M763" s="65"/>
      <c r="N763" s="65"/>
      <c r="O763" s="65"/>
    </row>
    <row r="764" spans="11:15" ht="15.75" customHeight="1">
      <c r="K764" s="65"/>
      <c r="L764" s="65"/>
      <c r="M764" s="65"/>
      <c r="N764" s="65"/>
      <c r="O764" s="65"/>
    </row>
    <row r="765" spans="11:15" ht="15.75" customHeight="1">
      <c r="K765" s="65"/>
      <c r="L765" s="65"/>
      <c r="M765" s="65"/>
      <c r="N765" s="65"/>
      <c r="O765" s="65"/>
    </row>
    <row r="766" spans="11:15" ht="15.75" customHeight="1">
      <c r="K766" s="65"/>
      <c r="L766" s="65"/>
      <c r="M766" s="65"/>
      <c r="N766" s="65"/>
      <c r="O766" s="65"/>
    </row>
    <row r="767" spans="11:15" ht="15.75" customHeight="1">
      <c r="K767" s="65"/>
      <c r="L767" s="65"/>
      <c r="M767" s="65"/>
      <c r="N767" s="65"/>
      <c r="O767" s="65"/>
    </row>
    <row r="768" spans="11:15" ht="15.75" customHeight="1">
      <c r="K768" s="65"/>
      <c r="L768" s="65"/>
      <c r="M768" s="65"/>
      <c r="N768" s="65"/>
      <c r="O768" s="65"/>
    </row>
    <row r="769" spans="11:15" ht="15.75" customHeight="1">
      <c r="K769" s="65"/>
      <c r="L769" s="65"/>
      <c r="M769" s="65"/>
      <c r="N769" s="65"/>
      <c r="O769" s="65"/>
    </row>
    <row r="770" spans="11:15" ht="15.75" customHeight="1">
      <c r="K770" s="65"/>
      <c r="L770" s="65"/>
      <c r="M770" s="65"/>
      <c r="N770" s="65"/>
      <c r="O770" s="65"/>
    </row>
    <row r="771" spans="11:15" ht="15.75" customHeight="1">
      <c r="K771" s="65"/>
      <c r="L771" s="65"/>
      <c r="M771" s="65"/>
      <c r="N771" s="65"/>
      <c r="O771" s="65"/>
    </row>
    <row r="772" spans="11:15" ht="15.75" customHeight="1">
      <c r="K772" s="65"/>
      <c r="L772" s="65"/>
      <c r="M772" s="65"/>
      <c r="N772" s="65"/>
      <c r="O772" s="65"/>
    </row>
    <row r="773" spans="11:15" ht="15.75" customHeight="1">
      <c r="K773" s="65"/>
      <c r="L773" s="65"/>
      <c r="M773" s="65"/>
      <c r="N773" s="65"/>
      <c r="O773" s="65"/>
    </row>
    <row r="774" spans="11:15" ht="15.75" customHeight="1">
      <c r="K774" s="65"/>
      <c r="L774" s="65"/>
      <c r="M774" s="65"/>
      <c r="N774" s="65"/>
      <c r="O774" s="65"/>
    </row>
    <row r="775" spans="11:15" ht="15.75" customHeight="1">
      <c r="K775" s="65"/>
      <c r="L775" s="65"/>
      <c r="M775" s="65"/>
      <c r="N775" s="65"/>
      <c r="O775" s="65"/>
    </row>
    <row r="776" spans="11:15" ht="15.75" customHeight="1">
      <c r="K776" s="65"/>
      <c r="L776" s="65"/>
      <c r="M776" s="65"/>
      <c r="N776" s="65"/>
      <c r="O776" s="65"/>
    </row>
    <row r="777" spans="11:15" ht="15.75" customHeight="1">
      <c r="K777" s="65"/>
      <c r="L777" s="65"/>
      <c r="M777" s="65"/>
      <c r="N777" s="65"/>
      <c r="O777" s="65"/>
    </row>
    <row r="778" spans="11:15" ht="15.75" customHeight="1">
      <c r="K778" s="65"/>
      <c r="L778" s="65"/>
      <c r="M778" s="65"/>
      <c r="N778" s="65"/>
      <c r="O778" s="65"/>
    </row>
    <row r="779" spans="11:15" ht="15.75" customHeight="1">
      <c r="K779" s="65"/>
      <c r="L779" s="65"/>
      <c r="M779" s="65"/>
      <c r="N779" s="65"/>
      <c r="O779" s="65"/>
    </row>
    <row r="780" spans="11:15" ht="15.75" customHeight="1">
      <c r="K780" s="65"/>
      <c r="L780" s="65"/>
      <c r="M780" s="65"/>
      <c r="N780" s="65"/>
      <c r="O780" s="65"/>
    </row>
    <row r="781" spans="11:15" ht="15.75" customHeight="1">
      <c r="K781" s="65"/>
      <c r="L781" s="65"/>
      <c r="M781" s="65"/>
      <c r="N781" s="65"/>
      <c r="O781" s="65"/>
    </row>
    <row r="782" spans="11:15" ht="15.75" customHeight="1">
      <c r="K782" s="65"/>
      <c r="L782" s="65"/>
      <c r="M782" s="65"/>
      <c r="N782" s="65"/>
      <c r="O782" s="65"/>
    </row>
    <row r="783" spans="11:15" ht="15.75" customHeight="1">
      <c r="K783" s="65"/>
      <c r="L783" s="65"/>
      <c r="M783" s="65"/>
      <c r="N783" s="65"/>
      <c r="O783" s="65"/>
    </row>
    <row r="784" spans="11:15" ht="15.75" customHeight="1">
      <c r="K784" s="65"/>
      <c r="L784" s="65"/>
      <c r="M784" s="65"/>
      <c r="N784" s="65"/>
      <c r="O784" s="65"/>
    </row>
    <row r="785" spans="11:15" ht="15.75" customHeight="1">
      <c r="K785" s="65"/>
      <c r="L785" s="65"/>
      <c r="M785" s="65"/>
      <c r="N785" s="65"/>
      <c r="O785" s="65"/>
    </row>
    <row r="786" spans="11:15" ht="15.75" customHeight="1">
      <c r="K786" s="65"/>
      <c r="L786" s="65"/>
      <c r="M786" s="65"/>
      <c r="N786" s="65"/>
      <c r="O786" s="65"/>
    </row>
    <row r="787" spans="11:15" ht="15.75" customHeight="1">
      <c r="K787" s="65"/>
      <c r="L787" s="65"/>
      <c r="M787" s="65"/>
      <c r="N787" s="65"/>
      <c r="O787" s="65"/>
    </row>
    <row r="788" spans="11:15" ht="15.75" customHeight="1">
      <c r="K788" s="65"/>
      <c r="L788" s="65"/>
      <c r="M788" s="65"/>
      <c r="N788" s="65"/>
      <c r="O788" s="65"/>
    </row>
    <row r="789" spans="11:15" ht="15.75" customHeight="1">
      <c r="K789" s="65"/>
      <c r="L789" s="65"/>
      <c r="M789" s="65"/>
      <c r="N789" s="65"/>
      <c r="O789" s="65"/>
    </row>
    <row r="790" spans="11:15" ht="15.75" customHeight="1">
      <c r="K790" s="65"/>
      <c r="L790" s="65"/>
      <c r="M790" s="65"/>
      <c r="N790" s="65"/>
      <c r="O790" s="65"/>
    </row>
    <row r="791" spans="11:15" ht="15.75" customHeight="1">
      <c r="K791" s="65"/>
      <c r="L791" s="65"/>
      <c r="M791" s="65"/>
      <c r="N791" s="65"/>
      <c r="O791" s="65"/>
    </row>
    <row r="792" spans="11:15" ht="15.75" customHeight="1">
      <c r="K792" s="65"/>
      <c r="L792" s="65"/>
      <c r="M792" s="65"/>
      <c r="N792" s="65"/>
      <c r="O792" s="65"/>
    </row>
    <row r="793" spans="11:15" ht="15.75" customHeight="1">
      <c r="K793" s="65"/>
      <c r="L793" s="65"/>
      <c r="M793" s="65"/>
      <c r="N793" s="65"/>
      <c r="O793" s="65"/>
    </row>
    <row r="794" spans="11:15" ht="15.75" customHeight="1">
      <c r="K794" s="65"/>
      <c r="L794" s="65"/>
      <c r="M794" s="65"/>
      <c r="N794" s="65"/>
      <c r="O794" s="65"/>
    </row>
    <row r="795" spans="11:15" ht="15.75" customHeight="1">
      <c r="K795" s="65"/>
      <c r="L795" s="65"/>
      <c r="M795" s="65"/>
      <c r="N795" s="65"/>
      <c r="O795" s="65"/>
    </row>
    <row r="796" spans="11:15" ht="15.75" customHeight="1">
      <c r="K796" s="65"/>
      <c r="L796" s="65"/>
      <c r="M796" s="65"/>
      <c r="N796" s="65"/>
      <c r="O796" s="65"/>
    </row>
    <row r="797" spans="11:15" ht="15.75" customHeight="1">
      <c r="K797" s="65"/>
      <c r="L797" s="65"/>
      <c r="M797" s="65"/>
      <c r="N797" s="65"/>
      <c r="O797" s="65"/>
    </row>
    <row r="798" spans="11:15" ht="15.75" customHeight="1">
      <c r="K798" s="65"/>
      <c r="L798" s="65"/>
      <c r="M798" s="65"/>
      <c r="N798" s="65"/>
      <c r="O798" s="65"/>
    </row>
    <row r="799" spans="11:15" ht="15.75" customHeight="1">
      <c r="K799" s="65"/>
      <c r="L799" s="65"/>
      <c r="M799" s="65"/>
      <c r="N799" s="65"/>
      <c r="O799" s="65"/>
    </row>
    <row r="800" spans="11:15" ht="15.75" customHeight="1">
      <c r="K800" s="65"/>
      <c r="L800" s="65"/>
      <c r="M800" s="65"/>
      <c r="N800" s="65"/>
      <c r="O800" s="65"/>
    </row>
    <row r="801" spans="11:15" ht="15.75" customHeight="1">
      <c r="K801" s="65"/>
      <c r="L801" s="65"/>
      <c r="M801" s="65"/>
      <c r="N801" s="65"/>
      <c r="O801" s="65"/>
    </row>
    <row r="802" spans="11:15" ht="15.75" customHeight="1">
      <c r="K802" s="65"/>
      <c r="L802" s="65"/>
      <c r="M802" s="65"/>
      <c r="N802" s="65"/>
      <c r="O802" s="65"/>
    </row>
    <row r="803" spans="11:15" ht="15.75" customHeight="1">
      <c r="K803" s="65"/>
      <c r="L803" s="65"/>
      <c r="M803" s="65"/>
      <c r="N803" s="65"/>
      <c r="O803" s="65"/>
    </row>
    <row r="804" spans="11:15" ht="15.75" customHeight="1">
      <c r="K804" s="65"/>
      <c r="L804" s="65"/>
      <c r="M804" s="65"/>
      <c r="N804" s="65"/>
      <c r="O804" s="65"/>
    </row>
    <row r="805" spans="11:15" ht="15.75" customHeight="1">
      <c r="K805" s="65"/>
      <c r="L805" s="65"/>
      <c r="M805" s="65"/>
      <c r="N805" s="65"/>
      <c r="O805" s="65"/>
    </row>
    <row r="806" spans="11:15" ht="15.75" customHeight="1">
      <c r="K806" s="65"/>
      <c r="L806" s="65"/>
      <c r="M806" s="65"/>
      <c r="N806" s="65"/>
      <c r="O806" s="65"/>
    </row>
    <row r="807" spans="11:15" ht="15.75" customHeight="1">
      <c r="K807" s="65"/>
      <c r="L807" s="65"/>
      <c r="M807" s="65"/>
      <c r="N807" s="65"/>
      <c r="O807" s="65"/>
    </row>
    <row r="808" spans="11:15" ht="15.75" customHeight="1">
      <c r="K808" s="65"/>
      <c r="L808" s="65"/>
      <c r="M808" s="65"/>
      <c r="N808" s="65"/>
      <c r="O808" s="65"/>
    </row>
    <row r="809" spans="11:15" ht="15.75" customHeight="1">
      <c r="K809" s="65"/>
      <c r="L809" s="65"/>
      <c r="M809" s="65"/>
      <c r="N809" s="65"/>
      <c r="O809" s="65"/>
    </row>
    <row r="810" spans="11:15" ht="15.75" customHeight="1">
      <c r="K810" s="65"/>
      <c r="L810" s="65"/>
      <c r="M810" s="65"/>
      <c r="N810" s="65"/>
      <c r="O810" s="65"/>
    </row>
    <row r="811" spans="11:15" ht="15.75" customHeight="1">
      <c r="K811" s="65"/>
      <c r="L811" s="65"/>
      <c r="M811" s="65"/>
      <c r="N811" s="65"/>
      <c r="O811" s="65"/>
    </row>
    <row r="812" spans="11:15" ht="15.75" customHeight="1">
      <c r="K812" s="65"/>
      <c r="L812" s="65"/>
      <c r="M812" s="65"/>
      <c r="N812" s="65"/>
      <c r="O812" s="65"/>
    </row>
    <row r="813" spans="11:15" ht="15.75" customHeight="1">
      <c r="K813" s="65"/>
      <c r="L813" s="65"/>
      <c r="M813" s="65"/>
      <c r="N813" s="65"/>
      <c r="O813" s="65"/>
    </row>
    <row r="814" spans="11:15" ht="15.75" customHeight="1">
      <c r="K814" s="65"/>
      <c r="L814" s="65"/>
      <c r="M814" s="65"/>
      <c r="N814" s="65"/>
      <c r="O814" s="65"/>
    </row>
    <row r="815" spans="11:15" ht="15.75" customHeight="1">
      <c r="K815" s="65"/>
      <c r="L815" s="65"/>
      <c r="M815" s="65"/>
      <c r="N815" s="65"/>
      <c r="O815" s="65"/>
    </row>
    <row r="816" spans="11:15" ht="15.75" customHeight="1">
      <c r="K816" s="65"/>
      <c r="L816" s="65"/>
      <c r="M816" s="65"/>
      <c r="N816" s="65"/>
      <c r="O816" s="65"/>
    </row>
    <row r="817" spans="11:15" ht="15.75" customHeight="1">
      <c r="K817" s="65"/>
      <c r="L817" s="65"/>
      <c r="M817" s="65"/>
      <c r="N817" s="65"/>
      <c r="O817" s="65"/>
    </row>
    <row r="818" spans="11:15" ht="15.75" customHeight="1">
      <c r="K818" s="65"/>
      <c r="L818" s="65"/>
      <c r="M818" s="65"/>
      <c r="N818" s="65"/>
      <c r="O818" s="65"/>
    </row>
    <row r="819" spans="11:15" ht="15.75" customHeight="1">
      <c r="K819" s="65"/>
      <c r="L819" s="65"/>
      <c r="M819" s="65"/>
      <c r="N819" s="65"/>
      <c r="O819" s="65"/>
    </row>
    <row r="820" spans="11:15" ht="15.75" customHeight="1">
      <c r="K820" s="65"/>
      <c r="L820" s="65"/>
      <c r="M820" s="65"/>
      <c r="N820" s="65"/>
      <c r="O820" s="65"/>
    </row>
    <row r="821" spans="11:15" ht="15.75" customHeight="1">
      <c r="K821" s="65"/>
      <c r="L821" s="65"/>
      <c r="M821" s="65"/>
      <c r="N821" s="65"/>
      <c r="O821" s="65"/>
    </row>
    <row r="822" spans="11:15" ht="15.75" customHeight="1">
      <c r="K822" s="65"/>
      <c r="L822" s="65"/>
      <c r="M822" s="65"/>
      <c r="N822" s="65"/>
      <c r="O822" s="65"/>
    </row>
    <row r="823" spans="11:15" ht="15.75" customHeight="1">
      <c r="K823" s="65"/>
      <c r="L823" s="65"/>
      <c r="M823" s="65"/>
      <c r="N823" s="65"/>
      <c r="O823" s="65"/>
    </row>
    <row r="824" spans="11:15" ht="15.75" customHeight="1">
      <c r="K824" s="65"/>
      <c r="L824" s="65"/>
      <c r="M824" s="65"/>
      <c r="N824" s="65"/>
      <c r="O824" s="65"/>
    </row>
    <row r="825" spans="11:15" ht="15.75" customHeight="1">
      <c r="K825" s="65"/>
      <c r="L825" s="65"/>
      <c r="M825" s="65"/>
      <c r="N825" s="65"/>
      <c r="O825" s="65"/>
    </row>
    <row r="826" spans="11:15" ht="15.75" customHeight="1">
      <c r="K826" s="65"/>
      <c r="L826" s="65"/>
      <c r="M826" s="65"/>
      <c r="N826" s="65"/>
      <c r="O826" s="65"/>
    </row>
    <row r="827" spans="11:15" ht="15.75" customHeight="1">
      <c r="K827" s="65"/>
      <c r="L827" s="65"/>
      <c r="M827" s="65"/>
      <c r="N827" s="65"/>
      <c r="O827" s="65"/>
    </row>
    <row r="828" spans="11:15" ht="15.75" customHeight="1">
      <c r="K828" s="65"/>
      <c r="L828" s="65"/>
      <c r="M828" s="65"/>
      <c r="N828" s="65"/>
      <c r="O828" s="65"/>
    </row>
    <row r="829" spans="11:15" ht="15.75" customHeight="1">
      <c r="K829" s="65"/>
      <c r="L829" s="65"/>
      <c r="M829" s="65"/>
      <c r="N829" s="65"/>
      <c r="O829" s="65"/>
    </row>
    <row r="830" spans="11:15" ht="15.75" customHeight="1">
      <c r="K830" s="65"/>
      <c r="L830" s="65"/>
      <c r="M830" s="65"/>
      <c r="N830" s="65"/>
      <c r="O830" s="65"/>
    </row>
    <row r="831" spans="11:15" ht="15.75" customHeight="1">
      <c r="K831" s="65"/>
      <c r="L831" s="65"/>
      <c r="M831" s="65"/>
      <c r="N831" s="65"/>
      <c r="O831" s="65"/>
    </row>
    <row r="832" spans="11:15" ht="15.75" customHeight="1">
      <c r="K832" s="65"/>
      <c r="L832" s="65"/>
      <c r="M832" s="65"/>
      <c r="N832" s="65"/>
      <c r="O832" s="65"/>
    </row>
    <row r="833" spans="11:15" ht="15.75" customHeight="1">
      <c r="K833" s="65"/>
      <c r="L833" s="65"/>
      <c r="M833" s="65"/>
      <c r="N833" s="65"/>
      <c r="O833" s="65"/>
    </row>
    <row r="834" spans="11:15" ht="15.75" customHeight="1">
      <c r="K834" s="65"/>
      <c r="L834" s="65"/>
      <c r="M834" s="65"/>
      <c r="N834" s="65"/>
      <c r="O834" s="65"/>
    </row>
    <row r="835" spans="11:15" ht="15.75" customHeight="1">
      <c r="K835" s="65"/>
      <c r="L835" s="65"/>
      <c r="M835" s="65"/>
      <c r="N835" s="65"/>
      <c r="O835" s="65"/>
    </row>
    <row r="836" spans="11:15" ht="15.75" customHeight="1">
      <c r="K836" s="65"/>
      <c r="L836" s="65"/>
      <c r="M836" s="65"/>
      <c r="N836" s="65"/>
      <c r="O836" s="65"/>
    </row>
    <row r="837" spans="11:15" ht="15.75" customHeight="1">
      <c r="K837" s="65"/>
      <c r="L837" s="65"/>
      <c r="M837" s="65"/>
      <c r="N837" s="65"/>
      <c r="O837" s="65"/>
    </row>
    <row r="838" spans="11:15" ht="15.75" customHeight="1">
      <c r="K838" s="65"/>
      <c r="L838" s="65"/>
      <c r="M838" s="65"/>
      <c r="N838" s="65"/>
      <c r="O838" s="65"/>
    </row>
    <row r="839" spans="11:15" ht="15.75" customHeight="1">
      <c r="K839" s="65"/>
      <c r="L839" s="65"/>
      <c r="M839" s="65"/>
      <c r="N839" s="65"/>
      <c r="O839" s="65"/>
    </row>
    <row r="840" spans="11:15" ht="15.75" customHeight="1">
      <c r="K840" s="65"/>
      <c r="L840" s="65"/>
      <c r="M840" s="65"/>
      <c r="N840" s="65"/>
      <c r="O840" s="65"/>
    </row>
    <row r="841" spans="11:15" ht="15.75" customHeight="1">
      <c r="K841" s="65"/>
      <c r="L841" s="65"/>
      <c r="M841" s="65"/>
      <c r="N841" s="65"/>
      <c r="O841" s="65"/>
    </row>
    <row r="842" spans="11:15" ht="15.75" customHeight="1">
      <c r="K842" s="65"/>
      <c r="L842" s="65"/>
      <c r="M842" s="65"/>
      <c r="N842" s="65"/>
      <c r="O842" s="65"/>
    </row>
    <row r="843" spans="11:15" ht="15.75" customHeight="1">
      <c r="K843" s="65"/>
      <c r="L843" s="65"/>
      <c r="M843" s="65"/>
      <c r="N843" s="65"/>
      <c r="O843" s="65"/>
    </row>
    <row r="844" spans="11:15" ht="15.75" customHeight="1">
      <c r="K844" s="65"/>
      <c r="L844" s="65"/>
      <c r="M844" s="65"/>
      <c r="N844" s="65"/>
      <c r="O844" s="65"/>
    </row>
    <row r="845" spans="11:15" ht="15.75" customHeight="1">
      <c r="K845" s="65"/>
      <c r="L845" s="65"/>
      <c r="M845" s="65"/>
      <c r="N845" s="65"/>
      <c r="O845" s="65"/>
    </row>
    <row r="846" spans="11:15" ht="15.75" customHeight="1">
      <c r="K846" s="65"/>
      <c r="L846" s="65"/>
      <c r="M846" s="65"/>
      <c r="N846" s="65"/>
      <c r="O846" s="65"/>
    </row>
    <row r="847" spans="11:15" ht="15.75" customHeight="1">
      <c r="K847" s="65"/>
      <c r="L847" s="65"/>
      <c r="M847" s="65"/>
      <c r="N847" s="65"/>
      <c r="O847" s="65"/>
    </row>
    <row r="848" spans="11:15" ht="15.75" customHeight="1">
      <c r="K848" s="65"/>
      <c r="L848" s="65"/>
      <c r="M848" s="65"/>
      <c r="N848" s="65"/>
      <c r="O848" s="65"/>
    </row>
    <row r="849" spans="11:15" ht="15.75" customHeight="1">
      <c r="K849" s="65"/>
      <c r="L849" s="65"/>
      <c r="M849" s="65"/>
      <c r="N849" s="65"/>
      <c r="O849" s="65"/>
    </row>
    <row r="850" spans="11:15" ht="15.75" customHeight="1">
      <c r="K850" s="65"/>
      <c r="L850" s="65"/>
      <c r="M850" s="65"/>
      <c r="N850" s="65"/>
      <c r="O850" s="65"/>
    </row>
    <row r="851" spans="11:15" ht="15.75" customHeight="1">
      <c r="K851" s="65"/>
      <c r="L851" s="65"/>
      <c r="M851" s="65"/>
      <c r="N851" s="65"/>
      <c r="O851" s="65"/>
    </row>
    <row r="852" spans="11:15" ht="15.75" customHeight="1">
      <c r="K852" s="65"/>
      <c r="L852" s="65"/>
      <c r="M852" s="65"/>
      <c r="N852" s="65"/>
      <c r="O852" s="65"/>
    </row>
    <row r="853" spans="11:15" ht="15.75" customHeight="1">
      <c r="K853" s="65"/>
      <c r="L853" s="65"/>
      <c r="M853" s="65"/>
      <c r="N853" s="65"/>
      <c r="O853" s="65"/>
    </row>
    <row r="854" spans="11:15" ht="15.75" customHeight="1">
      <c r="K854" s="65"/>
      <c r="L854" s="65"/>
      <c r="M854" s="65"/>
      <c r="N854" s="65"/>
      <c r="O854" s="65"/>
    </row>
    <row r="855" spans="11:15" ht="15.75" customHeight="1">
      <c r="K855" s="65"/>
      <c r="L855" s="65"/>
      <c r="M855" s="65"/>
      <c r="N855" s="65"/>
      <c r="O855" s="65"/>
    </row>
    <row r="856" spans="11:15" ht="15.75" customHeight="1">
      <c r="K856" s="65"/>
      <c r="L856" s="65"/>
      <c r="M856" s="65"/>
      <c r="N856" s="65"/>
      <c r="O856" s="65"/>
    </row>
    <row r="857" spans="11:15" ht="15.75" customHeight="1">
      <c r="K857" s="65"/>
      <c r="L857" s="65"/>
      <c r="M857" s="65"/>
      <c r="N857" s="65"/>
      <c r="O857" s="65"/>
    </row>
    <row r="858" spans="11:15" ht="15.75" customHeight="1">
      <c r="K858" s="65"/>
      <c r="L858" s="65"/>
      <c r="M858" s="65"/>
      <c r="N858" s="65"/>
      <c r="O858" s="65"/>
    </row>
    <row r="859" spans="11:15" ht="15.75" customHeight="1">
      <c r="K859" s="65"/>
      <c r="L859" s="65"/>
      <c r="M859" s="65"/>
      <c r="N859" s="65"/>
      <c r="O859" s="65"/>
    </row>
    <row r="860" spans="11:15" ht="15.75" customHeight="1">
      <c r="K860" s="65"/>
      <c r="L860" s="65"/>
      <c r="M860" s="65"/>
      <c r="N860" s="65"/>
      <c r="O860" s="65"/>
    </row>
    <row r="861" spans="11:15" ht="15.75" customHeight="1">
      <c r="K861" s="65"/>
      <c r="L861" s="65"/>
      <c r="M861" s="65"/>
      <c r="N861" s="65"/>
      <c r="O861" s="65"/>
    </row>
    <row r="862" spans="11:15" ht="15.75" customHeight="1">
      <c r="K862" s="65"/>
      <c r="L862" s="65"/>
      <c r="M862" s="65"/>
      <c r="N862" s="65"/>
      <c r="O862" s="65"/>
    </row>
    <row r="863" spans="11:15" ht="15.75" customHeight="1">
      <c r="K863" s="65"/>
      <c r="L863" s="65"/>
      <c r="M863" s="65"/>
      <c r="N863" s="65"/>
      <c r="O863" s="65"/>
    </row>
    <row r="864" spans="11:15" ht="15.75" customHeight="1">
      <c r="K864" s="65"/>
      <c r="L864" s="65"/>
      <c r="M864" s="65"/>
      <c r="N864" s="65"/>
      <c r="O864" s="65"/>
    </row>
    <row r="865" spans="11:15" ht="15.75" customHeight="1">
      <c r="K865" s="65"/>
      <c r="L865" s="65"/>
      <c r="M865" s="65"/>
      <c r="N865" s="65"/>
      <c r="O865" s="65"/>
    </row>
    <row r="866" spans="11:15" ht="15.75" customHeight="1">
      <c r="K866" s="65"/>
      <c r="L866" s="65"/>
      <c r="M866" s="65"/>
      <c r="N866" s="65"/>
      <c r="O866" s="65"/>
    </row>
    <row r="867" spans="11:15" ht="15.75" customHeight="1">
      <c r="K867" s="65"/>
      <c r="L867" s="65"/>
      <c r="M867" s="65"/>
      <c r="N867" s="65"/>
      <c r="O867" s="65"/>
    </row>
    <row r="868" spans="11:15" ht="15.75" customHeight="1">
      <c r="K868" s="65"/>
      <c r="L868" s="65"/>
      <c r="M868" s="65"/>
      <c r="N868" s="65"/>
      <c r="O868" s="65"/>
    </row>
    <row r="869" spans="11:15" ht="15.75" customHeight="1">
      <c r="K869" s="65"/>
      <c r="L869" s="65"/>
      <c r="M869" s="65"/>
      <c r="N869" s="65"/>
      <c r="O869" s="65"/>
    </row>
    <row r="870" spans="11:15" ht="15.75" customHeight="1">
      <c r="K870" s="65"/>
      <c r="L870" s="65"/>
      <c r="M870" s="65"/>
      <c r="N870" s="65"/>
      <c r="O870" s="65"/>
    </row>
    <row r="871" spans="11:15" ht="15.75" customHeight="1">
      <c r="K871" s="65"/>
      <c r="L871" s="65"/>
      <c r="M871" s="65"/>
      <c r="N871" s="65"/>
      <c r="O871" s="65"/>
    </row>
    <row r="872" spans="11:15" ht="15.75" customHeight="1">
      <c r="K872" s="65"/>
      <c r="L872" s="65"/>
      <c r="M872" s="65"/>
      <c r="N872" s="65"/>
      <c r="O872" s="65"/>
    </row>
    <row r="873" spans="11:15" ht="15.75" customHeight="1">
      <c r="K873" s="65"/>
      <c r="L873" s="65"/>
      <c r="M873" s="65"/>
      <c r="N873" s="65"/>
      <c r="O873" s="65"/>
    </row>
    <row r="874" spans="11:15" ht="15.75" customHeight="1">
      <c r="K874" s="65"/>
      <c r="L874" s="65"/>
      <c r="M874" s="65"/>
      <c r="N874" s="65"/>
      <c r="O874" s="65"/>
    </row>
    <row r="875" spans="11:15" ht="15.75" customHeight="1">
      <c r="K875" s="65"/>
      <c r="L875" s="65"/>
      <c r="M875" s="65"/>
      <c r="N875" s="65"/>
      <c r="O875" s="65"/>
    </row>
    <row r="876" spans="11:15" ht="15.75" customHeight="1">
      <c r="K876" s="65"/>
      <c r="L876" s="65"/>
      <c r="M876" s="65"/>
      <c r="N876" s="65"/>
      <c r="O876" s="65"/>
    </row>
    <row r="877" spans="11:15" ht="15.75" customHeight="1">
      <c r="K877" s="65"/>
      <c r="L877" s="65"/>
      <c r="M877" s="65"/>
      <c r="N877" s="65"/>
      <c r="O877" s="65"/>
    </row>
    <row r="878" spans="11:15" ht="15.75" customHeight="1">
      <c r="K878" s="65"/>
      <c r="L878" s="65"/>
      <c r="M878" s="65"/>
      <c r="N878" s="65"/>
      <c r="O878" s="65"/>
    </row>
    <row r="879" spans="11:15" ht="15.75" customHeight="1">
      <c r="K879" s="65"/>
      <c r="L879" s="65"/>
      <c r="M879" s="65"/>
      <c r="N879" s="65"/>
      <c r="O879" s="65"/>
    </row>
    <row r="880" spans="11:15" ht="15.75" customHeight="1">
      <c r="K880" s="65"/>
      <c r="L880" s="65"/>
      <c r="M880" s="65"/>
      <c r="N880" s="65"/>
      <c r="O880" s="65"/>
    </row>
    <row r="881" spans="11:15" ht="15.75" customHeight="1">
      <c r="K881" s="65"/>
      <c r="L881" s="65"/>
      <c r="M881" s="65"/>
      <c r="N881" s="65"/>
      <c r="O881" s="65"/>
    </row>
    <row r="882" spans="11:15" ht="15.75" customHeight="1">
      <c r="K882" s="65"/>
      <c r="L882" s="65"/>
      <c r="M882" s="65"/>
      <c r="N882" s="65"/>
      <c r="O882" s="65"/>
    </row>
    <row r="883" spans="11:15" ht="15.75" customHeight="1">
      <c r="K883" s="65"/>
      <c r="L883" s="65"/>
      <c r="M883" s="65"/>
      <c r="N883" s="65"/>
      <c r="O883" s="65"/>
    </row>
    <row r="884" spans="11:15" ht="15.75" customHeight="1">
      <c r="K884" s="65"/>
      <c r="L884" s="65"/>
      <c r="M884" s="65"/>
      <c r="N884" s="65"/>
      <c r="O884" s="65"/>
    </row>
    <row r="885" spans="11:15" ht="15.75" customHeight="1">
      <c r="K885" s="65"/>
      <c r="L885" s="65"/>
      <c r="M885" s="65"/>
      <c r="N885" s="65"/>
      <c r="O885" s="65"/>
    </row>
    <row r="886" spans="11:15" ht="15.75" customHeight="1">
      <c r="K886" s="65"/>
      <c r="L886" s="65"/>
      <c r="M886" s="65"/>
      <c r="N886" s="65"/>
      <c r="O886" s="65"/>
    </row>
    <row r="887" spans="11:15" ht="15.75" customHeight="1">
      <c r="K887" s="65"/>
      <c r="L887" s="65"/>
      <c r="M887" s="65"/>
      <c r="N887" s="65"/>
      <c r="O887" s="65"/>
    </row>
    <row r="888" spans="11:15" ht="15.75" customHeight="1">
      <c r="K888" s="65"/>
      <c r="L888" s="65"/>
      <c r="M888" s="65"/>
      <c r="N888" s="65"/>
      <c r="O888" s="65"/>
    </row>
    <row r="889" spans="11:15" ht="15.75" customHeight="1">
      <c r="K889" s="65"/>
      <c r="L889" s="65"/>
      <c r="M889" s="65"/>
      <c r="N889" s="65"/>
      <c r="O889" s="65"/>
    </row>
    <row r="890" spans="11:15" ht="15.75" customHeight="1">
      <c r="K890" s="65"/>
      <c r="L890" s="65"/>
      <c r="M890" s="65"/>
      <c r="N890" s="65"/>
      <c r="O890" s="65"/>
    </row>
    <row r="891" spans="11:15" ht="15.75" customHeight="1">
      <c r="K891" s="65"/>
      <c r="L891" s="65"/>
      <c r="M891" s="65"/>
      <c r="N891" s="65"/>
      <c r="O891" s="65"/>
    </row>
    <row r="892" spans="11:15" ht="15.75" customHeight="1">
      <c r="K892" s="65"/>
      <c r="L892" s="65"/>
      <c r="M892" s="65"/>
      <c r="N892" s="65"/>
      <c r="O892" s="65"/>
    </row>
    <row r="893" spans="11:15" ht="15.75" customHeight="1">
      <c r="K893" s="65"/>
      <c r="L893" s="65"/>
      <c r="M893" s="65"/>
      <c r="N893" s="65"/>
      <c r="O893" s="65"/>
    </row>
    <row r="894" spans="11:15" ht="15.75" customHeight="1">
      <c r="K894" s="65"/>
      <c r="L894" s="65"/>
      <c r="M894" s="65"/>
      <c r="N894" s="65"/>
      <c r="O894" s="65"/>
    </row>
    <row r="895" spans="11:15" ht="15.75" customHeight="1">
      <c r="K895" s="65"/>
      <c r="L895" s="65"/>
      <c r="M895" s="65"/>
      <c r="N895" s="65"/>
      <c r="O895" s="65"/>
    </row>
    <row r="896" spans="11:15" ht="15.75" customHeight="1">
      <c r="K896" s="65"/>
      <c r="L896" s="65"/>
      <c r="M896" s="65"/>
      <c r="N896" s="65"/>
      <c r="O896" s="65"/>
    </row>
    <row r="897" spans="11:15" ht="15.75" customHeight="1">
      <c r="K897" s="65"/>
      <c r="L897" s="65"/>
      <c r="M897" s="65"/>
      <c r="N897" s="65"/>
      <c r="O897" s="65"/>
    </row>
    <row r="898" spans="11:15" ht="15.75" customHeight="1">
      <c r="K898" s="65"/>
      <c r="L898" s="65"/>
      <c r="M898" s="65"/>
      <c r="N898" s="65"/>
      <c r="O898" s="65"/>
    </row>
    <row r="899" spans="11:15" ht="15.75" customHeight="1">
      <c r="K899" s="65"/>
      <c r="L899" s="65"/>
      <c r="M899" s="65"/>
      <c r="N899" s="65"/>
      <c r="O899" s="65"/>
    </row>
    <row r="900" spans="11:15" ht="15.75" customHeight="1">
      <c r="K900" s="65"/>
      <c r="L900" s="65"/>
      <c r="M900" s="65"/>
      <c r="N900" s="65"/>
      <c r="O900" s="65"/>
    </row>
    <row r="901" spans="11:15" ht="15.75" customHeight="1">
      <c r="K901" s="65"/>
      <c r="L901" s="65"/>
      <c r="M901" s="65"/>
      <c r="N901" s="65"/>
      <c r="O901" s="65"/>
    </row>
    <row r="902" spans="11:15" ht="15.75" customHeight="1">
      <c r="K902" s="65"/>
      <c r="L902" s="65"/>
      <c r="M902" s="65"/>
      <c r="N902" s="65"/>
      <c r="O902" s="65"/>
    </row>
    <row r="903" spans="11:15" ht="15.75" customHeight="1">
      <c r="K903" s="65"/>
      <c r="L903" s="65"/>
      <c r="M903" s="65"/>
      <c r="N903" s="65"/>
      <c r="O903" s="65"/>
    </row>
    <row r="904" spans="11:15" ht="15.75" customHeight="1">
      <c r="K904" s="65"/>
      <c r="L904" s="65"/>
      <c r="M904" s="65"/>
      <c r="N904" s="65"/>
      <c r="O904" s="65"/>
    </row>
    <row r="905" spans="11:15" ht="15.75" customHeight="1">
      <c r="K905" s="65"/>
      <c r="L905" s="65"/>
      <c r="M905" s="65"/>
      <c r="N905" s="65"/>
      <c r="O905" s="65"/>
    </row>
    <row r="906" spans="11:15" ht="15.75" customHeight="1">
      <c r="K906" s="65"/>
      <c r="L906" s="65"/>
      <c r="M906" s="65"/>
      <c r="N906" s="65"/>
      <c r="O906" s="65"/>
    </row>
    <row r="907" spans="11:15" ht="15.75" customHeight="1">
      <c r="K907" s="65"/>
      <c r="L907" s="65"/>
      <c r="M907" s="65"/>
      <c r="N907" s="65"/>
      <c r="O907" s="65"/>
    </row>
    <row r="908" spans="11:15" ht="15.75" customHeight="1">
      <c r="K908" s="65"/>
      <c r="L908" s="65"/>
      <c r="M908" s="65"/>
      <c r="N908" s="65"/>
      <c r="O908" s="65"/>
    </row>
    <row r="909" spans="11:15" ht="15.75" customHeight="1">
      <c r="K909" s="65"/>
      <c r="L909" s="65"/>
      <c r="M909" s="65"/>
      <c r="N909" s="65"/>
      <c r="O909" s="65"/>
    </row>
    <row r="910" spans="11:15" ht="15.75" customHeight="1">
      <c r="K910" s="65"/>
      <c r="L910" s="65"/>
      <c r="M910" s="65"/>
      <c r="N910" s="65"/>
      <c r="O910" s="65"/>
    </row>
    <row r="911" spans="11:15" ht="15.75" customHeight="1">
      <c r="K911" s="65"/>
      <c r="L911" s="65"/>
      <c r="M911" s="65"/>
      <c r="N911" s="65"/>
      <c r="O911" s="65"/>
    </row>
    <row r="912" spans="11:15" ht="15.75" customHeight="1">
      <c r="K912" s="65"/>
      <c r="L912" s="65"/>
      <c r="M912" s="65"/>
      <c r="N912" s="65"/>
      <c r="O912" s="65"/>
    </row>
    <row r="913" spans="11:15" ht="15.75" customHeight="1">
      <c r="K913" s="65"/>
      <c r="L913" s="65"/>
      <c r="M913" s="65"/>
      <c r="N913" s="65"/>
      <c r="O913" s="65"/>
    </row>
    <row r="914" spans="11:15" ht="15.75" customHeight="1">
      <c r="K914" s="65"/>
      <c r="L914" s="65"/>
      <c r="M914" s="65"/>
      <c r="N914" s="65"/>
      <c r="O914" s="65"/>
    </row>
    <row r="915" spans="11:15" ht="15.75" customHeight="1">
      <c r="K915" s="65"/>
      <c r="L915" s="65"/>
      <c r="M915" s="65"/>
      <c r="N915" s="65"/>
      <c r="O915" s="65"/>
    </row>
    <row r="916" spans="11:15" ht="15.75" customHeight="1">
      <c r="K916" s="65"/>
      <c r="L916" s="65"/>
      <c r="M916" s="65"/>
      <c r="N916" s="65"/>
      <c r="O916" s="65"/>
    </row>
    <row r="917" spans="11:15" ht="15.75" customHeight="1">
      <c r="K917" s="65"/>
      <c r="L917" s="65"/>
      <c r="M917" s="65"/>
      <c r="N917" s="65"/>
      <c r="O917" s="65"/>
    </row>
    <row r="918" spans="11:15" ht="15.75" customHeight="1">
      <c r="K918" s="65"/>
      <c r="L918" s="65"/>
      <c r="M918" s="65"/>
      <c r="N918" s="65"/>
      <c r="O918" s="65"/>
    </row>
    <row r="919" spans="11:15" ht="15.75" customHeight="1">
      <c r="K919" s="65"/>
      <c r="L919" s="65"/>
      <c r="M919" s="65"/>
      <c r="N919" s="65"/>
      <c r="O919" s="65"/>
    </row>
    <row r="920" spans="11:15" ht="15.75" customHeight="1">
      <c r="K920" s="65"/>
      <c r="L920" s="65"/>
      <c r="M920" s="65"/>
      <c r="N920" s="65"/>
      <c r="O920" s="65"/>
    </row>
    <row r="921" spans="11:15" ht="15.75" customHeight="1">
      <c r="K921" s="65"/>
      <c r="L921" s="65"/>
      <c r="M921" s="65"/>
      <c r="N921" s="65"/>
      <c r="O921" s="65"/>
    </row>
    <row r="922" spans="11:15" ht="15.75" customHeight="1">
      <c r="K922" s="65"/>
      <c r="L922" s="65"/>
      <c r="M922" s="65"/>
      <c r="N922" s="65"/>
      <c r="O922" s="65"/>
    </row>
    <row r="923" spans="11:15" ht="15.75" customHeight="1">
      <c r="K923" s="65"/>
      <c r="L923" s="65"/>
      <c r="M923" s="65"/>
      <c r="N923" s="65"/>
      <c r="O923" s="65"/>
    </row>
    <row r="924" spans="11:15" ht="15.75" customHeight="1">
      <c r="K924" s="65"/>
      <c r="L924" s="65"/>
      <c r="M924" s="65"/>
      <c r="N924" s="65"/>
      <c r="O924" s="65"/>
    </row>
    <row r="925" spans="11:15" ht="15.75" customHeight="1">
      <c r="K925" s="65"/>
      <c r="L925" s="65"/>
      <c r="M925" s="65"/>
      <c r="N925" s="65"/>
      <c r="O925" s="65"/>
    </row>
    <row r="926" spans="11:15" ht="15.75" customHeight="1">
      <c r="K926" s="65"/>
      <c r="L926" s="65"/>
      <c r="M926" s="65"/>
      <c r="N926" s="65"/>
      <c r="O926" s="65"/>
    </row>
    <row r="927" spans="11:15" ht="15.75" customHeight="1">
      <c r="K927" s="65"/>
      <c r="L927" s="65"/>
      <c r="M927" s="65"/>
      <c r="N927" s="65"/>
      <c r="O927" s="65"/>
    </row>
    <row r="928" spans="11:15" ht="15.75" customHeight="1">
      <c r="K928" s="65"/>
      <c r="L928" s="65"/>
      <c r="M928" s="65"/>
      <c r="N928" s="65"/>
      <c r="O928" s="65"/>
    </row>
    <row r="929" spans="11:15" ht="15.75" customHeight="1">
      <c r="K929" s="65"/>
      <c r="L929" s="65"/>
      <c r="M929" s="65"/>
      <c r="N929" s="65"/>
      <c r="O929" s="65"/>
    </row>
    <row r="930" spans="11:15" ht="15.75" customHeight="1">
      <c r="K930" s="65"/>
      <c r="L930" s="65"/>
      <c r="M930" s="65"/>
      <c r="N930" s="65"/>
      <c r="O930" s="65"/>
    </row>
    <row r="931" spans="11:15" ht="15.75" customHeight="1">
      <c r="K931" s="65"/>
      <c r="L931" s="65"/>
      <c r="M931" s="65"/>
      <c r="N931" s="65"/>
      <c r="O931" s="65"/>
    </row>
    <row r="932" spans="11:15" ht="15.75" customHeight="1">
      <c r="K932" s="65"/>
      <c r="L932" s="65"/>
      <c r="M932" s="65"/>
      <c r="N932" s="65"/>
      <c r="O932" s="65"/>
    </row>
    <row r="933" spans="11:15" ht="15.75" customHeight="1">
      <c r="K933" s="65"/>
      <c r="L933" s="65"/>
      <c r="M933" s="65"/>
      <c r="N933" s="65"/>
      <c r="O933" s="65"/>
    </row>
    <row r="934" spans="11:15" ht="15.75" customHeight="1">
      <c r="K934" s="65"/>
      <c r="L934" s="65"/>
      <c r="M934" s="65"/>
      <c r="N934" s="65"/>
      <c r="O934" s="65"/>
    </row>
    <row r="935" spans="11:15" ht="15.75" customHeight="1">
      <c r="K935" s="65"/>
      <c r="L935" s="65"/>
      <c r="M935" s="65"/>
      <c r="N935" s="65"/>
      <c r="O935" s="65"/>
    </row>
    <row r="936" spans="11:15" ht="15.75" customHeight="1">
      <c r="K936" s="65"/>
      <c r="L936" s="65"/>
      <c r="M936" s="65"/>
      <c r="N936" s="65"/>
      <c r="O936" s="65"/>
    </row>
    <row r="937" spans="11:15" ht="15.75" customHeight="1">
      <c r="K937" s="65"/>
      <c r="L937" s="65"/>
      <c r="M937" s="65"/>
      <c r="N937" s="65"/>
      <c r="O937" s="65"/>
    </row>
    <row r="938" spans="11:15" ht="15.75" customHeight="1">
      <c r="K938" s="65"/>
      <c r="L938" s="65"/>
      <c r="M938" s="65"/>
      <c r="N938" s="65"/>
      <c r="O938" s="65"/>
    </row>
    <row r="939" spans="11:15" ht="15.75" customHeight="1">
      <c r="K939" s="65"/>
      <c r="L939" s="65"/>
      <c r="M939" s="65"/>
      <c r="N939" s="65"/>
      <c r="O939" s="65"/>
    </row>
    <row r="940" spans="11:15" ht="15.75" customHeight="1">
      <c r="K940" s="65"/>
      <c r="L940" s="65"/>
      <c r="M940" s="65"/>
      <c r="N940" s="65"/>
      <c r="O940" s="65"/>
    </row>
    <row r="941" spans="11:15" ht="15.75" customHeight="1">
      <c r="K941" s="65"/>
      <c r="L941" s="65"/>
      <c r="M941" s="65"/>
      <c r="N941" s="65"/>
      <c r="O941" s="65"/>
    </row>
    <row r="942" spans="11:15" ht="15.75" customHeight="1">
      <c r="K942" s="65"/>
      <c r="L942" s="65"/>
      <c r="M942" s="65"/>
      <c r="N942" s="65"/>
      <c r="O942" s="65"/>
    </row>
    <row r="943" spans="11:15" ht="15.75" customHeight="1">
      <c r="K943" s="65"/>
      <c r="L943" s="65"/>
      <c r="M943" s="65"/>
      <c r="N943" s="65"/>
      <c r="O943" s="65"/>
    </row>
    <row r="944" spans="11:15" ht="15.75" customHeight="1">
      <c r="K944" s="65"/>
      <c r="L944" s="65"/>
      <c r="M944" s="65"/>
      <c r="N944" s="65"/>
      <c r="O944" s="65"/>
    </row>
    <row r="945" spans="11:15" ht="15.75" customHeight="1">
      <c r="K945" s="65"/>
      <c r="L945" s="65"/>
      <c r="M945" s="65"/>
      <c r="N945" s="65"/>
      <c r="O945" s="65"/>
    </row>
    <row r="946" spans="11:15" ht="15.75" customHeight="1">
      <c r="K946" s="65"/>
      <c r="L946" s="65"/>
      <c r="M946" s="65"/>
      <c r="N946" s="65"/>
      <c r="O946" s="65"/>
    </row>
    <row r="947" spans="11:15" ht="15.75" customHeight="1">
      <c r="K947" s="65"/>
      <c r="L947" s="65"/>
      <c r="M947" s="65"/>
      <c r="N947" s="65"/>
      <c r="O947" s="65"/>
    </row>
    <row r="948" spans="11:15" ht="15.75" customHeight="1">
      <c r="K948" s="65"/>
      <c r="L948" s="65"/>
      <c r="M948" s="65"/>
      <c r="N948" s="65"/>
      <c r="O948" s="65"/>
    </row>
    <row r="949" spans="11:15" ht="15.75" customHeight="1">
      <c r="K949" s="65"/>
      <c r="L949" s="65"/>
      <c r="M949" s="65"/>
      <c r="N949" s="65"/>
      <c r="O949" s="65"/>
    </row>
    <row r="950" spans="11:15" ht="15.75" customHeight="1">
      <c r="K950" s="65"/>
      <c r="L950" s="65"/>
      <c r="M950" s="65"/>
      <c r="N950" s="65"/>
      <c r="O950" s="65"/>
    </row>
    <row r="951" spans="11:15" ht="15.75" customHeight="1">
      <c r="K951" s="65"/>
      <c r="L951" s="65"/>
      <c r="M951" s="65"/>
      <c r="N951" s="65"/>
      <c r="O951" s="65"/>
    </row>
    <row r="952" spans="11:15" ht="15.75" customHeight="1">
      <c r="K952" s="65"/>
      <c r="L952" s="65"/>
      <c r="M952" s="65"/>
      <c r="N952" s="65"/>
      <c r="O952" s="65"/>
    </row>
    <row r="953" spans="11:15" ht="15.75" customHeight="1">
      <c r="K953" s="65"/>
      <c r="L953" s="65"/>
      <c r="M953" s="65"/>
      <c r="N953" s="65"/>
      <c r="O953" s="65"/>
    </row>
    <row r="954" spans="11:15" ht="15.75" customHeight="1">
      <c r="K954" s="65"/>
      <c r="L954" s="65"/>
      <c r="M954" s="65"/>
      <c r="N954" s="65"/>
      <c r="O954" s="65"/>
    </row>
    <row r="955" spans="11:15" ht="15.75" customHeight="1">
      <c r="K955" s="65"/>
      <c r="L955" s="65"/>
      <c r="M955" s="65"/>
      <c r="N955" s="65"/>
      <c r="O955" s="65"/>
    </row>
    <row r="956" spans="11:15" ht="15.75" customHeight="1">
      <c r="K956" s="65"/>
      <c r="L956" s="65"/>
      <c r="M956" s="65"/>
      <c r="N956" s="65"/>
      <c r="O956" s="65"/>
    </row>
    <row r="957" spans="11:15" ht="15.75" customHeight="1">
      <c r="K957" s="65"/>
      <c r="L957" s="65"/>
      <c r="M957" s="65"/>
      <c r="N957" s="65"/>
      <c r="O957" s="65"/>
    </row>
    <row r="958" spans="11:15" ht="15.75" customHeight="1">
      <c r="K958" s="65"/>
      <c r="L958" s="65"/>
      <c r="M958" s="65"/>
      <c r="N958" s="65"/>
      <c r="O958" s="65"/>
    </row>
    <row r="959" spans="11:15" ht="15.75" customHeight="1">
      <c r="K959" s="65"/>
      <c r="L959" s="65"/>
      <c r="M959" s="65"/>
      <c r="N959" s="65"/>
      <c r="O959" s="65"/>
    </row>
    <row r="960" spans="11:15" ht="15.75" customHeight="1">
      <c r="K960" s="65"/>
      <c r="L960" s="65"/>
      <c r="M960" s="65"/>
      <c r="N960" s="65"/>
      <c r="O960" s="65"/>
    </row>
    <row r="961" spans="11:15" ht="15.75" customHeight="1">
      <c r="K961" s="65"/>
      <c r="L961" s="65"/>
      <c r="M961" s="65"/>
      <c r="N961" s="65"/>
      <c r="O961" s="65"/>
    </row>
    <row r="962" spans="11:15" ht="15.75" customHeight="1">
      <c r="K962" s="65"/>
      <c r="L962" s="65"/>
      <c r="M962" s="65"/>
      <c r="N962" s="65"/>
      <c r="O962" s="65"/>
    </row>
    <row r="963" spans="11:15" ht="15.75" customHeight="1">
      <c r="K963" s="65"/>
      <c r="L963" s="65"/>
      <c r="M963" s="65"/>
      <c r="N963" s="65"/>
      <c r="O963" s="65"/>
    </row>
    <row r="964" spans="11:15" ht="15.75" customHeight="1">
      <c r="K964" s="65"/>
      <c r="L964" s="65"/>
      <c r="M964" s="65"/>
      <c r="N964" s="65"/>
      <c r="O964" s="65"/>
    </row>
    <row r="965" spans="11:15" ht="15.75" customHeight="1">
      <c r="K965" s="65"/>
      <c r="L965" s="65"/>
      <c r="M965" s="65"/>
      <c r="N965" s="65"/>
      <c r="O965" s="65"/>
    </row>
    <row r="966" spans="11:15" ht="15.75" customHeight="1">
      <c r="K966" s="65"/>
      <c r="L966" s="65"/>
      <c r="M966" s="65"/>
      <c r="N966" s="65"/>
      <c r="O966" s="65"/>
    </row>
    <row r="967" spans="11:15" ht="15.75" customHeight="1">
      <c r="K967" s="65"/>
      <c r="L967" s="65"/>
      <c r="M967" s="65"/>
      <c r="N967" s="65"/>
      <c r="O967" s="65"/>
    </row>
    <row r="968" spans="11:15" ht="15.75" customHeight="1">
      <c r="K968" s="65"/>
      <c r="L968" s="65"/>
      <c r="M968" s="65"/>
      <c r="N968" s="65"/>
      <c r="O968" s="65"/>
    </row>
    <row r="969" spans="11:15" ht="15.75" customHeight="1">
      <c r="K969" s="65"/>
      <c r="L969" s="65"/>
      <c r="M969" s="65"/>
      <c r="N969" s="65"/>
      <c r="O969" s="65"/>
    </row>
    <row r="970" spans="11:15" ht="15.75" customHeight="1">
      <c r="K970" s="65"/>
      <c r="L970" s="65"/>
      <c r="M970" s="65"/>
      <c r="N970" s="65"/>
      <c r="O970" s="65"/>
    </row>
    <row r="971" spans="11:15" ht="15.75" customHeight="1">
      <c r="K971" s="65"/>
      <c r="L971" s="65"/>
      <c r="M971" s="65"/>
      <c r="N971" s="65"/>
      <c r="O971" s="65"/>
    </row>
    <row r="972" spans="11:15" ht="15.75" customHeight="1">
      <c r="K972" s="65"/>
      <c r="L972" s="65"/>
      <c r="M972" s="65"/>
      <c r="N972" s="65"/>
      <c r="O972" s="65"/>
    </row>
    <row r="973" spans="11:15" ht="15.75" customHeight="1">
      <c r="K973" s="65"/>
      <c r="L973" s="65"/>
      <c r="M973" s="65"/>
      <c r="N973" s="65"/>
      <c r="O973" s="65"/>
    </row>
    <row r="974" spans="11:15" ht="15.75" customHeight="1">
      <c r="K974" s="65"/>
      <c r="L974" s="65"/>
      <c r="M974" s="65"/>
      <c r="N974" s="65"/>
      <c r="O974" s="65"/>
    </row>
    <row r="975" spans="11:15" ht="15.75" customHeight="1">
      <c r="K975" s="65"/>
      <c r="L975" s="65"/>
      <c r="M975" s="65"/>
      <c r="N975" s="65"/>
      <c r="O975" s="65"/>
    </row>
    <row r="976" spans="11:15" ht="15.75" customHeight="1">
      <c r="K976" s="65"/>
      <c r="L976" s="65"/>
      <c r="M976" s="65"/>
      <c r="N976" s="65"/>
      <c r="O976" s="65"/>
    </row>
    <row r="977" spans="11:15" ht="15.75" customHeight="1">
      <c r="K977" s="65"/>
      <c r="L977" s="65"/>
      <c r="M977" s="65"/>
      <c r="N977" s="65"/>
      <c r="O977" s="65"/>
    </row>
    <row r="978" spans="11:15" ht="15.75" customHeight="1">
      <c r="K978" s="65"/>
      <c r="L978" s="65"/>
      <c r="M978" s="65"/>
      <c r="N978" s="65"/>
      <c r="O978" s="65"/>
    </row>
    <row r="979" spans="11:15" ht="15.75" customHeight="1">
      <c r="K979" s="65"/>
      <c r="L979" s="65"/>
      <c r="M979" s="65"/>
      <c r="N979" s="65"/>
      <c r="O979" s="65"/>
    </row>
    <row r="980" spans="11:15" ht="15.75" customHeight="1">
      <c r="K980" s="65"/>
      <c r="L980" s="65"/>
      <c r="M980" s="65"/>
      <c r="N980" s="65"/>
      <c r="O980" s="65"/>
    </row>
    <row r="981" spans="11:15" ht="15.75" customHeight="1">
      <c r="K981" s="65"/>
      <c r="L981" s="65"/>
      <c r="M981" s="65"/>
      <c r="N981" s="65"/>
      <c r="O981" s="65"/>
    </row>
    <row r="982" spans="11:15" ht="15.75" customHeight="1">
      <c r="K982" s="65"/>
      <c r="L982" s="65"/>
      <c r="M982" s="65"/>
      <c r="N982" s="65"/>
      <c r="O982" s="65"/>
    </row>
    <row r="983" spans="11:15" ht="15.75" customHeight="1">
      <c r="K983" s="65"/>
      <c r="L983" s="65"/>
      <c r="M983" s="65"/>
      <c r="N983" s="65"/>
      <c r="O983" s="65"/>
    </row>
    <row r="984" spans="11:15" ht="15.75" customHeight="1">
      <c r="K984" s="65"/>
      <c r="L984" s="65"/>
      <c r="M984" s="65"/>
      <c r="N984" s="65"/>
      <c r="O984" s="65"/>
    </row>
    <row r="985" spans="11:15" ht="15.75" customHeight="1">
      <c r="K985" s="65"/>
      <c r="L985" s="65"/>
      <c r="M985" s="65"/>
      <c r="N985" s="65"/>
      <c r="O985" s="65"/>
    </row>
    <row r="986" spans="11:15" ht="15.75" customHeight="1">
      <c r="K986" s="65"/>
      <c r="L986" s="65"/>
      <c r="M986" s="65"/>
      <c r="N986" s="65"/>
      <c r="O986" s="65"/>
    </row>
    <row r="987" spans="11:15" ht="15.75" customHeight="1">
      <c r="K987" s="65"/>
      <c r="L987" s="65"/>
      <c r="M987" s="65"/>
      <c r="N987" s="65"/>
      <c r="O987" s="65"/>
    </row>
    <row r="988" spans="11:15" ht="15.75" customHeight="1">
      <c r="K988" s="65"/>
      <c r="L988" s="65"/>
      <c r="M988" s="65"/>
      <c r="N988" s="65"/>
      <c r="O988" s="65"/>
    </row>
    <row r="989" spans="11:15" ht="15.75" customHeight="1">
      <c r="K989" s="65"/>
      <c r="L989" s="65"/>
      <c r="M989" s="65"/>
      <c r="N989" s="65"/>
      <c r="O989" s="65"/>
    </row>
    <row r="990" spans="11:15" ht="15.75" customHeight="1">
      <c r="K990" s="65"/>
      <c r="L990" s="65"/>
      <c r="M990" s="65"/>
      <c r="N990" s="65"/>
      <c r="O990" s="65"/>
    </row>
    <row r="991" spans="11:15" ht="15.75" customHeight="1">
      <c r="K991" s="65"/>
      <c r="L991" s="65"/>
      <c r="M991" s="65"/>
      <c r="N991" s="65"/>
      <c r="O991" s="65"/>
    </row>
    <row r="992" spans="11:15" ht="15.75" customHeight="1">
      <c r="K992" s="65"/>
      <c r="L992" s="65"/>
      <c r="M992" s="65"/>
      <c r="N992" s="65"/>
      <c r="O992" s="65"/>
    </row>
    <row r="993" spans="11:15" ht="15.75" customHeight="1">
      <c r="K993" s="65"/>
      <c r="L993" s="65"/>
      <c r="M993" s="65"/>
      <c r="N993" s="65"/>
      <c r="O993" s="65"/>
    </row>
    <row r="994" spans="11:15" ht="15.75" customHeight="1">
      <c r="K994" s="65"/>
      <c r="L994" s="65"/>
      <c r="M994" s="65"/>
      <c r="N994" s="65"/>
      <c r="O994" s="65"/>
    </row>
    <row r="995" spans="11:15" ht="15.75" customHeight="1">
      <c r="K995" s="65"/>
      <c r="L995" s="65"/>
      <c r="M995" s="65"/>
      <c r="N995" s="65"/>
      <c r="O995" s="65"/>
    </row>
    <row r="996" spans="11:15" ht="15.75" customHeight="1">
      <c r="K996" s="65"/>
      <c r="L996" s="65"/>
      <c r="M996" s="65"/>
      <c r="N996" s="65"/>
      <c r="O996" s="65"/>
    </row>
    <row r="997" spans="11:15" ht="15.75" customHeight="1">
      <c r="K997" s="65"/>
      <c r="L997" s="65"/>
      <c r="M997" s="65"/>
      <c r="N997" s="65"/>
      <c r="O997" s="65"/>
    </row>
    <row r="998" spans="11:15" ht="15.75" customHeight="1">
      <c r="K998" s="65"/>
      <c r="L998" s="65"/>
      <c r="M998" s="65"/>
      <c r="N998" s="65"/>
      <c r="O998" s="65"/>
    </row>
    <row r="999" spans="11:15" ht="15.75" customHeight="1">
      <c r="K999" s="65"/>
      <c r="L999" s="65"/>
      <c r="M999" s="65"/>
      <c r="N999" s="65"/>
      <c r="O999" s="65"/>
    </row>
    <row r="1000" spans="11:15" ht="15.75" customHeight="1">
      <c r="K1000" s="65"/>
      <c r="L1000" s="65"/>
      <c r="M1000" s="65"/>
      <c r="N1000" s="65"/>
      <c r="O1000" s="65"/>
    </row>
  </sheetData>
  <mergeCells count="1">
    <mergeCell ref="A1:A2"/>
  </mergeCells>
  <hyperlinks>
    <hyperlink ref="Q4" r:id="rId1" xr:uid="{00000000-0004-0000-0200-000000000000}"/>
  </hyperlinks>
  <pageMargins left="0.7" right="0.7" top="0.75" bottom="0.75" header="0" footer="0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306C"/>
  </sheetPr>
  <dimension ref="A1:AD1001"/>
  <sheetViews>
    <sheetView tabSelected="1" workbookViewId="0">
      <pane xSplit="1" ySplit="3" topLeftCell="K9" activePane="bottomRight" state="frozen"/>
      <selection pane="topRight" activeCell="B1" sqref="B1"/>
      <selection pane="bottomLeft" activeCell="A4" sqref="A4"/>
      <selection pane="bottomRight" activeCell="Q19" sqref="Q19"/>
    </sheetView>
  </sheetViews>
  <sheetFormatPr defaultColWidth="14.42578125" defaultRowHeight="15" customHeight="1"/>
  <cols>
    <col min="1" max="1" width="61.28515625" customWidth="1"/>
    <col min="2" max="15" width="11.7109375" customWidth="1"/>
    <col min="16" max="16" width="18.42578125" customWidth="1"/>
    <col min="17" max="17" width="77.5703125" customWidth="1"/>
    <col min="18" max="18" width="37.140625" customWidth="1"/>
    <col min="19" max="30" width="8.85546875" customWidth="1"/>
  </cols>
  <sheetData>
    <row r="1" spans="1:30">
      <c r="A1" s="447" t="s">
        <v>95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96</v>
      </c>
      <c r="B4" s="32"/>
      <c r="C4" s="32">
        <v>103</v>
      </c>
      <c r="D4" s="32">
        <v>112</v>
      </c>
      <c r="E4" s="32">
        <v>115</v>
      </c>
      <c r="F4" s="32">
        <v>98</v>
      </c>
      <c r="G4" s="32">
        <v>94</v>
      </c>
      <c r="H4" s="32">
        <v>96</v>
      </c>
      <c r="I4" s="32">
        <v>95</v>
      </c>
      <c r="J4" s="32">
        <v>100</v>
      </c>
      <c r="K4" s="32">
        <v>91</v>
      </c>
      <c r="L4" s="32">
        <v>85</v>
      </c>
      <c r="M4" s="32">
        <v>75</v>
      </c>
      <c r="N4" s="32">
        <v>72</v>
      </c>
      <c r="O4" s="32">
        <v>59</v>
      </c>
      <c r="P4" s="34" t="s">
        <v>52</v>
      </c>
      <c r="Q4" s="71" t="s">
        <v>97</v>
      </c>
      <c r="R4" s="34" t="s">
        <v>98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99</v>
      </c>
      <c r="B5" s="36"/>
      <c r="C5" s="36"/>
      <c r="D5" s="36"/>
      <c r="E5" s="36"/>
      <c r="F5" s="36"/>
      <c r="G5" s="36"/>
      <c r="H5" s="32">
        <v>6</v>
      </c>
      <c r="I5" s="32">
        <v>0</v>
      </c>
      <c r="J5" s="32">
        <v>0</v>
      </c>
      <c r="K5" s="32">
        <v>0</v>
      </c>
      <c r="L5" s="36"/>
      <c r="M5" s="32">
        <v>9</v>
      </c>
      <c r="N5" s="36"/>
      <c r="O5" s="32">
        <v>3</v>
      </c>
      <c r="P5" s="34" t="s">
        <v>100</v>
      </c>
      <c r="Q5" s="55" t="s">
        <v>101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41" t="s">
        <v>42</v>
      </c>
      <c r="B6" s="72"/>
      <c r="C6" s="72"/>
      <c r="D6" s="72"/>
      <c r="E6" s="72"/>
      <c r="F6" s="72"/>
      <c r="G6" s="73">
        <v>16</v>
      </c>
      <c r="H6" s="74">
        <v>15</v>
      </c>
      <c r="I6" s="74">
        <v>10</v>
      </c>
      <c r="J6" s="74">
        <v>12</v>
      </c>
      <c r="K6" s="74">
        <v>12</v>
      </c>
      <c r="L6" s="75"/>
      <c r="M6" s="74">
        <v>14</v>
      </c>
      <c r="N6" s="75"/>
      <c r="O6" s="74">
        <v>3</v>
      </c>
      <c r="P6" s="76" t="s">
        <v>100</v>
      </c>
      <c r="Q6" s="77" t="s">
        <v>102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30">
      <c r="A7" s="35" t="s">
        <v>103</v>
      </c>
      <c r="B7" s="36"/>
      <c r="C7" s="32">
        <v>35</v>
      </c>
      <c r="D7" s="32">
        <v>37</v>
      </c>
      <c r="E7" s="32">
        <v>38</v>
      </c>
      <c r="F7" s="32">
        <v>35</v>
      </c>
      <c r="G7" s="32">
        <v>36</v>
      </c>
      <c r="H7" s="32">
        <v>37</v>
      </c>
      <c r="I7" s="32">
        <v>36</v>
      </c>
      <c r="J7" s="32">
        <v>38</v>
      </c>
      <c r="K7" s="32">
        <v>37</v>
      </c>
      <c r="L7" s="32">
        <v>33</v>
      </c>
      <c r="M7" s="32">
        <v>32</v>
      </c>
      <c r="N7" s="32">
        <v>29</v>
      </c>
      <c r="O7" s="32">
        <v>29</v>
      </c>
      <c r="P7" s="34" t="s">
        <v>52</v>
      </c>
      <c r="Q7" s="78" t="s">
        <v>104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81" t="s">
        <v>573</v>
      </c>
      <c r="B8" s="382"/>
      <c r="C8" s="382"/>
      <c r="D8" s="382"/>
      <c r="E8" s="382"/>
      <c r="F8" s="382"/>
      <c r="G8" s="382"/>
      <c r="H8" s="382"/>
      <c r="I8" s="382"/>
      <c r="J8" s="382"/>
      <c r="K8" s="384">
        <v>2.5630000000000002</v>
      </c>
      <c r="L8" s="384">
        <v>2.5139999999999998</v>
      </c>
      <c r="M8" s="384">
        <v>2.4089999999999998</v>
      </c>
      <c r="N8" s="384">
        <v>2.2549999999999999</v>
      </c>
      <c r="O8" s="384">
        <v>2.0859999999999999</v>
      </c>
      <c r="P8" s="34" t="s">
        <v>52</v>
      </c>
      <c r="Q8" s="383" t="s">
        <v>97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P9" s="49"/>
      <c r="Q9" s="49"/>
      <c r="R9" s="50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51" t="s">
        <v>50</v>
      </c>
      <c r="B10" s="51">
        <v>2010</v>
      </c>
      <c r="C10" s="51">
        <v>2011</v>
      </c>
      <c r="D10" s="51">
        <v>2012</v>
      </c>
      <c r="E10" s="51">
        <v>2013</v>
      </c>
      <c r="F10" s="51">
        <v>2014</v>
      </c>
      <c r="G10" s="51">
        <v>2015</v>
      </c>
      <c r="H10" s="51">
        <v>2016</v>
      </c>
      <c r="I10" s="51">
        <v>2017</v>
      </c>
      <c r="J10" s="51">
        <v>2018</v>
      </c>
      <c r="K10" s="51">
        <v>2019</v>
      </c>
      <c r="L10" s="51">
        <v>2020</v>
      </c>
      <c r="M10" s="51">
        <v>2021</v>
      </c>
      <c r="N10" s="51">
        <v>2022</v>
      </c>
      <c r="O10" s="51">
        <v>2023</v>
      </c>
      <c r="P10" s="79" t="s">
        <v>21</v>
      </c>
      <c r="Q10" s="79" t="s">
        <v>22</v>
      </c>
      <c r="R10" s="79" t="s">
        <v>23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30">
      <c r="A11" s="35" t="s">
        <v>105</v>
      </c>
      <c r="B11" s="59">
        <v>0.34350000000000003</v>
      </c>
      <c r="C11" s="59">
        <v>0.96750000000000003</v>
      </c>
      <c r="D11" s="59">
        <v>0.96960000000000002</v>
      </c>
      <c r="E11" s="59">
        <v>1.3580000000000001</v>
      </c>
      <c r="F11" s="59">
        <v>1.268</v>
      </c>
      <c r="G11" s="59">
        <v>1.266</v>
      </c>
      <c r="H11" s="59">
        <v>1.569</v>
      </c>
      <c r="I11" s="59">
        <v>1.5960000000000001</v>
      </c>
      <c r="J11" s="59">
        <v>1.857</v>
      </c>
      <c r="K11" s="59">
        <v>1.7250000000000001</v>
      </c>
      <c r="L11" s="59">
        <v>1.8149999999999999</v>
      </c>
      <c r="M11" s="59">
        <v>1.7090000000000001</v>
      </c>
      <c r="N11" s="59">
        <v>1.6220000000000001</v>
      </c>
      <c r="O11" s="59">
        <v>1.6990000000000001</v>
      </c>
      <c r="P11" s="34" t="s">
        <v>52</v>
      </c>
      <c r="Q11" s="78" t="s">
        <v>106</v>
      </c>
      <c r="R11" s="34" t="s">
        <v>27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30">
      <c r="A12" s="35" t="s">
        <v>107</v>
      </c>
      <c r="B12" s="59">
        <v>0.25863034148161967</v>
      </c>
      <c r="C12" s="59">
        <v>0.88561298749766748</v>
      </c>
      <c r="D12" s="59">
        <v>0.90128755364806867</v>
      </c>
      <c r="E12" s="59">
        <v>1.4263855196865085</v>
      </c>
      <c r="F12" s="59">
        <v>1.4185508836553156</v>
      </c>
      <c r="G12" s="59">
        <v>1.496923860652847</v>
      </c>
      <c r="H12" s="59">
        <v>2.0847211881343313</v>
      </c>
      <c r="I12" s="59">
        <v>1.9828363180375406</v>
      </c>
      <c r="J12" s="59">
        <v>1.9044633410400094</v>
      </c>
      <c r="K12" s="80">
        <v>1.8129999999999999</v>
      </c>
      <c r="L12" s="81">
        <v>1.8759999999999999</v>
      </c>
      <c r="M12" s="81">
        <v>1.71</v>
      </c>
      <c r="N12" s="81">
        <v>1.6579999999999999</v>
      </c>
      <c r="O12" s="81">
        <v>1.9390000000000001</v>
      </c>
      <c r="P12" s="34" t="s">
        <v>52</v>
      </c>
      <c r="Q12" s="55" t="s">
        <v>59</v>
      </c>
      <c r="R12" s="34" t="s">
        <v>108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30">
      <c r="A13" s="35" t="s">
        <v>523</v>
      </c>
      <c r="B13" s="59">
        <v>23.687999999999999</v>
      </c>
      <c r="C13" s="59">
        <v>37.380000000000003</v>
      </c>
      <c r="D13" s="59">
        <v>35.826000000000001</v>
      </c>
      <c r="E13" s="59">
        <v>342.38400000000001</v>
      </c>
      <c r="F13" s="59">
        <v>192.27600000000001</v>
      </c>
      <c r="G13" s="59">
        <v>352.75799999999998</v>
      </c>
      <c r="H13" s="59">
        <v>708.91800000000001</v>
      </c>
      <c r="I13" s="59">
        <v>393.70800000000003</v>
      </c>
      <c r="J13" s="59">
        <v>166.69800000000001</v>
      </c>
      <c r="K13" s="59">
        <v>171.27600000000001</v>
      </c>
      <c r="L13" s="59">
        <v>196.72799999999998</v>
      </c>
      <c r="M13" s="59">
        <v>210.21</v>
      </c>
      <c r="N13" s="59">
        <v>249.9</v>
      </c>
      <c r="O13" s="59">
        <v>501.01799999999997</v>
      </c>
      <c r="P13" s="34" t="s">
        <v>52</v>
      </c>
      <c r="Q13" s="190" t="s">
        <v>109</v>
      </c>
      <c r="R13" s="34" t="s">
        <v>110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30">
      <c r="A14" s="35" t="s">
        <v>524</v>
      </c>
      <c r="B14" s="59">
        <v>108.696</v>
      </c>
      <c r="C14" s="59">
        <v>75.558000000000007</v>
      </c>
      <c r="D14" s="59">
        <v>128.352</v>
      </c>
      <c r="E14" s="59">
        <v>196.35</v>
      </c>
      <c r="F14" s="59">
        <v>82.908000000000001</v>
      </c>
      <c r="G14" s="59">
        <v>87.822000000000003</v>
      </c>
      <c r="H14" s="59">
        <v>88.116</v>
      </c>
      <c r="I14" s="59">
        <v>93.156000000000006</v>
      </c>
      <c r="J14" s="59">
        <v>103.74</v>
      </c>
      <c r="K14" s="59">
        <v>114.66</v>
      </c>
      <c r="L14" s="59">
        <v>145.23599999999999</v>
      </c>
      <c r="M14" s="59">
        <v>186.98400000000001</v>
      </c>
      <c r="N14" s="59">
        <v>238.18200000000002</v>
      </c>
      <c r="O14" s="59">
        <v>251.16</v>
      </c>
      <c r="P14" s="34" t="s">
        <v>52</v>
      </c>
      <c r="Q14" s="55" t="s">
        <v>109</v>
      </c>
      <c r="R14" s="34" t="s">
        <v>111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35" t="s">
        <v>112</v>
      </c>
      <c r="B15" s="32">
        <v>644</v>
      </c>
      <c r="C15" s="32">
        <v>627</v>
      </c>
      <c r="D15" s="32">
        <v>675</v>
      </c>
      <c r="E15" s="32">
        <v>757</v>
      </c>
      <c r="F15" s="32">
        <v>783</v>
      </c>
      <c r="G15" s="32">
        <v>713</v>
      </c>
      <c r="H15" s="32">
        <v>716</v>
      </c>
      <c r="I15" s="32">
        <v>704</v>
      </c>
      <c r="J15" s="32">
        <v>680</v>
      </c>
      <c r="K15" s="32">
        <v>611</v>
      </c>
      <c r="L15" s="32">
        <v>712</v>
      </c>
      <c r="M15" s="32">
        <v>730</v>
      </c>
      <c r="N15" s="32">
        <v>1193</v>
      </c>
      <c r="O15" s="32">
        <v>1700</v>
      </c>
      <c r="P15" s="34" t="s">
        <v>68</v>
      </c>
      <c r="Q15" s="55" t="s">
        <v>73</v>
      </c>
      <c r="R15" s="39" t="s">
        <v>27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9"/>
      <c r="Q16" s="49"/>
      <c r="R16" s="5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51" t="s">
        <v>71</v>
      </c>
      <c r="B17" s="51">
        <v>2010</v>
      </c>
      <c r="C17" s="51">
        <v>2011</v>
      </c>
      <c r="D17" s="51">
        <v>2012</v>
      </c>
      <c r="E17" s="51">
        <v>2013</v>
      </c>
      <c r="F17" s="51">
        <v>2014</v>
      </c>
      <c r="G17" s="51">
        <v>2015</v>
      </c>
      <c r="H17" s="51">
        <v>2016</v>
      </c>
      <c r="I17" s="51">
        <v>2017</v>
      </c>
      <c r="J17" s="51">
        <v>2018</v>
      </c>
      <c r="K17" s="51">
        <v>2019</v>
      </c>
      <c r="L17" s="51">
        <v>2020</v>
      </c>
      <c r="M17" s="51">
        <v>2021</v>
      </c>
      <c r="N17" s="51">
        <v>2022</v>
      </c>
      <c r="O17" s="51">
        <v>2023</v>
      </c>
      <c r="P17" s="79" t="s">
        <v>21</v>
      </c>
      <c r="Q17" s="79" t="s">
        <v>22</v>
      </c>
      <c r="R17" s="79" t="s">
        <v>23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>
      <c r="A18" s="35" t="s">
        <v>113</v>
      </c>
      <c r="B18" s="82">
        <v>3.436375</v>
      </c>
      <c r="C18" s="82">
        <v>5.1727083333333335</v>
      </c>
      <c r="D18" s="82">
        <v>4.5162500000000003</v>
      </c>
      <c r="E18" s="82">
        <v>4.6016666666666666</v>
      </c>
      <c r="F18" s="82">
        <v>3.4550000000000001</v>
      </c>
      <c r="G18" s="82">
        <v>2.8358333333333334</v>
      </c>
      <c r="H18" s="82">
        <v>3.2391666666666672</v>
      </c>
      <c r="I18" s="82">
        <v>3.2724999999999991</v>
      </c>
      <c r="J18" s="82">
        <v>3.1016666666666666</v>
      </c>
      <c r="K18" s="82">
        <f>AVERAGE(3.03,
3.11,
2.95,
2.87,
2.83,
2.8,
2.87,
2.89,
2.9,
2.93,
2.97,
3.17
)</f>
        <v>2.9433333333333334</v>
      </c>
      <c r="L18" s="82">
        <f>AVERAGE(3.25,
3.1,
2.97,
2.71,
2.67,
2.8,
2.88,
3.12,
2.99,
3.09,
3.39,
3.51
)</f>
        <v>3.0399999999999996</v>
      </c>
      <c r="M18" s="82">
        <f>AVERAGE(4.13,
4.42,
4.91,
5.41,
6.05,
5.97,
5.88,
5.56,
5.28,
5.45,
5.57,
5.45
)</f>
        <v>5.3400000000000007</v>
      </c>
      <c r="N18" s="82">
        <f>AVERAGE(5.46,
5.93,
6.48,
6.78,
7.09,
6.97,
6.57,
6.71,
6.79,
6.81,
6.72,
5.87
)</f>
        <v>6.5150000000000006</v>
      </c>
      <c r="O18" s="82">
        <f>AVERAGE(5.73,
5.54,
5.09,
5.12,
4.99,
5.33,
5.66,
5.65,
5.47,
4.45,
4.49,
4.56
)</f>
        <v>5.1733333333333329</v>
      </c>
      <c r="P18" s="34" t="s">
        <v>68</v>
      </c>
      <c r="Q18" s="55" t="s">
        <v>73</v>
      </c>
      <c r="R18" s="34" t="s">
        <v>98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35" t="s">
        <v>114</v>
      </c>
      <c r="B19" s="82">
        <v>3.6274999999999999</v>
      </c>
      <c r="C19" s="82">
        <v>4.125</v>
      </c>
      <c r="D19" s="82">
        <v>4.2275</v>
      </c>
      <c r="E19" s="82">
        <v>4.2125000000000004</v>
      </c>
      <c r="F19" s="82">
        <v>4.18</v>
      </c>
      <c r="G19" s="82">
        <v>3.6150000000000002</v>
      </c>
      <c r="H19" s="82">
        <v>3</v>
      </c>
      <c r="I19" s="82">
        <v>3.12</v>
      </c>
      <c r="J19" s="82">
        <v>3.4625000000000004</v>
      </c>
      <c r="K19" s="82">
        <v>3.5350000000000001</v>
      </c>
      <c r="L19" s="82">
        <f>AVERAGE(3.65,3.44,3.08,3.26
)</f>
        <v>3.3574999999999999</v>
      </c>
      <c r="M19" s="82">
        <f>AVERAGE(3.11,3.49,3.56,3.73
)</f>
        <v>3.4725000000000001</v>
      </c>
      <c r="N19" s="82">
        <f>AVERAGE(3.88,4.96,5.48,5.15
)</f>
        <v>4.8674999999999997</v>
      </c>
      <c r="O19" s="82">
        <f>AVERAGE(5.11,4.85,4.44,4.76
)</f>
        <v>4.7900000000000009</v>
      </c>
      <c r="P19" s="31" t="s">
        <v>115</v>
      </c>
      <c r="Q19" s="83" t="s">
        <v>78</v>
      </c>
      <c r="R19" s="34" t="s">
        <v>98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5" t="s">
        <v>116</v>
      </c>
      <c r="B20" s="82">
        <v>2.8</v>
      </c>
      <c r="C20" s="82">
        <v>3.5300000000000002</v>
      </c>
      <c r="D20" s="82">
        <v>3.6875</v>
      </c>
      <c r="E20" s="82">
        <v>3.6675</v>
      </c>
      <c r="F20" s="82">
        <v>3.5975000000000001</v>
      </c>
      <c r="G20" s="82">
        <v>2.6349999999999998</v>
      </c>
      <c r="H20" s="82">
        <v>2.1674999999999995</v>
      </c>
      <c r="I20" s="82">
        <v>2.3025000000000002</v>
      </c>
      <c r="J20" s="82">
        <v>2.6675</v>
      </c>
      <c r="K20" s="82">
        <v>2.4849999999999999</v>
      </c>
      <c r="L20" s="82">
        <f>AVERAGE(2.6,2.13,2.11,2.06
)</f>
        <v>2.2250000000000001</v>
      </c>
      <c r="M20" s="82">
        <f>AVERAGE(2.18,2.53,2.74,2.96
)</f>
        <v>2.6025</v>
      </c>
      <c r="N20" s="82">
        <f>AVERAGE(3.08,4.16,4.8,4.4
)</f>
        <v>4.1099999999999994</v>
      </c>
      <c r="O20" s="82">
        <f>AVERAGE(4.01,3.62,3.4,3.98
)</f>
        <v>3.7524999999999999</v>
      </c>
      <c r="P20" s="31" t="s">
        <v>115</v>
      </c>
      <c r="Q20" s="83" t="s">
        <v>78</v>
      </c>
      <c r="R20" s="34" t="s">
        <v>98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>
      <c r="A21" s="35" t="s">
        <v>117</v>
      </c>
      <c r="B21" s="82">
        <v>2.67</v>
      </c>
      <c r="C21" s="82">
        <v>4.1675000000000004</v>
      </c>
      <c r="D21" s="82">
        <v>3.5525000000000002</v>
      </c>
      <c r="E21" s="82">
        <v>3.5349999999999997</v>
      </c>
      <c r="F21" s="82">
        <v>3.4850000000000003</v>
      </c>
      <c r="G21" s="82">
        <v>2.5549999999999997</v>
      </c>
      <c r="H21" s="82">
        <v>2.0724999999999998</v>
      </c>
      <c r="I21" s="82">
        <v>2.3075000000000001</v>
      </c>
      <c r="J21" s="82">
        <v>2.8025000000000002</v>
      </c>
      <c r="K21" s="82">
        <f>AVERAGE(2.65,2.75,2.71,2.74)</f>
        <v>2.7124999999999999</v>
      </c>
      <c r="L21" s="82">
        <f>AVERAGE(2.71,2.33,2.2,2.13
)</f>
        <v>2.3425000000000002</v>
      </c>
      <c r="M21" s="82">
        <f>AVERAGE(2.35,2.77,2.9,3.1
)</f>
        <v>2.78</v>
      </c>
      <c r="N21" s="82">
        <f>AVERAGE(3.22,4.5,5.02,4.6
)</f>
        <v>4.335</v>
      </c>
      <c r="O21" s="82">
        <f>AVERAGE(4.08,3.78,3.45,4.02
)</f>
        <v>3.8324999999999996</v>
      </c>
      <c r="P21" s="31" t="s">
        <v>115</v>
      </c>
      <c r="Q21" s="83" t="s">
        <v>78</v>
      </c>
      <c r="R21" s="34" t="s">
        <v>98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5.75" customHeight="1">
      <c r="A22" s="35" t="s">
        <v>118</v>
      </c>
      <c r="B22" s="43">
        <v>418.51851851851853</v>
      </c>
      <c r="C22" s="43">
        <v>462.96296296296299</v>
      </c>
      <c r="D22" s="43">
        <v>533.33333333333337</v>
      </c>
      <c r="E22" s="43">
        <v>481.48148148148147</v>
      </c>
      <c r="F22" s="43">
        <v>374.07407407407408</v>
      </c>
      <c r="G22" s="43">
        <v>331.48148148148147</v>
      </c>
      <c r="H22" s="43">
        <v>350.74074074074076</v>
      </c>
      <c r="I22" s="43">
        <v>345.55555555555554</v>
      </c>
      <c r="J22" s="43">
        <v>314.07407407407408</v>
      </c>
      <c r="K22" s="43">
        <v>329.81481277799998</v>
      </c>
      <c r="L22" s="43">
        <f>AVERAGE(317.407,400)</f>
        <v>358.70349999999996</v>
      </c>
      <c r="M22" s="43">
        <f>AVERAGE(400,492.59259)</f>
        <v>446.29629499999999</v>
      </c>
      <c r="N22" s="43">
        <f>AVERAGE(529.62,492.59259)</f>
        <v>511.10629499999999</v>
      </c>
      <c r="O22" s="43">
        <v>529.62</v>
      </c>
      <c r="P22" s="84" t="s">
        <v>68</v>
      </c>
      <c r="Q22" s="55" t="s">
        <v>119</v>
      </c>
      <c r="R22" s="34" t="s">
        <v>120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121</v>
      </c>
      <c r="B23" s="36"/>
      <c r="C23" s="36"/>
      <c r="D23" s="36"/>
      <c r="E23" s="36"/>
      <c r="F23" s="32">
        <v>49500</v>
      </c>
      <c r="G23" s="32">
        <v>49500</v>
      </c>
      <c r="H23" s="32">
        <v>61100</v>
      </c>
      <c r="I23" s="32">
        <v>62200</v>
      </c>
      <c r="J23" s="32">
        <v>72300</v>
      </c>
      <c r="K23" s="32">
        <v>67300</v>
      </c>
      <c r="L23" s="32">
        <v>70860</v>
      </c>
      <c r="M23" s="32">
        <v>63900</v>
      </c>
      <c r="N23" s="32">
        <v>63180</v>
      </c>
      <c r="O23" s="32">
        <v>66261</v>
      </c>
      <c r="P23" s="34" t="s">
        <v>122</v>
      </c>
      <c r="Q23" s="64" t="s">
        <v>123</v>
      </c>
      <c r="R23" s="34" t="s">
        <v>98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65"/>
      <c r="O24" s="2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455"/>
      <c r="P25" s="85"/>
      <c r="Q25" s="85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337"/>
      <c r="M26" s="337"/>
      <c r="N26" s="337"/>
      <c r="O26" s="455"/>
      <c r="P26" s="85"/>
      <c r="Q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455"/>
      <c r="P27" s="85"/>
      <c r="Q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455"/>
      <c r="P28" s="85"/>
      <c r="Q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336"/>
      <c r="O29" s="455"/>
      <c r="P29" s="8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K112" s="65"/>
      <c r="L112" s="65"/>
      <c r="M112" s="65"/>
      <c r="N112" s="65"/>
      <c r="O112" s="65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K113" s="65"/>
      <c r="L113" s="65"/>
      <c r="M113" s="65"/>
      <c r="N113" s="65"/>
      <c r="O113" s="65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K114" s="65"/>
      <c r="L114" s="65"/>
      <c r="M114" s="65"/>
      <c r="N114" s="65"/>
      <c r="O114" s="65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K115" s="65"/>
      <c r="L115" s="65"/>
      <c r="M115" s="65"/>
      <c r="N115" s="65"/>
      <c r="O115" s="65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K116" s="65"/>
      <c r="L116" s="65"/>
      <c r="M116" s="65"/>
      <c r="N116" s="65"/>
      <c r="O116" s="65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K117" s="65"/>
      <c r="L117" s="65"/>
      <c r="M117" s="65"/>
      <c r="N117" s="65"/>
      <c r="O117" s="65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K118" s="65"/>
      <c r="L118" s="65"/>
      <c r="M118" s="65"/>
      <c r="N118" s="65"/>
      <c r="O118" s="65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K119" s="65"/>
      <c r="L119" s="65"/>
      <c r="M119" s="65"/>
      <c r="N119" s="65"/>
      <c r="O119" s="65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A2"/>
  </mergeCells>
  <hyperlinks>
    <hyperlink ref="Q4" r:id="rId1" xr:uid="{00000000-0004-0000-0300-000000000000}"/>
    <hyperlink ref="Q5" r:id="rId2" xr:uid="{00000000-0004-0000-0300-000001000000}"/>
    <hyperlink ref="Q6" r:id="rId3" xr:uid="{00000000-0004-0000-0300-000002000000}"/>
    <hyperlink ref="Q7" r:id="rId4" xr:uid="{00000000-0004-0000-0300-000003000000}"/>
    <hyperlink ref="Q11" r:id="rId5" xr:uid="{00000000-0004-0000-0300-000004000000}"/>
    <hyperlink ref="Q12" r:id="rId6" xr:uid="{00000000-0004-0000-0300-000005000000}"/>
    <hyperlink ref="Q13" r:id="rId7" xr:uid="{00000000-0004-0000-0300-000006000000}"/>
    <hyperlink ref="Q15" r:id="rId8" xr:uid="{00000000-0004-0000-0300-000007000000}"/>
    <hyperlink ref="Q18" r:id="rId9" xr:uid="{00000000-0004-0000-0300-000008000000}"/>
    <hyperlink ref="Q19" r:id="rId10" xr:uid="{00000000-0004-0000-0300-000009000000}"/>
    <hyperlink ref="Q20" r:id="rId11" xr:uid="{00000000-0004-0000-0300-00000A000000}"/>
    <hyperlink ref="Q21" r:id="rId12" xr:uid="{00000000-0004-0000-0300-00000B000000}"/>
    <hyperlink ref="Q22" r:id="rId13" xr:uid="{00000000-0004-0000-0300-00000C000000}"/>
    <hyperlink ref="Q23" r:id="rId14" xr:uid="{00000000-0004-0000-0300-00000D000000}"/>
  </hyperlinks>
  <pageMargins left="0.7" right="0.7" top="0.75" bottom="0.75" header="0" footer="0"/>
  <pageSetup orientation="portrait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06C"/>
  </sheetPr>
  <dimension ref="A1:AM1002"/>
  <sheetViews>
    <sheetView topLeftCell="A20" zoomScaleNormal="100" workbookViewId="0">
      <selection activeCell="R19" sqref="R19"/>
    </sheetView>
  </sheetViews>
  <sheetFormatPr defaultColWidth="14.42578125" defaultRowHeight="15" customHeight="1"/>
  <cols>
    <col min="1" max="1" width="48.140625" customWidth="1"/>
    <col min="2" max="11" width="8.7109375" customWidth="1"/>
    <col min="12" max="16" width="9.140625" customWidth="1"/>
    <col min="17" max="17" width="17.28515625" customWidth="1"/>
    <col min="18" max="18" width="76.28515625" customWidth="1"/>
    <col min="19" max="19" width="27.85546875" customWidth="1"/>
    <col min="20" max="39" width="8.7109375" customWidth="1"/>
  </cols>
  <sheetData>
    <row r="1" spans="1:39">
      <c r="A1" s="447" t="s">
        <v>124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</row>
    <row r="2" spans="1:39">
      <c r="A2" s="449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86"/>
    </row>
    <row r="3" spans="1:39" ht="14.25" customHeight="1">
      <c r="A3" s="51" t="s">
        <v>50</v>
      </c>
      <c r="B3" s="28">
        <v>2009</v>
      </c>
      <c r="C3" s="28">
        <v>2010</v>
      </c>
      <c r="D3" s="28">
        <v>2011</v>
      </c>
      <c r="E3" s="28">
        <v>2012</v>
      </c>
      <c r="F3" s="28">
        <v>2013</v>
      </c>
      <c r="G3" s="28">
        <v>2014</v>
      </c>
      <c r="H3" s="28">
        <v>2015</v>
      </c>
      <c r="I3" s="28">
        <v>2016</v>
      </c>
      <c r="J3" s="28">
        <v>2017</v>
      </c>
      <c r="K3" s="28">
        <v>2018</v>
      </c>
      <c r="L3" s="28">
        <v>2019</v>
      </c>
      <c r="M3" s="28">
        <v>2020</v>
      </c>
      <c r="N3" s="28">
        <v>2021</v>
      </c>
      <c r="O3" s="28">
        <v>2022</v>
      </c>
      <c r="P3" s="28">
        <v>2023</v>
      </c>
      <c r="Q3" s="29" t="s">
        <v>21</v>
      </c>
      <c r="R3" s="29" t="s">
        <v>22</v>
      </c>
      <c r="S3" s="29" t="s">
        <v>23</v>
      </c>
    </row>
    <row r="4" spans="1:39">
      <c r="A4" s="218" t="s">
        <v>125</v>
      </c>
      <c r="B4" s="219"/>
      <c r="C4" s="219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  <c r="R4" s="222"/>
      <c r="S4" s="87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>
      <c r="A5" s="35" t="s">
        <v>126</v>
      </c>
      <c r="B5" s="36"/>
      <c r="C5" s="36"/>
      <c r="D5" s="43">
        <v>1004.9</v>
      </c>
      <c r="E5" s="43">
        <v>1025.2</v>
      </c>
      <c r="F5" s="43">
        <v>1040.2</v>
      </c>
      <c r="G5" s="43">
        <v>1056.5</v>
      </c>
      <c r="H5" s="43">
        <v>1088.8</v>
      </c>
      <c r="I5" s="43">
        <v>1113.3</v>
      </c>
      <c r="J5" s="43">
        <v>1095.3</v>
      </c>
      <c r="K5" s="43">
        <v>1025.5999999999999</v>
      </c>
      <c r="L5" s="43">
        <v>1133.9000000000001</v>
      </c>
      <c r="M5" s="43">
        <v>1146.5</v>
      </c>
      <c r="N5" s="43">
        <v>957.1</v>
      </c>
      <c r="O5" s="43">
        <v>918</v>
      </c>
      <c r="P5" s="43">
        <v>1039.5999999999999</v>
      </c>
      <c r="Q5" s="35" t="s">
        <v>127</v>
      </c>
      <c r="R5" s="71" t="s">
        <v>510</v>
      </c>
      <c r="S5" s="34" t="s">
        <v>511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>
      <c r="A6" s="35" t="s">
        <v>128</v>
      </c>
      <c r="B6" s="36"/>
      <c r="C6" s="36"/>
      <c r="D6" s="43">
        <v>2646.2</v>
      </c>
      <c r="E6" s="43">
        <v>2608.6999999999998</v>
      </c>
      <c r="F6" s="43">
        <v>2589.3000000000002</v>
      </c>
      <c r="G6" s="43">
        <v>2441.4</v>
      </c>
      <c r="H6" s="43">
        <v>2385.6999999999998</v>
      </c>
      <c r="I6" s="43">
        <v>2559.5</v>
      </c>
      <c r="J6" s="43">
        <v>2594.9</v>
      </c>
      <c r="K6" s="43">
        <v>2770.8</v>
      </c>
      <c r="L6" s="43">
        <v>2767.4</v>
      </c>
      <c r="M6" s="43">
        <v>2601.9</v>
      </c>
      <c r="N6" s="43">
        <v>2860.8</v>
      </c>
      <c r="O6" s="43">
        <v>2834.2</v>
      </c>
      <c r="P6" s="43">
        <v>2793.1</v>
      </c>
      <c r="Q6" s="35" t="s">
        <v>127</v>
      </c>
      <c r="R6" s="71" t="s">
        <v>510</v>
      </c>
      <c r="S6" s="34" t="s">
        <v>511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>
      <c r="A7" s="35" t="s">
        <v>129</v>
      </c>
      <c r="B7" s="36"/>
      <c r="C7" s="36"/>
      <c r="D7" s="43">
        <v>721.5</v>
      </c>
      <c r="E7" s="43">
        <v>720</v>
      </c>
      <c r="F7" s="43">
        <v>718</v>
      </c>
      <c r="G7" s="43">
        <v>707.3</v>
      </c>
      <c r="H7" s="43">
        <v>758.7</v>
      </c>
      <c r="I7" s="43">
        <v>787.6</v>
      </c>
      <c r="J7" s="43">
        <v>750.5</v>
      </c>
      <c r="K7" s="43">
        <v>736.8</v>
      </c>
      <c r="L7" s="43">
        <v>768.9</v>
      </c>
      <c r="M7" s="43">
        <v>734.2</v>
      </c>
      <c r="N7" s="43">
        <v>697.6</v>
      </c>
      <c r="O7" s="43">
        <v>745.9</v>
      </c>
      <c r="P7" s="43">
        <v>741</v>
      </c>
      <c r="Q7" s="35" t="s">
        <v>127</v>
      </c>
      <c r="R7" s="71" t="s">
        <v>510</v>
      </c>
      <c r="S7" s="34" t="s">
        <v>511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>
      <c r="A8" s="35" t="s">
        <v>130</v>
      </c>
      <c r="B8" s="36"/>
      <c r="C8" s="36"/>
      <c r="D8" s="43">
        <v>906.4</v>
      </c>
      <c r="E8" s="43">
        <v>885.9</v>
      </c>
      <c r="F8" s="43">
        <v>896.4</v>
      </c>
      <c r="G8" s="43">
        <v>933.2</v>
      </c>
      <c r="H8" s="43">
        <v>926.4</v>
      </c>
      <c r="I8" s="43">
        <v>916.4</v>
      </c>
      <c r="J8" s="43">
        <v>913</v>
      </c>
      <c r="K8" s="43">
        <v>990.7</v>
      </c>
      <c r="L8" s="43">
        <v>1348.3</v>
      </c>
      <c r="M8" s="43">
        <v>1346</v>
      </c>
      <c r="N8" s="43">
        <v>1349.9</v>
      </c>
      <c r="O8" s="43">
        <v>1359.3</v>
      </c>
      <c r="P8" s="36"/>
      <c r="Q8" s="35" t="s">
        <v>127</v>
      </c>
      <c r="R8" s="223" t="s">
        <v>510</v>
      </c>
      <c r="S8" s="34" t="s">
        <v>511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>
      <c r="A9" s="35" t="s">
        <v>132</v>
      </c>
      <c r="B9" s="36"/>
      <c r="C9" s="36"/>
      <c r="D9" s="43">
        <v>345.2</v>
      </c>
      <c r="E9" s="43">
        <v>348.6</v>
      </c>
      <c r="F9" s="43">
        <v>346.7</v>
      </c>
      <c r="G9" s="43">
        <v>333.9</v>
      </c>
      <c r="H9" s="43">
        <v>341.7</v>
      </c>
      <c r="I9" s="43">
        <v>336</v>
      </c>
      <c r="J9" s="43">
        <v>369.2</v>
      </c>
      <c r="K9" s="43">
        <v>285.89999999999998</v>
      </c>
      <c r="L9" s="43">
        <v>209.4</v>
      </c>
      <c r="M9" s="43">
        <v>207.2</v>
      </c>
      <c r="N9" s="43">
        <v>229.2</v>
      </c>
      <c r="O9" s="43">
        <v>175.6</v>
      </c>
      <c r="P9" s="43">
        <v>135.19999999999999</v>
      </c>
      <c r="Q9" s="35" t="s">
        <v>127</v>
      </c>
      <c r="R9" s="64" t="s">
        <v>510</v>
      </c>
      <c r="S9" s="34" t="s">
        <v>511</v>
      </c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</row>
    <row r="10" spans="1:39">
      <c r="A10" s="218" t="s">
        <v>133</v>
      </c>
      <c r="B10" s="51">
        <v>2009</v>
      </c>
      <c r="C10" s="51">
        <v>2010</v>
      </c>
      <c r="D10" s="51">
        <v>2011</v>
      </c>
      <c r="E10" s="51">
        <v>2012</v>
      </c>
      <c r="F10" s="51">
        <v>2013</v>
      </c>
      <c r="G10" s="51">
        <v>2014</v>
      </c>
      <c r="H10" s="51">
        <v>2015</v>
      </c>
      <c r="I10" s="51">
        <v>2016</v>
      </c>
      <c r="J10" s="51">
        <v>2017</v>
      </c>
      <c r="K10" s="51">
        <v>2018</v>
      </c>
      <c r="L10" s="28">
        <v>2019</v>
      </c>
      <c r="M10" s="28">
        <v>2020</v>
      </c>
      <c r="N10" s="28">
        <v>2021</v>
      </c>
      <c r="O10" s="28">
        <v>2022</v>
      </c>
      <c r="P10" s="28">
        <v>2023</v>
      </c>
      <c r="Q10" s="35"/>
      <c r="R10" s="55"/>
      <c r="S10" s="87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>
      <c r="A11" s="35" t="s">
        <v>126</v>
      </c>
      <c r="B11" s="36"/>
      <c r="C11" s="36"/>
      <c r="D11" s="43">
        <v>896</v>
      </c>
      <c r="E11" s="43">
        <v>931.4</v>
      </c>
      <c r="F11" s="43">
        <v>952.6</v>
      </c>
      <c r="G11" s="43">
        <v>959</v>
      </c>
      <c r="H11" s="43">
        <v>983.7</v>
      </c>
      <c r="I11" s="43">
        <v>999.4</v>
      </c>
      <c r="J11" s="43">
        <v>1000.9</v>
      </c>
      <c r="K11" s="43">
        <v>979.4</v>
      </c>
      <c r="L11" s="32">
        <v>74.099999999999994</v>
      </c>
      <c r="M11" s="32">
        <v>78.5</v>
      </c>
      <c r="N11" s="342">
        <v>139.4</v>
      </c>
      <c r="O11" s="342">
        <v>73.3</v>
      </c>
      <c r="P11" s="36"/>
      <c r="Q11" s="35" t="s">
        <v>127</v>
      </c>
      <c r="R11" s="64" t="s">
        <v>131</v>
      </c>
      <c r="S11" s="87" t="s">
        <v>27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>
      <c r="A12" s="35" t="s">
        <v>128</v>
      </c>
      <c r="B12" s="36"/>
      <c r="C12" s="36"/>
      <c r="D12" s="43">
        <v>1792.3</v>
      </c>
      <c r="E12" s="43">
        <v>1934.5</v>
      </c>
      <c r="F12" s="43">
        <v>1990.3</v>
      </c>
      <c r="G12" s="43">
        <v>1899.6</v>
      </c>
      <c r="H12" s="43">
        <v>1846.8</v>
      </c>
      <c r="I12" s="43">
        <v>2084.4</v>
      </c>
      <c r="J12" s="43">
        <v>2116.1</v>
      </c>
      <c r="K12" s="43">
        <v>2150</v>
      </c>
      <c r="L12" s="43">
        <v>132.6</v>
      </c>
      <c r="M12" s="43">
        <v>166.9</v>
      </c>
      <c r="N12" s="343">
        <v>604.70000000000005</v>
      </c>
      <c r="O12" s="343">
        <v>794.6</v>
      </c>
      <c r="P12" s="36"/>
      <c r="Q12" s="35" t="s">
        <v>127</v>
      </c>
      <c r="R12" s="224" t="s">
        <v>131</v>
      </c>
      <c r="S12" s="87" t="s">
        <v>27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>
      <c r="A13" s="35" t="s">
        <v>129</v>
      </c>
      <c r="B13" s="36"/>
      <c r="C13" s="36"/>
      <c r="D13" s="43">
        <v>442.4</v>
      </c>
      <c r="E13" s="43">
        <v>526.4</v>
      </c>
      <c r="F13" s="43">
        <v>498.5</v>
      </c>
      <c r="G13" s="43">
        <v>492.5</v>
      </c>
      <c r="H13" s="43">
        <v>505.9</v>
      </c>
      <c r="I13" s="43">
        <v>534.79999999999995</v>
      </c>
      <c r="J13" s="43">
        <v>491.4</v>
      </c>
      <c r="K13" s="43">
        <v>475</v>
      </c>
      <c r="L13" s="43">
        <v>243.2</v>
      </c>
      <c r="M13" s="43">
        <v>277.60000000000002</v>
      </c>
      <c r="N13" s="343">
        <v>314.8</v>
      </c>
      <c r="O13" s="343">
        <v>300.2</v>
      </c>
      <c r="P13" s="36"/>
      <c r="Q13" s="35" t="s">
        <v>127</v>
      </c>
      <c r="R13" s="225" t="s">
        <v>134</v>
      </c>
      <c r="S13" s="87" t="s">
        <v>27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>
      <c r="A14" s="35" t="s">
        <v>130</v>
      </c>
      <c r="B14" s="36"/>
      <c r="C14" s="36"/>
      <c r="D14" s="43">
        <v>126.5</v>
      </c>
      <c r="E14" s="43">
        <v>146</v>
      </c>
      <c r="F14" s="43">
        <v>80.599999999999994</v>
      </c>
      <c r="G14" s="43">
        <v>123.7</v>
      </c>
      <c r="H14" s="43">
        <v>126.5</v>
      </c>
      <c r="I14" s="43">
        <v>23.1</v>
      </c>
      <c r="J14" s="43">
        <v>0</v>
      </c>
      <c r="K14" s="43">
        <v>0</v>
      </c>
      <c r="L14" s="43">
        <v>655.7</v>
      </c>
      <c r="M14" s="43">
        <v>477.6</v>
      </c>
      <c r="N14" s="343">
        <v>1535.2</v>
      </c>
      <c r="O14" s="343">
        <v>2273.1</v>
      </c>
      <c r="P14" s="36"/>
      <c r="Q14" s="35" t="s">
        <v>127</v>
      </c>
      <c r="R14" s="223" t="s">
        <v>131</v>
      </c>
      <c r="S14" s="87" t="s">
        <v>27</v>
      </c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>
      <c r="A15" s="44" t="s">
        <v>135</v>
      </c>
      <c r="B15" s="36"/>
      <c r="C15" s="36"/>
      <c r="D15" s="89">
        <f t="shared" ref="D15:O15" si="0">SUM(D11:D14)</f>
        <v>3257.2000000000003</v>
      </c>
      <c r="E15" s="89">
        <f t="shared" si="0"/>
        <v>3538.3</v>
      </c>
      <c r="F15" s="89">
        <f t="shared" si="0"/>
        <v>3522</v>
      </c>
      <c r="G15" s="89">
        <f t="shared" si="0"/>
        <v>3474.7999999999997</v>
      </c>
      <c r="H15" s="89">
        <f t="shared" si="0"/>
        <v>3462.9</v>
      </c>
      <c r="I15" s="89">
        <f t="shared" si="0"/>
        <v>3641.7000000000003</v>
      </c>
      <c r="J15" s="89">
        <f t="shared" si="0"/>
        <v>3608.4</v>
      </c>
      <c r="K15" s="89">
        <f t="shared" si="0"/>
        <v>3604.4</v>
      </c>
      <c r="L15" s="89">
        <f t="shared" si="0"/>
        <v>1105.5999999999999</v>
      </c>
      <c r="M15" s="89">
        <f t="shared" si="0"/>
        <v>1000.6</v>
      </c>
      <c r="N15" s="89">
        <f t="shared" ref="N15" si="1">SUM(N11:N14)</f>
        <v>2594.1000000000004</v>
      </c>
      <c r="O15" s="89">
        <f t="shared" si="0"/>
        <v>3441.2</v>
      </c>
      <c r="P15" s="36"/>
      <c r="Q15" s="35" t="s">
        <v>136</v>
      </c>
      <c r="R15" s="64"/>
      <c r="S15" s="87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>
      <c r="A16" s="218" t="s">
        <v>137</v>
      </c>
      <c r="B16" s="51">
        <v>2009</v>
      </c>
      <c r="C16" s="51">
        <v>2010</v>
      </c>
      <c r="D16" s="51">
        <v>2011</v>
      </c>
      <c r="E16" s="51">
        <v>2012</v>
      </c>
      <c r="F16" s="51">
        <v>2013</v>
      </c>
      <c r="G16" s="51">
        <v>2014</v>
      </c>
      <c r="H16" s="51">
        <v>2015</v>
      </c>
      <c r="I16" s="51">
        <v>2016</v>
      </c>
      <c r="J16" s="51">
        <v>2017</v>
      </c>
      <c r="K16" s="51">
        <v>2018</v>
      </c>
      <c r="L16" s="28">
        <v>2019</v>
      </c>
      <c r="M16" s="28">
        <v>2020</v>
      </c>
      <c r="N16" s="28">
        <v>2021</v>
      </c>
      <c r="O16" s="28">
        <v>2022</v>
      </c>
      <c r="P16" s="28">
        <v>2023</v>
      </c>
      <c r="Q16" s="226"/>
      <c r="R16" s="55"/>
      <c r="S16" s="87"/>
    </row>
    <row r="17" spans="1:39" ht="45">
      <c r="A17" s="35" t="s">
        <v>138</v>
      </c>
      <c r="B17" s="43">
        <v>61.234987222299331</v>
      </c>
      <c r="C17" s="43">
        <v>45.359249794295806</v>
      </c>
      <c r="D17" s="43">
        <v>108.86219950630993</v>
      </c>
      <c r="E17" s="43">
        <v>79.832279637960625</v>
      </c>
      <c r="F17" s="43">
        <v>73.028392168816254</v>
      </c>
      <c r="G17" s="43">
        <v>79.832279637960625</v>
      </c>
      <c r="H17" s="43">
        <v>89.35772209476275</v>
      </c>
      <c r="I17" s="43">
        <v>99.790349547450759</v>
      </c>
      <c r="J17" s="43">
        <v>72.121207172930326</v>
      </c>
      <c r="K17" s="43">
        <v>51.255952267554257</v>
      </c>
      <c r="L17" s="43">
        <v>73.934229017034895</v>
      </c>
      <c r="M17" s="43">
        <v>78.471502144131705</v>
      </c>
      <c r="N17" s="43">
        <v>139.70648936643099</v>
      </c>
      <c r="O17" s="43">
        <v>73.481984666759203</v>
      </c>
      <c r="P17" s="43">
        <v>76.801000000000002</v>
      </c>
      <c r="Q17" s="35" t="s">
        <v>52</v>
      </c>
      <c r="R17" s="380" t="s">
        <v>139</v>
      </c>
      <c r="S17" s="87" t="s">
        <v>140</v>
      </c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45">
      <c r="A18" s="35" t="s">
        <v>141</v>
      </c>
      <c r="B18" s="43">
        <v>240.85761640771071</v>
      </c>
      <c r="C18" s="43">
        <v>77.11072465030287</v>
      </c>
      <c r="D18" s="43">
        <v>195.4983666134149</v>
      </c>
      <c r="E18" s="43">
        <v>174.63311170803883</v>
      </c>
      <c r="F18" s="43">
        <v>210.92051154347547</v>
      </c>
      <c r="G18" s="43">
        <v>172.36514921832406</v>
      </c>
      <c r="H18" s="43">
        <v>195.04477411547197</v>
      </c>
      <c r="I18" s="43">
        <v>150.59270931706206</v>
      </c>
      <c r="J18" s="43">
        <v>156.48941179032053</v>
      </c>
      <c r="K18" s="43">
        <v>219.5387690043917</v>
      </c>
      <c r="L18" s="43">
        <v>132.4465943127251</v>
      </c>
      <c r="M18" s="43">
        <v>166.92203924300799</v>
      </c>
      <c r="N18" s="43">
        <v>734.81984666759195</v>
      </c>
      <c r="O18" s="43">
        <v>898.56673842499902</v>
      </c>
      <c r="P18" s="43">
        <v>1904.018</v>
      </c>
      <c r="Q18" s="35" t="s">
        <v>52</v>
      </c>
      <c r="R18" s="290" t="s">
        <v>142</v>
      </c>
      <c r="S18" s="87" t="s">
        <v>140</v>
      </c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</row>
    <row r="19" spans="1:39" ht="45">
      <c r="A19" s="35" t="s">
        <v>143</v>
      </c>
      <c r="B19" s="43">
        <v>151.49989431294802</v>
      </c>
      <c r="C19" s="43">
        <v>151.04630181500505</v>
      </c>
      <c r="D19" s="43">
        <v>241.76480140359661</v>
      </c>
      <c r="E19" s="43">
        <v>185.06573916072688</v>
      </c>
      <c r="F19" s="43">
        <v>212.28128903730436</v>
      </c>
      <c r="G19" s="43">
        <v>193.6839966216431</v>
      </c>
      <c r="H19" s="43">
        <v>267.16598128840229</v>
      </c>
      <c r="I19" s="43">
        <v>262.17646381102975</v>
      </c>
      <c r="J19" s="43">
        <v>268.07316628428822</v>
      </c>
      <c r="K19" s="43">
        <v>280.32016372874807</v>
      </c>
      <c r="L19" s="43">
        <v>243.12114572472822</v>
      </c>
      <c r="M19" s="43">
        <v>277.59860874109</v>
      </c>
      <c r="N19" s="43">
        <v>315.24678607035497</v>
      </c>
      <c r="O19" s="43">
        <v>301.18541863412401</v>
      </c>
      <c r="P19" s="43">
        <v>270.27</v>
      </c>
      <c r="Q19" s="35" t="s">
        <v>52</v>
      </c>
      <c r="R19" s="290" t="s">
        <v>142</v>
      </c>
      <c r="S19" s="87" t="s">
        <v>140</v>
      </c>
      <c r="AF19" s="228"/>
      <c r="AG19" s="228"/>
      <c r="AH19" s="228"/>
      <c r="AI19" s="228"/>
      <c r="AJ19" s="228"/>
      <c r="AK19" s="228"/>
    </row>
    <row r="20" spans="1:39" ht="45">
      <c r="A20" s="35" t="s">
        <v>144</v>
      </c>
      <c r="B20" s="43">
        <v>70.760429679101463</v>
      </c>
      <c r="C20" s="43">
        <v>111.58375449396769</v>
      </c>
      <c r="D20" s="43">
        <v>213.64206653113325</v>
      </c>
      <c r="E20" s="43">
        <v>303.90697362178184</v>
      </c>
      <c r="F20" s="43">
        <v>474.45775284833417</v>
      </c>
      <c r="G20" s="43">
        <v>487.15834279073698</v>
      </c>
      <c r="H20" s="43">
        <v>568.80499242046949</v>
      </c>
      <c r="I20" s="43">
        <v>630.03997964276869</v>
      </c>
      <c r="J20" s="43">
        <v>667.23456447409137</v>
      </c>
      <c r="K20" s="43">
        <v>756.59228656885398</v>
      </c>
      <c r="L20" s="43">
        <v>655.42920815714979</v>
      </c>
      <c r="M20" s="43">
        <v>477.632900333934</v>
      </c>
      <c r="N20" s="43">
        <v>1539.4929380184001</v>
      </c>
      <c r="O20" s="43">
        <v>2272.0448221962702</v>
      </c>
      <c r="P20" s="43">
        <v>3092.8</v>
      </c>
      <c r="Q20" s="35" t="s">
        <v>52</v>
      </c>
      <c r="R20" s="190" t="s">
        <v>142</v>
      </c>
      <c r="S20" s="87" t="s">
        <v>140</v>
      </c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</row>
    <row r="21" spans="1:39" ht="45">
      <c r="A21" s="35" t="s">
        <v>145</v>
      </c>
      <c r="B21" s="43">
        <v>37.648177329265515</v>
      </c>
      <c r="C21" s="43">
        <v>37.194584831322565</v>
      </c>
      <c r="D21" s="43">
        <v>127.00589942402827</v>
      </c>
      <c r="E21" s="43">
        <v>152.86067180677688</v>
      </c>
      <c r="F21" s="43">
        <v>148.3247468273473</v>
      </c>
      <c r="G21" s="43">
        <v>97.975979555678947</v>
      </c>
      <c r="H21" s="43">
        <v>80.739464633846524</v>
      </c>
      <c r="I21" s="43">
        <v>31.297882358064104</v>
      </c>
      <c r="J21" s="43">
        <v>29.02991986834931</v>
      </c>
      <c r="K21" s="43">
        <v>100.24394204539374</v>
      </c>
      <c r="L21" s="43" t="s">
        <v>146</v>
      </c>
      <c r="M21" s="43">
        <v>16.782922423889399</v>
      </c>
      <c r="N21" s="43">
        <v>35.833807337493603</v>
      </c>
      <c r="O21" s="43">
        <v>28.130671506352002</v>
      </c>
      <c r="P21" s="43">
        <v>35.700000000000003</v>
      </c>
      <c r="Q21" s="35" t="s">
        <v>52</v>
      </c>
      <c r="R21" s="55" t="s">
        <v>142</v>
      </c>
      <c r="S21" s="87" t="s">
        <v>140</v>
      </c>
      <c r="AF21" s="228"/>
      <c r="AG21" s="228"/>
      <c r="AH21" s="228"/>
      <c r="AI21" s="228"/>
      <c r="AJ21" s="228"/>
      <c r="AK21" s="228"/>
    </row>
    <row r="22" spans="1:39" ht="15.75" customHeight="1">
      <c r="A22" s="44" t="s">
        <v>135</v>
      </c>
      <c r="B22" s="89">
        <f t="shared" ref="B22:P22" si="2">SUM(B17:B21)</f>
        <v>562.00110495132503</v>
      </c>
      <c r="C22" s="89">
        <f t="shared" si="2"/>
        <v>422.29461558489402</v>
      </c>
      <c r="D22" s="89">
        <f t="shared" si="2"/>
        <v>886.77333347848298</v>
      </c>
      <c r="E22" s="89">
        <f t="shared" si="2"/>
        <v>896.29877593528499</v>
      </c>
      <c r="F22" s="89">
        <f t="shared" si="2"/>
        <v>1119.0126924252775</v>
      </c>
      <c r="G22" s="89">
        <f t="shared" si="2"/>
        <v>1031.0157478243439</v>
      </c>
      <c r="H22" s="89">
        <f t="shared" si="2"/>
        <v>1201.112934552953</v>
      </c>
      <c r="I22" s="89">
        <f t="shared" si="2"/>
        <v>1173.8973846763754</v>
      </c>
      <c r="J22" s="89">
        <f t="shared" si="2"/>
        <v>1192.9482695899796</v>
      </c>
      <c r="K22" s="89">
        <f t="shared" si="2"/>
        <v>1407.9511136149417</v>
      </c>
      <c r="L22" s="89">
        <f t="shared" si="2"/>
        <v>1104.931177211638</v>
      </c>
      <c r="M22" s="89">
        <f t="shared" si="2"/>
        <v>1017.4079728860531</v>
      </c>
      <c r="N22" s="89">
        <f t="shared" si="2"/>
        <v>2765.0998674602715</v>
      </c>
      <c r="O22" s="89">
        <f t="shared" si="2"/>
        <v>3573.4096354285043</v>
      </c>
      <c r="P22" s="89">
        <f t="shared" si="2"/>
        <v>5379.5889999999999</v>
      </c>
      <c r="Q22" s="221" t="s">
        <v>136</v>
      </c>
      <c r="R22" s="229"/>
      <c r="S22" s="87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</row>
    <row r="23" spans="1:39" ht="15.75" customHeight="1">
      <c r="A23" s="218" t="s">
        <v>147</v>
      </c>
      <c r="B23" s="51">
        <v>2009</v>
      </c>
      <c r="C23" s="51">
        <v>2010</v>
      </c>
      <c r="D23" s="51">
        <v>2011</v>
      </c>
      <c r="E23" s="51">
        <v>2012</v>
      </c>
      <c r="F23" s="51">
        <v>2013</v>
      </c>
      <c r="G23" s="51">
        <v>2014</v>
      </c>
      <c r="H23" s="51">
        <v>2015</v>
      </c>
      <c r="I23" s="51">
        <v>2016</v>
      </c>
      <c r="J23" s="51">
        <v>2017</v>
      </c>
      <c r="K23" s="51">
        <v>2018</v>
      </c>
      <c r="L23" s="230">
        <v>2019</v>
      </c>
      <c r="M23" s="28">
        <v>2020</v>
      </c>
      <c r="N23" s="28">
        <v>2021</v>
      </c>
      <c r="O23" s="28">
        <v>2022</v>
      </c>
      <c r="P23" s="28">
        <v>2023</v>
      </c>
      <c r="Q23" s="231"/>
      <c r="R23" s="222"/>
      <c r="S23" s="87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.75" customHeight="1">
      <c r="A24" s="35" t="s">
        <v>126</v>
      </c>
      <c r="B24" s="36"/>
      <c r="C24" s="36"/>
      <c r="D24" s="36"/>
      <c r="E24" s="43">
        <v>14.5</v>
      </c>
      <c r="F24" s="43">
        <v>14.9</v>
      </c>
      <c r="G24" s="43">
        <v>18.399999999999999</v>
      </c>
      <c r="H24" s="43">
        <v>16.399999999999999</v>
      </c>
      <c r="I24" s="43">
        <v>14.7</v>
      </c>
      <c r="J24" s="43">
        <v>16.100000000000001</v>
      </c>
      <c r="K24" s="43">
        <v>14.8</v>
      </c>
      <c r="L24" s="43">
        <v>12.9</v>
      </c>
      <c r="M24" s="43">
        <v>19</v>
      </c>
      <c r="N24" s="43">
        <v>17</v>
      </c>
      <c r="O24" s="43">
        <v>17</v>
      </c>
      <c r="P24" s="43">
        <v>19.2</v>
      </c>
      <c r="Q24" s="35" t="s">
        <v>127</v>
      </c>
      <c r="R24" s="71" t="s">
        <v>510</v>
      </c>
      <c r="S24" s="34" t="s">
        <v>511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5.75" customHeight="1">
      <c r="A25" s="35" t="s">
        <v>128</v>
      </c>
      <c r="B25" s="36"/>
      <c r="C25" s="36"/>
      <c r="D25" s="43">
        <f>598.4+60</f>
        <v>658.4</v>
      </c>
      <c r="E25" s="43">
        <f>486.7+75.4</f>
        <v>562.1</v>
      </c>
      <c r="F25" s="43">
        <v>453.4</v>
      </c>
      <c r="G25" s="43">
        <v>443.3</v>
      </c>
      <c r="H25" s="43">
        <v>407.90000000000003</v>
      </c>
      <c r="I25" s="43">
        <v>403.4</v>
      </c>
      <c r="J25" s="43">
        <v>402.3</v>
      </c>
      <c r="K25" s="43">
        <v>445.4</v>
      </c>
      <c r="L25" s="43">
        <f>301+121.4</f>
        <v>422.4</v>
      </c>
      <c r="M25" s="43">
        <v>299.7</v>
      </c>
      <c r="N25" s="43">
        <v>187.7</v>
      </c>
      <c r="O25" s="43">
        <v>214.6</v>
      </c>
      <c r="P25" s="43">
        <f>108.4+45.7</f>
        <v>154.10000000000002</v>
      </c>
      <c r="Q25" s="35" t="s">
        <v>127</v>
      </c>
      <c r="R25" s="71" t="s">
        <v>510</v>
      </c>
      <c r="S25" s="34" t="s">
        <v>511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5.75" customHeight="1">
      <c r="A26" s="35" t="s">
        <v>129</v>
      </c>
      <c r="B26" s="36"/>
      <c r="C26" s="36"/>
      <c r="D26" s="43">
        <f>34.8+2.5</f>
        <v>37.299999999999997</v>
      </c>
      <c r="E26" s="43">
        <f>24.8+1.4</f>
        <v>26.2</v>
      </c>
      <c r="F26" s="43">
        <v>29.9</v>
      </c>
      <c r="G26" s="43">
        <v>22</v>
      </c>
      <c r="H26" s="43">
        <v>20</v>
      </c>
      <c r="I26" s="43">
        <v>19.5</v>
      </c>
      <c r="J26" s="43">
        <v>18</v>
      </c>
      <c r="K26" s="43">
        <v>17.2</v>
      </c>
      <c r="L26" s="43">
        <v>22.5</v>
      </c>
      <c r="M26" s="43">
        <v>18.100000000000001</v>
      </c>
      <c r="N26" s="43">
        <v>81.3</v>
      </c>
      <c r="O26" s="43">
        <v>26.7</v>
      </c>
      <c r="P26" s="43">
        <v>0.107</v>
      </c>
      <c r="Q26" s="35" t="s">
        <v>127</v>
      </c>
      <c r="R26" s="71" t="s">
        <v>510</v>
      </c>
      <c r="S26" s="34" t="s">
        <v>511</v>
      </c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5.75" customHeight="1">
      <c r="A27" s="35" t="s">
        <v>130</v>
      </c>
      <c r="B27" s="36"/>
      <c r="C27" s="36"/>
      <c r="D27" s="285">
        <v>566.20000000000005</v>
      </c>
      <c r="E27" s="285">
        <v>452.1</v>
      </c>
      <c r="F27" s="285">
        <v>361</v>
      </c>
      <c r="G27" s="285">
        <v>333.1</v>
      </c>
      <c r="H27" s="285">
        <v>253</v>
      </c>
      <c r="I27" s="285">
        <v>286.2</v>
      </c>
      <c r="J27" s="285">
        <v>300.2</v>
      </c>
      <c r="K27" s="285">
        <v>360.7</v>
      </c>
      <c r="L27" s="285">
        <v>448.2</v>
      </c>
      <c r="M27" s="285">
        <v>766.3</v>
      </c>
      <c r="N27" s="285">
        <v>761.1</v>
      </c>
      <c r="O27" s="285">
        <v>489.9</v>
      </c>
      <c r="P27" s="285">
        <v>192.4</v>
      </c>
      <c r="Q27" s="35" t="s">
        <v>127</v>
      </c>
      <c r="R27" s="71" t="s">
        <v>510</v>
      </c>
      <c r="S27" s="34" t="s">
        <v>511</v>
      </c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ht="15.75" customHeight="1">
      <c r="A28" s="44" t="s">
        <v>135</v>
      </c>
      <c r="B28" s="36"/>
      <c r="C28" s="164"/>
      <c r="D28" s="205">
        <f t="shared" ref="D28:O28" si="3">SUM(D24:D27)</f>
        <v>1261.9000000000001</v>
      </c>
      <c r="E28" s="205">
        <f t="shared" si="3"/>
        <v>1054.9000000000001</v>
      </c>
      <c r="F28" s="205">
        <f t="shared" si="3"/>
        <v>859.19999999999993</v>
      </c>
      <c r="G28" s="205">
        <f t="shared" si="3"/>
        <v>816.8</v>
      </c>
      <c r="H28" s="205">
        <f t="shared" si="3"/>
        <v>697.3</v>
      </c>
      <c r="I28" s="205">
        <f t="shared" si="3"/>
        <v>723.8</v>
      </c>
      <c r="J28" s="205">
        <f t="shared" si="3"/>
        <v>736.6</v>
      </c>
      <c r="K28" s="205">
        <f t="shared" si="3"/>
        <v>838.09999999999991</v>
      </c>
      <c r="L28" s="205">
        <f t="shared" si="3"/>
        <v>906</v>
      </c>
      <c r="M28" s="205">
        <f t="shared" si="3"/>
        <v>1103.0999999999999</v>
      </c>
      <c r="N28" s="205">
        <f t="shared" si="3"/>
        <v>1047.0999999999999</v>
      </c>
      <c r="O28" s="205">
        <f t="shared" si="3"/>
        <v>748.2</v>
      </c>
      <c r="P28" s="205">
        <f>SUM(P24:P27)</f>
        <v>365.80700000000002</v>
      </c>
      <c r="Q28" s="221" t="s">
        <v>136</v>
      </c>
      <c r="R28" s="338"/>
      <c r="S28" s="320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ht="15.75" customHeight="1">
      <c r="A29" s="218" t="s">
        <v>148</v>
      </c>
      <c r="B29" s="51">
        <v>2009</v>
      </c>
      <c r="C29" s="339">
        <v>2010</v>
      </c>
      <c r="D29" s="287">
        <v>2011</v>
      </c>
      <c r="E29" s="287">
        <v>2012</v>
      </c>
      <c r="F29" s="287">
        <v>2013</v>
      </c>
      <c r="G29" s="287">
        <v>2014</v>
      </c>
      <c r="H29" s="287">
        <v>2015</v>
      </c>
      <c r="I29" s="287">
        <v>2016</v>
      </c>
      <c r="J29" s="287">
        <v>2017</v>
      </c>
      <c r="K29" s="287">
        <v>2018</v>
      </c>
      <c r="L29" s="287">
        <v>2019</v>
      </c>
      <c r="M29" s="287">
        <v>2020</v>
      </c>
      <c r="N29" s="287">
        <v>2021</v>
      </c>
      <c r="O29" s="287">
        <v>2022</v>
      </c>
      <c r="P29" s="287">
        <v>2023</v>
      </c>
      <c r="Q29" s="231"/>
      <c r="R29" s="222"/>
      <c r="S29" s="87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5.75" customHeight="1">
      <c r="A30" s="35" t="s">
        <v>126</v>
      </c>
      <c r="B30" s="36"/>
      <c r="C30" s="164"/>
      <c r="D30" s="261"/>
      <c r="E30" s="205">
        <v>0.5</v>
      </c>
      <c r="F30" s="213">
        <v>0.4</v>
      </c>
      <c r="G30" s="213">
        <v>4.4000000000000004</v>
      </c>
      <c r="H30" s="213">
        <v>6.4</v>
      </c>
      <c r="I30" s="213">
        <v>5.8</v>
      </c>
      <c r="J30" s="213">
        <v>19.5</v>
      </c>
      <c r="K30" s="213">
        <v>5.69</v>
      </c>
      <c r="L30" s="213">
        <v>3.5</v>
      </c>
      <c r="M30" s="213">
        <v>2.1</v>
      </c>
      <c r="N30" s="213">
        <v>1.3</v>
      </c>
      <c r="O30" s="213">
        <v>3</v>
      </c>
      <c r="P30" s="213">
        <v>2.2999999999999998</v>
      </c>
      <c r="Q30" s="340" t="s">
        <v>127</v>
      </c>
      <c r="R30" s="71" t="s">
        <v>510</v>
      </c>
      <c r="S30" s="34" t="s">
        <v>511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 ht="15.75" customHeight="1">
      <c r="A31" s="35" t="s">
        <v>128</v>
      </c>
      <c r="B31" s="36"/>
      <c r="C31" s="164"/>
      <c r="D31" s="261"/>
      <c r="E31" s="205">
        <v>62.6</v>
      </c>
      <c r="F31" s="205">
        <v>59.5</v>
      </c>
      <c r="G31" s="205">
        <v>62.6</v>
      </c>
      <c r="H31" s="205">
        <v>64</v>
      </c>
      <c r="I31" s="205">
        <v>78.900000000000006</v>
      </c>
      <c r="J31" s="205">
        <v>99.8</v>
      </c>
      <c r="K31" s="205">
        <v>139.30000000000001</v>
      </c>
      <c r="L31" s="205">
        <v>192</v>
      </c>
      <c r="M31" s="205">
        <v>243.1</v>
      </c>
      <c r="N31" s="205">
        <v>333.3</v>
      </c>
      <c r="O31" s="205">
        <v>554.1</v>
      </c>
      <c r="P31" s="205">
        <v>795</v>
      </c>
      <c r="Q31" s="340" t="s">
        <v>127</v>
      </c>
      <c r="R31" s="71" t="s">
        <v>510</v>
      </c>
      <c r="S31" s="34" t="s">
        <v>511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5.75" customHeight="1">
      <c r="A32" s="35" t="s">
        <v>129</v>
      </c>
      <c r="B32" s="36"/>
      <c r="C32" s="164"/>
      <c r="D32" s="261"/>
      <c r="E32" s="205">
        <v>17.7</v>
      </c>
      <c r="F32" s="205">
        <v>21.8</v>
      </c>
      <c r="G32" s="205">
        <v>20.8</v>
      </c>
      <c r="H32" s="205">
        <v>34.4</v>
      </c>
      <c r="I32" s="205">
        <v>28.8</v>
      </c>
      <c r="J32" s="205">
        <v>27</v>
      </c>
      <c r="K32" s="205">
        <v>35.799999999999997</v>
      </c>
      <c r="L32" s="205">
        <v>27.2</v>
      </c>
      <c r="M32" s="205">
        <v>23</v>
      </c>
      <c r="N32" s="205">
        <v>45.3</v>
      </c>
      <c r="O32" s="205">
        <v>70.5</v>
      </c>
      <c r="P32" s="205">
        <v>71.5</v>
      </c>
      <c r="Q32" s="340" t="s">
        <v>127</v>
      </c>
      <c r="R32" s="71" t="s">
        <v>510</v>
      </c>
      <c r="S32" s="34" t="s">
        <v>511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ht="15.75" customHeight="1">
      <c r="A33" s="35" t="s">
        <v>130</v>
      </c>
      <c r="B33" s="36"/>
      <c r="C33" s="164"/>
      <c r="D33" s="261"/>
      <c r="E33" s="205">
        <v>16.100000000000001</v>
      </c>
      <c r="F33" s="205">
        <v>20.6</v>
      </c>
      <c r="G33" s="205">
        <v>17.2</v>
      </c>
      <c r="H33" s="205">
        <v>22.4</v>
      </c>
      <c r="I33" s="205">
        <v>23</v>
      </c>
      <c r="J33" s="205">
        <v>38.700000000000003</v>
      </c>
      <c r="K33" s="205">
        <v>62.9</v>
      </c>
      <c r="L33" s="205">
        <v>88</v>
      </c>
      <c r="M33" s="205">
        <v>83</v>
      </c>
      <c r="N33" s="205">
        <v>129.5</v>
      </c>
      <c r="O33" s="205">
        <v>395.6</v>
      </c>
      <c r="P33" s="205">
        <v>1405.6</v>
      </c>
      <c r="Q33" s="341" t="s">
        <v>127</v>
      </c>
      <c r="R33" s="71" t="s">
        <v>510</v>
      </c>
      <c r="S33" s="34" t="s">
        <v>511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ht="15.75" customHeight="1">
      <c r="A34" s="44" t="s">
        <v>135</v>
      </c>
      <c r="B34" s="36"/>
      <c r="C34" s="164"/>
      <c r="D34" s="261"/>
      <c r="E34" s="205">
        <f>SUM(E30:E33)</f>
        <v>96.9</v>
      </c>
      <c r="F34" s="205">
        <f t="shared" ref="F34:P34" si="4">SUM(F30:F33)</f>
        <v>102.30000000000001</v>
      </c>
      <c r="G34" s="205">
        <f t="shared" si="4"/>
        <v>105</v>
      </c>
      <c r="H34" s="205">
        <f t="shared" si="4"/>
        <v>127.20000000000002</v>
      </c>
      <c r="I34" s="205">
        <f t="shared" si="4"/>
        <v>136.5</v>
      </c>
      <c r="J34" s="205">
        <f t="shared" si="4"/>
        <v>185</v>
      </c>
      <c r="K34" s="205">
        <f t="shared" si="4"/>
        <v>243.69000000000003</v>
      </c>
      <c r="L34" s="205">
        <f t="shared" si="4"/>
        <v>310.7</v>
      </c>
      <c r="M34" s="205">
        <f t="shared" si="4"/>
        <v>351.2</v>
      </c>
      <c r="N34" s="205">
        <f t="shared" si="4"/>
        <v>509.40000000000003</v>
      </c>
      <c r="O34" s="205">
        <f>SUM(O30:O33)</f>
        <v>1023.2</v>
      </c>
      <c r="P34" s="205">
        <f t="shared" si="4"/>
        <v>2274.3999999999996</v>
      </c>
      <c r="Q34" s="221" t="s">
        <v>136</v>
      </c>
      <c r="R34" s="71"/>
      <c r="S34" s="34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ht="15.75" customHeight="1">
      <c r="A35" s="232" t="s">
        <v>149</v>
      </c>
      <c r="B35" s="51">
        <v>2009</v>
      </c>
      <c r="C35" s="51">
        <v>2010</v>
      </c>
      <c r="D35" s="262">
        <v>2011</v>
      </c>
      <c r="E35" s="262">
        <v>2012</v>
      </c>
      <c r="F35" s="262">
        <v>2013</v>
      </c>
      <c r="G35" s="262">
        <v>2014</v>
      </c>
      <c r="H35" s="262">
        <v>2015</v>
      </c>
      <c r="I35" s="262">
        <v>2016</v>
      </c>
      <c r="J35" s="262">
        <v>2017</v>
      </c>
      <c r="K35" s="262">
        <v>2018</v>
      </c>
      <c r="L35" s="262">
        <v>2019</v>
      </c>
      <c r="M35" s="262">
        <v>2020</v>
      </c>
      <c r="N35" s="262">
        <v>2021</v>
      </c>
      <c r="O35" s="262">
        <v>2022</v>
      </c>
      <c r="P35" s="262">
        <v>2023</v>
      </c>
      <c r="Q35" s="91"/>
      <c r="R35" s="31"/>
      <c r="S35" s="31"/>
    </row>
    <row r="36" spans="1:39" ht="15.75" customHeight="1">
      <c r="A36" s="35" t="s">
        <v>150</v>
      </c>
      <c r="B36" s="36"/>
      <c r="C36" s="36"/>
      <c r="D36" s="227">
        <f t="shared" ref="D36:O36" si="5">D17/(D5)*100</f>
        <v>10.833137576506113</v>
      </c>
      <c r="E36" s="227">
        <f t="shared" si="5"/>
        <v>7.7869956728404812</v>
      </c>
      <c r="F36" s="227">
        <f t="shared" si="5"/>
        <v>7.0206106680269418</v>
      </c>
      <c r="G36" s="227">
        <f t="shared" si="5"/>
        <v>7.5562971734936699</v>
      </c>
      <c r="H36" s="227">
        <f t="shared" si="5"/>
        <v>8.2069913753455879</v>
      </c>
      <c r="I36" s="227">
        <f t="shared" si="5"/>
        <v>8.9634734166397898</v>
      </c>
      <c r="J36" s="227">
        <f t="shared" si="5"/>
        <v>6.5846076118807941</v>
      </c>
      <c r="K36" s="227">
        <f t="shared" si="5"/>
        <v>4.9976552522966324</v>
      </c>
      <c r="L36" s="227">
        <f t="shared" si="5"/>
        <v>6.520348268545276</v>
      </c>
      <c r="M36" s="227">
        <f t="shared" si="5"/>
        <v>6.8444397857943056</v>
      </c>
      <c r="N36" s="227">
        <f t="shared" si="5"/>
        <v>14.596853972043778</v>
      </c>
      <c r="O36" s="227">
        <f t="shared" si="5"/>
        <v>8.0045734931110246</v>
      </c>
      <c r="P36" s="227">
        <f t="shared" ref="P36" si="6">P17/(P5)*100</f>
        <v>7.3875529049634485</v>
      </c>
      <c r="Q36" s="35" t="s">
        <v>136</v>
      </c>
      <c r="R36" s="31"/>
      <c r="S36" s="31"/>
    </row>
    <row r="37" spans="1:39" ht="15.75" customHeight="1">
      <c r="A37" s="35" t="s">
        <v>151</v>
      </c>
      <c r="B37" s="36"/>
      <c r="C37" s="36"/>
      <c r="D37" s="227">
        <f t="shared" ref="D37:O37" si="7">D18/(D6)*100</f>
        <v>7.3878908099695755</v>
      </c>
      <c r="E37" s="227">
        <f t="shared" si="7"/>
        <v>6.6942581250446134</v>
      </c>
      <c r="F37" s="227">
        <f t="shared" si="7"/>
        <v>8.1458506756063578</v>
      </c>
      <c r="G37" s="227">
        <f t="shared" si="7"/>
        <v>7.0600945858246931</v>
      </c>
      <c r="H37" s="227">
        <f t="shared" si="7"/>
        <v>8.1755784095012771</v>
      </c>
      <c r="I37" s="227">
        <f t="shared" si="7"/>
        <v>5.8836768633351069</v>
      </c>
      <c r="J37" s="227">
        <f t="shared" si="7"/>
        <v>6.0306528879849139</v>
      </c>
      <c r="K37" s="227">
        <f t="shared" si="7"/>
        <v>7.9232990112744224</v>
      </c>
      <c r="L37" s="227">
        <f t="shared" si="7"/>
        <v>4.7859577333498988</v>
      </c>
      <c r="M37" s="227">
        <f t="shared" si="7"/>
        <v>6.4153902626160875</v>
      </c>
      <c r="N37" s="227">
        <f t="shared" si="7"/>
        <v>25.685816787877236</v>
      </c>
      <c r="O37" s="227">
        <f t="shared" si="7"/>
        <v>31.704422356396833</v>
      </c>
      <c r="P37" s="227">
        <f t="shared" ref="P37" si="8">P18/(P6)*100</f>
        <v>68.16862983781462</v>
      </c>
      <c r="Q37" s="35" t="s">
        <v>136</v>
      </c>
      <c r="R37" s="31"/>
      <c r="S37" s="31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</row>
    <row r="38" spans="1:39" ht="15.75" customHeight="1">
      <c r="A38" s="35" t="s">
        <v>152</v>
      </c>
      <c r="B38" s="36"/>
      <c r="C38" s="36"/>
      <c r="D38" s="227">
        <f t="shared" ref="D38:O38" si="9">D19/(D7)*100</f>
        <v>33.508634983173472</v>
      </c>
      <c r="E38" s="227">
        <f t="shared" si="9"/>
        <v>25.703574883434289</v>
      </c>
      <c r="F38" s="227">
        <f t="shared" si="9"/>
        <v>29.565639141685846</v>
      </c>
      <c r="G38" s="227">
        <f t="shared" si="9"/>
        <v>27.383570849942473</v>
      </c>
      <c r="H38" s="227">
        <f t="shared" si="9"/>
        <v>35.213652469803911</v>
      </c>
      <c r="I38" s="227">
        <f t="shared" si="9"/>
        <v>33.288022322375539</v>
      </c>
      <c r="J38" s="227">
        <f t="shared" si="9"/>
        <v>35.719275987246931</v>
      </c>
      <c r="K38" s="227">
        <f t="shared" si="9"/>
        <v>38.045624827463101</v>
      </c>
      <c r="L38" s="227">
        <f t="shared" si="9"/>
        <v>31.619345262677623</v>
      </c>
      <c r="M38" s="227">
        <f t="shared" si="9"/>
        <v>37.809671580099426</v>
      </c>
      <c r="N38" s="227">
        <f t="shared" si="9"/>
        <v>45.190192957332989</v>
      </c>
      <c r="O38" s="227">
        <f t="shared" si="9"/>
        <v>40.378793220823702</v>
      </c>
      <c r="P38" s="227">
        <f t="shared" ref="P38" si="10">P19/(P7)*100</f>
        <v>36.473684210526315</v>
      </c>
      <c r="Q38" s="35" t="s">
        <v>136</v>
      </c>
      <c r="R38" s="31"/>
      <c r="S38" s="31"/>
    </row>
    <row r="39" spans="1:39" ht="15.75" customHeight="1">
      <c r="A39" s="35" t="s">
        <v>153</v>
      </c>
      <c r="B39" s="36"/>
      <c r="C39" s="36"/>
      <c r="D39" s="227">
        <f t="shared" ref="D39:N39" si="11">D20/(D8)*100</f>
        <v>23.570395689666071</v>
      </c>
      <c r="E39" s="227">
        <f t="shared" si="11"/>
        <v>34.304884707278681</v>
      </c>
      <c r="F39" s="227">
        <f t="shared" si="11"/>
        <v>52.929245074557585</v>
      </c>
      <c r="G39" s="227">
        <f t="shared" si="11"/>
        <v>52.202994298192984</v>
      </c>
      <c r="H39" s="227">
        <f t="shared" si="11"/>
        <v>61.399502636061044</v>
      </c>
      <c r="I39" s="227">
        <f t="shared" si="11"/>
        <v>68.751634618372833</v>
      </c>
      <c r="J39" s="227">
        <f t="shared" si="11"/>
        <v>73.081551421039578</v>
      </c>
      <c r="K39" s="227">
        <f t="shared" si="11"/>
        <v>76.369464678394465</v>
      </c>
      <c r="L39" s="227">
        <f t="shared" si="11"/>
        <v>48.611526229856103</v>
      </c>
      <c r="M39" s="227">
        <f t="shared" si="11"/>
        <v>35.485356636993608</v>
      </c>
      <c r="N39" s="227">
        <f t="shared" si="11"/>
        <v>114.0449617022298</v>
      </c>
      <c r="O39" s="227">
        <f>O20/(O8)*100</f>
        <v>167.14815141589568</v>
      </c>
      <c r="P39" s="36"/>
      <c r="Q39" s="35" t="s">
        <v>136</v>
      </c>
      <c r="R39" s="31"/>
      <c r="S39" s="31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</row>
    <row r="40" spans="1:39" ht="15.75" customHeight="1">
      <c r="A40" s="45"/>
      <c r="B40" s="46"/>
      <c r="C40" s="46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49"/>
      <c r="R40" s="49"/>
      <c r="S40" s="50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ht="15.75" customHeight="1">
      <c r="A41" s="28" t="s">
        <v>71</v>
      </c>
      <c r="B41" s="28">
        <v>2009</v>
      </c>
      <c r="C41" s="28">
        <v>2010</v>
      </c>
      <c r="D41" s="28">
        <v>2011</v>
      </c>
      <c r="E41" s="28">
        <v>2012</v>
      </c>
      <c r="F41" s="28">
        <v>2013</v>
      </c>
      <c r="G41" s="28">
        <v>2014</v>
      </c>
      <c r="H41" s="28">
        <v>2015</v>
      </c>
      <c r="I41" s="28">
        <v>2016</v>
      </c>
      <c r="J41" s="28">
        <v>2017</v>
      </c>
      <c r="K41" s="28">
        <v>2018</v>
      </c>
      <c r="L41" s="28">
        <v>2019</v>
      </c>
      <c r="M41" s="28">
        <v>2020</v>
      </c>
      <c r="N41" s="28">
        <v>2021</v>
      </c>
      <c r="O41" s="28">
        <v>2022</v>
      </c>
      <c r="P41" s="28">
        <v>2023</v>
      </c>
      <c r="Q41" s="29" t="s">
        <v>21</v>
      </c>
      <c r="R41" s="29" t="s">
        <v>22</v>
      </c>
      <c r="S41" s="29" t="s">
        <v>23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1:39" ht="15.75" customHeight="1">
      <c r="A42" s="93" t="s">
        <v>154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39" ht="15.75" customHeight="1">
      <c r="A43" s="35" t="s">
        <v>155</v>
      </c>
      <c r="B43" s="36"/>
      <c r="C43" s="36"/>
      <c r="D43" s="108">
        <v>992</v>
      </c>
      <c r="E43" s="108">
        <v>864</v>
      </c>
      <c r="F43" s="108">
        <v>793</v>
      </c>
      <c r="G43" s="108">
        <v>660</v>
      </c>
      <c r="H43" s="108">
        <v>502</v>
      </c>
      <c r="I43" s="108">
        <v>546</v>
      </c>
      <c r="J43" s="108">
        <v>605</v>
      </c>
      <c r="K43" s="108">
        <v>566</v>
      </c>
      <c r="L43" s="108">
        <v>564</v>
      </c>
      <c r="M43" s="108">
        <v>558</v>
      </c>
      <c r="N43" s="108">
        <v>1038</v>
      </c>
      <c r="O43" s="108">
        <v>1376</v>
      </c>
      <c r="P43" s="108">
        <v>1095</v>
      </c>
      <c r="Q43" s="35" t="s">
        <v>127</v>
      </c>
      <c r="R43" s="293" t="s">
        <v>510</v>
      </c>
      <c r="S43" s="34" t="s">
        <v>511</v>
      </c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</row>
    <row r="44" spans="1:39" ht="15.75" customHeight="1">
      <c r="A44" s="35" t="s">
        <v>156</v>
      </c>
      <c r="B44" s="36"/>
      <c r="C44" s="36"/>
      <c r="D44" s="108">
        <v>1180</v>
      </c>
      <c r="E44" s="108">
        <v>1034</v>
      </c>
      <c r="F44" s="108">
        <v>966</v>
      </c>
      <c r="G44" s="108">
        <v>803</v>
      </c>
      <c r="H44" s="108">
        <v>563</v>
      </c>
      <c r="I44" s="108">
        <v>746</v>
      </c>
      <c r="J44" s="108">
        <v>731</v>
      </c>
      <c r="K44" s="108">
        <v>662</v>
      </c>
      <c r="L44" s="108">
        <v>748</v>
      </c>
      <c r="M44" s="108">
        <v>828</v>
      </c>
      <c r="N44" s="108">
        <v>1444</v>
      </c>
      <c r="O44" s="108">
        <v>1817</v>
      </c>
      <c r="P44" s="108">
        <v>1557</v>
      </c>
      <c r="Q44" s="35" t="s">
        <v>127</v>
      </c>
      <c r="R44" s="71" t="s">
        <v>510</v>
      </c>
      <c r="S44" s="34" t="s">
        <v>511</v>
      </c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</row>
    <row r="45" spans="1:39" ht="15.75" customHeight="1">
      <c r="A45" s="35" t="s">
        <v>157</v>
      </c>
      <c r="B45" s="36"/>
      <c r="C45" s="36"/>
      <c r="D45" s="108">
        <v>1020</v>
      </c>
      <c r="E45" s="108">
        <v>926</v>
      </c>
      <c r="F45" s="108">
        <v>846</v>
      </c>
      <c r="G45" s="108">
        <v>711</v>
      </c>
      <c r="H45" s="108">
        <v>498</v>
      </c>
      <c r="I45" s="108">
        <v>537</v>
      </c>
      <c r="J45" s="108">
        <v>549</v>
      </c>
      <c r="K45" s="108">
        <v>463</v>
      </c>
      <c r="L45" s="108">
        <v>512</v>
      </c>
      <c r="M45" s="108">
        <v>534</v>
      </c>
      <c r="N45" s="108">
        <v>1066</v>
      </c>
      <c r="O45" s="108">
        <v>1462</v>
      </c>
      <c r="P45" s="108">
        <v>1174</v>
      </c>
      <c r="Q45" s="35" t="s">
        <v>127</v>
      </c>
      <c r="R45" s="71" t="s">
        <v>510</v>
      </c>
      <c r="S45" s="34" t="s">
        <v>511</v>
      </c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</row>
    <row r="46" spans="1:39" ht="15.75" customHeight="1">
      <c r="A46" s="35" t="s">
        <v>158</v>
      </c>
      <c r="B46" s="36"/>
      <c r="C46" s="36"/>
      <c r="D46" s="108">
        <v>932</v>
      </c>
      <c r="E46" s="108">
        <v>788</v>
      </c>
      <c r="F46" s="108">
        <v>727</v>
      </c>
      <c r="G46" s="108">
        <v>612</v>
      </c>
      <c r="H46" s="108">
        <v>462</v>
      </c>
      <c r="I46" s="108">
        <v>505</v>
      </c>
      <c r="J46" s="108">
        <v>524</v>
      </c>
      <c r="K46" s="108">
        <v>408</v>
      </c>
      <c r="L46" s="108">
        <v>466</v>
      </c>
      <c r="M46" s="108">
        <v>461</v>
      </c>
      <c r="N46" s="108">
        <v>893</v>
      </c>
      <c r="O46" s="108">
        <v>1266</v>
      </c>
      <c r="P46" s="108">
        <v>1027</v>
      </c>
      <c r="Q46" s="35" t="s">
        <v>127</v>
      </c>
      <c r="R46" s="71" t="s">
        <v>510</v>
      </c>
      <c r="S46" s="34" t="s">
        <v>511</v>
      </c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</row>
    <row r="47" spans="1:39" ht="15.75" customHeight="1">
      <c r="L47" s="65"/>
      <c r="M47" s="65"/>
      <c r="N47" s="65"/>
      <c r="O47" s="65"/>
      <c r="P47" s="65"/>
    </row>
    <row r="48" spans="1:39" ht="15.75" customHeight="1">
      <c r="L48" s="65"/>
      <c r="M48" s="65"/>
      <c r="N48" s="65"/>
      <c r="O48" s="65"/>
      <c r="P48" s="65"/>
    </row>
    <row r="49" spans="12:16" ht="15.75" customHeight="1">
      <c r="L49" s="65"/>
      <c r="M49" s="65"/>
      <c r="N49" s="65"/>
      <c r="O49" s="86"/>
      <c r="P49" s="65"/>
    </row>
    <row r="50" spans="12:16" ht="15.75" customHeight="1">
      <c r="L50" s="65"/>
      <c r="M50" s="65"/>
      <c r="N50" s="65"/>
      <c r="O50" s="65"/>
      <c r="P50" s="65"/>
    </row>
    <row r="51" spans="12:16" ht="15.75" customHeight="1">
      <c r="L51" s="65"/>
      <c r="M51" s="65"/>
      <c r="N51" s="65"/>
      <c r="O51" s="65"/>
      <c r="P51" s="65"/>
    </row>
    <row r="52" spans="12:16" ht="15.75" customHeight="1">
      <c r="L52" s="65"/>
      <c r="M52" s="65"/>
      <c r="N52" s="65"/>
      <c r="O52" s="65"/>
      <c r="P52" s="65"/>
    </row>
    <row r="53" spans="12:16" ht="15.75" customHeight="1">
      <c r="L53" s="65"/>
      <c r="M53" s="65"/>
      <c r="N53" s="65"/>
      <c r="O53" s="65"/>
      <c r="P53" s="65"/>
    </row>
    <row r="54" spans="12:16" ht="15.75" customHeight="1">
      <c r="L54" s="65"/>
      <c r="M54" s="65"/>
      <c r="N54" s="65"/>
      <c r="O54" s="65"/>
      <c r="P54" s="65"/>
    </row>
    <row r="55" spans="12:16" ht="15.75" customHeight="1">
      <c r="L55" s="65"/>
      <c r="M55" s="65"/>
      <c r="N55" s="65"/>
      <c r="O55" s="65"/>
      <c r="P55" s="65"/>
    </row>
    <row r="56" spans="12:16" ht="15.75" customHeight="1">
      <c r="L56" s="65"/>
      <c r="M56" s="65"/>
      <c r="N56" s="65"/>
      <c r="O56" s="65"/>
      <c r="P56" s="65"/>
    </row>
    <row r="57" spans="12:16" ht="15.75" customHeight="1">
      <c r="L57" s="65"/>
      <c r="M57" s="65"/>
      <c r="N57" s="65"/>
      <c r="O57" s="65"/>
      <c r="P57" s="65"/>
    </row>
    <row r="58" spans="12:16" ht="15.75" customHeight="1">
      <c r="L58" s="65"/>
      <c r="M58" s="65"/>
      <c r="N58" s="65"/>
      <c r="O58" s="65"/>
      <c r="P58" s="65"/>
    </row>
    <row r="59" spans="12:16" ht="15.75" customHeight="1">
      <c r="L59" s="65"/>
      <c r="M59" s="65"/>
      <c r="N59" s="65"/>
      <c r="O59" s="65"/>
      <c r="P59" s="65"/>
    </row>
    <row r="60" spans="12:16" ht="15.75" customHeight="1">
      <c r="L60" s="65"/>
      <c r="M60" s="65"/>
      <c r="N60" s="65"/>
      <c r="O60" s="65"/>
      <c r="P60" s="65"/>
    </row>
    <row r="61" spans="12:16" ht="15.75" customHeight="1">
      <c r="L61" s="65"/>
      <c r="M61" s="65"/>
      <c r="N61" s="65"/>
      <c r="O61" s="65"/>
      <c r="P61" s="65"/>
    </row>
    <row r="62" spans="12:16" ht="15.75" customHeight="1">
      <c r="L62" s="65"/>
      <c r="M62" s="65"/>
      <c r="N62" s="65"/>
      <c r="O62" s="65"/>
      <c r="P62" s="65"/>
    </row>
    <row r="63" spans="12:16" ht="15.75" customHeight="1">
      <c r="L63" s="65"/>
      <c r="M63" s="65"/>
      <c r="N63" s="65"/>
      <c r="O63" s="65"/>
      <c r="P63" s="65"/>
    </row>
    <row r="64" spans="12:16" ht="15.75" customHeight="1">
      <c r="L64" s="65"/>
      <c r="M64" s="65"/>
      <c r="N64" s="65"/>
      <c r="O64" s="65"/>
      <c r="P64" s="65"/>
    </row>
    <row r="65" spans="12:16" ht="15.75" customHeight="1">
      <c r="L65" s="65"/>
      <c r="M65" s="65"/>
      <c r="N65" s="65"/>
      <c r="O65" s="65"/>
      <c r="P65" s="65"/>
    </row>
    <row r="66" spans="12:16" ht="15.75" customHeight="1">
      <c r="L66" s="65"/>
      <c r="M66" s="65"/>
      <c r="N66" s="65"/>
      <c r="O66" s="65"/>
      <c r="P66" s="65"/>
    </row>
    <row r="67" spans="12:16" ht="15.75" customHeight="1">
      <c r="L67" s="65"/>
      <c r="M67" s="65"/>
      <c r="N67" s="65"/>
      <c r="O67" s="65"/>
      <c r="P67" s="65"/>
    </row>
    <row r="68" spans="12:16" ht="15.75" customHeight="1">
      <c r="L68" s="65"/>
      <c r="M68" s="65"/>
      <c r="N68" s="65"/>
      <c r="O68" s="65"/>
      <c r="P68" s="65"/>
    </row>
    <row r="69" spans="12:16" ht="15.75" customHeight="1">
      <c r="L69" s="65"/>
      <c r="M69" s="65"/>
      <c r="N69" s="65"/>
      <c r="O69" s="65"/>
      <c r="P69" s="65"/>
    </row>
    <row r="70" spans="12:16" ht="15.75" customHeight="1">
      <c r="L70" s="65"/>
      <c r="M70" s="65"/>
      <c r="N70" s="65"/>
      <c r="O70" s="65"/>
      <c r="P70" s="65"/>
    </row>
    <row r="71" spans="12:16" ht="15.75" customHeight="1">
      <c r="L71" s="65"/>
      <c r="M71" s="65"/>
      <c r="N71" s="65"/>
      <c r="O71" s="65"/>
      <c r="P71" s="65"/>
    </row>
    <row r="72" spans="12:16" ht="15.75" customHeight="1">
      <c r="L72" s="65"/>
      <c r="M72" s="65"/>
      <c r="N72" s="65"/>
      <c r="O72" s="65"/>
      <c r="P72" s="65"/>
    </row>
    <row r="73" spans="12:16" ht="15.75" customHeight="1">
      <c r="L73" s="65"/>
      <c r="M73" s="65"/>
      <c r="N73" s="65"/>
      <c r="O73" s="65"/>
      <c r="P73" s="65"/>
    </row>
    <row r="74" spans="12:16" ht="15.75" customHeight="1">
      <c r="L74" s="65"/>
      <c r="M74" s="65"/>
      <c r="N74" s="65"/>
      <c r="O74" s="65"/>
      <c r="P74" s="65"/>
    </row>
    <row r="75" spans="12:16" ht="15.75" customHeight="1">
      <c r="L75" s="65"/>
      <c r="M75" s="65"/>
      <c r="N75" s="65"/>
      <c r="O75" s="65"/>
      <c r="P75" s="65"/>
    </row>
    <row r="76" spans="12:16" ht="15.75" customHeight="1">
      <c r="L76" s="65"/>
      <c r="M76" s="65"/>
      <c r="N76" s="65"/>
      <c r="O76" s="65"/>
      <c r="P76" s="65"/>
    </row>
    <row r="77" spans="12:16" ht="15.75" customHeight="1">
      <c r="L77" s="65"/>
      <c r="M77" s="65"/>
      <c r="N77" s="65"/>
      <c r="O77" s="65"/>
      <c r="P77" s="65"/>
    </row>
    <row r="78" spans="12:16" ht="15.75" customHeight="1">
      <c r="L78" s="65"/>
      <c r="M78" s="65"/>
      <c r="N78" s="65"/>
      <c r="O78" s="65"/>
      <c r="P78" s="65"/>
    </row>
    <row r="79" spans="12:16" ht="15.75" customHeight="1">
      <c r="L79" s="65"/>
      <c r="M79" s="65"/>
      <c r="N79" s="65"/>
      <c r="O79" s="65"/>
      <c r="P79" s="65"/>
    </row>
    <row r="80" spans="12:16" ht="15.75" customHeight="1">
      <c r="L80" s="65"/>
      <c r="M80" s="65"/>
      <c r="N80" s="65"/>
      <c r="O80" s="65"/>
      <c r="P80" s="65"/>
    </row>
    <row r="81" spans="12:16" ht="15.75" customHeight="1">
      <c r="L81" s="65"/>
      <c r="M81" s="65"/>
      <c r="N81" s="65"/>
      <c r="O81" s="65"/>
      <c r="P81" s="65"/>
    </row>
    <row r="82" spans="12:16" ht="15.75" customHeight="1">
      <c r="L82" s="65"/>
      <c r="M82" s="65"/>
      <c r="N82" s="65"/>
      <c r="O82" s="65"/>
      <c r="P82" s="65"/>
    </row>
    <row r="83" spans="12:16" ht="15.75" customHeight="1">
      <c r="L83" s="65"/>
      <c r="M83" s="65"/>
      <c r="N83" s="65"/>
      <c r="O83" s="65"/>
      <c r="P83" s="65"/>
    </row>
    <row r="84" spans="12:16" ht="15.75" customHeight="1">
      <c r="L84" s="65"/>
      <c r="M84" s="65"/>
      <c r="N84" s="65"/>
      <c r="O84" s="65"/>
      <c r="P84" s="65"/>
    </row>
    <row r="85" spans="12:16" ht="15.75" customHeight="1">
      <c r="L85" s="65"/>
      <c r="M85" s="65"/>
      <c r="N85" s="65"/>
      <c r="O85" s="65"/>
      <c r="P85" s="65"/>
    </row>
    <row r="86" spans="12:16" ht="15.75" customHeight="1">
      <c r="L86" s="65"/>
      <c r="M86" s="65"/>
      <c r="N86" s="65"/>
      <c r="O86" s="65"/>
      <c r="P86" s="65"/>
    </row>
    <row r="87" spans="12:16" ht="15.75" customHeight="1">
      <c r="L87" s="65"/>
      <c r="M87" s="65"/>
      <c r="N87" s="65"/>
      <c r="O87" s="65"/>
      <c r="P87" s="65"/>
    </row>
    <row r="88" spans="12:16" ht="15.75" customHeight="1">
      <c r="L88" s="65"/>
      <c r="M88" s="65"/>
      <c r="N88" s="65"/>
      <c r="O88" s="65"/>
      <c r="P88" s="65"/>
    </row>
    <row r="89" spans="12:16" ht="15.75" customHeight="1">
      <c r="L89" s="65"/>
      <c r="M89" s="65"/>
      <c r="N89" s="65"/>
      <c r="O89" s="65"/>
      <c r="P89" s="65"/>
    </row>
    <row r="90" spans="12:16" ht="15.75" customHeight="1">
      <c r="L90" s="65"/>
      <c r="M90" s="65"/>
      <c r="N90" s="65"/>
      <c r="O90" s="65"/>
      <c r="P90" s="65"/>
    </row>
    <row r="91" spans="12:16" ht="15.75" customHeight="1">
      <c r="L91" s="65"/>
      <c r="M91" s="65"/>
      <c r="N91" s="65"/>
      <c r="O91" s="65"/>
      <c r="P91" s="65"/>
    </row>
    <row r="92" spans="12:16" ht="15.75" customHeight="1">
      <c r="L92" s="65"/>
      <c r="M92" s="65"/>
      <c r="N92" s="65"/>
      <c r="O92" s="65"/>
      <c r="P92" s="65"/>
    </row>
    <row r="93" spans="12:16" ht="15.75" customHeight="1">
      <c r="L93" s="65"/>
      <c r="M93" s="65"/>
      <c r="N93" s="65"/>
      <c r="O93" s="65"/>
      <c r="P93" s="65"/>
    </row>
    <row r="94" spans="12:16" ht="15.75" customHeight="1">
      <c r="L94" s="65"/>
      <c r="M94" s="65"/>
      <c r="N94" s="65"/>
      <c r="O94" s="65"/>
      <c r="P94" s="65"/>
    </row>
    <row r="95" spans="12:16" ht="15.75" customHeight="1">
      <c r="L95" s="65"/>
      <c r="M95" s="65"/>
      <c r="N95" s="65"/>
      <c r="O95" s="65"/>
      <c r="P95" s="65"/>
    </row>
    <row r="96" spans="12:16" ht="15.75" customHeight="1">
      <c r="L96" s="65"/>
      <c r="M96" s="65"/>
      <c r="N96" s="65"/>
      <c r="O96" s="65"/>
      <c r="P96" s="65"/>
    </row>
    <row r="97" spans="12:16" ht="15.75" customHeight="1">
      <c r="L97" s="65"/>
      <c r="M97" s="65"/>
      <c r="N97" s="65"/>
      <c r="O97" s="65"/>
      <c r="P97" s="65"/>
    </row>
    <row r="98" spans="12:16" ht="15.75" customHeight="1">
      <c r="L98" s="65"/>
      <c r="M98" s="65"/>
      <c r="N98" s="65"/>
      <c r="O98" s="65"/>
      <c r="P98" s="65"/>
    </row>
    <row r="99" spans="12:16" ht="15.75" customHeight="1">
      <c r="L99" s="65"/>
      <c r="M99" s="65"/>
      <c r="N99" s="65"/>
      <c r="O99" s="65"/>
      <c r="P99" s="65"/>
    </row>
    <row r="100" spans="12:16" ht="15.75" customHeight="1">
      <c r="L100" s="65"/>
      <c r="M100" s="65"/>
      <c r="N100" s="65"/>
      <c r="O100" s="65"/>
      <c r="P100" s="65"/>
    </row>
    <row r="101" spans="12:16" ht="15.75" customHeight="1">
      <c r="L101" s="65"/>
      <c r="M101" s="65"/>
      <c r="N101" s="65"/>
      <c r="O101" s="65"/>
      <c r="P101" s="65"/>
    </row>
    <row r="102" spans="12:16" ht="15.75" customHeight="1">
      <c r="L102" s="65"/>
      <c r="M102" s="65"/>
      <c r="N102" s="65"/>
      <c r="O102" s="65"/>
      <c r="P102" s="65"/>
    </row>
    <row r="103" spans="12:16" ht="15.75" customHeight="1">
      <c r="L103" s="65"/>
      <c r="M103" s="65"/>
      <c r="N103" s="65"/>
      <c r="O103" s="65"/>
      <c r="P103" s="65"/>
    </row>
    <row r="104" spans="12:16" ht="15.75" customHeight="1">
      <c r="L104" s="65"/>
      <c r="M104" s="65"/>
      <c r="N104" s="65"/>
      <c r="O104" s="65"/>
      <c r="P104" s="65"/>
    </row>
    <row r="105" spans="12:16" ht="15.75" customHeight="1">
      <c r="L105" s="65"/>
      <c r="M105" s="65"/>
      <c r="N105" s="65"/>
      <c r="O105" s="65"/>
      <c r="P105" s="65"/>
    </row>
    <row r="106" spans="12:16" ht="15.75" customHeight="1">
      <c r="L106" s="65"/>
      <c r="M106" s="65"/>
      <c r="N106" s="65"/>
      <c r="O106" s="65"/>
      <c r="P106" s="65"/>
    </row>
    <row r="107" spans="12:16" ht="15.75" customHeight="1">
      <c r="L107" s="65"/>
      <c r="M107" s="65"/>
      <c r="N107" s="65"/>
      <c r="O107" s="65"/>
      <c r="P107" s="65"/>
    </row>
    <row r="108" spans="12:16" ht="15.75" customHeight="1">
      <c r="L108" s="65"/>
      <c r="M108" s="65"/>
      <c r="N108" s="65"/>
      <c r="O108" s="65"/>
      <c r="P108" s="65"/>
    </row>
    <row r="109" spans="12:16" ht="15.75" customHeight="1">
      <c r="L109" s="65"/>
      <c r="M109" s="65"/>
      <c r="N109" s="65"/>
      <c r="O109" s="65"/>
      <c r="P109" s="65"/>
    </row>
    <row r="110" spans="12:16" ht="15.75" customHeight="1">
      <c r="L110" s="65"/>
      <c r="M110" s="65"/>
      <c r="N110" s="65"/>
      <c r="O110" s="65"/>
      <c r="P110" s="65"/>
    </row>
    <row r="111" spans="12:16" ht="15.75" customHeight="1">
      <c r="L111" s="65"/>
      <c r="M111" s="65"/>
      <c r="N111" s="65"/>
      <c r="O111" s="65"/>
      <c r="P111" s="65"/>
    </row>
    <row r="112" spans="12:16" ht="15.75" customHeight="1">
      <c r="L112" s="65"/>
      <c r="M112" s="65"/>
      <c r="N112" s="65"/>
      <c r="O112" s="65"/>
      <c r="P112" s="65"/>
    </row>
    <row r="113" spans="12:16" ht="15.75" customHeight="1">
      <c r="L113" s="65"/>
      <c r="M113" s="65"/>
      <c r="N113" s="65"/>
      <c r="O113" s="65"/>
      <c r="P113" s="65"/>
    </row>
    <row r="114" spans="12:16" ht="15.75" customHeight="1">
      <c r="L114" s="65"/>
      <c r="M114" s="65"/>
      <c r="N114" s="65"/>
      <c r="O114" s="65"/>
      <c r="P114" s="65"/>
    </row>
    <row r="115" spans="12:16" ht="15.75" customHeight="1">
      <c r="L115" s="65"/>
      <c r="M115" s="65"/>
      <c r="N115" s="65"/>
      <c r="O115" s="65"/>
      <c r="P115" s="65"/>
    </row>
    <row r="116" spans="12:16" ht="15.75" customHeight="1">
      <c r="L116" s="65"/>
      <c r="M116" s="65"/>
      <c r="N116" s="65"/>
      <c r="O116" s="65"/>
      <c r="P116" s="65"/>
    </row>
    <row r="117" spans="12:16" ht="15.75" customHeight="1">
      <c r="L117" s="65"/>
      <c r="M117" s="65"/>
      <c r="N117" s="65"/>
      <c r="O117" s="65"/>
      <c r="P117" s="65"/>
    </row>
    <row r="118" spans="12:16" ht="15.75" customHeight="1">
      <c r="L118" s="65"/>
      <c r="M118" s="65"/>
      <c r="N118" s="65"/>
      <c r="O118" s="65"/>
      <c r="P118" s="65"/>
    </row>
    <row r="119" spans="12:16" ht="15.75" customHeight="1">
      <c r="L119" s="65"/>
      <c r="M119" s="65"/>
      <c r="N119" s="65"/>
      <c r="O119" s="65"/>
      <c r="P119" s="65"/>
    </row>
    <row r="120" spans="12:16" ht="15.75" customHeight="1">
      <c r="L120" s="65"/>
      <c r="M120" s="65"/>
      <c r="N120" s="65"/>
      <c r="O120" s="65"/>
      <c r="P120" s="65"/>
    </row>
    <row r="121" spans="12:16" ht="15.75" customHeight="1">
      <c r="L121" s="65"/>
      <c r="M121" s="65"/>
      <c r="N121" s="65"/>
      <c r="O121" s="65"/>
      <c r="P121" s="65"/>
    </row>
    <row r="122" spans="12:16" ht="15.75" customHeight="1">
      <c r="L122" s="65"/>
      <c r="M122" s="65"/>
      <c r="N122" s="65"/>
      <c r="O122" s="65"/>
      <c r="P122" s="65"/>
    </row>
    <row r="123" spans="12:16" ht="15.75" customHeight="1">
      <c r="L123" s="65"/>
      <c r="M123" s="65"/>
      <c r="N123" s="65"/>
      <c r="O123" s="65"/>
      <c r="P123" s="65"/>
    </row>
    <row r="124" spans="12:16" ht="15.75" customHeight="1">
      <c r="L124" s="65"/>
      <c r="M124" s="65"/>
      <c r="N124" s="65"/>
      <c r="O124" s="65"/>
      <c r="P124" s="65"/>
    </row>
    <row r="125" spans="12:16" ht="15.75" customHeight="1">
      <c r="L125" s="65"/>
      <c r="M125" s="65"/>
      <c r="N125" s="65"/>
      <c r="O125" s="65"/>
      <c r="P125" s="65"/>
    </row>
    <row r="126" spans="12:16" ht="15.75" customHeight="1">
      <c r="L126" s="65"/>
      <c r="M126" s="65"/>
      <c r="N126" s="65"/>
      <c r="O126" s="65"/>
      <c r="P126" s="65"/>
    </row>
    <row r="127" spans="12:16" ht="15.75" customHeight="1">
      <c r="L127" s="65"/>
      <c r="M127" s="65"/>
      <c r="N127" s="65"/>
      <c r="O127" s="65"/>
      <c r="P127" s="65"/>
    </row>
    <row r="128" spans="12:16" ht="15.75" customHeight="1">
      <c r="L128" s="65"/>
      <c r="M128" s="65"/>
      <c r="N128" s="65"/>
      <c r="O128" s="65"/>
      <c r="P128" s="65"/>
    </row>
    <row r="129" spans="2:16" ht="15.75" customHeight="1">
      <c r="L129" s="65"/>
      <c r="M129" s="65"/>
      <c r="N129" s="65"/>
      <c r="O129" s="65"/>
      <c r="P129" s="65"/>
    </row>
    <row r="130" spans="2:16" ht="15.75" customHeight="1">
      <c r="L130" s="65"/>
      <c r="M130" s="65"/>
      <c r="N130" s="65"/>
      <c r="O130" s="65"/>
      <c r="P130" s="65"/>
    </row>
    <row r="131" spans="2:16" ht="15.75" customHeight="1">
      <c r="L131" s="65"/>
      <c r="M131" s="65"/>
      <c r="N131" s="65"/>
      <c r="O131" s="65"/>
      <c r="P131" s="65"/>
    </row>
    <row r="132" spans="2:16" ht="15.75" customHeight="1">
      <c r="L132" s="65"/>
      <c r="M132" s="65"/>
      <c r="N132" s="65"/>
      <c r="O132" s="65"/>
      <c r="P132" s="65"/>
    </row>
    <row r="133" spans="2:16" ht="15.75" customHeight="1">
      <c r="B133" s="94"/>
      <c r="L133" s="65"/>
      <c r="M133" s="65"/>
      <c r="N133" s="65"/>
      <c r="O133" s="65"/>
      <c r="P133" s="65"/>
    </row>
    <row r="134" spans="2:16" ht="15.75" customHeight="1">
      <c r="L134" s="65"/>
      <c r="M134" s="65"/>
      <c r="N134" s="65"/>
      <c r="O134" s="65"/>
      <c r="P134" s="65"/>
    </row>
    <row r="135" spans="2:16" ht="15.75" customHeight="1">
      <c r="L135" s="65"/>
      <c r="M135" s="65"/>
      <c r="N135" s="65"/>
      <c r="O135" s="65"/>
      <c r="P135" s="65"/>
    </row>
    <row r="136" spans="2:16" ht="15.75" customHeight="1">
      <c r="L136" s="65"/>
      <c r="M136" s="65"/>
      <c r="N136" s="65"/>
      <c r="O136" s="65"/>
      <c r="P136" s="65"/>
    </row>
    <row r="137" spans="2:16" ht="15.75" customHeight="1">
      <c r="L137" s="65"/>
      <c r="M137" s="65"/>
      <c r="N137" s="65"/>
      <c r="O137" s="65"/>
      <c r="P137" s="65"/>
    </row>
    <row r="138" spans="2:16" ht="15.75" customHeight="1">
      <c r="L138" s="65"/>
      <c r="M138" s="65"/>
      <c r="N138" s="65"/>
      <c r="O138" s="65"/>
      <c r="P138" s="65"/>
    </row>
    <row r="139" spans="2:16" ht="15.75" customHeight="1">
      <c r="B139" s="94"/>
      <c r="L139" s="65"/>
      <c r="M139" s="65"/>
      <c r="N139" s="65"/>
      <c r="O139" s="65"/>
      <c r="P139" s="65"/>
    </row>
    <row r="140" spans="2:16" ht="15.75" customHeight="1">
      <c r="B140" s="94"/>
      <c r="L140" s="65"/>
      <c r="M140" s="65"/>
      <c r="N140" s="65"/>
      <c r="O140" s="65"/>
      <c r="P140" s="65"/>
    </row>
    <row r="141" spans="2:16" ht="15.75" customHeight="1">
      <c r="L141" s="65"/>
      <c r="M141" s="65"/>
      <c r="N141" s="65"/>
      <c r="O141" s="65"/>
      <c r="P141" s="65"/>
    </row>
    <row r="142" spans="2:16" ht="15.75" customHeight="1">
      <c r="B142" s="95"/>
      <c r="L142" s="65"/>
      <c r="M142" s="65"/>
      <c r="N142" s="65"/>
      <c r="O142" s="65"/>
      <c r="P142" s="65"/>
    </row>
    <row r="143" spans="2:16" ht="15.75" customHeight="1">
      <c r="L143" s="65"/>
      <c r="M143" s="65"/>
      <c r="N143" s="65"/>
      <c r="O143" s="65"/>
      <c r="P143" s="65"/>
    </row>
    <row r="144" spans="2:16" ht="15.75" customHeight="1">
      <c r="B144" s="94"/>
      <c r="L144" s="65"/>
      <c r="M144" s="65"/>
      <c r="N144" s="65"/>
      <c r="O144" s="65"/>
      <c r="P144" s="65"/>
    </row>
    <row r="145" spans="2:16" ht="15.75" customHeight="1">
      <c r="L145" s="65"/>
      <c r="M145" s="65"/>
      <c r="N145" s="65"/>
      <c r="O145" s="65"/>
      <c r="P145" s="65"/>
    </row>
    <row r="146" spans="2:16" ht="15.75" customHeight="1">
      <c r="B146" s="96"/>
      <c r="L146" s="65"/>
      <c r="M146" s="65"/>
      <c r="N146" s="65"/>
      <c r="O146" s="65"/>
      <c r="P146" s="65"/>
    </row>
    <row r="147" spans="2:16" ht="15.75" customHeight="1">
      <c r="L147" s="65"/>
      <c r="M147" s="65"/>
      <c r="N147" s="65"/>
      <c r="O147" s="65"/>
      <c r="P147" s="65"/>
    </row>
    <row r="148" spans="2:16" ht="15.75" customHeight="1">
      <c r="L148" s="65"/>
      <c r="M148" s="65"/>
      <c r="N148" s="65"/>
      <c r="O148" s="65"/>
      <c r="P148" s="65"/>
    </row>
    <row r="149" spans="2:16" ht="15.75" customHeight="1">
      <c r="L149" s="65"/>
      <c r="M149" s="65"/>
      <c r="N149" s="65"/>
      <c r="O149" s="65"/>
      <c r="P149" s="65"/>
    </row>
    <row r="150" spans="2:16" ht="15.75" customHeight="1">
      <c r="L150" s="65"/>
      <c r="M150" s="65"/>
      <c r="N150" s="65"/>
      <c r="O150" s="65"/>
      <c r="P150" s="65"/>
    </row>
    <row r="151" spans="2:16" ht="15.75" customHeight="1">
      <c r="B151" s="94"/>
      <c r="L151" s="65"/>
      <c r="M151" s="65"/>
      <c r="N151" s="65"/>
      <c r="O151" s="65"/>
      <c r="P151" s="65"/>
    </row>
    <row r="152" spans="2:16" ht="15.75" customHeight="1">
      <c r="B152" s="97"/>
      <c r="L152" s="65"/>
      <c r="M152" s="65"/>
      <c r="N152" s="65"/>
      <c r="O152" s="65"/>
      <c r="P152" s="65"/>
    </row>
    <row r="153" spans="2:16" ht="15.75" customHeight="1">
      <c r="L153" s="65"/>
      <c r="M153" s="65"/>
      <c r="N153" s="65"/>
      <c r="O153" s="65"/>
      <c r="P153" s="65"/>
    </row>
    <row r="154" spans="2:16" ht="15.75" customHeight="1">
      <c r="B154" s="97"/>
      <c r="L154" s="65"/>
      <c r="M154" s="65"/>
      <c r="N154" s="65"/>
      <c r="O154" s="65"/>
      <c r="P154" s="65"/>
    </row>
    <row r="155" spans="2:16" ht="15.75" customHeight="1">
      <c r="L155" s="65"/>
      <c r="M155" s="65"/>
      <c r="N155" s="65"/>
      <c r="O155" s="65"/>
      <c r="P155" s="65"/>
    </row>
    <row r="156" spans="2:16" ht="15.75" customHeight="1">
      <c r="L156" s="65"/>
      <c r="M156" s="65"/>
      <c r="N156" s="65"/>
      <c r="O156" s="65"/>
      <c r="P156" s="65"/>
    </row>
    <row r="157" spans="2:16" ht="15.75" customHeight="1">
      <c r="B157" s="94"/>
      <c r="L157" s="65"/>
      <c r="M157" s="65"/>
      <c r="N157" s="65"/>
      <c r="O157" s="65"/>
      <c r="P157" s="65"/>
    </row>
    <row r="158" spans="2:16" ht="15.75" customHeight="1">
      <c r="B158" s="65"/>
      <c r="L158" s="65"/>
      <c r="M158" s="65"/>
      <c r="N158" s="65"/>
      <c r="O158" s="65"/>
      <c r="P158" s="65"/>
    </row>
    <row r="159" spans="2:16" ht="15.75" customHeight="1">
      <c r="L159" s="65"/>
      <c r="M159" s="65"/>
      <c r="N159" s="65"/>
      <c r="O159" s="65"/>
      <c r="P159" s="65"/>
    </row>
    <row r="160" spans="2:16" ht="15.75" customHeight="1">
      <c r="L160" s="65"/>
      <c r="M160" s="65"/>
      <c r="N160" s="65"/>
      <c r="O160" s="65"/>
      <c r="P160" s="65"/>
    </row>
    <row r="161" spans="12:16" ht="15.75" customHeight="1">
      <c r="L161" s="65"/>
      <c r="M161" s="65"/>
      <c r="N161" s="65"/>
      <c r="O161" s="65"/>
      <c r="P161" s="65"/>
    </row>
    <row r="162" spans="12:16" ht="15.75" customHeight="1">
      <c r="L162" s="65"/>
      <c r="M162" s="65"/>
      <c r="N162" s="65"/>
      <c r="O162" s="65"/>
      <c r="P162" s="65"/>
    </row>
    <row r="163" spans="12:16" ht="15.75" customHeight="1">
      <c r="L163" s="65"/>
      <c r="M163" s="65"/>
      <c r="N163" s="65"/>
      <c r="O163" s="65"/>
      <c r="P163" s="65"/>
    </row>
    <row r="164" spans="12:16" ht="15.75" customHeight="1">
      <c r="L164" s="65"/>
      <c r="M164" s="65"/>
      <c r="N164" s="65"/>
      <c r="O164" s="65"/>
      <c r="P164" s="65"/>
    </row>
    <row r="165" spans="12:16" ht="15.75" customHeight="1">
      <c r="L165" s="65"/>
      <c r="M165" s="65"/>
      <c r="N165" s="65"/>
      <c r="O165" s="65"/>
      <c r="P165" s="65"/>
    </row>
    <row r="166" spans="12:16" ht="15.75" customHeight="1">
      <c r="L166" s="65"/>
      <c r="M166" s="65"/>
      <c r="N166" s="65"/>
      <c r="O166" s="65"/>
      <c r="P166" s="65"/>
    </row>
    <row r="167" spans="12:16" ht="15.75" customHeight="1">
      <c r="L167" s="65"/>
      <c r="M167" s="65"/>
      <c r="N167" s="65"/>
      <c r="O167" s="65"/>
      <c r="P167" s="65"/>
    </row>
    <row r="168" spans="12:16" ht="15.75" customHeight="1">
      <c r="L168" s="65"/>
      <c r="M168" s="65"/>
      <c r="N168" s="65"/>
      <c r="O168" s="65"/>
      <c r="P168" s="65"/>
    </row>
    <row r="169" spans="12:16" ht="15.75" customHeight="1">
      <c r="L169" s="65"/>
      <c r="M169" s="65"/>
      <c r="N169" s="65"/>
      <c r="O169" s="65"/>
      <c r="P169" s="65"/>
    </row>
    <row r="170" spans="12:16" ht="15.75" customHeight="1">
      <c r="L170" s="65"/>
      <c r="M170" s="65"/>
      <c r="N170" s="65"/>
      <c r="O170" s="65"/>
      <c r="P170" s="65"/>
    </row>
    <row r="171" spans="12:16" ht="15.75" customHeight="1">
      <c r="L171" s="65"/>
      <c r="M171" s="65"/>
      <c r="N171" s="65"/>
      <c r="O171" s="65"/>
      <c r="P171" s="65"/>
    </row>
    <row r="172" spans="12:16" ht="15.75" customHeight="1">
      <c r="L172" s="65"/>
      <c r="M172" s="65"/>
      <c r="N172" s="65"/>
      <c r="O172" s="65"/>
      <c r="P172" s="65"/>
    </row>
    <row r="173" spans="12:16" ht="15.75" customHeight="1">
      <c r="L173" s="65"/>
      <c r="M173" s="65"/>
      <c r="N173" s="65"/>
      <c r="O173" s="65"/>
      <c r="P173" s="65"/>
    </row>
    <row r="174" spans="12:16" ht="15.75" customHeight="1">
      <c r="L174" s="65"/>
      <c r="M174" s="65"/>
      <c r="N174" s="65"/>
      <c r="O174" s="65"/>
      <c r="P174" s="65"/>
    </row>
    <row r="175" spans="12:16" ht="15.75" customHeight="1">
      <c r="L175" s="65"/>
      <c r="M175" s="65"/>
      <c r="N175" s="65"/>
      <c r="O175" s="65"/>
      <c r="P175" s="65"/>
    </row>
    <row r="176" spans="12:16" ht="15.75" customHeight="1">
      <c r="L176" s="65"/>
      <c r="M176" s="65"/>
      <c r="N176" s="65"/>
      <c r="O176" s="65"/>
      <c r="P176" s="65"/>
    </row>
    <row r="177" spans="12:16" ht="15.75" customHeight="1">
      <c r="L177" s="65"/>
      <c r="M177" s="65"/>
      <c r="N177" s="65"/>
      <c r="O177" s="65"/>
      <c r="P177" s="65"/>
    </row>
    <row r="178" spans="12:16" ht="15.75" customHeight="1">
      <c r="L178" s="65"/>
      <c r="M178" s="65"/>
      <c r="N178" s="65"/>
      <c r="O178" s="65"/>
      <c r="P178" s="65"/>
    </row>
    <row r="179" spans="12:16" ht="15.75" customHeight="1">
      <c r="L179" s="65"/>
      <c r="M179" s="65"/>
      <c r="N179" s="65"/>
      <c r="O179" s="65"/>
      <c r="P179" s="65"/>
    </row>
    <row r="180" spans="12:16" ht="15.75" customHeight="1">
      <c r="L180" s="65"/>
      <c r="M180" s="65"/>
      <c r="N180" s="65"/>
      <c r="O180" s="65"/>
      <c r="P180" s="65"/>
    </row>
    <row r="181" spans="12:16" ht="15.75" customHeight="1">
      <c r="L181" s="65"/>
      <c r="M181" s="65"/>
      <c r="N181" s="65"/>
      <c r="O181" s="65"/>
      <c r="P181" s="65"/>
    </row>
    <row r="182" spans="12:16" ht="15.75" customHeight="1">
      <c r="L182" s="65"/>
      <c r="M182" s="65"/>
      <c r="N182" s="65"/>
      <c r="O182" s="65"/>
      <c r="P182" s="65"/>
    </row>
    <row r="183" spans="12:16" ht="15.75" customHeight="1">
      <c r="L183" s="65"/>
      <c r="M183" s="65"/>
      <c r="N183" s="65"/>
      <c r="O183" s="65"/>
      <c r="P183" s="65"/>
    </row>
    <row r="184" spans="12:16" ht="15.75" customHeight="1">
      <c r="L184" s="65"/>
      <c r="M184" s="65"/>
      <c r="N184" s="65"/>
      <c r="O184" s="65"/>
      <c r="P184" s="65"/>
    </row>
    <row r="185" spans="12:16" ht="15.75" customHeight="1">
      <c r="L185" s="65"/>
      <c r="M185" s="65"/>
      <c r="N185" s="65"/>
      <c r="O185" s="65"/>
      <c r="P185" s="65"/>
    </row>
    <row r="186" spans="12:16" ht="15.75" customHeight="1">
      <c r="L186" s="65"/>
      <c r="M186" s="65"/>
      <c r="N186" s="65"/>
      <c r="O186" s="65"/>
      <c r="P186" s="65"/>
    </row>
    <row r="187" spans="12:16" ht="15.75" customHeight="1">
      <c r="L187" s="65"/>
      <c r="M187" s="65"/>
      <c r="N187" s="65"/>
      <c r="O187" s="65"/>
      <c r="P187" s="65"/>
    </row>
    <row r="188" spans="12:16" ht="15.75" customHeight="1">
      <c r="L188" s="65"/>
      <c r="M188" s="65"/>
      <c r="N188" s="65"/>
      <c r="O188" s="65"/>
      <c r="P188" s="65"/>
    </row>
    <row r="189" spans="12:16" ht="15.75" customHeight="1">
      <c r="L189" s="65"/>
      <c r="M189" s="65"/>
      <c r="N189" s="65"/>
      <c r="O189" s="65"/>
      <c r="P189" s="65"/>
    </row>
    <row r="190" spans="12:16" ht="15.75" customHeight="1">
      <c r="L190" s="65"/>
      <c r="M190" s="65"/>
      <c r="N190" s="65"/>
      <c r="O190" s="65"/>
      <c r="P190" s="65"/>
    </row>
    <row r="191" spans="12:16" ht="15.75" customHeight="1">
      <c r="L191" s="65"/>
      <c r="M191" s="65"/>
      <c r="N191" s="65"/>
      <c r="O191" s="65"/>
      <c r="P191" s="65"/>
    </row>
    <row r="192" spans="12:16" ht="15.75" customHeight="1">
      <c r="L192" s="65"/>
      <c r="M192" s="65"/>
      <c r="N192" s="65"/>
      <c r="O192" s="65"/>
      <c r="P192" s="65"/>
    </row>
    <row r="193" spans="12:16" ht="15.75" customHeight="1">
      <c r="L193" s="65"/>
      <c r="M193" s="65"/>
      <c r="N193" s="65"/>
      <c r="O193" s="65"/>
      <c r="P193" s="65"/>
    </row>
    <row r="194" spans="12:16" ht="15.75" customHeight="1">
      <c r="L194" s="65"/>
      <c r="M194" s="65"/>
      <c r="N194" s="65"/>
      <c r="O194" s="65"/>
      <c r="P194" s="65"/>
    </row>
    <row r="195" spans="12:16" ht="15.75" customHeight="1">
      <c r="L195" s="65"/>
      <c r="M195" s="65"/>
      <c r="N195" s="65"/>
      <c r="O195" s="65"/>
      <c r="P195" s="65"/>
    </row>
    <row r="196" spans="12:16" ht="15.75" customHeight="1">
      <c r="L196" s="65"/>
      <c r="M196" s="65"/>
      <c r="N196" s="65"/>
      <c r="O196" s="65"/>
      <c r="P196" s="65"/>
    </row>
    <row r="197" spans="12:16" ht="15.75" customHeight="1">
      <c r="L197" s="65"/>
      <c r="M197" s="65"/>
      <c r="N197" s="65"/>
      <c r="O197" s="65"/>
      <c r="P197" s="65"/>
    </row>
    <row r="198" spans="12:16" ht="15.75" customHeight="1">
      <c r="L198" s="65"/>
      <c r="M198" s="65"/>
      <c r="N198" s="65"/>
      <c r="O198" s="65"/>
      <c r="P198" s="65"/>
    </row>
    <row r="199" spans="12:16" ht="15.75" customHeight="1">
      <c r="L199" s="65"/>
      <c r="M199" s="65"/>
      <c r="N199" s="65"/>
      <c r="O199" s="65"/>
      <c r="P199" s="65"/>
    </row>
    <row r="200" spans="12:16" ht="15.75" customHeight="1">
      <c r="L200" s="65"/>
      <c r="M200" s="65"/>
      <c r="N200" s="65"/>
      <c r="O200" s="65"/>
      <c r="P200" s="65"/>
    </row>
    <row r="201" spans="12:16" ht="15.75" customHeight="1">
      <c r="L201" s="65"/>
      <c r="M201" s="65"/>
      <c r="N201" s="65"/>
      <c r="O201" s="65"/>
      <c r="P201" s="65"/>
    </row>
    <row r="202" spans="12:16" ht="15.75" customHeight="1">
      <c r="L202" s="65"/>
      <c r="M202" s="65"/>
      <c r="N202" s="65"/>
      <c r="O202" s="65"/>
      <c r="P202" s="65"/>
    </row>
    <row r="203" spans="12:16" ht="15.75" customHeight="1">
      <c r="L203" s="65"/>
      <c r="M203" s="65"/>
      <c r="N203" s="65"/>
      <c r="O203" s="65"/>
      <c r="P203" s="65"/>
    </row>
    <row r="204" spans="12:16" ht="15.75" customHeight="1">
      <c r="L204" s="65"/>
      <c r="M204" s="65"/>
      <c r="N204" s="65"/>
      <c r="O204" s="65"/>
      <c r="P204" s="65"/>
    </row>
    <row r="205" spans="12:16" ht="15.75" customHeight="1">
      <c r="L205" s="65"/>
      <c r="M205" s="65"/>
      <c r="N205" s="65"/>
      <c r="O205" s="65"/>
      <c r="P205" s="65"/>
    </row>
    <row r="206" spans="12:16" ht="15.75" customHeight="1">
      <c r="L206" s="65"/>
      <c r="M206" s="65"/>
      <c r="N206" s="65"/>
      <c r="O206" s="65"/>
      <c r="P206" s="65"/>
    </row>
    <row r="207" spans="12:16" ht="15.75" customHeight="1">
      <c r="L207" s="65"/>
      <c r="M207" s="65"/>
      <c r="N207" s="65"/>
      <c r="O207" s="65"/>
      <c r="P207" s="65"/>
    </row>
    <row r="208" spans="12:16" ht="15.75" customHeight="1">
      <c r="L208" s="65"/>
      <c r="M208" s="65"/>
      <c r="N208" s="65"/>
      <c r="O208" s="65"/>
      <c r="P208" s="65"/>
    </row>
    <row r="209" spans="12:16" ht="15.75" customHeight="1">
      <c r="L209" s="65"/>
      <c r="M209" s="65"/>
      <c r="N209" s="65"/>
      <c r="O209" s="65"/>
      <c r="P209" s="65"/>
    </row>
    <row r="210" spans="12:16" ht="15.75" customHeight="1">
      <c r="L210" s="65"/>
      <c r="M210" s="65"/>
      <c r="N210" s="65"/>
      <c r="O210" s="65"/>
      <c r="P210" s="65"/>
    </row>
    <row r="211" spans="12:16" ht="15.75" customHeight="1">
      <c r="L211" s="65"/>
      <c r="M211" s="65"/>
      <c r="N211" s="65"/>
      <c r="O211" s="65"/>
      <c r="P211" s="65"/>
    </row>
    <row r="212" spans="12:16" ht="15.75" customHeight="1">
      <c r="L212" s="65"/>
      <c r="M212" s="65"/>
      <c r="N212" s="65"/>
      <c r="O212" s="65"/>
      <c r="P212" s="65"/>
    </row>
    <row r="213" spans="12:16" ht="15.75" customHeight="1">
      <c r="L213" s="65"/>
      <c r="M213" s="65"/>
      <c r="N213" s="65"/>
      <c r="O213" s="65"/>
      <c r="P213" s="65"/>
    </row>
    <row r="214" spans="12:16" ht="15.75" customHeight="1">
      <c r="L214" s="65"/>
      <c r="M214" s="65"/>
      <c r="N214" s="65"/>
      <c r="O214" s="65"/>
      <c r="P214" s="65"/>
    </row>
    <row r="215" spans="12:16" ht="15.75" customHeight="1">
      <c r="L215" s="65"/>
      <c r="M215" s="65"/>
      <c r="N215" s="65"/>
      <c r="O215" s="65"/>
      <c r="P215" s="65"/>
    </row>
    <row r="216" spans="12:16" ht="15.75" customHeight="1">
      <c r="L216" s="65"/>
      <c r="M216" s="65"/>
      <c r="N216" s="65"/>
      <c r="O216" s="65"/>
      <c r="P216" s="65"/>
    </row>
    <row r="217" spans="12:16" ht="15.75" customHeight="1">
      <c r="L217" s="65"/>
      <c r="M217" s="65"/>
      <c r="N217" s="65"/>
      <c r="O217" s="65"/>
      <c r="P217" s="65"/>
    </row>
    <row r="218" spans="12:16" ht="15.75" customHeight="1">
      <c r="L218" s="65"/>
      <c r="M218" s="65"/>
      <c r="N218" s="65"/>
      <c r="O218" s="65"/>
      <c r="P218" s="65"/>
    </row>
    <row r="219" spans="12:16" ht="15.75" customHeight="1">
      <c r="L219" s="65"/>
      <c r="M219" s="65"/>
      <c r="N219" s="65"/>
      <c r="O219" s="65"/>
      <c r="P219" s="65"/>
    </row>
    <row r="220" spans="12:16" ht="15.75" customHeight="1">
      <c r="L220" s="65"/>
      <c r="M220" s="65"/>
      <c r="N220" s="65"/>
      <c r="O220" s="65"/>
      <c r="P220" s="65"/>
    </row>
    <row r="221" spans="12:16" ht="15.75" customHeight="1">
      <c r="L221" s="65"/>
      <c r="M221" s="65"/>
      <c r="N221" s="65"/>
      <c r="O221" s="65"/>
      <c r="P221" s="65"/>
    </row>
    <row r="222" spans="12:16" ht="15.75" customHeight="1">
      <c r="L222" s="65"/>
      <c r="M222" s="65"/>
      <c r="N222" s="65"/>
      <c r="O222" s="65"/>
      <c r="P222" s="65"/>
    </row>
    <row r="223" spans="12:16" ht="15.75" customHeight="1">
      <c r="L223" s="65"/>
      <c r="M223" s="65"/>
      <c r="N223" s="65"/>
      <c r="O223" s="65"/>
      <c r="P223" s="65"/>
    </row>
    <row r="224" spans="12:16" ht="15.75" customHeight="1">
      <c r="L224" s="65"/>
      <c r="M224" s="65"/>
      <c r="N224" s="65"/>
      <c r="O224" s="65"/>
      <c r="P224" s="65"/>
    </row>
    <row r="225" spans="12:16" ht="15.75" customHeight="1">
      <c r="L225" s="65"/>
      <c r="M225" s="65"/>
      <c r="N225" s="65"/>
      <c r="O225" s="65"/>
      <c r="P225" s="65"/>
    </row>
    <row r="226" spans="12:16" ht="15.75" customHeight="1">
      <c r="L226" s="65"/>
      <c r="M226" s="65"/>
      <c r="N226" s="65"/>
      <c r="O226" s="65"/>
      <c r="P226" s="65"/>
    </row>
    <row r="227" spans="12:16" ht="15.75" customHeight="1">
      <c r="L227" s="65"/>
      <c r="M227" s="65"/>
      <c r="N227" s="65"/>
      <c r="O227" s="65"/>
      <c r="P227" s="65"/>
    </row>
    <row r="228" spans="12:16" ht="15.75" customHeight="1">
      <c r="L228" s="65"/>
      <c r="M228" s="65"/>
      <c r="N228" s="65"/>
      <c r="O228" s="65"/>
      <c r="P228" s="65"/>
    </row>
    <row r="229" spans="12:16" ht="15.75" customHeight="1">
      <c r="L229" s="65"/>
      <c r="M229" s="65"/>
      <c r="N229" s="65"/>
      <c r="O229" s="65"/>
      <c r="P229" s="65"/>
    </row>
    <row r="230" spans="12:16" ht="15.75" customHeight="1">
      <c r="L230" s="65"/>
      <c r="M230" s="65"/>
      <c r="N230" s="65"/>
      <c r="O230" s="65"/>
      <c r="P230" s="65"/>
    </row>
    <row r="231" spans="12:16" ht="15.75" customHeight="1">
      <c r="L231" s="65"/>
      <c r="M231" s="65"/>
      <c r="N231" s="65"/>
      <c r="O231" s="65"/>
      <c r="P231" s="65"/>
    </row>
    <row r="232" spans="12:16" ht="15.75" customHeight="1">
      <c r="L232" s="65"/>
      <c r="M232" s="65"/>
      <c r="N232" s="65"/>
      <c r="O232" s="65"/>
      <c r="P232" s="65"/>
    </row>
    <row r="233" spans="12:16" ht="15.75" customHeight="1">
      <c r="L233" s="65"/>
      <c r="M233" s="65"/>
      <c r="N233" s="65"/>
      <c r="O233" s="65"/>
      <c r="P233" s="65"/>
    </row>
    <row r="234" spans="12:16" ht="15.75" customHeight="1">
      <c r="L234" s="65"/>
      <c r="M234" s="65"/>
      <c r="N234" s="65"/>
      <c r="O234" s="65"/>
      <c r="P234" s="65"/>
    </row>
    <row r="235" spans="12:16" ht="15.75" customHeight="1">
      <c r="L235" s="65"/>
      <c r="M235" s="65"/>
      <c r="N235" s="65"/>
      <c r="O235" s="65"/>
      <c r="P235" s="65"/>
    </row>
    <row r="236" spans="12:16" ht="15.75" customHeight="1">
      <c r="L236" s="65"/>
      <c r="M236" s="65"/>
      <c r="N236" s="65"/>
      <c r="O236" s="65"/>
      <c r="P236" s="65"/>
    </row>
    <row r="237" spans="12:16" ht="15.75" customHeight="1">
      <c r="L237" s="65"/>
      <c r="M237" s="65"/>
      <c r="N237" s="65"/>
      <c r="O237" s="65"/>
      <c r="P237" s="65"/>
    </row>
    <row r="238" spans="12:16" ht="15.75" customHeight="1">
      <c r="L238" s="65"/>
      <c r="M238" s="65"/>
      <c r="N238" s="65"/>
      <c r="O238" s="65"/>
      <c r="P238" s="65"/>
    </row>
    <row r="239" spans="12:16" ht="15.75" customHeight="1">
      <c r="L239" s="65"/>
      <c r="M239" s="65"/>
      <c r="N239" s="65"/>
      <c r="O239" s="65"/>
      <c r="P239" s="65"/>
    </row>
    <row r="240" spans="12:16" ht="15.75" customHeight="1">
      <c r="L240" s="65"/>
      <c r="M240" s="65"/>
      <c r="N240" s="65"/>
      <c r="O240" s="65"/>
      <c r="P240" s="65"/>
    </row>
    <row r="241" spans="12:16" ht="15.75" customHeight="1">
      <c r="L241" s="65"/>
      <c r="M241" s="65"/>
      <c r="N241" s="65"/>
      <c r="O241" s="65"/>
      <c r="P241" s="65"/>
    </row>
    <row r="242" spans="12:16" ht="15.75" customHeight="1">
      <c r="L242" s="65"/>
      <c r="M242" s="65"/>
      <c r="N242" s="65"/>
      <c r="O242" s="65"/>
      <c r="P242" s="65"/>
    </row>
    <row r="243" spans="12:16" ht="15.75" customHeight="1">
      <c r="L243" s="65"/>
      <c r="M243" s="65"/>
      <c r="N243" s="65"/>
      <c r="O243" s="65"/>
      <c r="P243" s="65"/>
    </row>
    <row r="244" spans="12:16" ht="15.75" customHeight="1">
      <c r="L244" s="65"/>
      <c r="M244" s="65"/>
      <c r="N244" s="65"/>
      <c r="O244" s="65"/>
      <c r="P244" s="65"/>
    </row>
    <row r="245" spans="12:16" ht="15.75" customHeight="1">
      <c r="L245" s="65"/>
      <c r="M245" s="65"/>
      <c r="N245" s="65"/>
      <c r="O245" s="65"/>
      <c r="P245" s="65"/>
    </row>
    <row r="246" spans="12:16" ht="15.75" customHeight="1">
      <c r="L246" s="65"/>
      <c r="M246" s="65"/>
      <c r="N246" s="65"/>
      <c r="O246" s="65"/>
      <c r="P246" s="65"/>
    </row>
    <row r="247" spans="12:16" ht="15.75" customHeight="1">
      <c r="L247" s="65"/>
      <c r="M247" s="65"/>
      <c r="N247" s="65"/>
      <c r="O247" s="65"/>
      <c r="P247" s="65"/>
    </row>
    <row r="248" spans="12:16" ht="15.75" customHeight="1">
      <c r="L248" s="65"/>
      <c r="M248" s="65"/>
      <c r="N248" s="65"/>
      <c r="O248" s="65"/>
      <c r="P248" s="65"/>
    </row>
    <row r="249" spans="12:16" ht="15.75" customHeight="1">
      <c r="L249" s="65"/>
      <c r="M249" s="65"/>
      <c r="N249" s="65"/>
      <c r="O249" s="65"/>
      <c r="P249" s="65"/>
    </row>
    <row r="250" spans="12:16" ht="15.75" customHeight="1">
      <c r="L250" s="65"/>
      <c r="M250" s="65"/>
      <c r="N250" s="65"/>
      <c r="O250" s="65"/>
      <c r="P250" s="65"/>
    </row>
    <row r="251" spans="12:16" ht="15.75" customHeight="1">
      <c r="L251" s="65"/>
      <c r="M251" s="65"/>
      <c r="N251" s="65"/>
      <c r="O251" s="65"/>
      <c r="P251" s="65"/>
    </row>
    <row r="252" spans="12:16" ht="15.75" customHeight="1">
      <c r="L252" s="65"/>
      <c r="M252" s="65"/>
      <c r="N252" s="65"/>
      <c r="O252" s="65"/>
      <c r="P252" s="65"/>
    </row>
    <row r="253" spans="12:16" ht="15.75" customHeight="1">
      <c r="L253" s="65"/>
      <c r="M253" s="65"/>
      <c r="N253" s="65"/>
      <c r="O253" s="65"/>
      <c r="P253" s="65"/>
    </row>
    <row r="254" spans="12:16" ht="15.75" customHeight="1">
      <c r="L254" s="65"/>
      <c r="M254" s="65"/>
      <c r="N254" s="65"/>
      <c r="O254" s="65"/>
      <c r="P254" s="65"/>
    </row>
    <row r="255" spans="12:16" ht="15.75" customHeight="1">
      <c r="L255" s="65"/>
      <c r="M255" s="65"/>
      <c r="N255" s="65"/>
      <c r="O255" s="65"/>
      <c r="P255" s="65"/>
    </row>
    <row r="256" spans="12:16" ht="15.75" customHeight="1">
      <c r="L256" s="65"/>
      <c r="M256" s="65"/>
      <c r="N256" s="65"/>
      <c r="O256" s="65"/>
      <c r="P256" s="65"/>
    </row>
    <row r="257" spans="12:16" ht="15.75" customHeight="1">
      <c r="L257" s="65"/>
      <c r="M257" s="65"/>
      <c r="N257" s="65"/>
      <c r="O257" s="65"/>
      <c r="P257" s="65"/>
    </row>
    <row r="258" spans="12:16" ht="15.75" customHeight="1">
      <c r="L258" s="65"/>
      <c r="M258" s="65"/>
      <c r="N258" s="65"/>
      <c r="O258" s="65"/>
      <c r="P258" s="65"/>
    </row>
    <row r="259" spans="12:16" ht="15.75" customHeight="1">
      <c r="L259" s="65"/>
      <c r="M259" s="65"/>
      <c r="N259" s="65"/>
      <c r="O259" s="65"/>
      <c r="P259" s="65"/>
    </row>
    <row r="260" spans="12:16" ht="15.75" customHeight="1">
      <c r="L260" s="65"/>
      <c r="M260" s="65"/>
      <c r="N260" s="65"/>
      <c r="O260" s="65"/>
      <c r="P260" s="65"/>
    </row>
    <row r="261" spans="12:16" ht="15.75" customHeight="1">
      <c r="L261" s="65"/>
      <c r="M261" s="65"/>
      <c r="N261" s="65"/>
      <c r="O261" s="65"/>
      <c r="P261" s="65"/>
    </row>
    <row r="262" spans="12:16" ht="15.75" customHeight="1">
      <c r="L262" s="65"/>
      <c r="M262" s="65"/>
      <c r="N262" s="65"/>
      <c r="O262" s="65"/>
      <c r="P262" s="65"/>
    </row>
    <row r="263" spans="12:16" ht="15.75" customHeight="1">
      <c r="L263" s="65"/>
      <c r="M263" s="65"/>
      <c r="N263" s="65"/>
      <c r="O263" s="65"/>
      <c r="P263" s="65"/>
    </row>
    <row r="264" spans="12:16" ht="15.75" customHeight="1">
      <c r="L264" s="65"/>
      <c r="M264" s="65"/>
      <c r="N264" s="65"/>
      <c r="O264" s="65"/>
      <c r="P264" s="65"/>
    </row>
    <row r="265" spans="12:16" ht="15.75" customHeight="1">
      <c r="L265" s="65"/>
      <c r="M265" s="65"/>
      <c r="N265" s="65"/>
      <c r="O265" s="65"/>
      <c r="P265" s="65"/>
    </row>
    <row r="266" spans="12:16" ht="15.75" customHeight="1">
      <c r="L266" s="65"/>
      <c r="M266" s="65"/>
      <c r="N266" s="65"/>
      <c r="O266" s="65"/>
      <c r="P266" s="65"/>
    </row>
    <row r="267" spans="12:16" ht="15.75" customHeight="1">
      <c r="L267" s="65"/>
      <c r="M267" s="65"/>
      <c r="N267" s="65"/>
      <c r="O267" s="65"/>
      <c r="P267" s="65"/>
    </row>
    <row r="268" spans="12:16" ht="15.75" customHeight="1">
      <c r="L268" s="65"/>
      <c r="M268" s="65"/>
      <c r="N268" s="65"/>
      <c r="O268" s="65"/>
      <c r="P268" s="65"/>
    </row>
    <row r="269" spans="12:16" ht="15.75" customHeight="1">
      <c r="L269" s="65"/>
      <c r="M269" s="65"/>
      <c r="N269" s="65"/>
      <c r="O269" s="65"/>
      <c r="P269" s="65"/>
    </row>
    <row r="270" spans="12:16" ht="15.75" customHeight="1">
      <c r="L270" s="65"/>
      <c r="M270" s="65"/>
      <c r="N270" s="65"/>
      <c r="O270" s="65"/>
      <c r="P270" s="65"/>
    </row>
    <row r="271" spans="12:16" ht="15.75" customHeight="1">
      <c r="L271" s="65"/>
      <c r="M271" s="65"/>
      <c r="N271" s="65"/>
      <c r="O271" s="65"/>
      <c r="P271" s="65"/>
    </row>
    <row r="272" spans="12:16" ht="15.75" customHeight="1">
      <c r="L272" s="65"/>
      <c r="M272" s="65"/>
      <c r="N272" s="65"/>
      <c r="O272" s="65"/>
      <c r="P272" s="65"/>
    </row>
    <row r="273" spans="12:16" ht="15.75" customHeight="1">
      <c r="L273" s="65"/>
      <c r="M273" s="65"/>
      <c r="N273" s="65"/>
      <c r="O273" s="65"/>
      <c r="P273" s="65"/>
    </row>
    <row r="274" spans="12:16" ht="15.75" customHeight="1">
      <c r="L274" s="65"/>
      <c r="M274" s="65"/>
      <c r="N274" s="65"/>
      <c r="O274" s="65"/>
      <c r="P274" s="65"/>
    </row>
    <row r="275" spans="12:16" ht="15.75" customHeight="1">
      <c r="L275" s="65"/>
      <c r="M275" s="65"/>
      <c r="N275" s="65"/>
      <c r="O275" s="65"/>
      <c r="P275" s="65"/>
    </row>
    <row r="276" spans="12:16" ht="15.75" customHeight="1">
      <c r="L276" s="65"/>
      <c r="M276" s="65"/>
      <c r="N276" s="65"/>
      <c r="O276" s="65"/>
      <c r="P276" s="65"/>
    </row>
    <row r="277" spans="12:16" ht="15.75" customHeight="1">
      <c r="L277" s="65"/>
      <c r="M277" s="65"/>
      <c r="N277" s="65"/>
      <c r="O277" s="65"/>
      <c r="P277" s="65"/>
    </row>
    <row r="278" spans="12:16" ht="15.75" customHeight="1">
      <c r="L278" s="65"/>
      <c r="M278" s="65"/>
      <c r="N278" s="65"/>
      <c r="O278" s="65"/>
      <c r="P278" s="65"/>
    </row>
    <row r="279" spans="12:16" ht="15.75" customHeight="1">
      <c r="L279" s="65"/>
      <c r="M279" s="65"/>
      <c r="N279" s="65"/>
      <c r="O279" s="65"/>
      <c r="P279" s="65"/>
    </row>
    <row r="280" spans="12:16" ht="15.75" customHeight="1">
      <c r="L280" s="65"/>
      <c r="M280" s="65"/>
      <c r="N280" s="65"/>
      <c r="O280" s="65"/>
      <c r="P280" s="65"/>
    </row>
    <row r="281" spans="12:16" ht="15.75" customHeight="1">
      <c r="L281" s="65"/>
      <c r="M281" s="65"/>
      <c r="N281" s="65"/>
      <c r="O281" s="65"/>
      <c r="P281" s="65"/>
    </row>
    <row r="282" spans="12:16" ht="15.75" customHeight="1">
      <c r="L282" s="65"/>
      <c r="M282" s="65"/>
      <c r="N282" s="65"/>
      <c r="O282" s="65"/>
      <c r="P282" s="65"/>
    </row>
    <row r="283" spans="12:16" ht="15.75" customHeight="1">
      <c r="L283" s="65"/>
      <c r="M283" s="65"/>
      <c r="N283" s="65"/>
      <c r="O283" s="65"/>
      <c r="P283" s="65"/>
    </row>
    <row r="284" spans="12:16" ht="15.75" customHeight="1">
      <c r="L284" s="65"/>
      <c r="M284" s="65"/>
      <c r="N284" s="65"/>
      <c r="O284" s="65"/>
      <c r="P284" s="65"/>
    </row>
    <row r="285" spans="12:16" ht="15.75" customHeight="1">
      <c r="L285" s="65"/>
      <c r="M285" s="65"/>
      <c r="N285" s="65"/>
      <c r="O285" s="65"/>
      <c r="P285" s="65"/>
    </row>
    <row r="286" spans="12:16" ht="15.75" customHeight="1">
      <c r="L286" s="65"/>
      <c r="M286" s="65"/>
      <c r="N286" s="65"/>
      <c r="O286" s="65"/>
      <c r="P286" s="65"/>
    </row>
    <row r="287" spans="12:16" ht="15.75" customHeight="1">
      <c r="L287" s="65"/>
      <c r="M287" s="65"/>
      <c r="N287" s="65"/>
      <c r="O287" s="65"/>
      <c r="P287" s="65"/>
    </row>
    <row r="288" spans="12:16" ht="15.75" customHeight="1">
      <c r="L288" s="65"/>
      <c r="M288" s="65"/>
      <c r="N288" s="65"/>
      <c r="O288" s="65"/>
      <c r="P288" s="65"/>
    </row>
    <row r="289" spans="12:16" ht="15.75" customHeight="1">
      <c r="L289" s="65"/>
      <c r="M289" s="65"/>
      <c r="N289" s="65"/>
      <c r="O289" s="65"/>
      <c r="P289" s="65"/>
    </row>
    <row r="290" spans="12:16" ht="15.75" customHeight="1">
      <c r="L290" s="65"/>
      <c r="M290" s="65"/>
      <c r="N290" s="65"/>
      <c r="O290" s="65"/>
      <c r="P290" s="65"/>
    </row>
    <row r="291" spans="12:16" ht="15.75" customHeight="1">
      <c r="L291" s="65"/>
      <c r="M291" s="65"/>
      <c r="N291" s="65"/>
      <c r="O291" s="65"/>
      <c r="P291" s="65"/>
    </row>
    <row r="292" spans="12:16" ht="15.75" customHeight="1">
      <c r="L292" s="65"/>
      <c r="M292" s="65"/>
      <c r="N292" s="65"/>
      <c r="O292" s="65"/>
      <c r="P292" s="65"/>
    </row>
    <row r="293" spans="12:16" ht="15.75" customHeight="1">
      <c r="L293" s="65"/>
      <c r="M293" s="65"/>
      <c r="N293" s="65"/>
      <c r="O293" s="65"/>
      <c r="P293" s="65"/>
    </row>
    <row r="294" spans="12:16" ht="15.75" customHeight="1">
      <c r="L294" s="65"/>
      <c r="M294" s="65"/>
      <c r="N294" s="65"/>
      <c r="O294" s="65"/>
      <c r="P294" s="65"/>
    </row>
    <row r="295" spans="12:16" ht="15.75" customHeight="1">
      <c r="L295" s="65"/>
      <c r="M295" s="65"/>
      <c r="N295" s="65"/>
      <c r="O295" s="65"/>
      <c r="P295" s="65"/>
    </row>
    <row r="296" spans="12:16" ht="15.75" customHeight="1">
      <c r="L296" s="65"/>
      <c r="M296" s="65"/>
      <c r="N296" s="65"/>
      <c r="O296" s="65"/>
      <c r="P296" s="65"/>
    </row>
    <row r="297" spans="12:16" ht="15.75" customHeight="1">
      <c r="L297" s="65"/>
      <c r="M297" s="65"/>
      <c r="N297" s="65"/>
      <c r="O297" s="65"/>
      <c r="P297" s="65"/>
    </row>
    <row r="298" spans="12:16" ht="15.75" customHeight="1">
      <c r="L298" s="65"/>
      <c r="M298" s="65"/>
      <c r="N298" s="65"/>
      <c r="O298" s="65"/>
      <c r="P298" s="65"/>
    </row>
    <row r="299" spans="12:16" ht="15.75" customHeight="1">
      <c r="L299" s="65"/>
      <c r="M299" s="65"/>
      <c r="N299" s="65"/>
      <c r="O299" s="65"/>
      <c r="P299" s="65"/>
    </row>
    <row r="300" spans="12:16" ht="15.75" customHeight="1">
      <c r="L300" s="65"/>
      <c r="M300" s="65"/>
      <c r="N300" s="65"/>
      <c r="O300" s="65"/>
      <c r="P300" s="65"/>
    </row>
    <row r="301" spans="12:16" ht="15.75" customHeight="1">
      <c r="L301" s="65"/>
      <c r="M301" s="65"/>
      <c r="N301" s="65"/>
      <c r="O301" s="65"/>
      <c r="P301" s="65"/>
    </row>
    <row r="302" spans="12:16" ht="15.75" customHeight="1">
      <c r="L302" s="65"/>
      <c r="M302" s="65"/>
      <c r="N302" s="65"/>
      <c r="O302" s="65"/>
      <c r="P302" s="65"/>
    </row>
    <row r="303" spans="12:16" ht="15.75" customHeight="1">
      <c r="L303" s="65"/>
      <c r="M303" s="65"/>
      <c r="N303" s="65"/>
      <c r="O303" s="65"/>
      <c r="P303" s="65"/>
    </row>
    <row r="304" spans="12:16" ht="15.75" customHeight="1">
      <c r="L304" s="65"/>
      <c r="M304" s="65"/>
      <c r="N304" s="65"/>
      <c r="O304" s="65"/>
      <c r="P304" s="65"/>
    </row>
    <row r="305" spans="12:16" ht="15.75" customHeight="1">
      <c r="L305" s="65"/>
      <c r="M305" s="65"/>
      <c r="N305" s="65"/>
      <c r="O305" s="65"/>
      <c r="P305" s="65"/>
    </row>
    <row r="306" spans="12:16" ht="15.75" customHeight="1">
      <c r="L306" s="65"/>
      <c r="M306" s="65"/>
      <c r="N306" s="65"/>
      <c r="O306" s="65"/>
      <c r="P306" s="65"/>
    </row>
    <row r="307" spans="12:16" ht="15.75" customHeight="1">
      <c r="L307" s="65"/>
      <c r="M307" s="65"/>
      <c r="N307" s="65"/>
      <c r="O307" s="65"/>
      <c r="P307" s="65"/>
    </row>
    <row r="308" spans="12:16" ht="15.75" customHeight="1">
      <c r="L308" s="65"/>
      <c r="M308" s="65"/>
      <c r="N308" s="65"/>
      <c r="O308" s="65"/>
      <c r="P308" s="65"/>
    </row>
    <row r="309" spans="12:16" ht="15.75" customHeight="1">
      <c r="L309" s="65"/>
      <c r="M309" s="65"/>
      <c r="N309" s="65"/>
      <c r="O309" s="65"/>
      <c r="P309" s="65"/>
    </row>
    <row r="310" spans="12:16" ht="15.75" customHeight="1">
      <c r="L310" s="65"/>
      <c r="M310" s="65"/>
      <c r="N310" s="65"/>
      <c r="O310" s="65"/>
      <c r="P310" s="65"/>
    </row>
    <row r="311" spans="12:16" ht="15.75" customHeight="1">
      <c r="L311" s="65"/>
      <c r="M311" s="65"/>
      <c r="N311" s="65"/>
      <c r="O311" s="65"/>
      <c r="P311" s="65"/>
    </row>
    <row r="312" spans="12:16" ht="15.75" customHeight="1">
      <c r="L312" s="65"/>
      <c r="M312" s="65"/>
      <c r="N312" s="65"/>
      <c r="O312" s="65"/>
      <c r="P312" s="65"/>
    </row>
    <row r="313" spans="12:16" ht="15.75" customHeight="1">
      <c r="L313" s="65"/>
      <c r="M313" s="65"/>
      <c r="N313" s="65"/>
      <c r="O313" s="65"/>
      <c r="P313" s="65"/>
    </row>
    <row r="314" spans="12:16" ht="15.75" customHeight="1">
      <c r="L314" s="65"/>
      <c r="M314" s="65"/>
      <c r="N314" s="65"/>
      <c r="O314" s="65"/>
      <c r="P314" s="65"/>
    </row>
    <row r="315" spans="12:16" ht="15.75" customHeight="1">
      <c r="L315" s="65"/>
      <c r="M315" s="65"/>
      <c r="N315" s="65"/>
      <c r="O315" s="65"/>
      <c r="P315" s="65"/>
    </row>
    <row r="316" spans="12:16" ht="15.75" customHeight="1">
      <c r="L316" s="65"/>
      <c r="M316" s="65"/>
      <c r="N316" s="65"/>
      <c r="O316" s="65"/>
      <c r="P316" s="65"/>
    </row>
    <row r="317" spans="12:16" ht="15.75" customHeight="1">
      <c r="L317" s="65"/>
      <c r="M317" s="65"/>
      <c r="N317" s="65"/>
      <c r="O317" s="65"/>
      <c r="P317" s="65"/>
    </row>
    <row r="318" spans="12:16" ht="15.75" customHeight="1">
      <c r="L318" s="65"/>
      <c r="M318" s="65"/>
      <c r="N318" s="65"/>
      <c r="O318" s="65"/>
      <c r="P318" s="65"/>
    </row>
    <row r="319" spans="12:16" ht="15.75" customHeight="1">
      <c r="L319" s="65"/>
      <c r="M319" s="65"/>
      <c r="N319" s="65"/>
      <c r="O319" s="65"/>
      <c r="P319" s="65"/>
    </row>
    <row r="320" spans="12:16" ht="15.75" customHeight="1">
      <c r="L320" s="65"/>
      <c r="M320" s="65"/>
      <c r="N320" s="65"/>
      <c r="O320" s="65"/>
      <c r="P320" s="65"/>
    </row>
    <row r="321" spans="12:16" ht="15.75" customHeight="1">
      <c r="L321" s="65"/>
      <c r="M321" s="65"/>
      <c r="N321" s="65"/>
      <c r="O321" s="65"/>
      <c r="P321" s="65"/>
    </row>
    <row r="322" spans="12:16" ht="15.75" customHeight="1">
      <c r="L322" s="65"/>
      <c r="M322" s="65"/>
      <c r="N322" s="65"/>
      <c r="O322" s="65"/>
      <c r="P322" s="65"/>
    </row>
    <row r="323" spans="12:16" ht="15.75" customHeight="1">
      <c r="L323" s="65"/>
      <c r="M323" s="65"/>
      <c r="N323" s="65"/>
      <c r="O323" s="65"/>
      <c r="P323" s="65"/>
    </row>
    <row r="324" spans="12:16" ht="15.75" customHeight="1">
      <c r="L324" s="65"/>
      <c r="M324" s="65"/>
      <c r="N324" s="65"/>
      <c r="O324" s="65"/>
      <c r="P324" s="65"/>
    </row>
    <row r="325" spans="12:16" ht="15.75" customHeight="1">
      <c r="L325" s="65"/>
      <c r="M325" s="65"/>
      <c r="N325" s="65"/>
      <c r="O325" s="65"/>
      <c r="P325" s="65"/>
    </row>
    <row r="326" spans="12:16" ht="15.75" customHeight="1">
      <c r="L326" s="65"/>
      <c r="M326" s="65"/>
      <c r="N326" s="65"/>
      <c r="O326" s="65"/>
      <c r="P326" s="65"/>
    </row>
    <row r="327" spans="12:16" ht="15.75" customHeight="1">
      <c r="L327" s="65"/>
      <c r="M327" s="65"/>
      <c r="N327" s="65"/>
      <c r="O327" s="65"/>
      <c r="P327" s="65"/>
    </row>
    <row r="328" spans="12:16" ht="15.75" customHeight="1">
      <c r="L328" s="65"/>
      <c r="M328" s="65"/>
      <c r="N328" s="65"/>
      <c r="O328" s="65"/>
      <c r="P328" s="65"/>
    </row>
    <row r="329" spans="12:16" ht="15.75" customHeight="1">
      <c r="L329" s="65"/>
      <c r="M329" s="65"/>
      <c r="N329" s="65"/>
      <c r="O329" s="65"/>
      <c r="P329" s="65"/>
    </row>
    <row r="330" spans="12:16" ht="15.75" customHeight="1">
      <c r="L330" s="65"/>
      <c r="M330" s="65"/>
      <c r="N330" s="65"/>
      <c r="O330" s="65"/>
      <c r="P330" s="65"/>
    </row>
    <row r="331" spans="12:16" ht="15.75" customHeight="1">
      <c r="L331" s="65"/>
      <c r="M331" s="65"/>
      <c r="N331" s="65"/>
      <c r="O331" s="65"/>
      <c r="P331" s="65"/>
    </row>
    <row r="332" spans="12:16" ht="15.75" customHeight="1">
      <c r="L332" s="65"/>
      <c r="M332" s="65"/>
      <c r="N332" s="65"/>
      <c r="O332" s="65"/>
      <c r="P332" s="65"/>
    </row>
    <row r="333" spans="12:16" ht="15.75" customHeight="1">
      <c r="L333" s="65"/>
      <c r="M333" s="65"/>
      <c r="N333" s="65"/>
      <c r="O333" s="65"/>
      <c r="P333" s="65"/>
    </row>
    <row r="334" spans="12:16" ht="15.75" customHeight="1">
      <c r="L334" s="65"/>
      <c r="M334" s="65"/>
      <c r="N334" s="65"/>
      <c r="O334" s="65"/>
      <c r="P334" s="65"/>
    </row>
    <row r="335" spans="12:16" ht="15.75" customHeight="1">
      <c r="L335" s="65"/>
      <c r="M335" s="65"/>
      <c r="N335" s="65"/>
      <c r="O335" s="65"/>
      <c r="P335" s="65"/>
    </row>
    <row r="336" spans="12:16" ht="15.75" customHeight="1">
      <c r="L336" s="65"/>
      <c r="M336" s="65"/>
      <c r="N336" s="65"/>
      <c r="O336" s="65"/>
      <c r="P336" s="65"/>
    </row>
    <row r="337" spans="12:16" ht="15.75" customHeight="1">
      <c r="L337" s="65"/>
      <c r="M337" s="65"/>
      <c r="N337" s="65"/>
      <c r="O337" s="65"/>
      <c r="P337" s="65"/>
    </row>
    <row r="338" spans="12:16" ht="15.75" customHeight="1">
      <c r="L338" s="65"/>
      <c r="M338" s="65"/>
      <c r="N338" s="65"/>
      <c r="O338" s="65"/>
      <c r="P338" s="65"/>
    </row>
    <row r="339" spans="12:16" ht="15.75" customHeight="1">
      <c r="L339" s="65"/>
      <c r="M339" s="65"/>
      <c r="N339" s="65"/>
      <c r="O339" s="65"/>
      <c r="P339" s="65"/>
    </row>
    <row r="340" spans="12:16" ht="15.75" customHeight="1">
      <c r="L340" s="65"/>
      <c r="M340" s="65"/>
      <c r="N340" s="65"/>
      <c r="O340" s="65"/>
      <c r="P340" s="65"/>
    </row>
    <row r="341" spans="12:16" ht="15.75" customHeight="1">
      <c r="L341" s="65"/>
      <c r="M341" s="65"/>
      <c r="N341" s="65"/>
      <c r="O341" s="65"/>
      <c r="P341" s="65"/>
    </row>
    <row r="342" spans="12:16" ht="15.75" customHeight="1">
      <c r="L342" s="65"/>
      <c r="M342" s="65"/>
      <c r="N342" s="65"/>
      <c r="O342" s="65"/>
      <c r="P342" s="65"/>
    </row>
    <row r="343" spans="12:16" ht="15.75" customHeight="1">
      <c r="L343" s="65"/>
      <c r="M343" s="65"/>
      <c r="N343" s="65"/>
      <c r="O343" s="65"/>
      <c r="P343" s="65"/>
    </row>
    <row r="344" spans="12:16" ht="15.75" customHeight="1">
      <c r="L344" s="65"/>
      <c r="M344" s="65"/>
      <c r="N344" s="65"/>
      <c r="O344" s="65"/>
      <c r="P344" s="65"/>
    </row>
    <row r="345" spans="12:16" ht="15.75" customHeight="1">
      <c r="L345" s="65"/>
      <c r="M345" s="65"/>
      <c r="N345" s="65"/>
      <c r="O345" s="65"/>
      <c r="P345" s="65"/>
    </row>
    <row r="346" spans="12:16" ht="15.75" customHeight="1">
      <c r="L346" s="65"/>
      <c r="M346" s="65"/>
      <c r="N346" s="65"/>
      <c r="O346" s="65"/>
      <c r="P346" s="65"/>
    </row>
    <row r="347" spans="12:16" ht="15.75" customHeight="1">
      <c r="L347" s="65"/>
      <c r="M347" s="65"/>
      <c r="N347" s="65"/>
      <c r="O347" s="65"/>
      <c r="P347" s="65"/>
    </row>
    <row r="348" spans="12:16" ht="15.75" customHeight="1">
      <c r="L348" s="65"/>
      <c r="M348" s="65"/>
      <c r="N348" s="65"/>
      <c r="O348" s="65"/>
      <c r="P348" s="65"/>
    </row>
    <row r="349" spans="12:16" ht="15.75" customHeight="1">
      <c r="L349" s="65"/>
      <c r="M349" s="65"/>
      <c r="N349" s="65"/>
      <c r="O349" s="65"/>
      <c r="P349" s="65"/>
    </row>
    <row r="350" spans="12:16" ht="15.75" customHeight="1">
      <c r="L350" s="65"/>
      <c r="M350" s="65"/>
      <c r="N350" s="65"/>
      <c r="O350" s="65"/>
      <c r="P350" s="65"/>
    </row>
    <row r="351" spans="12:16" ht="15.75" customHeight="1">
      <c r="L351" s="65"/>
      <c r="M351" s="65"/>
      <c r="N351" s="65"/>
      <c r="O351" s="65"/>
      <c r="P351" s="65"/>
    </row>
    <row r="352" spans="12:16" ht="15.75" customHeight="1">
      <c r="L352" s="65"/>
      <c r="M352" s="65"/>
      <c r="N352" s="65"/>
      <c r="O352" s="65"/>
      <c r="P352" s="65"/>
    </row>
    <row r="353" spans="12:16" ht="15.75" customHeight="1">
      <c r="L353" s="65"/>
      <c r="M353" s="65"/>
      <c r="N353" s="65"/>
      <c r="O353" s="65"/>
      <c r="P353" s="65"/>
    </row>
    <row r="354" spans="12:16" ht="15.75" customHeight="1">
      <c r="L354" s="65"/>
      <c r="M354" s="65"/>
      <c r="N354" s="65"/>
      <c r="O354" s="65"/>
      <c r="P354" s="65"/>
    </row>
    <row r="355" spans="12:16" ht="15.75" customHeight="1">
      <c r="L355" s="65"/>
      <c r="M355" s="65"/>
      <c r="N355" s="65"/>
      <c r="O355" s="65"/>
      <c r="P355" s="65"/>
    </row>
    <row r="356" spans="12:16" ht="15.75" customHeight="1">
      <c r="L356" s="65"/>
      <c r="M356" s="65"/>
      <c r="N356" s="65"/>
      <c r="O356" s="65"/>
      <c r="P356" s="65"/>
    </row>
    <row r="357" spans="12:16" ht="15.75" customHeight="1">
      <c r="L357" s="65"/>
      <c r="M357" s="65"/>
      <c r="N357" s="65"/>
      <c r="O357" s="65"/>
      <c r="P357" s="65"/>
    </row>
    <row r="358" spans="12:16" ht="15.75" customHeight="1">
      <c r="L358" s="65"/>
      <c r="M358" s="65"/>
      <c r="N358" s="65"/>
      <c r="O358" s="65"/>
      <c r="P358" s="65"/>
    </row>
    <row r="359" spans="12:16" ht="15.75" customHeight="1">
      <c r="L359" s="65"/>
      <c r="M359" s="65"/>
      <c r="N359" s="65"/>
      <c r="O359" s="65"/>
      <c r="P359" s="65"/>
    </row>
    <row r="360" spans="12:16" ht="15.75" customHeight="1">
      <c r="L360" s="65"/>
      <c r="M360" s="65"/>
      <c r="N360" s="65"/>
      <c r="O360" s="65"/>
      <c r="P360" s="65"/>
    </row>
    <row r="361" spans="12:16" ht="15.75" customHeight="1">
      <c r="L361" s="65"/>
      <c r="M361" s="65"/>
      <c r="N361" s="65"/>
      <c r="O361" s="65"/>
      <c r="P361" s="65"/>
    </row>
    <row r="362" spans="12:16" ht="15.75" customHeight="1">
      <c r="L362" s="65"/>
      <c r="M362" s="65"/>
      <c r="N362" s="65"/>
      <c r="O362" s="65"/>
      <c r="P362" s="65"/>
    </row>
    <row r="363" spans="12:16" ht="15.75" customHeight="1">
      <c r="L363" s="65"/>
      <c r="M363" s="65"/>
      <c r="N363" s="65"/>
      <c r="O363" s="65"/>
      <c r="P363" s="65"/>
    </row>
    <row r="364" spans="12:16" ht="15.75" customHeight="1">
      <c r="L364" s="65"/>
      <c r="M364" s="65"/>
      <c r="N364" s="65"/>
      <c r="O364" s="65"/>
      <c r="P364" s="65"/>
    </row>
    <row r="365" spans="12:16" ht="15.75" customHeight="1">
      <c r="L365" s="65"/>
      <c r="M365" s="65"/>
      <c r="N365" s="65"/>
      <c r="O365" s="65"/>
      <c r="P365" s="65"/>
    </row>
    <row r="366" spans="12:16" ht="15.75" customHeight="1">
      <c r="L366" s="65"/>
      <c r="M366" s="65"/>
      <c r="N366" s="65"/>
      <c r="O366" s="65"/>
      <c r="P366" s="65"/>
    </row>
    <row r="367" spans="12:16" ht="15.75" customHeight="1">
      <c r="L367" s="65"/>
      <c r="M367" s="65"/>
      <c r="N367" s="65"/>
      <c r="O367" s="65"/>
      <c r="P367" s="65"/>
    </row>
    <row r="368" spans="12:16" ht="15.75" customHeight="1">
      <c r="L368" s="65"/>
      <c r="M368" s="65"/>
      <c r="N368" s="65"/>
      <c r="O368" s="65"/>
      <c r="P368" s="65"/>
    </row>
    <row r="369" spans="12:16" ht="15.75" customHeight="1">
      <c r="L369" s="65"/>
      <c r="M369" s="65"/>
      <c r="N369" s="65"/>
      <c r="O369" s="65"/>
      <c r="P369" s="65"/>
    </row>
    <row r="370" spans="12:16" ht="15.75" customHeight="1">
      <c r="L370" s="65"/>
      <c r="M370" s="65"/>
      <c r="N370" s="65"/>
      <c r="O370" s="65"/>
      <c r="P370" s="65"/>
    </row>
    <row r="371" spans="12:16" ht="15.75" customHeight="1">
      <c r="L371" s="65"/>
      <c r="M371" s="65"/>
      <c r="N371" s="65"/>
      <c r="O371" s="65"/>
      <c r="P371" s="65"/>
    </row>
    <row r="372" spans="12:16" ht="15.75" customHeight="1">
      <c r="L372" s="65"/>
      <c r="M372" s="65"/>
      <c r="N372" s="65"/>
      <c r="O372" s="65"/>
      <c r="P372" s="65"/>
    </row>
    <row r="373" spans="12:16" ht="15.75" customHeight="1">
      <c r="L373" s="65"/>
      <c r="M373" s="65"/>
      <c r="N373" s="65"/>
      <c r="O373" s="65"/>
      <c r="P373" s="65"/>
    </row>
    <row r="374" spans="12:16" ht="15.75" customHeight="1">
      <c r="L374" s="65"/>
      <c r="M374" s="65"/>
      <c r="N374" s="65"/>
      <c r="O374" s="65"/>
      <c r="P374" s="65"/>
    </row>
    <row r="375" spans="12:16" ht="15.75" customHeight="1">
      <c r="L375" s="65"/>
      <c r="M375" s="65"/>
      <c r="N375" s="65"/>
      <c r="O375" s="65"/>
      <c r="P375" s="65"/>
    </row>
    <row r="376" spans="12:16" ht="15.75" customHeight="1">
      <c r="L376" s="65"/>
      <c r="M376" s="65"/>
      <c r="N376" s="65"/>
      <c r="O376" s="65"/>
      <c r="P376" s="65"/>
    </row>
    <row r="377" spans="12:16" ht="15.75" customHeight="1">
      <c r="L377" s="65"/>
      <c r="M377" s="65"/>
      <c r="N377" s="65"/>
      <c r="O377" s="65"/>
      <c r="P377" s="65"/>
    </row>
    <row r="378" spans="12:16" ht="15.75" customHeight="1">
      <c r="L378" s="65"/>
      <c r="M378" s="65"/>
      <c r="N378" s="65"/>
      <c r="O378" s="65"/>
      <c r="P378" s="65"/>
    </row>
    <row r="379" spans="12:16" ht="15.75" customHeight="1">
      <c r="L379" s="65"/>
      <c r="M379" s="65"/>
      <c r="N379" s="65"/>
      <c r="O379" s="65"/>
      <c r="P379" s="65"/>
    </row>
    <row r="380" spans="12:16" ht="15.75" customHeight="1">
      <c r="L380" s="65"/>
      <c r="M380" s="65"/>
      <c r="N380" s="65"/>
      <c r="O380" s="65"/>
      <c r="P380" s="65"/>
    </row>
    <row r="381" spans="12:16" ht="15.75" customHeight="1">
      <c r="L381" s="65"/>
      <c r="M381" s="65"/>
      <c r="N381" s="65"/>
      <c r="O381" s="65"/>
      <c r="P381" s="65"/>
    </row>
    <row r="382" spans="12:16" ht="15.75" customHeight="1">
      <c r="L382" s="65"/>
      <c r="M382" s="65"/>
      <c r="N382" s="65"/>
      <c r="O382" s="65"/>
      <c r="P382" s="65"/>
    </row>
    <row r="383" spans="12:16" ht="15.75" customHeight="1">
      <c r="L383" s="65"/>
      <c r="M383" s="65"/>
      <c r="N383" s="65"/>
      <c r="O383" s="65"/>
      <c r="P383" s="65"/>
    </row>
    <row r="384" spans="12:16" ht="15.75" customHeight="1">
      <c r="L384" s="65"/>
      <c r="M384" s="65"/>
      <c r="N384" s="65"/>
      <c r="O384" s="65"/>
      <c r="P384" s="65"/>
    </row>
    <row r="385" spans="12:16" ht="15.75" customHeight="1">
      <c r="L385" s="65"/>
      <c r="M385" s="65"/>
      <c r="N385" s="65"/>
      <c r="O385" s="65"/>
      <c r="P385" s="65"/>
    </row>
    <row r="386" spans="12:16" ht="15.75" customHeight="1">
      <c r="L386" s="65"/>
      <c r="M386" s="65"/>
      <c r="N386" s="65"/>
      <c r="O386" s="65"/>
      <c r="P386" s="65"/>
    </row>
    <row r="387" spans="12:16" ht="15.75" customHeight="1">
      <c r="L387" s="65"/>
      <c r="M387" s="65"/>
      <c r="N387" s="65"/>
      <c r="O387" s="65"/>
      <c r="P387" s="65"/>
    </row>
    <row r="388" spans="12:16" ht="15.75" customHeight="1">
      <c r="L388" s="65"/>
      <c r="M388" s="65"/>
      <c r="N388" s="65"/>
      <c r="O388" s="65"/>
      <c r="P388" s="65"/>
    </row>
    <row r="389" spans="12:16" ht="15.75" customHeight="1">
      <c r="L389" s="65"/>
      <c r="M389" s="65"/>
      <c r="N389" s="65"/>
      <c r="O389" s="65"/>
      <c r="P389" s="65"/>
    </row>
    <row r="390" spans="12:16" ht="15.75" customHeight="1">
      <c r="L390" s="65"/>
      <c r="M390" s="65"/>
      <c r="N390" s="65"/>
      <c r="O390" s="65"/>
      <c r="P390" s="65"/>
    </row>
    <row r="391" spans="12:16" ht="15.75" customHeight="1">
      <c r="L391" s="65"/>
      <c r="M391" s="65"/>
      <c r="N391" s="65"/>
      <c r="O391" s="65"/>
      <c r="P391" s="65"/>
    </row>
    <row r="392" spans="12:16" ht="15.75" customHeight="1">
      <c r="L392" s="65"/>
      <c r="M392" s="65"/>
      <c r="N392" s="65"/>
      <c r="O392" s="65"/>
      <c r="P392" s="65"/>
    </row>
    <row r="393" spans="12:16" ht="15.75" customHeight="1">
      <c r="L393" s="65"/>
      <c r="M393" s="65"/>
      <c r="N393" s="65"/>
      <c r="O393" s="65"/>
      <c r="P393" s="65"/>
    </row>
    <row r="394" spans="12:16" ht="15.75" customHeight="1">
      <c r="L394" s="65"/>
      <c r="M394" s="65"/>
      <c r="N394" s="65"/>
      <c r="O394" s="65"/>
      <c r="P394" s="65"/>
    </row>
    <row r="395" spans="12:16" ht="15.75" customHeight="1">
      <c r="L395" s="65"/>
      <c r="M395" s="65"/>
      <c r="N395" s="65"/>
      <c r="O395" s="65"/>
      <c r="P395" s="65"/>
    </row>
    <row r="396" spans="12:16" ht="15.75" customHeight="1">
      <c r="L396" s="65"/>
      <c r="M396" s="65"/>
      <c r="N396" s="65"/>
      <c r="O396" s="65"/>
      <c r="P396" s="65"/>
    </row>
    <row r="397" spans="12:16" ht="15.75" customHeight="1">
      <c r="L397" s="65"/>
      <c r="M397" s="65"/>
      <c r="N397" s="65"/>
      <c r="O397" s="65"/>
      <c r="P397" s="65"/>
    </row>
    <row r="398" spans="12:16" ht="15.75" customHeight="1">
      <c r="L398" s="65"/>
      <c r="M398" s="65"/>
      <c r="N398" s="65"/>
      <c r="O398" s="65"/>
      <c r="P398" s="65"/>
    </row>
    <row r="399" spans="12:16" ht="15.75" customHeight="1">
      <c r="L399" s="65"/>
      <c r="M399" s="65"/>
      <c r="N399" s="65"/>
      <c r="O399" s="65"/>
      <c r="P399" s="65"/>
    </row>
    <row r="400" spans="12:16" ht="15.75" customHeight="1">
      <c r="L400" s="65"/>
      <c r="M400" s="65"/>
      <c r="N400" s="65"/>
      <c r="O400" s="65"/>
      <c r="P400" s="65"/>
    </row>
    <row r="401" spans="12:16" ht="15.75" customHeight="1">
      <c r="L401" s="65"/>
      <c r="M401" s="65"/>
      <c r="N401" s="65"/>
      <c r="O401" s="65"/>
      <c r="P401" s="65"/>
    </row>
    <row r="402" spans="12:16" ht="15.75" customHeight="1">
      <c r="L402" s="65"/>
      <c r="M402" s="65"/>
      <c r="N402" s="65"/>
      <c r="O402" s="65"/>
      <c r="P402" s="65"/>
    </row>
    <row r="403" spans="12:16" ht="15.75" customHeight="1">
      <c r="L403" s="65"/>
      <c r="M403" s="65"/>
      <c r="N403" s="65"/>
      <c r="O403" s="65"/>
      <c r="P403" s="65"/>
    </row>
    <row r="404" spans="12:16" ht="15.75" customHeight="1">
      <c r="L404" s="65"/>
      <c r="M404" s="65"/>
      <c r="N404" s="65"/>
      <c r="O404" s="65"/>
      <c r="P404" s="65"/>
    </row>
    <row r="405" spans="12:16" ht="15.75" customHeight="1">
      <c r="L405" s="65"/>
      <c r="M405" s="65"/>
      <c r="N405" s="65"/>
      <c r="O405" s="65"/>
      <c r="P405" s="65"/>
    </row>
    <row r="406" spans="12:16" ht="15.75" customHeight="1">
      <c r="L406" s="65"/>
      <c r="M406" s="65"/>
      <c r="N406" s="65"/>
      <c r="O406" s="65"/>
      <c r="P406" s="65"/>
    </row>
    <row r="407" spans="12:16" ht="15.75" customHeight="1">
      <c r="L407" s="65"/>
      <c r="M407" s="65"/>
      <c r="N407" s="65"/>
      <c r="O407" s="65"/>
      <c r="P407" s="65"/>
    </row>
    <row r="408" spans="12:16" ht="15.75" customHeight="1">
      <c r="L408" s="65"/>
      <c r="M408" s="65"/>
      <c r="N408" s="65"/>
      <c r="O408" s="65"/>
      <c r="P408" s="65"/>
    </row>
    <row r="409" spans="12:16" ht="15.75" customHeight="1">
      <c r="L409" s="65"/>
      <c r="M409" s="65"/>
      <c r="N409" s="65"/>
      <c r="O409" s="65"/>
      <c r="P409" s="65"/>
    </row>
    <row r="410" spans="12:16" ht="15.75" customHeight="1">
      <c r="L410" s="65"/>
      <c r="M410" s="65"/>
      <c r="N410" s="65"/>
      <c r="O410" s="65"/>
      <c r="P410" s="65"/>
    </row>
    <row r="411" spans="12:16" ht="15.75" customHeight="1">
      <c r="L411" s="65"/>
      <c r="M411" s="65"/>
      <c r="N411" s="65"/>
      <c r="O411" s="65"/>
      <c r="P411" s="65"/>
    </row>
    <row r="412" spans="12:16" ht="15.75" customHeight="1">
      <c r="L412" s="65"/>
      <c r="M412" s="65"/>
      <c r="N412" s="65"/>
      <c r="O412" s="65"/>
      <c r="P412" s="65"/>
    </row>
    <row r="413" spans="12:16" ht="15.75" customHeight="1">
      <c r="L413" s="65"/>
      <c r="M413" s="65"/>
      <c r="N413" s="65"/>
      <c r="O413" s="65"/>
      <c r="P413" s="65"/>
    </row>
    <row r="414" spans="12:16" ht="15.75" customHeight="1">
      <c r="L414" s="65"/>
      <c r="M414" s="65"/>
      <c r="N414" s="65"/>
      <c r="O414" s="65"/>
      <c r="P414" s="65"/>
    </row>
    <row r="415" spans="12:16" ht="15.75" customHeight="1">
      <c r="L415" s="65"/>
      <c r="M415" s="65"/>
      <c r="N415" s="65"/>
      <c r="O415" s="65"/>
      <c r="P415" s="65"/>
    </row>
    <row r="416" spans="12:16" ht="15.75" customHeight="1">
      <c r="L416" s="65"/>
      <c r="M416" s="65"/>
      <c r="N416" s="65"/>
      <c r="O416" s="65"/>
      <c r="P416" s="65"/>
    </row>
    <row r="417" spans="12:16" ht="15.75" customHeight="1">
      <c r="L417" s="65"/>
      <c r="M417" s="65"/>
      <c r="N417" s="65"/>
      <c r="O417" s="65"/>
      <c r="P417" s="65"/>
    </row>
    <row r="418" spans="12:16" ht="15.75" customHeight="1">
      <c r="L418" s="65"/>
      <c r="M418" s="65"/>
      <c r="N418" s="65"/>
      <c r="O418" s="65"/>
      <c r="P418" s="65"/>
    </row>
    <row r="419" spans="12:16" ht="15.75" customHeight="1">
      <c r="L419" s="65"/>
      <c r="M419" s="65"/>
      <c r="N419" s="65"/>
      <c r="O419" s="65"/>
      <c r="P419" s="65"/>
    </row>
    <row r="420" spans="12:16" ht="15.75" customHeight="1">
      <c r="L420" s="65"/>
      <c r="M420" s="65"/>
      <c r="N420" s="65"/>
      <c r="O420" s="65"/>
      <c r="P420" s="65"/>
    </row>
    <row r="421" spans="12:16" ht="15.75" customHeight="1">
      <c r="L421" s="65"/>
      <c r="M421" s="65"/>
      <c r="N421" s="65"/>
      <c r="O421" s="65"/>
      <c r="P421" s="65"/>
    </row>
    <row r="422" spans="12:16" ht="15.75" customHeight="1">
      <c r="L422" s="65"/>
      <c r="M422" s="65"/>
      <c r="N422" s="65"/>
      <c r="O422" s="65"/>
      <c r="P422" s="65"/>
    </row>
    <row r="423" spans="12:16" ht="15.75" customHeight="1">
      <c r="L423" s="65"/>
      <c r="M423" s="65"/>
      <c r="N423" s="65"/>
      <c r="O423" s="65"/>
      <c r="P423" s="65"/>
    </row>
    <row r="424" spans="12:16" ht="15.75" customHeight="1">
      <c r="L424" s="65"/>
      <c r="M424" s="65"/>
      <c r="N424" s="65"/>
      <c r="O424" s="65"/>
      <c r="P424" s="65"/>
    </row>
    <row r="425" spans="12:16" ht="15.75" customHeight="1">
      <c r="L425" s="65"/>
      <c r="M425" s="65"/>
      <c r="N425" s="65"/>
      <c r="O425" s="65"/>
      <c r="P425" s="65"/>
    </row>
    <row r="426" spans="12:16" ht="15.75" customHeight="1">
      <c r="L426" s="65"/>
      <c r="M426" s="65"/>
      <c r="N426" s="65"/>
      <c r="O426" s="65"/>
      <c r="P426" s="65"/>
    </row>
    <row r="427" spans="12:16" ht="15.75" customHeight="1">
      <c r="L427" s="65"/>
      <c r="M427" s="65"/>
      <c r="N427" s="65"/>
      <c r="O427" s="65"/>
      <c r="P427" s="65"/>
    </row>
    <row r="428" spans="12:16" ht="15.75" customHeight="1">
      <c r="L428" s="65"/>
      <c r="M428" s="65"/>
      <c r="N428" s="65"/>
      <c r="O428" s="65"/>
      <c r="P428" s="65"/>
    </row>
    <row r="429" spans="12:16" ht="15.75" customHeight="1">
      <c r="L429" s="65"/>
      <c r="M429" s="65"/>
      <c r="N429" s="65"/>
      <c r="O429" s="65"/>
      <c r="P429" s="65"/>
    </row>
    <row r="430" spans="12:16" ht="15.75" customHeight="1">
      <c r="L430" s="65"/>
      <c r="M430" s="65"/>
      <c r="N430" s="65"/>
      <c r="O430" s="65"/>
      <c r="P430" s="65"/>
    </row>
    <row r="431" spans="12:16" ht="15.75" customHeight="1">
      <c r="L431" s="65"/>
      <c r="M431" s="65"/>
      <c r="N431" s="65"/>
      <c r="O431" s="65"/>
      <c r="P431" s="65"/>
    </row>
    <row r="432" spans="12:16" ht="15.75" customHeight="1">
      <c r="L432" s="65"/>
      <c r="M432" s="65"/>
      <c r="N432" s="65"/>
      <c r="O432" s="65"/>
      <c r="P432" s="65"/>
    </row>
    <row r="433" spans="12:16" ht="15.75" customHeight="1">
      <c r="L433" s="65"/>
      <c r="M433" s="65"/>
      <c r="N433" s="65"/>
      <c r="O433" s="65"/>
      <c r="P433" s="65"/>
    </row>
    <row r="434" spans="12:16" ht="15.75" customHeight="1">
      <c r="L434" s="65"/>
      <c r="M434" s="65"/>
      <c r="N434" s="65"/>
      <c r="O434" s="65"/>
      <c r="P434" s="65"/>
    </row>
    <row r="435" spans="12:16" ht="15.75" customHeight="1">
      <c r="L435" s="65"/>
      <c r="M435" s="65"/>
      <c r="N435" s="65"/>
      <c r="O435" s="65"/>
      <c r="P435" s="65"/>
    </row>
    <row r="436" spans="12:16" ht="15.75" customHeight="1">
      <c r="L436" s="65"/>
      <c r="M436" s="65"/>
      <c r="N436" s="65"/>
      <c r="O436" s="65"/>
      <c r="P436" s="65"/>
    </row>
    <row r="437" spans="12:16" ht="15.75" customHeight="1">
      <c r="L437" s="65"/>
      <c r="M437" s="65"/>
      <c r="N437" s="65"/>
      <c r="O437" s="65"/>
      <c r="P437" s="65"/>
    </row>
    <row r="438" spans="12:16" ht="15.75" customHeight="1">
      <c r="L438" s="65"/>
      <c r="M438" s="65"/>
      <c r="N438" s="65"/>
      <c r="O438" s="65"/>
      <c r="P438" s="65"/>
    </row>
    <row r="439" spans="12:16" ht="15.75" customHeight="1">
      <c r="L439" s="65"/>
      <c r="M439" s="65"/>
      <c r="N439" s="65"/>
      <c r="O439" s="65"/>
      <c r="P439" s="65"/>
    </row>
    <row r="440" spans="12:16" ht="15.75" customHeight="1">
      <c r="L440" s="65"/>
      <c r="M440" s="65"/>
      <c r="N440" s="65"/>
      <c r="O440" s="65"/>
      <c r="P440" s="65"/>
    </row>
    <row r="441" spans="12:16" ht="15.75" customHeight="1">
      <c r="L441" s="65"/>
      <c r="M441" s="65"/>
      <c r="N441" s="65"/>
      <c r="O441" s="65"/>
      <c r="P441" s="65"/>
    </row>
    <row r="442" spans="12:16" ht="15.75" customHeight="1">
      <c r="L442" s="65"/>
      <c r="M442" s="65"/>
      <c r="N442" s="65"/>
      <c r="O442" s="65"/>
      <c r="P442" s="65"/>
    </row>
    <row r="443" spans="12:16" ht="15.75" customHeight="1">
      <c r="L443" s="65"/>
      <c r="M443" s="65"/>
      <c r="N443" s="65"/>
      <c r="O443" s="65"/>
      <c r="P443" s="65"/>
    </row>
    <row r="444" spans="12:16" ht="15.75" customHeight="1">
      <c r="L444" s="65"/>
      <c r="M444" s="65"/>
      <c r="N444" s="65"/>
      <c r="O444" s="65"/>
      <c r="P444" s="65"/>
    </row>
    <row r="445" spans="12:16" ht="15.75" customHeight="1">
      <c r="L445" s="65"/>
      <c r="M445" s="65"/>
      <c r="N445" s="65"/>
      <c r="O445" s="65"/>
      <c r="P445" s="65"/>
    </row>
    <row r="446" spans="12:16" ht="15.75" customHeight="1">
      <c r="L446" s="65"/>
      <c r="M446" s="65"/>
      <c r="N446" s="65"/>
      <c r="O446" s="65"/>
      <c r="P446" s="65"/>
    </row>
    <row r="447" spans="12:16" ht="15.75" customHeight="1">
      <c r="L447" s="65"/>
      <c r="M447" s="65"/>
      <c r="N447" s="65"/>
      <c r="O447" s="65"/>
      <c r="P447" s="65"/>
    </row>
    <row r="448" spans="12:16" ht="15.75" customHeight="1">
      <c r="L448" s="65"/>
      <c r="M448" s="65"/>
      <c r="N448" s="65"/>
      <c r="O448" s="65"/>
      <c r="P448" s="65"/>
    </row>
    <row r="449" spans="12:16" ht="15.75" customHeight="1">
      <c r="L449" s="65"/>
      <c r="M449" s="65"/>
      <c r="N449" s="65"/>
      <c r="O449" s="65"/>
      <c r="P449" s="65"/>
    </row>
    <row r="450" spans="12:16" ht="15.75" customHeight="1">
      <c r="L450" s="65"/>
      <c r="M450" s="65"/>
      <c r="N450" s="65"/>
      <c r="O450" s="65"/>
      <c r="P450" s="65"/>
    </row>
    <row r="451" spans="12:16" ht="15.75" customHeight="1">
      <c r="L451" s="65"/>
      <c r="M451" s="65"/>
      <c r="N451" s="65"/>
      <c r="O451" s="65"/>
      <c r="P451" s="65"/>
    </row>
    <row r="452" spans="12:16" ht="15.75" customHeight="1">
      <c r="L452" s="65"/>
      <c r="M452" s="65"/>
      <c r="N452" s="65"/>
      <c r="O452" s="65"/>
      <c r="P452" s="65"/>
    </row>
    <row r="453" spans="12:16" ht="15.75" customHeight="1">
      <c r="L453" s="65"/>
      <c r="M453" s="65"/>
      <c r="N453" s="65"/>
      <c r="O453" s="65"/>
      <c r="P453" s="65"/>
    </row>
    <row r="454" spans="12:16" ht="15.75" customHeight="1">
      <c r="L454" s="65"/>
      <c r="M454" s="65"/>
      <c r="N454" s="65"/>
      <c r="O454" s="65"/>
      <c r="P454" s="65"/>
    </row>
    <row r="455" spans="12:16" ht="15.75" customHeight="1">
      <c r="L455" s="65"/>
      <c r="M455" s="65"/>
      <c r="N455" s="65"/>
      <c r="O455" s="65"/>
      <c r="P455" s="65"/>
    </row>
    <row r="456" spans="12:16" ht="15.75" customHeight="1">
      <c r="L456" s="65"/>
      <c r="M456" s="65"/>
      <c r="N456" s="65"/>
      <c r="O456" s="65"/>
      <c r="P456" s="65"/>
    </row>
    <row r="457" spans="12:16" ht="15.75" customHeight="1">
      <c r="L457" s="65"/>
      <c r="M457" s="65"/>
      <c r="N457" s="65"/>
      <c r="O457" s="65"/>
      <c r="P457" s="65"/>
    </row>
    <row r="458" spans="12:16" ht="15.75" customHeight="1">
      <c r="L458" s="65"/>
      <c r="M458" s="65"/>
      <c r="N458" s="65"/>
      <c r="O458" s="65"/>
      <c r="P458" s="65"/>
    </row>
    <row r="459" spans="12:16" ht="15.75" customHeight="1">
      <c r="L459" s="65"/>
      <c r="M459" s="65"/>
      <c r="N459" s="65"/>
      <c r="O459" s="65"/>
      <c r="P459" s="65"/>
    </row>
    <row r="460" spans="12:16" ht="15.75" customHeight="1">
      <c r="L460" s="65"/>
      <c r="M460" s="65"/>
      <c r="N460" s="65"/>
      <c r="O460" s="65"/>
      <c r="P460" s="65"/>
    </row>
    <row r="461" spans="12:16" ht="15.75" customHeight="1">
      <c r="L461" s="65"/>
      <c r="M461" s="65"/>
      <c r="N461" s="65"/>
      <c r="O461" s="65"/>
      <c r="P461" s="65"/>
    </row>
    <row r="462" spans="12:16" ht="15.75" customHeight="1">
      <c r="L462" s="65"/>
      <c r="M462" s="65"/>
      <c r="N462" s="65"/>
      <c r="O462" s="65"/>
      <c r="P462" s="65"/>
    </row>
    <row r="463" spans="12:16" ht="15.75" customHeight="1">
      <c r="L463" s="65"/>
      <c r="M463" s="65"/>
      <c r="N463" s="65"/>
      <c r="O463" s="65"/>
      <c r="P463" s="65"/>
    </row>
    <row r="464" spans="12:16" ht="15.75" customHeight="1">
      <c r="L464" s="65"/>
      <c r="M464" s="65"/>
      <c r="N464" s="65"/>
      <c r="O464" s="65"/>
      <c r="P464" s="65"/>
    </row>
    <row r="465" spans="12:16" ht="15.75" customHeight="1">
      <c r="L465" s="65"/>
      <c r="M465" s="65"/>
      <c r="N465" s="65"/>
      <c r="O465" s="65"/>
      <c r="P465" s="65"/>
    </row>
    <row r="466" spans="12:16" ht="15.75" customHeight="1">
      <c r="L466" s="65"/>
      <c r="M466" s="65"/>
      <c r="N466" s="65"/>
      <c r="O466" s="65"/>
      <c r="P466" s="65"/>
    </row>
    <row r="467" spans="12:16" ht="15.75" customHeight="1">
      <c r="L467" s="65"/>
      <c r="M467" s="65"/>
      <c r="N467" s="65"/>
      <c r="O467" s="65"/>
      <c r="P467" s="65"/>
    </row>
    <row r="468" spans="12:16" ht="15.75" customHeight="1">
      <c r="L468" s="65"/>
      <c r="M468" s="65"/>
      <c r="N468" s="65"/>
      <c r="O468" s="65"/>
      <c r="P468" s="65"/>
    </row>
    <row r="469" spans="12:16" ht="15.75" customHeight="1">
      <c r="L469" s="65"/>
      <c r="M469" s="65"/>
      <c r="N469" s="65"/>
      <c r="O469" s="65"/>
      <c r="P469" s="65"/>
    </row>
    <row r="470" spans="12:16" ht="15.75" customHeight="1">
      <c r="L470" s="65"/>
      <c r="M470" s="65"/>
      <c r="N470" s="65"/>
      <c r="O470" s="65"/>
      <c r="P470" s="65"/>
    </row>
    <row r="471" spans="12:16" ht="15.75" customHeight="1">
      <c r="L471" s="65"/>
      <c r="M471" s="65"/>
      <c r="N471" s="65"/>
      <c r="O471" s="65"/>
      <c r="P471" s="65"/>
    </row>
    <row r="472" spans="12:16" ht="15.75" customHeight="1">
      <c r="L472" s="65"/>
      <c r="M472" s="65"/>
      <c r="N472" s="65"/>
      <c r="O472" s="65"/>
      <c r="P472" s="65"/>
    </row>
    <row r="473" spans="12:16" ht="15.75" customHeight="1">
      <c r="L473" s="65"/>
      <c r="M473" s="65"/>
      <c r="N473" s="65"/>
      <c r="O473" s="65"/>
      <c r="P473" s="65"/>
    </row>
    <row r="474" spans="12:16" ht="15.75" customHeight="1">
      <c r="L474" s="65"/>
      <c r="M474" s="65"/>
      <c r="N474" s="65"/>
      <c r="O474" s="65"/>
      <c r="P474" s="65"/>
    </row>
    <row r="475" spans="12:16" ht="15.75" customHeight="1">
      <c r="L475" s="65"/>
      <c r="M475" s="65"/>
      <c r="N475" s="65"/>
      <c r="O475" s="65"/>
      <c r="P475" s="65"/>
    </row>
    <row r="476" spans="12:16" ht="15.75" customHeight="1">
      <c r="L476" s="65"/>
      <c r="M476" s="65"/>
      <c r="N476" s="65"/>
      <c r="O476" s="65"/>
      <c r="P476" s="65"/>
    </row>
    <row r="477" spans="12:16" ht="15.75" customHeight="1">
      <c r="L477" s="65"/>
      <c r="M477" s="65"/>
      <c r="N477" s="65"/>
      <c r="O477" s="65"/>
      <c r="P477" s="65"/>
    </row>
    <row r="478" spans="12:16" ht="15.75" customHeight="1">
      <c r="L478" s="65"/>
      <c r="M478" s="65"/>
      <c r="N478" s="65"/>
      <c r="O478" s="65"/>
      <c r="P478" s="65"/>
    </row>
    <row r="479" spans="12:16" ht="15.75" customHeight="1">
      <c r="L479" s="65"/>
      <c r="M479" s="65"/>
      <c r="N479" s="65"/>
      <c r="O479" s="65"/>
      <c r="P479" s="65"/>
    </row>
    <row r="480" spans="12:16" ht="15.75" customHeight="1">
      <c r="L480" s="65"/>
      <c r="M480" s="65"/>
      <c r="N480" s="65"/>
      <c r="O480" s="65"/>
      <c r="P480" s="65"/>
    </row>
    <row r="481" spans="12:16" ht="15.75" customHeight="1">
      <c r="L481" s="65"/>
      <c r="M481" s="65"/>
      <c r="N481" s="65"/>
      <c r="O481" s="65"/>
      <c r="P481" s="65"/>
    </row>
    <row r="482" spans="12:16" ht="15.75" customHeight="1">
      <c r="L482" s="65"/>
      <c r="M482" s="65"/>
      <c r="N482" s="65"/>
      <c r="O482" s="65"/>
      <c r="P482" s="65"/>
    </row>
    <row r="483" spans="12:16" ht="15.75" customHeight="1">
      <c r="L483" s="65"/>
      <c r="M483" s="65"/>
      <c r="N483" s="65"/>
      <c r="O483" s="65"/>
      <c r="P483" s="65"/>
    </row>
    <row r="484" spans="12:16" ht="15.75" customHeight="1">
      <c r="L484" s="65"/>
      <c r="M484" s="65"/>
      <c r="N484" s="65"/>
      <c r="O484" s="65"/>
      <c r="P484" s="65"/>
    </row>
    <row r="485" spans="12:16" ht="15.75" customHeight="1">
      <c r="L485" s="65"/>
      <c r="M485" s="65"/>
      <c r="N485" s="65"/>
      <c r="O485" s="65"/>
      <c r="P485" s="65"/>
    </row>
    <row r="486" spans="12:16" ht="15.75" customHeight="1">
      <c r="L486" s="65"/>
      <c r="M486" s="65"/>
      <c r="N486" s="65"/>
      <c r="O486" s="65"/>
      <c r="P486" s="65"/>
    </row>
    <row r="487" spans="12:16" ht="15.75" customHeight="1">
      <c r="L487" s="65"/>
      <c r="M487" s="65"/>
      <c r="N487" s="65"/>
      <c r="O487" s="65"/>
      <c r="P487" s="65"/>
    </row>
    <row r="488" spans="12:16" ht="15.75" customHeight="1">
      <c r="L488" s="65"/>
      <c r="M488" s="65"/>
      <c r="N488" s="65"/>
      <c r="O488" s="65"/>
      <c r="P488" s="65"/>
    </row>
    <row r="489" spans="12:16" ht="15.75" customHeight="1">
      <c r="L489" s="65"/>
      <c r="M489" s="65"/>
      <c r="N489" s="65"/>
      <c r="O489" s="65"/>
      <c r="P489" s="65"/>
    </row>
    <row r="490" spans="12:16" ht="15.75" customHeight="1">
      <c r="L490" s="65"/>
      <c r="M490" s="65"/>
      <c r="N490" s="65"/>
      <c r="O490" s="65"/>
      <c r="P490" s="65"/>
    </row>
    <row r="491" spans="12:16" ht="15.75" customHeight="1">
      <c r="L491" s="65"/>
      <c r="M491" s="65"/>
      <c r="N491" s="65"/>
      <c r="O491" s="65"/>
      <c r="P491" s="65"/>
    </row>
    <row r="492" spans="12:16" ht="15.75" customHeight="1">
      <c r="L492" s="65"/>
      <c r="M492" s="65"/>
      <c r="N492" s="65"/>
      <c r="O492" s="65"/>
      <c r="P492" s="65"/>
    </row>
    <row r="493" spans="12:16" ht="15.75" customHeight="1">
      <c r="L493" s="65"/>
      <c r="M493" s="65"/>
      <c r="N493" s="65"/>
      <c r="O493" s="65"/>
      <c r="P493" s="65"/>
    </row>
    <row r="494" spans="12:16" ht="15.75" customHeight="1">
      <c r="L494" s="65"/>
      <c r="M494" s="65"/>
      <c r="N494" s="65"/>
      <c r="O494" s="65"/>
      <c r="P494" s="65"/>
    </row>
    <row r="495" spans="12:16" ht="15.75" customHeight="1">
      <c r="L495" s="65"/>
      <c r="M495" s="65"/>
      <c r="N495" s="65"/>
      <c r="O495" s="65"/>
      <c r="P495" s="65"/>
    </row>
    <row r="496" spans="12:16" ht="15.75" customHeight="1">
      <c r="L496" s="65"/>
      <c r="M496" s="65"/>
      <c r="N496" s="65"/>
      <c r="O496" s="65"/>
      <c r="P496" s="65"/>
    </row>
    <row r="497" spans="12:16" ht="15.75" customHeight="1">
      <c r="L497" s="65"/>
      <c r="M497" s="65"/>
      <c r="N497" s="65"/>
      <c r="O497" s="65"/>
      <c r="P497" s="65"/>
    </row>
    <row r="498" spans="12:16" ht="15.75" customHeight="1">
      <c r="L498" s="65"/>
      <c r="M498" s="65"/>
      <c r="N498" s="65"/>
      <c r="O498" s="65"/>
      <c r="P498" s="65"/>
    </row>
    <row r="499" spans="12:16" ht="15.75" customHeight="1">
      <c r="L499" s="65"/>
      <c r="M499" s="65"/>
      <c r="N499" s="65"/>
      <c r="O499" s="65"/>
      <c r="P499" s="65"/>
    </row>
    <row r="500" spans="12:16" ht="15.75" customHeight="1">
      <c r="L500" s="65"/>
      <c r="M500" s="65"/>
      <c r="N500" s="65"/>
      <c r="O500" s="65"/>
      <c r="P500" s="65"/>
    </row>
    <row r="501" spans="12:16" ht="15.75" customHeight="1">
      <c r="L501" s="65"/>
      <c r="M501" s="65"/>
      <c r="N501" s="65"/>
      <c r="O501" s="65"/>
      <c r="P501" s="65"/>
    </row>
    <row r="502" spans="12:16" ht="15.75" customHeight="1">
      <c r="L502" s="65"/>
      <c r="M502" s="65"/>
      <c r="N502" s="65"/>
      <c r="O502" s="65"/>
      <c r="P502" s="65"/>
    </row>
    <row r="503" spans="12:16" ht="15.75" customHeight="1">
      <c r="L503" s="65"/>
      <c r="M503" s="65"/>
      <c r="N503" s="65"/>
      <c r="O503" s="65"/>
      <c r="P503" s="65"/>
    </row>
    <row r="504" spans="12:16" ht="15.75" customHeight="1">
      <c r="L504" s="65"/>
      <c r="M504" s="65"/>
      <c r="N504" s="65"/>
      <c r="O504" s="65"/>
      <c r="P504" s="65"/>
    </row>
    <row r="505" spans="12:16" ht="15.75" customHeight="1">
      <c r="L505" s="65"/>
      <c r="M505" s="65"/>
      <c r="N505" s="65"/>
      <c r="O505" s="65"/>
      <c r="P505" s="65"/>
    </row>
    <row r="506" spans="12:16" ht="15.75" customHeight="1">
      <c r="L506" s="65"/>
      <c r="M506" s="65"/>
      <c r="N506" s="65"/>
      <c r="O506" s="65"/>
      <c r="P506" s="65"/>
    </row>
    <row r="507" spans="12:16" ht="15.75" customHeight="1">
      <c r="L507" s="65"/>
      <c r="M507" s="65"/>
      <c r="N507" s="65"/>
      <c r="O507" s="65"/>
      <c r="P507" s="65"/>
    </row>
    <row r="508" spans="12:16" ht="15.75" customHeight="1">
      <c r="L508" s="65"/>
      <c r="M508" s="65"/>
      <c r="N508" s="65"/>
      <c r="O508" s="65"/>
      <c r="P508" s="65"/>
    </row>
    <row r="509" spans="12:16" ht="15.75" customHeight="1">
      <c r="L509" s="65"/>
      <c r="M509" s="65"/>
      <c r="N509" s="65"/>
      <c r="O509" s="65"/>
      <c r="P509" s="65"/>
    </row>
    <row r="510" spans="12:16" ht="15.75" customHeight="1">
      <c r="L510" s="65"/>
      <c r="M510" s="65"/>
      <c r="N510" s="65"/>
      <c r="O510" s="65"/>
      <c r="P510" s="65"/>
    </row>
    <row r="511" spans="12:16" ht="15.75" customHeight="1">
      <c r="L511" s="65"/>
      <c r="M511" s="65"/>
      <c r="N511" s="65"/>
      <c r="O511" s="65"/>
      <c r="P511" s="65"/>
    </row>
    <row r="512" spans="12:16" ht="15.75" customHeight="1">
      <c r="L512" s="65"/>
      <c r="M512" s="65"/>
      <c r="N512" s="65"/>
      <c r="O512" s="65"/>
      <c r="P512" s="65"/>
    </row>
    <row r="513" spans="12:16" ht="15.75" customHeight="1">
      <c r="L513" s="65"/>
      <c r="M513" s="65"/>
      <c r="N513" s="65"/>
      <c r="O513" s="65"/>
      <c r="P513" s="65"/>
    </row>
    <row r="514" spans="12:16" ht="15.75" customHeight="1">
      <c r="L514" s="65"/>
      <c r="M514" s="65"/>
      <c r="N514" s="65"/>
      <c r="O514" s="65"/>
      <c r="P514" s="65"/>
    </row>
    <row r="515" spans="12:16" ht="15.75" customHeight="1">
      <c r="L515" s="65"/>
      <c r="M515" s="65"/>
      <c r="N515" s="65"/>
      <c r="O515" s="65"/>
      <c r="P515" s="65"/>
    </row>
    <row r="516" spans="12:16" ht="15.75" customHeight="1">
      <c r="L516" s="65"/>
      <c r="M516" s="65"/>
      <c r="N516" s="65"/>
      <c r="O516" s="65"/>
      <c r="P516" s="65"/>
    </row>
    <row r="517" spans="12:16" ht="15.75" customHeight="1">
      <c r="L517" s="65"/>
      <c r="M517" s="65"/>
      <c r="N517" s="65"/>
      <c r="O517" s="65"/>
      <c r="P517" s="65"/>
    </row>
    <row r="518" spans="12:16" ht="15.75" customHeight="1">
      <c r="L518" s="65"/>
      <c r="M518" s="65"/>
      <c r="N518" s="65"/>
      <c r="O518" s="65"/>
      <c r="P518" s="65"/>
    </row>
    <row r="519" spans="12:16" ht="15.75" customHeight="1">
      <c r="L519" s="65"/>
      <c r="M519" s="65"/>
      <c r="N519" s="65"/>
      <c r="O519" s="65"/>
      <c r="P519" s="65"/>
    </row>
    <row r="520" spans="12:16" ht="15.75" customHeight="1">
      <c r="L520" s="65"/>
      <c r="M520" s="65"/>
      <c r="N520" s="65"/>
      <c r="O520" s="65"/>
      <c r="P520" s="65"/>
    </row>
    <row r="521" spans="12:16" ht="15.75" customHeight="1">
      <c r="L521" s="65"/>
      <c r="M521" s="65"/>
      <c r="N521" s="65"/>
      <c r="O521" s="65"/>
      <c r="P521" s="65"/>
    </row>
    <row r="522" spans="12:16" ht="15.75" customHeight="1">
      <c r="L522" s="65"/>
      <c r="M522" s="65"/>
      <c r="N522" s="65"/>
      <c r="O522" s="65"/>
      <c r="P522" s="65"/>
    </row>
    <row r="523" spans="12:16" ht="15.75" customHeight="1">
      <c r="L523" s="65"/>
      <c r="M523" s="65"/>
      <c r="N523" s="65"/>
      <c r="O523" s="65"/>
      <c r="P523" s="65"/>
    </row>
    <row r="524" spans="12:16" ht="15.75" customHeight="1">
      <c r="L524" s="65"/>
      <c r="M524" s="65"/>
      <c r="N524" s="65"/>
      <c r="O524" s="65"/>
      <c r="P524" s="65"/>
    </row>
    <row r="525" spans="12:16" ht="15.75" customHeight="1">
      <c r="L525" s="65"/>
      <c r="M525" s="65"/>
      <c r="N525" s="65"/>
      <c r="O525" s="65"/>
      <c r="P525" s="65"/>
    </row>
    <row r="526" spans="12:16" ht="15.75" customHeight="1">
      <c r="L526" s="65"/>
      <c r="M526" s="65"/>
      <c r="N526" s="65"/>
      <c r="O526" s="65"/>
      <c r="P526" s="65"/>
    </row>
    <row r="527" spans="12:16" ht="15.75" customHeight="1">
      <c r="L527" s="65"/>
      <c r="M527" s="65"/>
      <c r="N527" s="65"/>
      <c r="O527" s="65"/>
      <c r="P527" s="65"/>
    </row>
    <row r="528" spans="12:16" ht="15.75" customHeight="1">
      <c r="L528" s="65"/>
      <c r="M528" s="65"/>
      <c r="N528" s="65"/>
      <c r="O528" s="65"/>
      <c r="P528" s="65"/>
    </row>
    <row r="529" spans="12:16" ht="15.75" customHeight="1">
      <c r="L529" s="65"/>
      <c r="M529" s="65"/>
      <c r="N529" s="65"/>
      <c r="O529" s="65"/>
      <c r="P529" s="65"/>
    </row>
    <row r="530" spans="12:16" ht="15.75" customHeight="1">
      <c r="L530" s="65"/>
      <c r="M530" s="65"/>
      <c r="N530" s="65"/>
      <c r="O530" s="65"/>
      <c r="P530" s="65"/>
    </row>
    <row r="531" spans="12:16" ht="15.75" customHeight="1">
      <c r="L531" s="65"/>
      <c r="M531" s="65"/>
      <c r="N531" s="65"/>
      <c r="O531" s="65"/>
      <c r="P531" s="65"/>
    </row>
    <row r="532" spans="12:16" ht="15.75" customHeight="1">
      <c r="L532" s="65"/>
      <c r="M532" s="65"/>
      <c r="N532" s="65"/>
      <c r="O532" s="65"/>
      <c r="P532" s="65"/>
    </row>
    <row r="533" spans="12:16" ht="15.75" customHeight="1">
      <c r="L533" s="65"/>
      <c r="M533" s="65"/>
      <c r="N533" s="65"/>
      <c r="O533" s="65"/>
      <c r="P533" s="65"/>
    </row>
    <row r="534" spans="12:16" ht="15.75" customHeight="1">
      <c r="L534" s="65"/>
      <c r="M534" s="65"/>
      <c r="N534" s="65"/>
      <c r="O534" s="65"/>
      <c r="P534" s="65"/>
    </row>
    <row r="535" spans="12:16" ht="15.75" customHeight="1">
      <c r="L535" s="65"/>
      <c r="M535" s="65"/>
      <c r="N535" s="65"/>
      <c r="O535" s="65"/>
      <c r="P535" s="65"/>
    </row>
    <row r="536" spans="12:16" ht="15.75" customHeight="1">
      <c r="L536" s="65"/>
      <c r="M536" s="65"/>
      <c r="N536" s="65"/>
      <c r="O536" s="65"/>
      <c r="P536" s="65"/>
    </row>
    <row r="537" spans="12:16" ht="15.75" customHeight="1">
      <c r="L537" s="65"/>
      <c r="M537" s="65"/>
      <c r="N537" s="65"/>
      <c r="O537" s="65"/>
      <c r="P537" s="65"/>
    </row>
    <row r="538" spans="12:16" ht="15.75" customHeight="1">
      <c r="L538" s="65"/>
      <c r="M538" s="65"/>
      <c r="N538" s="65"/>
      <c r="O538" s="65"/>
      <c r="P538" s="65"/>
    </row>
    <row r="539" spans="12:16" ht="15.75" customHeight="1">
      <c r="L539" s="65"/>
      <c r="M539" s="65"/>
      <c r="N539" s="65"/>
      <c r="O539" s="65"/>
      <c r="P539" s="65"/>
    </row>
    <row r="540" spans="12:16" ht="15.75" customHeight="1">
      <c r="L540" s="65"/>
      <c r="M540" s="65"/>
      <c r="N540" s="65"/>
      <c r="O540" s="65"/>
      <c r="P540" s="65"/>
    </row>
    <row r="541" spans="12:16" ht="15.75" customHeight="1">
      <c r="L541" s="65"/>
      <c r="M541" s="65"/>
      <c r="N541" s="65"/>
      <c r="O541" s="65"/>
      <c r="P541" s="65"/>
    </row>
    <row r="542" spans="12:16" ht="15.75" customHeight="1">
      <c r="L542" s="65"/>
      <c r="M542" s="65"/>
      <c r="N542" s="65"/>
      <c r="O542" s="65"/>
      <c r="P542" s="65"/>
    </row>
    <row r="543" spans="12:16" ht="15.75" customHeight="1">
      <c r="L543" s="65"/>
      <c r="M543" s="65"/>
      <c r="N543" s="65"/>
      <c r="O543" s="65"/>
      <c r="P543" s="65"/>
    </row>
    <row r="544" spans="12:16" ht="15.75" customHeight="1">
      <c r="L544" s="65"/>
      <c r="M544" s="65"/>
      <c r="N544" s="65"/>
      <c r="O544" s="65"/>
      <c r="P544" s="65"/>
    </row>
    <row r="545" spans="12:16" ht="15.75" customHeight="1">
      <c r="L545" s="65"/>
      <c r="M545" s="65"/>
      <c r="N545" s="65"/>
      <c r="O545" s="65"/>
      <c r="P545" s="65"/>
    </row>
    <row r="546" spans="12:16" ht="15.75" customHeight="1">
      <c r="L546" s="65"/>
      <c r="M546" s="65"/>
      <c r="N546" s="65"/>
      <c r="O546" s="65"/>
      <c r="P546" s="65"/>
    </row>
    <row r="547" spans="12:16" ht="15.75" customHeight="1">
      <c r="L547" s="65"/>
      <c r="M547" s="65"/>
      <c r="N547" s="65"/>
      <c r="O547" s="65"/>
      <c r="P547" s="65"/>
    </row>
    <row r="548" spans="12:16" ht="15.75" customHeight="1">
      <c r="L548" s="65"/>
      <c r="M548" s="65"/>
      <c r="N548" s="65"/>
      <c r="O548" s="65"/>
      <c r="P548" s="65"/>
    </row>
    <row r="549" spans="12:16" ht="15.75" customHeight="1">
      <c r="L549" s="65"/>
      <c r="M549" s="65"/>
      <c r="N549" s="65"/>
      <c r="O549" s="65"/>
      <c r="P549" s="65"/>
    </row>
    <row r="550" spans="12:16" ht="15.75" customHeight="1">
      <c r="L550" s="65"/>
      <c r="M550" s="65"/>
      <c r="N550" s="65"/>
      <c r="O550" s="65"/>
      <c r="P550" s="65"/>
    </row>
    <row r="551" spans="12:16" ht="15.75" customHeight="1">
      <c r="L551" s="65"/>
      <c r="M551" s="65"/>
      <c r="N551" s="65"/>
      <c r="O551" s="65"/>
      <c r="P551" s="65"/>
    </row>
    <row r="552" spans="12:16" ht="15.75" customHeight="1">
      <c r="L552" s="65"/>
      <c r="M552" s="65"/>
      <c r="N552" s="65"/>
      <c r="O552" s="65"/>
      <c r="P552" s="65"/>
    </row>
    <row r="553" spans="12:16" ht="15.75" customHeight="1">
      <c r="L553" s="65"/>
      <c r="M553" s="65"/>
      <c r="N553" s="65"/>
      <c r="O553" s="65"/>
      <c r="P553" s="65"/>
    </row>
    <row r="554" spans="12:16" ht="15.75" customHeight="1">
      <c r="L554" s="65"/>
      <c r="M554" s="65"/>
      <c r="N554" s="65"/>
      <c r="O554" s="65"/>
      <c r="P554" s="65"/>
    </row>
    <row r="555" spans="12:16" ht="15.75" customHeight="1">
      <c r="L555" s="65"/>
      <c r="M555" s="65"/>
      <c r="N555" s="65"/>
      <c r="O555" s="65"/>
      <c r="P555" s="65"/>
    </row>
    <row r="556" spans="12:16" ht="15.75" customHeight="1">
      <c r="L556" s="65"/>
      <c r="M556" s="65"/>
      <c r="N556" s="65"/>
      <c r="O556" s="65"/>
      <c r="P556" s="65"/>
    </row>
    <row r="557" spans="12:16" ht="15.75" customHeight="1">
      <c r="L557" s="65"/>
      <c r="M557" s="65"/>
      <c r="N557" s="65"/>
      <c r="O557" s="65"/>
      <c r="P557" s="65"/>
    </row>
    <row r="558" spans="12:16" ht="15.75" customHeight="1">
      <c r="L558" s="65"/>
      <c r="M558" s="65"/>
      <c r="N558" s="65"/>
      <c r="O558" s="65"/>
      <c r="P558" s="65"/>
    </row>
    <row r="559" spans="12:16" ht="15.75" customHeight="1">
      <c r="L559" s="65"/>
      <c r="M559" s="65"/>
      <c r="N559" s="65"/>
      <c r="O559" s="65"/>
      <c r="P559" s="65"/>
    </row>
    <row r="560" spans="12:16" ht="15.75" customHeight="1">
      <c r="L560" s="65"/>
      <c r="M560" s="65"/>
      <c r="N560" s="65"/>
      <c r="O560" s="65"/>
      <c r="P560" s="65"/>
    </row>
    <row r="561" spans="12:16" ht="15.75" customHeight="1">
      <c r="L561" s="65"/>
      <c r="M561" s="65"/>
      <c r="N561" s="65"/>
      <c r="O561" s="65"/>
      <c r="P561" s="65"/>
    </row>
    <row r="562" spans="12:16" ht="15.75" customHeight="1">
      <c r="L562" s="65"/>
      <c r="M562" s="65"/>
      <c r="N562" s="65"/>
      <c r="O562" s="65"/>
      <c r="P562" s="65"/>
    </row>
    <row r="563" spans="12:16" ht="15.75" customHeight="1">
      <c r="L563" s="65"/>
      <c r="M563" s="65"/>
      <c r="N563" s="65"/>
      <c r="O563" s="65"/>
      <c r="P563" s="65"/>
    </row>
    <row r="564" spans="12:16" ht="15.75" customHeight="1">
      <c r="L564" s="65"/>
      <c r="M564" s="65"/>
      <c r="N564" s="65"/>
      <c r="O564" s="65"/>
      <c r="P564" s="65"/>
    </row>
    <row r="565" spans="12:16" ht="15.75" customHeight="1">
      <c r="L565" s="65"/>
      <c r="M565" s="65"/>
      <c r="N565" s="65"/>
      <c r="O565" s="65"/>
      <c r="P565" s="65"/>
    </row>
    <row r="566" spans="12:16" ht="15.75" customHeight="1">
      <c r="L566" s="65"/>
      <c r="M566" s="65"/>
      <c r="N566" s="65"/>
      <c r="O566" s="65"/>
      <c r="P566" s="65"/>
    </row>
    <row r="567" spans="12:16" ht="15.75" customHeight="1">
      <c r="L567" s="65"/>
      <c r="M567" s="65"/>
      <c r="N567" s="65"/>
      <c r="O567" s="65"/>
      <c r="P567" s="65"/>
    </row>
    <row r="568" spans="12:16" ht="15.75" customHeight="1">
      <c r="L568" s="65"/>
      <c r="M568" s="65"/>
      <c r="N568" s="65"/>
      <c r="O568" s="65"/>
      <c r="P568" s="65"/>
    </row>
    <row r="569" spans="12:16" ht="15.75" customHeight="1">
      <c r="L569" s="65"/>
      <c r="M569" s="65"/>
      <c r="N569" s="65"/>
      <c r="O569" s="65"/>
      <c r="P569" s="65"/>
    </row>
    <row r="570" spans="12:16" ht="15.75" customHeight="1">
      <c r="L570" s="65"/>
      <c r="M570" s="65"/>
      <c r="N570" s="65"/>
      <c r="O570" s="65"/>
      <c r="P570" s="65"/>
    </row>
    <row r="571" spans="12:16" ht="15.75" customHeight="1">
      <c r="L571" s="65"/>
      <c r="M571" s="65"/>
      <c r="N571" s="65"/>
      <c r="O571" s="65"/>
      <c r="P571" s="65"/>
    </row>
    <row r="572" spans="12:16" ht="15.75" customHeight="1">
      <c r="L572" s="65"/>
      <c r="M572" s="65"/>
      <c r="N572" s="65"/>
      <c r="O572" s="65"/>
      <c r="P572" s="65"/>
    </row>
    <row r="573" spans="12:16" ht="15.75" customHeight="1">
      <c r="L573" s="65"/>
      <c r="M573" s="65"/>
      <c r="N573" s="65"/>
      <c r="O573" s="65"/>
      <c r="P573" s="65"/>
    </row>
    <row r="574" spans="12:16" ht="15.75" customHeight="1">
      <c r="L574" s="65"/>
      <c r="M574" s="65"/>
      <c r="N574" s="65"/>
      <c r="O574" s="65"/>
      <c r="P574" s="65"/>
    </row>
    <row r="575" spans="12:16" ht="15.75" customHeight="1">
      <c r="L575" s="65"/>
      <c r="M575" s="65"/>
      <c r="N575" s="65"/>
      <c r="O575" s="65"/>
      <c r="P575" s="65"/>
    </row>
    <row r="576" spans="12:16" ht="15.75" customHeight="1">
      <c r="L576" s="65"/>
      <c r="M576" s="65"/>
      <c r="N576" s="65"/>
      <c r="O576" s="65"/>
      <c r="P576" s="65"/>
    </row>
    <row r="577" spans="12:16" ht="15.75" customHeight="1">
      <c r="L577" s="65"/>
      <c r="M577" s="65"/>
      <c r="N577" s="65"/>
      <c r="O577" s="65"/>
      <c r="P577" s="65"/>
    </row>
    <row r="578" spans="12:16" ht="15.75" customHeight="1">
      <c r="L578" s="65"/>
      <c r="M578" s="65"/>
      <c r="N578" s="65"/>
      <c r="O578" s="65"/>
      <c r="P578" s="65"/>
    </row>
    <row r="579" spans="12:16" ht="15.75" customHeight="1">
      <c r="L579" s="65"/>
      <c r="M579" s="65"/>
      <c r="N579" s="65"/>
      <c r="O579" s="65"/>
      <c r="P579" s="65"/>
    </row>
    <row r="580" spans="12:16" ht="15.75" customHeight="1">
      <c r="L580" s="65"/>
      <c r="M580" s="65"/>
      <c r="N580" s="65"/>
      <c r="O580" s="65"/>
      <c r="P580" s="65"/>
    </row>
    <row r="581" spans="12:16" ht="15.75" customHeight="1">
      <c r="L581" s="65"/>
      <c r="M581" s="65"/>
      <c r="N581" s="65"/>
      <c r="O581" s="65"/>
      <c r="P581" s="65"/>
    </row>
    <row r="582" spans="12:16" ht="15.75" customHeight="1">
      <c r="L582" s="65"/>
      <c r="M582" s="65"/>
      <c r="N582" s="65"/>
      <c r="O582" s="65"/>
      <c r="P582" s="65"/>
    </row>
    <row r="583" spans="12:16" ht="15.75" customHeight="1">
      <c r="L583" s="65"/>
      <c r="M583" s="65"/>
      <c r="N583" s="65"/>
      <c r="O583" s="65"/>
      <c r="P583" s="65"/>
    </row>
    <row r="584" spans="12:16" ht="15.75" customHeight="1">
      <c r="L584" s="65"/>
      <c r="M584" s="65"/>
      <c r="N584" s="65"/>
      <c r="O584" s="65"/>
      <c r="P584" s="65"/>
    </row>
    <row r="585" spans="12:16" ht="15.75" customHeight="1">
      <c r="L585" s="65"/>
      <c r="M585" s="65"/>
      <c r="N585" s="65"/>
      <c r="O585" s="65"/>
      <c r="P585" s="65"/>
    </row>
    <row r="586" spans="12:16" ht="15.75" customHeight="1">
      <c r="L586" s="65"/>
      <c r="M586" s="65"/>
      <c r="N586" s="65"/>
      <c r="O586" s="65"/>
      <c r="P586" s="65"/>
    </row>
    <row r="587" spans="12:16" ht="15.75" customHeight="1">
      <c r="L587" s="65"/>
      <c r="M587" s="65"/>
      <c r="N587" s="65"/>
      <c r="O587" s="65"/>
      <c r="P587" s="65"/>
    </row>
    <row r="588" spans="12:16" ht="15.75" customHeight="1">
      <c r="L588" s="65"/>
      <c r="M588" s="65"/>
      <c r="N588" s="65"/>
      <c r="O588" s="65"/>
      <c r="P588" s="65"/>
    </row>
    <row r="589" spans="12:16" ht="15.75" customHeight="1">
      <c r="L589" s="65"/>
      <c r="M589" s="65"/>
      <c r="N589" s="65"/>
      <c r="O589" s="65"/>
      <c r="P589" s="65"/>
    </row>
    <row r="590" spans="12:16" ht="15.75" customHeight="1">
      <c r="L590" s="65"/>
      <c r="M590" s="65"/>
      <c r="N590" s="65"/>
      <c r="O590" s="65"/>
      <c r="P590" s="65"/>
    </row>
    <row r="591" spans="12:16" ht="15.75" customHeight="1">
      <c r="L591" s="65"/>
      <c r="M591" s="65"/>
      <c r="N591" s="65"/>
      <c r="O591" s="65"/>
      <c r="P591" s="65"/>
    </row>
    <row r="592" spans="12:16" ht="15.75" customHeight="1">
      <c r="L592" s="65"/>
      <c r="M592" s="65"/>
      <c r="N592" s="65"/>
      <c r="O592" s="65"/>
      <c r="P592" s="65"/>
    </row>
    <row r="593" spans="12:16" ht="15.75" customHeight="1">
      <c r="L593" s="65"/>
      <c r="M593" s="65"/>
      <c r="N593" s="65"/>
      <c r="O593" s="65"/>
      <c r="P593" s="65"/>
    </row>
    <row r="594" spans="12:16" ht="15.75" customHeight="1">
      <c r="L594" s="65"/>
      <c r="M594" s="65"/>
      <c r="N594" s="65"/>
      <c r="O594" s="65"/>
      <c r="P594" s="65"/>
    </row>
    <row r="595" spans="12:16" ht="15.75" customHeight="1">
      <c r="L595" s="65"/>
      <c r="M595" s="65"/>
      <c r="N595" s="65"/>
      <c r="O595" s="65"/>
      <c r="P595" s="65"/>
    </row>
    <row r="596" spans="12:16" ht="15.75" customHeight="1">
      <c r="L596" s="65"/>
      <c r="M596" s="65"/>
      <c r="N596" s="65"/>
      <c r="O596" s="65"/>
      <c r="P596" s="65"/>
    </row>
    <row r="597" spans="12:16" ht="15.75" customHeight="1">
      <c r="L597" s="65"/>
      <c r="M597" s="65"/>
      <c r="N597" s="65"/>
      <c r="O597" s="65"/>
      <c r="P597" s="65"/>
    </row>
    <row r="598" spans="12:16" ht="15.75" customHeight="1">
      <c r="L598" s="65"/>
      <c r="M598" s="65"/>
      <c r="N598" s="65"/>
      <c r="O598" s="65"/>
      <c r="P598" s="65"/>
    </row>
    <row r="599" spans="12:16" ht="15.75" customHeight="1">
      <c r="L599" s="65"/>
      <c r="M599" s="65"/>
      <c r="N599" s="65"/>
      <c r="O599" s="65"/>
      <c r="P599" s="65"/>
    </row>
    <row r="600" spans="12:16" ht="15.75" customHeight="1">
      <c r="L600" s="65"/>
      <c r="M600" s="65"/>
      <c r="N600" s="65"/>
      <c r="O600" s="65"/>
      <c r="P600" s="65"/>
    </row>
    <row r="601" spans="12:16" ht="15.75" customHeight="1">
      <c r="L601" s="65"/>
      <c r="M601" s="65"/>
      <c r="N601" s="65"/>
      <c r="O601" s="65"/>
      <c r="P601" s="65"/>
    </row>
    <row r="602" spans="12:16" ht="15.75" customHeight="1">
      <c r="L602" s="65"/>
      <c r="M602" s="65"/>
      <c r="N602" s="65"/>
      <c r="O602" s="65"/>
      <c r="P602" s="65"/>
    </row>
    <row r="603" spans="12:16" ht="15.75" customHeight="1">
      <c r="L603" s="65"/>
      <c r="M603" s="65"/>
      <c r="N603" s="65"/>
      <c r="O603" s="65"/>
      <c r="P603" s="65"/>
    </row>
    <row r="604" spans="12:16" ht="15.75" customHeight="1">
      <c r="L604" s="65"/>
      <c r="M604" s="65"/>
      <c r="N604" s="65"/>
      <c r="O604" s="65"/>
      <c r="P604" s="65"/>
    </row>
    <row r="605" spans="12:16" ht="15.75" customHeight="1">
      <c r="L605" s="65"/>
      <c r="M605" s="65"/>
      <c r="N605" s="65"/>
      <c r="O605" s="65"/>
      <c r="P605" s="65"/>
    </row>
    <row r="606" spans="12:16" ht="15.75" customHeight="1">
      <c r="L606" s="65"/>
      <c r="M606" s="65"/>
      <c r="N606" s="65"/>
      <c r="O606" s="65"/>
      <c r="P606" s="65"/>
    </row>
    <row r="607" spans="12:16" ht="15.75" customHeight="1">
      <c r="L607" s="65"/>
      <c r="M607" s="65"/>
      <c r="N607" s="65"/>
      <c r="O607" s="65"/>
      <c r="P607" s="65"/>
    </row>
    <row r="608" spans="12:16" ht="15.75" customHeight="1">
      <c r="L608" s="65"/>
      <c r="M608" s="65"/>
      <c r="N608" s="65"/>
      <c r="O608" s="65"/>
      <c r="P608" s="65"/>
    </row>
    <row r="609" spans="12:16" ht="15.75" customHeight="1">
      <c r="L609" s="65"/>
      <c r="M609" s="65"/>
      <c r="N609" s="65"/>
      <c r="O609" s="65"/>
      <c r="P609" s="65"/>
    </row>
    <row r="610" spans="12:16" ht="15.75" customHeight="1">
      <c r="L610" s="65"/>
      <c r="M610" s="65"/>
      <c r="N610" s="65"/>
      <c r="O610" s="65"/>
      <c r="P610" s="65"/>
    </row>
    <row r="611" spans="12:16" ht="15.75" customHeight="1">
      <c r="L611" s="65"/>
      <c r="M611" s="65"/>
      <c r="N611" s="65"/>
      <c r="O611" s="65"/>
      <c r="P611" s="65"/>
    </row>
    <row r="612" spans="12:16" ht="15.75" customHeight="1">
      <c r="L612" s="65"/>
      <c r="M612" s="65"/>
      <c r="N612" s="65"/>
      <c r="O612" s="65"/>
      <c r="P612" s="65"/>
    </row>
    <row r="613" spans="12:16" ht="15.75" customHeight="1">
      <c r="L613" s="65"/>
      <c r="M613" s="65"/>
      <c r="N613" s="65"/>
      <c r="O613" s="65"/>
      <c r="P613" s="65"/>
    </row>
    <row r="614" spans="12:16" ht="15.75" customHeight="1">
      <c r="L614" s="65"/>
      <c r="M614" s="65"/>
      <c r="N614" s="65"/>
      <c r="O614" s="65"/>
      <c r="P614" s="65"/>
    </row>
    <row r="615" spans="12:16" ht="15.75" customHeight="1">
      <c r="L615" s="65"/>
      <c r="M615" s="65"/>
      <c r="N615" s="65"/>
      <c r="O615" s="65"/>
      <c r="P615" s="65"/>
    </row>
    <row r="616" spans="12:16" ht="15.75" customHeight="1">
      <c r="L616" s="65"/>
      <c r="M616" s="65"/>
      <c r="N616" s="65"/>
      <c r="O616" s="65"/>
      <c r="P616" s="65"/>
    </row>
    <row r="617" spans="12:16" ht="15.75" customHeight="1">
      <c r="L617" s="65"/>
      <c r="M617" s="65"/>
      <c r="N617" s="65"/>
      <c r="O617" s="65"/>
      <c r="P617" s="65"/>
    </row>
    <row r="618" spans="12:16" ht="15.75" customHeight="1">
      <c r="L618" s="65"/>
      <c r="M618" s="65"/>
      <c r="N618" s="65"/>
      <c r="O618" s="65"/>
      <c r="P618" s="65"/>
    </row>
    <row r="619" spans="12:16" ht="15.75" customHeight="1">
      <c r="L619" s="65"/>
      <c r="M619" s="65"/>
      <c r="N619" s="65"/>
      <c r="O619" s="65"/>
      <c r="P619" s="65"/>
    </row>
    <row r="620" spans="12:16" ht="15.75" customHeight="1">
      <c r="L620" s="65"/>
      <c r="M620" s="65"/>
      <c r="N620" s="65"/>
      <c r="O620" s="65"/>
      <c r="P620" s="65"/>
    </row>
    <row r="621" spans="12:16" ht="15.75" customHeight="1">
      <c r="L621" s="65"/>
      <c r="M621" s="65"/>
      <c r="N621" s="65"/>
      <c r="O621" s="65"/>
      <c r="P621" s="65"/>
    </row>
    <row r="622" spans="12:16" ht="15.75" customHeight="1">
      <c r="L622" s="65"/>
      <c r="M622" s="65"/>
      <c r="N622" s="65"/>
      <c r="O622" s="65"/>
      <c r="P622" s="65"/>
    </row>
    <row r="623" spans="12:16" ht="15.75" customHeight="1">
      <c r="L623" s="65"/>
      <c r="M623" s="65"/>
      <c r="N623" s="65"/>
      <c r="O623" s="65"/>
      <c r="P623" s="65"/>
    </row>
    <row r="624" spans="12:16" ht="15.75" customHeight="1">
      <c r="L624" s="65"/>
      <c r="M624" s="65"/>
      <c r="N624" s="65"/>
      <c r="O624" s="65"/>
      <c r="P624" s="65"/>
    </row>
    <row r="625" spans="12:16" ht="15.75" customHeight="1">
      <c r="L625" s="65"/>
      <c r="M625" s="65"/>
      <c r="N625" s="65"/>
      <c r="O625" s="65"/>
      <c r="P625" s="65"/>
    </row>
    <row r="626" spans="12:16" ht="15.75" customHeight="1">
      <c r="L626" s="65"/>
      <c r="M626" s="65"/>
      <c r="N626" s="65"/>
      <c r="O626" s="65"/>
      <c r="P626" s="65"/>
    </row>
    <row r="627" spans="12:16" ht="15.75" customHeight="1">
      <c r="L627" s="65"/>
      <c r="M627" s="65"/>
      <c r="N627" s="65"/>
      <c r="O627" s="65"/>
      <c r="P627" s="65"/>
    </row>
    <row r="628" spans="12:16" ht="15.75" customHeight="1">
      <c r="L628" s="65"/>
      <c r="M628" s="65"/>
      <c r="N628" s="65"/>
      <c r="O628" s="65"/>
      <c r="P628" s="65"/>
    </row>
    <row r="629" spans="12:16" ht="15.75" customHeight="1">
      <c r="L629" s="65"/>
      <c r="M629" s="65"/>
      <c r="N629" s="65"/>
      <c r="O629" s="65"/>
      <c r="P629" s="65"/>
    </row>
    <row r="630" spans="12:16" ht="15.75" customHeight="1">
      <c r="L630" s="65"/>
      <c r="M630" s="65"/>
      <c r="N630" s="65"/>
      <c r="O630" s="65"/>
      <c r="P630" s="65"/>
    </row>
    <row r="631" spans="12:16" ht="15.75" customHeight="1">
      <c r="L631" s="65"/>
      <c r="M631" s="65"/>
      <c r="N631" s="65"/>
      <c r="O631" s="65"/>
      <c r="P631" s="65"/>
    </row>
    <row r="632" spans="12:16" ht="15.75" customHeight="1">
      <c r="L632" s="65"/>
      <c r="M632" s="65"/>
      <c r="N632" s="65"/>
      <c r="O632" s="65"/>
      <c r="P632" s="65"/>
    </row>
    <row r="633" spans="12:16" ht="15.75" customHeight="1">
      <c r="L633" s="65"/>
      <c r="M633" s="65"/>
      <c r="N633" s="65"/>
      <c r="O633" s="65"/>
      <c r="P633" s="65"/>
    </row>
    <row r="634" spans="12:16" ht="15.75" customHeight="1">
      <c r="L634" s="65"/>
      <c r="M634" s="65"/>
      <c r="N634" s="65"/>
      <c r="O634" s="65"/>
      <c r="P634" s="65"/>
    </row>
    <row r="635" spans="12:16" ht="15.75" customHeight="1">
      <c r="L635" s="65"/>
      <c r="M635" s="65"/>
      <c r="N635" s="65"/>
      <c r="O635" s="65"/>
      <c r="P635" s="65"/>
    </row>
    <row r="636" spans="12:16" ht="15.75" customHeight="1">
      <c r="L636" s="65"/>
      <c r="M636" s="65"/>
      <c r="N636" s="65"/>
      <c r="O636" s="65"/>
      <c r="P636" s="65"/>
    </row>
    <row r="637" spans="12:16" ht="15.75" customHeight="1">
      <c r="L637" s="65"/>
      <c r="M637" s="65"/>
      <c r="N637" s="65"/>
      <c r="O637" s="65"/>
      <c r="P637" s="65"/>
    </row>
    <row r="638" spans="12:16" ht="15.75" customHeight="1">
      <c r="L638" s="65"/>
      <c r="M638" s="65"/>
      <c r="N638" s="65"/>
      <c r="O638" s="65"/>
      <c r="P638" s="65"/>
    </row>
    <row r="639" spans="12:16" ht="15.75" customHeight="1">
      <c r="L639" s="65"/>
      <c r="M639" s="65"/>
      <c r="N639" s="65"/>
      <c r="O639" s="65"/>
      <c r="P639" s="65"/>
    </row>
    <row r="640" spans="12:16" ht="15.75" customHeight="1">
      <c r="L640" s="65"/>
      <c r="M640" s="65"/>
      <c r="N640" s="65"/>
      <c r="O640" s="65"/>
      <c r="P640" s="65"/>
    </row>
    <row r="641" spans="12:16" ht="15.75" customHeight="1">
      <c r="L641" s="65"/>
      <c r="M641" s="65"/>
      <c r="N641" s="65"/>
      <c r="O641" s="65"/>
      <c r="P641" s="65"/>
    </row>
    <row r="642" spans="12:16" ht="15.75" customHeight="1">
      <c r="L642" s="65"/>
      <c r="M642" s="65"/>
      <c r="N642" s="65"/>
      <c r="O642" s="65"/>
      <c r="P642" s="65"/>
    </row>
    <row r="643" spans="12:16" ht="15.75" customHeight="1">
      <c r="L643" s="65"/>
      <c r="M643" s="65"/>
      <c r="N643" s="65"/>
      <c r="O643" s="65"/>
      <c r="P643" s="65"/>
    </row>
    <row r="644" spans="12:16" ht="15.75" customHeight="1">
      <c r="L644" s="65"/>
      <c r="M644" s="65"/>
      <c r="N644" s="65"/>
      <c r="O644" s="65"/>
      <c r="P644" s="65"/>
    </row>
    <row r="645" spans="12:16" ht="15.75" customHeight="1">
      <c r="L645" s="65"/>
      <c r="M645" s="65"/>
      <c r="N645" s="65"/>
      <c r="O645" s="65"/>
      <c r="P645" s="65"/>
    </row>
    <row r="646" spans="12:16" ht="15.75" customHeight="1">
      <c r="L646" s="65"/>
      <c r="M646" s="65"/>
      <c r="N646" s="65"/>
      <c r="O646" s="65"/>
      <c r="P646" s="65"/>
    </row>
    <row r="647" spans="12:16" ht="15.75" customHeight="1">
      <c r="L647" s="65"/>
      <c r="M647" s="65"/>
      <c r="N647" s="65"/>
      <c r="O647" s="65"/>
      <c r="P647" s="65"/>
    </row>
    <row r="648" spans="12:16" ht="15.75" customHeight="1">
      <c r="L648" s="65"/>
      <c r="M648" s="65"/>
      <c r="N648" s="65"/>
      <c r="O648" s="65"/>
      <c r="P648" s="65"/>
    </row>
    <row r="649" spans="12:16" ht="15.75" customHeight="1">
      <c r="L649" s="65"/>
      <c r="M649" s="65"/>
      <c r="N649" s="65"/>
      <c r="O649" s="65"/>
      <c r="P649" s="65"/>
    </row>
    <row r="650" spans="12:16" ht="15.75" customHeight="1">
      <c r="L650" s="65"/>
      <c r="M650" s="65"/>
      <c r="N650" s="65"/>
      <c r="O650" s="65"/>
      <c r="P650" s="65"/>
    </row>
    <row r="651" spans="12:16" ht="15.75" customHeight="1">
      <c r="L651" s="65"/>
      <c r="M651" s="65"/>
      <c r="N651" s="65"/>
      <c r="O651" s="65"/>
      <c r="P651" s="65"/>
    </row>
    <row r="652" spans="12:16" ht="15.75" customHeight="1">
      <c r="L652" s="65"/>
      <c r="M652" s="65"/>
      <c r="N652" s="65"/>
      <c r="O652" s="65"/>
      <c r="P652" s="65"/>
    </row>
    <row r="653" spans="12:16" ht="15.75" customHeight="1">
      <c r="L653" s="65"/>
      <c r="M653" s="65"/>
      <c r="N653" s="65"/>
      <c r="O653" s="65"/>
      <c r="P653" s="65"/>
    </row>
    <row r="654" spans="12:16" ht="15.75" customHeight="1">
      <c r="L654" s="65"/>
      <c r="M654" s="65"/>
      <c r="N654" s="65"/>
      <c r="O654" s="65"/>
      <c r="P654" s="65"/>
    </row>
    <row r="655" spans="12:16" ht="15.75" customHeight="1">
      <c r="L655" s="65"/>
      <c r="M655" s="65"/>
      <c r="N655" s="65"/>
      <c r="O655" s="65"/>
      <c r="P655" s="65"/>
    </row>
    <row r="656" spans="12:16" ht="15.75" customHeight="1">
      <c r="L656" s="65"/>
      <c r="M656" s="65"/>
      <c r="N656" s="65"/>
      <c r="O656" s="65"/>
      <c r="P656" s="65"/>
    </row>
    <row r="657" spans="12:16" ht="15.75" customHeight="1">
      <c r="L657" s="65"/>
      <c r="M657" s="65"/>
      <c r="N657" s="65"/>
      <c r="O657" s="65"/>
      <c r="P657" s="65"/>
    </row>
    <row r="658" spans="12:16" ht="15.75" customHeight="1">
      <c r="L658" s="65"/>
      <c r="M658" s="65"/>
      <c r="N658" s="65"/>
      <c r="O658" s="65"/>
      <c r="P658" s="65"/>
    </row>
    <row r="659" spans="12:16" ht="15.75" customHeight="1">
      <c r="L659" s="65"/>
      <c r="M659" s="65"/>
      <c r="N659" s="65"/>
      <c r="O659" s="65"/>
      <c r="P659" s="65"/>
    </row>
    <row r="660" spans="12:16" ht="15.75" customHeight="1">
      <c r="L660" s="65"/>
      <c r="M660" s="65"/>
      <c r="N660" s="65"/>
      <c r="O660" s="65"/>
      <c r="P660" s="65"/>
    </row>
    <row r="661" spans="12:16" ht="15.75" customHeight="1">
      <c r="L661" s="65"/>
      <c r="M661" s="65"/>
      <c r="N661" s="65"/>
      <c r="O661" s="65"/>
      <c r="P661" s="65"/>
    </row>
    <row r="662" spans="12:16" ht="15.75" customHeight="1">
      <c r="L662" s="65"/>
      <c r="M662" s="65"/>
      <c r="N662" s="65"/>
      <c r="O662" s="65"/>
      <c r="P662" s="65"/>
    </row>
    <row r="663" spans="12:16" ht="15.75" customHeight="1">
      <c r="L663" s="65"/>
      <c r="M663" s="65"/>
      <c r="N663" s="65"/>
      <c r="O663" s="65"/>
      <c r="P663" s="65"/>
    </row>
    <row r="664" spans="12:16" ht="15.75" customHeight="1">
      <c r="L664" s="65"/>
      <c r="M664" s="65"/>
      <c r="N664" s="65"/>
      <c r="O664" s="65"/>
      <c r="P664" s="65"/>
    </row>
    <row r="665" spans="12:16" ht="15.75" customHeight="1">
      <c r="L665" s="65"/>
      <c r="M665" s="65"/>
      <c r="N665" s="65"/>
      <c r="O665" s="65"/>
      <c r="P665" s="65"/>
    </row>
    <row r="666" spans="12:16" ht="15.75" customHeight="1">
      <c r="L666" s="65"/>
      <c r="M666" s="65"/>
      <c r="N666" s="65"/>
      <c r="O666" s="65"/>
      <c r="P666" s="65"/>
    </row>
    <row r="667" spans="12:16" ht="15.75" customHeight="1">
      <c r="L667" s="65"/>
      <c r="M667" s="65"/>
      <c r="N667" s="65"/>
      <c r="O667" s="65"/>
      <c r="P667" s="65"/>
    </row>
    <row r="668" spans="12:16" ht="15.75" customHeight="1">
      <c r="L668" s="65"/>
      <c r="M668" s="65"/>
      <c r="N668" s="65"/>
      <c r="O668" s="65"/>
      <c r="P668" s="65"/>
    </row>
    <row r="669" spans="12:16" ht="15.75" customHeight="1">
      <c r="L669" s="65"/>
      <c r="M669" s="65"/>
      <c r="N669" s="65"/>
      <c r="O669" s="65"/>
      <c r="P669" s="65"/>
    </row>
    <row r="670" spans="12:16" ht="15.75" customHeight="1">
      <c r="L670" s="65"/>
      <c r="M670" s="65"/>
      <c r="N670" s="65"/>
      <c r="O670" s="65"/>
      <c r="P670" s="65"/>
    </row>
    <row r="671" spans="12:16" ht="15.75" customHeight="1">
      <c r="L671" s="65"/>
      <c r="M671" s="65"/>
      <c r="N671" s="65"/>
      <c r="O671" s="65"/>
      <c r="P671" s="65"/>
    </row>
    <row r="672" spans="12:16" ht="15.75" customHeight="1">
      <c r="L672" s="65"/>
      <c r="M672" s="65"/>
      <c r="N672" s="65"/>
      <c r="O672" s="65"/>
      <c r="P672" s="65"/>
    </row>
    <row r="673" spans="12:16" ht="15.75" customHeight="1">
      <c r="L673" s="65"/>
      <c r="M673" s="65"/>
      <c r="N673" s="65"/>
      <c r="O673" s="65"/>
      <c r="P673" s="65"/>
    </row>
    <row r="674" spans="12:16" ht="15.75" customHeight="1">
      <c r="L674" s="65"/>
      <c r="M674" s="65"/>
      <c r="N674" s="65"/>
      <c r="O674" s="65"/>
      <c r="P674" s="65"/>
    </row>
    <row r="675" spans="12:16" ht="15.75" customHeight="1">
      <c r="L675" s="65"/>
      <c r="M675" s="65"/>
      <c r="N675" s="65"/>
      <c r="O675" s="65"/>
      <c r="P675" s="65"/>
    </row>
    <row r="676" spans="12:16" ht="15.75" customHeight="1">
      <c r="L676" s="65"/>
      <c r="M676" s="65"/>
      <c r="N676" s="65"/>
      <c r="O676" s="65"/>
      <c r="P676" s="65"/>
    </row>
    <row r="677" spans="12:16" ht="15.75" customHeight="1">
      <c r="L677" s="65"/>
      <c r="M677" s="65"/>
      <c r="N677" s="65"/>
      <c r="O677" s="65"/>
      <c r="P677" s="65"/>
    </row>
    <row r="678" spans="12:16" ht="15.75" customHeight="1">
      <c r="L678" s="65"/>
      <c r="M678" s="65"/>
      <c r="N678" s="65"/>
      <c r="O678" s="65"/>
      <c r="P678" s="65"/>
    </row>
    <row r="679" spans="12:16" ht="15.75" customHeight="1">
      <c r="L679" s="65"/>
      <c r="M679" s="65"/>
      <c r="N679" s="65"/>
      <c r="O679" s="65"/>
      <c r="P679" s="65"/>
    </row>
    <row r="680" spans="12:16" ht="15.75" customHeight="1">
      <c r="L680" s="65"/>
      <c r="M680" s="65"/>
      <c r="N680" s="65"/>
      <c r="O680" s="65"/>
      <c r="P680" s="65"/>
    </row>
    <row r="681" spans="12:16" ht="15.75" customHeight="1">
      <c r="L681" s="65"/>
      <c r="M681" s="65"/>
      <c r="N681" s="65"/>
      <c r="O681" s="65"/>
      <c r="P681" s="65"/>
    </row>
    <row r="682" spans="12:16" ht="15.75" customHeight="1">
      <c r="L682" s="65"/>
      <c r="M682" s="65"/>
      <c r="N682" s="65"/>
      <c r="O682" s="65"/>
      <c r="P682" s="65"/>
    </row>
    <row r="683" spans="12:16" ht="15.75" customHeight="1">
      <c r="L683" s="65"/>
      <c r="M683" s="65"/>
      <c r="N683" s="65"/>
      <c r="O683" s="65"/>
      <c r="P683" s="65"/>
    </row>
    <row r="684" spans="12:16" ht="15.75" customHeight="1">
      <c r="L684" s="65"/>
      <c r="M684" s="65"/>
      <c r="N684" s="65"/>
      <c r="O684" s="65"/>
      <c r="P684" s="65"/>
    </row>
    <row r="685" spans="12:16" ht="15.75" customHeight="1">
      <c r="L685" s="65"/>
      <c r="M685" s="65"/>
      <c r="N685" s="65"/>
      <c r="O685" s="65"/>
      <c r="P685" s="65"/>
    </row>
    <row r="686" spans="12:16" ht="15.75" customHeight="1">
      <c r="L686" s="65"/>
      <c r="M686" s="65"/>
      <c r="N686" s="65"/>
      <c r="O686" s="65"/>
      <c r="P686" s="65"/>
    </row>
    <row r="687" spans="12:16" ht="15.75" customHeight="1">
      <c r="L687" s="65"/>
      <c r="M687" s="65"/>
      <c r="N687" s="65"/>
      <c r="O687" s="65"/>
      <c r="P687" s="65"/>
    </row>
    <row r="688" spans="12:16" ht="15.75" customHeight="1">
      <c r="L688" s="65"/>
      <c r="M688" s="65"/>
      <c r="N688" s="65"/>
      <c r="O688" s="65"/>
      <c r="P688" s="65"/>
    </row>
    <row r="689" spans="12:16" ht="15.75" customHeight="1">
      <c r="L689" s="65"/>
      <c r="M689" s="65"/>
      <c r="N689" s="65"/>
      <c r="O689" s="65"/>
      <c r="P689" s="65"/>
    </row>
    <row r="690" spans="12:16" ht="15.75" customHeight="1">
      <c r="L690" s="65"/>
      <c r="M690" s="65"/>
      <c r="N690" s="65"/>
      <c r="O690" s="65"/>
      <c r="P690" s="65"/>
    </row>
    <row r="691" spans="12:16" ht="15.75" customHeight="1">
      <c r="L691" s="65"/>
      <c r="M691" s="65"/>
      <c r="N691" s="65"/>
      <c r="O691" s="65"/>
      <c r="P691" s="65"/>
    </row>
    <row r="692" spans="12:16" ht="15.75" customHeight="1">
      <c r="L692" s="65"/>
      <c r="M692" s="65"/>
      <c r="N692" s="65"/>
      <c r="O692" s="65"/>
      <c r="P692" s="65"/>
    </row>
    <row r="693" spans="12:16" ht="15.75" customHeight="1">
      <c r="L693" s="65"/>
      <c r="M693" s="65"/>
      <c r="N693" s="65"/>
      <c r="O693" s="65"/>
      <c r="P693" s="65"/>
    </row>
    <row r="694" spans="12:16" ht="15.75" customHeight="1">
      <c r="L694" s="65"/>
      <c r="M694" s="65"/>
      <c r="N694" s="65"/>
      <c r="O694" s="65"/>
      <c r="P694" s="65"/>
    </row>
    <row r="695" spans="12:16" ht="15.75" customHeight="1">
      <c r="L695" s="65"/>
      <c r="M695" s="65"/>
      <c r="N695" s="65"/>
      <c r="O695" s="65"/>
      <c r="P695" s="65"/>
    </row>
    <row r="696" spans="12:16" ht="15.75" customHeight="1">
      <c r="L696" s="65"/>
      <c r="M696" s="65"/>
      <c r="N696" s="65"/>
      <c r="O696" s="65"/>
      <c r="P696" s="65"/>
    </row>
    <row r="697" spans="12:16" ht="15.75" customHeight="1">
      <c r="L697" s="65"/>
      <c r="M697" s="65"/>
      <c r="N697" s="65"/>
      <c r="O697" s="65"/>
      <c r="P697" s="65"/>
    </row>
    <row r="698" spans="12:16" ht="15.75" customHeight="1">
      <c r="L698" s="65"/>
      <c r="M698" s="65"/>
      <c r="N698" s="65"/>
      <c r="O698" s="65"/>
      <c r="P698" s="65"/>
    </row>
    <row r="699" spans="12:16" ht="15.75" customHeight="1">
      <c r="L699" s="65"/>
      <c r="M699" s="65"/>
      <c r="N699" s="65"/>
      <c r="O699" s="65"/>
      <c r="P699" s="65"/>
    </row>
    <row r="700" spans="12:16" ht="15.75" customHeight="1">
      <c r="L700" s="65"/>
      <c r="M700" s="65"/>
      <c r="N700" s="65"/>
      <c r="O700" s="65"/>
      <c r="P700" s="65"/>
    </row>
    <row r="701" spans="12:16" ht="15.75" customHeight="1">
      <c r="L701" s="65"/>
      <c r="M701" s="65"/>
      <c r="N701" s="65"/>
      <c r="O701" s="65"/>
      <c r="P701" s="65"/>
    </row>
    <row r="702" spans="12:16" ht="15.75" customHeight="1">
      <c r="L702" s="65"/>
      <c r="M702" s="65"/>
      <c r="N702" s="65"/>
      <c r="O702" s="65"/>
      <c r="P702" s="65"/>
    </row>
    <row r="703" spans="12:16" ht="15.75" customHeight="1">
      <c r="L703" s="65"/>
      <c r="M703" s="65"/>
      <c r="N703" s="65"/>
      <c r="O703" s="65"/>
      <c r="P703" s="65"/>
    </row>
    <row r="704" spans="12:16" ht="15.75" customHeight="1">
      <c r="L704" s="65"/>
      <c r="M704" s="65"/>
      <c r="N704" s="65"/>
      <c r="O704" s="65"/>
      <c r="P704" s="65"/>
    </row>
    <row r="705" spans="12:16" ht="15.75" customHeight="1">
      <c r="L705" s="65"/>
      <c r="M705" s="65"/>
      <c r="N705" s="65"/>
      <c r="O705" s="65"/>
      <c r="P705" s="65"/>
    </row>
    <row r="706" spans="12:16" ht="15.75" customHeight="1">
      <c r="L706" s="65"/>
      <c r="M706" s="65"/>
      <c r="N706" s="65"/>
      <c r="O706" s="65"/>
      <c r="P706" s="65"/>
    </row>
    <row r="707" spans="12:16" ht="15.75" customHeight="1">
      <c r="L707" s="65"/>
      <c r="M707" s="65"/>
      <c r="N707" s="65"/>
      <c r="O707" s="65"/>
      <c r="P707" s="65"/>
    </row>
    <row r="708" spans="12:16" ht="15.75" customHeight="1">
      <c r="L708" s="65"/>
      <c r="M708" s="65"/>
      <c r="N708" s="65"/>
      <c r="O708" s="65"/>
      <c r="P708" s="65"/>
    </row>
    <row r="709" spans="12:16" ht="15.75" customHeight="1">
      <c r="L709" s="65"/>
      <c r="M709" s="65"/>
      <c r="N709" s="65"/>
      <c r="O709" s="65"/>
      <c r="P709" s="65"/>
    </row>
    <row r="710" spans="12:16" ht="15.75" customHeight="1">
      <c r="L710" s="65"/>
      <c r="M710" s="65"/>
      <c r="N710" s="65"/>
      <c r="O710" s="65"/>
      <c r="P710" s="65"/>
    </row>
    <row r="711" spans="12:16" ht="15.75" customHeight="1">
      <c r="L711" s="65"/>
      <c r="M711" s="65"/>
      <c r="N711" s="65"/>
      <c r="O711" s="65"/>
      <c r="P711" s="65"/>
    </row>
    <row r="712" spans="12:16" ht="15.75" customHeight="1">
      <c r="L712" s="65"/>
      <c r="M712" s="65"/>
      <c r="N712" s="65"/>
      <c r="O712" s="65"/>
      <c r="P712" s="65"/>
    </row>
    <row r="713" spans="12:16" ht="15.75" customHeight="1">
      <c r="L713" s="65"/>
      <c r="M713" s="65"/>
      <c r="N713" s="65"/>
      <c r="O713" s="65"/>
      <c r="P713" s="65"/>
    </row>
    <row r="714" spans="12:16" ht="15.75" customHeight="1">
      <c r="L714" s="65"/>
      <c r="M714" s="65"/>
      <c r="N714" s="65"/>
      <c r="O714" s="65"/>
      <c r="P714" s="65"/>
    </row>
    <row r="715" spans="12:16" ht="15.75" customHeight="1">
      <c r="L715" s="65"/>
      <c r="M715" s="65"/>
      <c r="N715" s="65"/>
      <c r="O715" s="65"/>
      <c r="P715" s="65"/>
    </row>
    <row r="716" spans="12:16" ht="15.75" customHeight="1">
      <c r="L716" s="65"/>
      <c r="M716" s="65"/>
      <c r="N716" s="65"/>
      <c r="O716" s="65"/>
      <c r="P716" s="65"/>
    </row>
    <row r="717" spans="12:16" ht="15.75" customHeight="1">
      <c r="L717" s="65"/>
      <c r="M717" s="65"/>
      <c r="N717" s="65"/>
      <c r="O717" s="65"/>
      <c r="P717" s="65"/>
    </row>
    <row r="718" spans="12:16" ht="15.75" customHeight="1">
      <c r="L718" s="65"/>
      <c r="M718" s="65"/>
      <c r="N718" s="65"/>
      <c r="O718" s="65"/>
      <c r="P718" s="65"/>
    </row>
    <row r="719" spans="12:16" ht="15.75" customHeight="1">
      <c r="L719" s="65"/>
      <c r="M719" s="65"/>
      <c r="N719" s="65"/>
      <c r="O719" s="65"/>
      <c r="P719" s="65"/>
    </row>
    <row r="720" spans="12:16" ht="15.75" customHeight="1">
      <c r="L720" s="65"/>
      <c r="M720" s="65"/>
      <c r="N720" s="65"/>
      <c r="O720" s="65"/>
      <c r="P720" s="65"/>
    </row>
    <row r="721" spans="12:16" ht="15.75" customHeight="1">
      <c r="L721" s="65"/>
      <c r="M721" s="65"/>
      <c r="N721" s="65"/>
      <c r="O721" s="65"/>
      <c r="P721" s="65"/>
    </row>
    <row r="722" spans="12:16" ht="15.75" customHeight="1">
      <c r="L722" s="65"/>
      <c r="M722" s="65"/>
      <c r="N722" s="65"/>
      <c r="O722" s="65"/>
      <c r="P722" s="65"/>
    </row>
    <row r="723" spans="12:16" ht="15.75" customHeight="1">
      <c r="L723" s="65"/>
      <c r="M723" s="65"/>
      <c r="N723" s="65"/>
      <c r="O723" s="65"/>
      <c r="P723" s="65"/>
    </row>
    <row r="724" spans="12:16" ht="15.75" customHeight="1">
      <c r="L724" s="65"/>
      <c r="M724" s="65"/>
      <c r="N724" s="65"/>
      <c r="O724" s="65"/>
      <c r="P724" s="65"/>
    </row>
    <row r="725" spans="12:16" ht="15.75" customHeight="1">
      <c r="L725" s="65"/>
      <c r="M725" s="65"/>
      <c r="N725" s="65"/>
      <c r="O725" s="65"/>
      <c r="P725" s="65"/>
    </row>
    <row r="726" spans="12:16" ht="15.75" customHeight="1">
      <c r="L726" s="65"/>
      <c r="M726" s="65"/>
      <c r="N726" s="65"/>
      <c r="O726" s="65"/>
      <c r="P726" s="65"/>
    </row>
    <row r="727" spans="12:16" ht="15.75" customHeight="1">
      <c r="L727" s="65"/>
      <c r="M727" s="65"/>
      <c r="N727" s="65"/>
      <c r="O727" s="65"/>
      <c r="P727" s="65"/>
    </row>
    <row r="728" spans="12:16" ht="15.75" customHeight="1">
      <c r="L728" s="65"/>
      <c r="M728" s="65"/>
      <c r="N728" s="65"/>
      <c r="O728" s="65"/>
      <c r="P728" s="65"/>
    </row>
    <row r="729" spans="12:16" ht="15.75" customHeight="1">
      <c r="L729" s="65"/>
      <c r="M729" s="65"/>
      <c r="N729" s="65"/>
      <c r="O729" s="65"/>
      <c r="P729" s="65"/>
    </row>
    <row r="730" spans="12:16" ht="15.75" customHeight="1">
      <c r="L730" s="65"/>
      <c r="M730" s="65"/>
      <c r="N730" s="65"/>
      <c r="O730" s="65"/>
      <c r="P730" s="65"/>
    </row>
    <row r="731" spans="12:16" ht="15.75" customHeight="1">
      <c r="L731" s="65"/>
      <c r="M731" s="65"/>
      <c r="N731" s="65"/>
      <c r="O731" s="65"/>
      <c r="P731" s="65"/>
    </row>
    <row r="732" spans="12:16" ht="15.75" customHeight="1">
      <c r="L732" s="65"/>
      <c r="M732" s="65"/>
      <c r="N732" s="65"/>
      <c r="O732" s="65"/>
      <c r="P732" s="65"/>
    </row>
    <row r="733" spans="12:16" ht="15.75" customHeight="1">
      <c r="L733" s="65"/>
      <c r="M733" s="65"/>
      <c r="N733" s="65"/>
      <c r="O733" s="65"/>
      <c r="P733" s="65"/>
    </row>
    <row r="734" spans="12:16" ht="15.75" customHeight="1">
      <c r="L734" s="65"/>
      <c r="M734" s="65"/>
      <c r="N734" s="65"/>
      <c r="O734" s="65"/>
      <c r="P734" s="65"/>
    </row>
    <row r="735" spans="12:16" ht="15.75" customHeight="1">
      <c r="L735" s="65"/>
      <c r="M735" s="65"/>
      <c r="N735" s="65"/>
      <c r="O735" s="65"/>
      <c r="P735" s="65"/>
    </row>
    <row r="736" spans="12:16" ht="15.75" customHeight="1">
      <c r="L736" s="65"/>
      <c r="M736" s="65"/>
      <c r="N736" s="65"/>
      <c r="O736" s="65"/>
      <c r="P736" s="65"/>
    </row>
    <row r="737" spans="12:16" ht="15.75" customHeight="1">
      <c r="L737" s="65"/>
      <c r="M737" s="65"/>
      <c r="N737" s="65"/>
      <c r="O737" s="65"/>
      <c r="P737" s="65"/>
    </row>
    <row r="738" spans="12:16" ht="15.75" customHeight="1">
      <c r="L738" s="65"/>
      <c r="M738" s="65"/>
      <c r="N738" s="65"/>
      <c r="O738" s="65"/>
      <c r="P738" s="65"/>
    </row>
    <row r="739" spans="12:16" ht="15.75" customHeight="1">
      <c r="L739" s="65"/>
      <c r="M739" s="65"/>
      <c r="N739" s="65"/>
      <c r="O739" s="65"/>
      <c r="P739" s="65"/>
    </row>
    <row r="740" spans="12:16" ht="15.75" customHeight="1">
      <c r="L740" s="65"/>
      <c r="M740" s="65"/>
      <c r="N740" s="65"/>
      <c r="O740" s="65"/>
      <c r="P740" s="65"/>
    </row>
    <row r="741" spans="12:16" ht="15.75" customHeight="1">
      <c r="L741" s="65"/>
      <c r="M741" s="65"/>
      <c r="N741" s="65"/>
      <c r="O741" s="65"/>
      <c r="P741" s="65"/>
    </row>
    <row r="742" spans="12:16" ht="15.75" customHeight="1">
      <c r="L742" s="65"/>
      <c r="M742" s="65"/>
      <c r="N742" s="65"/>
      <c r="O742" s="65"/>
      <c r="P742" s="65"/>
    </row>
    <row r="743" spans="12:16" ht="15.75" customHeight="1">
      <c r="L743" s="65"/>
      <c r="M743" s="65"/>
      <c r="N743" s="65"/>
      <c r="O743" s="65"/>
      <c r="P743" s="65"/>
    </row>
    <row r="744" spans="12:16" ht="15.75" customHeight="1">
      <c r="L744" s="65"/>
      <c r="M744" s="65"/>
      <c r="N744" s="65"/>
      <c r="O744" s="65"/>
      <c r="P744" s="65"/>
    </row>
    <row r="745" spans="12:16" ht="15.75" customHeight="1">
      <c r="L745" s="65"/>
      <c r="M745" s="65"/>
      <c r="N745" s="65"/>
      <c r="O745" s="65"/>
      <c r="P745" s="65"/>
    </row>
    <row r="746" spans="12:16" ht="15.75" customHeight="1">
      <c r="L746" s="65"/>
      <c r="M746" s="65"/>
      <c r="N746" s="65"/>
      <c r="O746" s="65"/>
      <c r="P746" s="65"/>
    </row>
    <row r="747" spans="12:16" ht="15.75" customHeight="1">
      <c r="L747" s="65"/>
      <c r="M747" s="65"/>
      <c r="N747" s="65"/>
      <c r="O747" s="65"/>
      <c r="P747" s="65"/>
    </row>
    <row r="748" spans="12:16" ht="15.75" customHeight="1">
      <c r="L748" s="65"/>
      <c r="M748" s="65"/>
      <c r="N748" s="65"/>
      <c r="O748" s="65"/>
      <c r="P748" s="65"/>
    </row>
    <row r="749" spans="12:16" ht="15.75" customHeight="1">
      <c r="L749" s="65"/>
      <c r="M749" s="65"/>
      <c r="N749" s="65"/>
      <c r="O749" s="65"/>
      <c r="P749" s="65"/>
    </row>
    <row r="750" spans="12:16" ht="15.75" customHeight="1">
      <c r="L750" s="65"/>
      <c r="M750" s="65"/>
      <c r="N750" s="65"/>
      <c r="O750" s="65"/>
      <c r="P750" s="65"/>
    </row>
    <row r="751" spans="12:16" ht="15.75" customHeight="1">
      <c r="L751" s="65"/>
      <c r="M751" s="65"/>
      <c r="N751" s="65"/>
      <c r="O751" s="65"/>
      <c r="P751" s="65"/>
    </row>
    <row r="752" spans="12:16" ht="15.75" customHeight="1">
      <c r="L752" s="65"/>
      <c r="M752" s="65"/>
      <c r="N752" s="65"/>
      <c r="O752" s="65"/>
      <c r="P752" s="65"/>
    </row>
    <row r="753" spans="12:16" ht="15.75" customHeight="1">
      <c r="L753" s="65"/>
      <c r="M753" s="65"/>
      <c r="N753" s="65"/>
      <c r="O753" s="65"/>
      <c r="P753" s="65"/>
    </row>
    <row r="754" spans="12:16" ht="15.75" customHeight="1">
      <c r="L754" s="65"/>
      <c r="M754" s="65"/>
      <c r="N754" s="65"/>
      <c r="O754" s="65"/>
      <c r="P754" s="65"/>
    </row>
    <row r="755" spans="12:16" ht="15.75" customHeight="1">
      <c r="L755" s="65"/>
      <c r="M755" s="65"/>
      <c r="N755" s="65"/>
      <c r="O755" s="65"/>
      <c r="P755" s="65"/>
    </row>
    <row r="756" spans="12:16" ht="15.75" customHeight="1">
      <c r="L756" s="65"/>
      <c r="M756" s="65"/>
      <c r="N756" s="65"/>
      <c r="O756" s="65"/>
      <c r="P756" s="65"/>
    </row>
    <row r="757" spans="12:16" ht="15.75" customHeight="1">
      <c r="L757" s="65"/>
      <c r="M757" s="65"/>
      <c r="N757" s="65"/>
      <c r="O757" s="65"/>
      <c r="P757" s="65"/>
    </row>
    <row r="758" spans="12:16" ht="15.75" customHeight="1">
      <c r="L758" s="65"/>
      <c r="M758" s="65"/>
      <c r="N758" s="65"/>
      <c r="O758" s="65"/>
      <c r="P758" s="65"/>
    </row>
    <row r="759" spans="12:16" ht="15.75" customHeight="1">
      <c r="L759" s="65"/>
      <c r="M759" s="65"/>
      <c r="N759" s="65"/>
      <c r="O759" s="65"/>
      <c r="P759" s="65"/>
    </row>
    <row r="760" spans="12:16" ht="15.75" customHeight="1">
      <c r="L760" s="65"/>
      <c r="M760" s="65"/>
      <c r="N760" s="65"/>
      <c r="O760" s="65"/>
      <c r="P760" s="65"/>
    </row>
    <row r="761" spans="12:16" ht="15.75" customHeight="1">
      <c r="L761" s="65"/>
      <c r="M761" s="65"/>
      <c r="N761" s="65"/>
      <c r="O761" s="65"/>
      <c r="P761" s="65"/>
    </row>
    <row r="762" spans="12:16" ht="15.75" customHeight="1">
      <c r="L762" s="65"/>
      <c r="M762" s="65"/>
      <c r="N762" s="65"/>
      <c r="O762" s="65"/>
      <c r="P762" s="65"/>
    </row>
    <row r="763" spans="12:16" ht="15.75" customHeight="1">
      <c r="L763" s="65"/>
      <c r="M763" s="65"/>
      <c r="N763" s="65"/>
      <c r="O763" s="65"/>
      <c r="P763" s="65"/>
    </row>
    <row r="764" spans="12:16" ht="15.75" customHeight="1">
      <c r="L764" s="65"/>
      <c r="M764" s="65"/>
      <c r="N764" s="65"/>
      <c r="O764" s="65"/>
      <c r="P764" s="65"/>
    </row>
    <row r="765" spans="12:16" ht="15.75" customHeight="1">
      <c r="L765" s="65"/>
      <c r="M765" s="65"/>
      <c r="N765" s="65"/>
      <c r="O765" s="65"/>
      <c r="P765" s="65"/>
    </row>
    <row r="766" spans="12:16" ht="15.75" customHeight="1">
      <c r="L766" s="65"/>
      <c r="M766" s="65"/>
      <c r="N766" s="65"/>
      <c r="O766" s="65"/>
      <c r="P766" s="65"/>
    </row>
    <row r="767" spans="12:16" ht="15.75" customHeight="1">
      <c r="L767" s="65"/>
      <c r="M767" s="65"/>
      <c r="N767" s="65"/>
      <c r="O767" s="65"/>
      <c r="P767" s="65"/>
    </row>
    <row r="768" spans="12:16" ht="15.75" customHeight="1">
      <c r="L768" s="65"/>
      <c r="M768" s="65"/>
      <c r="N768" s="65"/>
      <c r="O768" s="65"/>
      <c r="P768" s="65"/>
    </row>
    <row r="769" spans="12:16" ht="15.75" customHeight="1">
      <c r="L769" s="65"/>
      <c r="M769" s="65"/>
      <c r="N769" s="65"/>
      <c r="O769" s="65"/>
      <c r="P769" s="65"/>
    </row>
    <row r="770" spans="12:16" ht="15.75" customHeight="1">
      <c r="L770" s="65"/>
      <c r="M770" s="65"/>
      <c r="N770" s="65"/>
      <c r="O770" s="65"/>
      <c r="P770" s="65"/>
    </row>
    <row r="771" spans="12:16" ht="15.75" customHeight="1">
      <c r="L771" s="65"/>
      <c r="M771" s="65"/>
      <c r="N771" s="65"/>
      <c r="O771" s="65"/>
      <c r="P771" s="65"/>
    </row>
    <row r="772" spans="12:16" ht="15.75" customHeight="1">
      <c r="L772" s="65"/>
      <c r="M772" s="65"/>
      <c r="N772" s="65"/>
      <c r="O772" s="65"/>
      <c r="P772" s="65"/>
    </row>
    <row r="773" spans="12:16" ht="15.75" customHeight="1">
      <c r="L773" s="65"/>
      <c r="M773" s="65"/>
      <c r="N773" s="65"/>
      <c r="O773" s="65"/>
      <c r="P773" s="65"/>
    </row>
    <row r="774" spans="12:16" ht="15.75" customHeight="1">
      <c r="L774" s="65"/>
      <c r="M774" s="65"/>
      <c r="N774" s="65"/>
      <c r="O774" s="65"/>
      <c r="P774" s="65"/>
    </row>
    <row r="775" spans="12:16" ht="15.75" customHeight="1">
      <c r="L775" s="65"/>
      <c r="M775" s="65"/>
      <c r="N775" s="65"/>
      <c r="O775" s="65"/>
      <c r="P775" s="65"/>
    </row>
    <row r="776" spans="12:16" ht="15.75" customHeight="1">
      <c r="L776" s="65"/>
      <c r="M776" s="65"/>
      <c r="N776" s="65"/>
      <c r="O776" s="65"/>
      <c r="P776" s="65"/>
    </row>
    <row r="777" spans="12:16" ht="15.75" customHeight="1">
      <c r="L777" s="65"/>
      <c r="M777" s="65"/>
      <c r="N777" s="65"/>
      <c r="O777" s="65"/>
      <c r="P777" s="65"/>
    </row>
    <row r="778" spans="12:16" ht="15.75" customHeight="1">
      <c r="L778" s="65"/>
      <c r="M778" s="65"/>
      <c r="N778" s="65"/>
      <c r="O778" s="65"/>
      <c r="P778" s="65"/>
    </row>
    <row r="779" spans="12:16" ht="15.75" customHeight="1">
      <c r="L779" s="65"/>
      <c r="M779" s="65"/>
      <c r="N779" s="65"/>
      <c r="O779" s="65"/>
      <c r="P779" s="65"/>
    </row>
    <row r="780" spans="12:16" ht="15.75" customHeight="1">
      <c r="L780" s="65"/>
      <c r="M780" s="65"/>
      <c r="N780" s="65"/>
      <c r="O780" s="65"/>
      <c r="P780" s="65"/>
    </row>
    <row r="781" spans="12:16" ht="15.75" customHeight="1">
      <c r="L781" s="65"/>
      <c r="M781" s="65"/>
      <c r="N781" s="65"/>
      <c r="O781" s="65"/>
      <c r="P781" s="65"/>
    </row>
    <row r="782" spans="12:16" ht="15.75" customHeight="1">
      <c r="L782" s="65"/>
      <c r="M782" s="65"/>
      <c r="N782" s="65"/>
      <c r="O782" s="65"/>
      <c r="P782" s="65"/>
    </row>
    <row r="783" spans="12:16" ht="15.75" customHeight="1">
      <c r="L783" s="65"/>
      <c r="M783" s="65"/>
      <c r="N783" s="65"/>
      <c r="O783" s="65"/>
      <c r="P783" s="65"/>
    </row>
    <row r="784" spans="12:16" ht="15.75" customHeight="1">
      <c r="L784" s="65"/>
      <c r="M784" s="65"/>
      <c r="N784" s="65"/>
      <c r="O784" s="65"/>
      <c r="P784" s="65"/>
    </row>
    <row r="785" spans="12:16" ht="15.75" customHeight="1">
      <c r="L785" s="65"/>
      <c r="M785" s="65"/>
      <c r="N785" s="65"/>
      <c r="O785" s="65"/>
      <c r="P785" s="65"/>
    </row>
    <row r="786" spans="12:16" ht="15.75" customHeight="1">
      <c r="L786" s="65"/>
      <c r="M786" s="65"/>
      <c r="N786" s="65"/>
      <c r="O786" s="65"/>
      <c r="P786" s="65"/>
    </row>
    <row r="787" spans="12:16" ht="15.75" customHeight="1">
      <c r="L787" s="65"/>
      <c r="M787" s="65"/>
      <c r="N787" s="65"/>
      <c r="O787" s="65"/>
      <c r="P787" s="65"/>
    </row>
    <row r="788" spans="12:16" ht="15.75" customHeight="1">
      <c r="L788" s="65"/>
      <c r="M788" s="65"/>
      <c r="N788" s="65"/>
      <c r="O788" s="65"/>
      <c r="P788" s="65"/>
    </row>
    <row r="789" spans="12:16" ht="15.75" customHeight="1">
      <c r="L789" s="65"/>
      <c r="M789" s="65"/>
      <c r="N789" s="65"/>
      <c r="O789" s="65"/>
      <c r="P789" s="65"/>
    </row>
    <row r="790" spans="12:16" ht="15.75" customHeight="1">
      <c r="L790" s="65"/>
      <c r="M790" s="65"/>
      <c r="N790" s="65"/>
      <c r="O790" s="65"/>
      <c r="P790" s="65"/>
    </row>
    <row r="791" spans="12:16" ht="15.75" customHeight="1">
      <c r="L791" s="65"/>
      <c r="M791" s="65"/>
      <c r="N791" s="65"/>
      <c r="O791" s="65"/>
      <c r="P791" s="65"/>
    </row>
    <row r="792" spans="12:16" ht="15.75" customHeight="1">
      <c r="L792" s="65"/>
      <c r="M792" s="65"/>
      <c r="N792" s="65"/>
      <c r="O792" s="65"/>
      <c r="P792" s="65"/>
    </row>
    <row r="793" spans="12:16" ht="15.75" customHeight="1">
      <c r="L793" s="65"/>
      <c r="M793" s="65"/>
      <c r="N793" s="65"/>
      <c r="O793" s="65"/>
      <c r="P793" s="65"/>
    </row>
    <row r="794" spans="12:16" ht="15.75" customHeight="1">
      <c r="L794" s="65"/>
      <c r="M794" s="65"/>
      <c r="N794" s="65"/>
      <c r="O794" s="65"/>
      <c r="P794" s="65"/>
    </row>
    <row r="795" spans="12:16" ht="15.75" customHeight="1">
      <c r="L795" s="65"/>
      <c r="M795" s="65"/>
      <c r="N795" s="65"/>
      <c r="O795" s="65"/>
      <c r="P795" s="65"/>
    </row>
    <row r="796" spans="12:16" ht="15.75" customHeight="1">
      <c r="L796" s="65"/>
      <c r="M796" s="65"/>
      <c r="N796" s="65"/>
      <c r="O796" s="65"/>
      <c r="P796" s="65"/>
    </row>
    <row r="797" spans="12:16" ht="15.75" customHeight="1">
      <c r="L797" s="65"/>
      <c r="M797" s="65"/>
      <c r="N797" s="65"/>
      <c r="O797" s="65"/>
      <c r="P797" s="65"/>
    </row>
    <row r="798" spans="12:16" ht="15.75" customHeight="1">
      <c r="L798" s="65"/>
      <c r="M798" s="65"/>
      <c r="N798" s="65"/>
      <c r="O798" s="65"/>
      <c r="P798" s="65"/>
    </row>
    <row r="799" spans="12:16" ht="15.75" customHeight="1">
      <c r="L799" s="65"/>
      <c r="M799" s="65"/>
      <c r="N799" s="65"/>
      <c r="O799" s="65"/>
      <c r="P799" s="65"/>
    </row>
    <row r="800" spans="12:16" ht="15.75" customHeight="1">
      <c r="L800" s="65"/>
      <c r="M800" s="65"/>
      <c r="N800" s="65"/>
      <c r="O800" s="65"/>
      <c r="P800" s="65"/>
    </row>
    <row r="801" spans="12:16" ht="15.75" customHeight="1">
      <c r="L801" s="65"/>
      <c r="M801" s="65"/>
      <c r="N801" s="65"/>
      <c r="O801" s="65"/>
      <c r="P801" s="65"/>
    </row>
    <row r="802" spans="12:16" ht="15.75" customHeight="1">
      <c r="L802" s="65"/>
      <c r="M802" s="65"/>
      <c r="N802" s="65"/>
      <c r="O802" s="65"/>
      <c r="P802" s="65"/>
    </row>
    <row r="803" spans="12:16" ht="15.75" customHeight="1">
      <c r="L803" s="65"/>
      <c r="M803" s="65"/>
      <c r="N803" s="65"/>
      <c r="O803" s="65"/>
      <c r="P803" s="65"/>
    </row>
    <row r="804" spans="12:16" ht="15.75" customHeight="1">
      <c r="L804" s="65"/>
      <c r="M804" s="65"/>
      <c r="N804" s="65"/>
      <c r="O804" s="65"/>
      <c r="P804" s="65"/>
    </row>
    <row r="805" spans="12:16" ht="15.75" customHeight="1">
      <c r="L805" s="65"/>
      <c r="M805" s="65"/>
      <c r="N805" s="65"/>
      <c r="O805" s="65"/>
      <c r="P805" s="65"/>
    </row>
    <row r="806" spans="12:16" ht="15.75" customHeight="1">
      <c r="L806" s="65"/>
      <c r="M806" s="65"/>
      <c r="N806" s="65"/>
      <c r="O806" s="65"/>
      <c r="P806" s="65"/>
    </row>
    <row r="807" spans="12:16" ht="15.75" customHeight="1">
      <c r="L807" s="65"/>
      <c r="M807" s="65"/>
      <c r="N807" s="65"/>
      <c r="O807" s="65"/>
      <c r="P807" s="65"/>
    </row>
    <row r="808" spans="12:16" ht="15.75" customHeight="1">
      <c r="L808" s="65"/>
      <c r="M808" s="65"/>
      <c r="N808" s="65"/>
      <c r="O808" s="65"/>
      <c r="P808" s="65"/>
    </row>
    <row r="809" spans="12:16" ht="15.75" customHeight="1">
      <c r="L809" s="65"/>
      <c r="M809" s="65"/>
      <c r="N809" s="65"/>
      <c r="O809" s="65"/>
      <c r="P809" s="65"/>
    </row>
    <row r="810" spans="12:16" ht="15.75" customHeight="1">
      <c r="L810" s="65"/>
      <c r="M810" s="65"/>
      <c r="N810" s="65"/>
      <c r="O810" s="65"/>
      <c r="P810" s="65"/>
    </row>
    <row r="811" spans="12:16" ht="15.75" customHeight="1">
      <c r="L811" s="65"/>
      <c r="M811" s="65"/>
      <c r="N811" s="65"/>
      <c r="O811" s="65"/>
      <c r="P811" s="65"/>
    </row>
    <row r="812" spans="12:16" ht="15.75" customHeight="1">
      <c r="L812" s="65"/>
      <c r="M812" s="65"/>
      <c r="N812" s="65"/>
      <c r="O812" s="65"/>
      <c r="P812" s="65"/>
    </row>
    <row r="813" spans="12:16" ht="15.75" customHeight="1">
      <c r="L813" s="65"/>
      <c r="M813" s="65"/>
      <c r="N813" s="65"/>
      <c r="O813" s="65"/>
      <c r="P813" s="65"/>
    </row>
    <row r="814" spans="12:16" ht="15.75" customHeight="1">
      <c r="L814" s="65"/>
      <c r="M814" s="65"/>
      <c r="N814" s="65"/>
      <c r="O814" s="65"/>
      <c r="P814" s="65"/>
    </row>
    <row r="815" spans="12:16" ht="15.75" customHeight="1">
      <c r="L815" s="65"/>
      <c r="M815" s="65"/>
      <c r="N815" s="65"/>
      <c r="O815" s="65"/>
      <c r="P815" s="65"/>
    </row>
    <row r="816" spans="12:16" ht="15.75" customHeight="1">
      <c r="L816" s="65"/>
      <c r="M816" s="65"/>
      <c r="N816" s="65"/>
      <c r="O816" s="65"/>
      <c r="P816" s="65"/>
    </row>
    <row r="817" spans="12:16" ht="15.75" customHeight="1">
      <c r="L817" s="65"/>
      <c r="M817" s="65"/>
      <c r="N817" s="65"/>
      <c r="O817" s="65"/>
      <c r="P817" s="65"/>
    </row>
    <row r="818" spans="12:16" ht="15.75" customHeight="1">
      <c r="L818" s="65"/>
      <c r="M818" s="65"/>
      <c r="N818" s="65"/>
      <c r="O818" s="65"/>
      <c r="P818" s="65"/>
    </row>
    <row r="819" spans="12:16" ht="15.75" customHeight="1">
      <c r="L819" s="65"/>
      <c r="M819" s="65"/>
      <c r="N819" s="65"/>
      <c r="O819" s="65"/>
      <c r="P819" s="65"/>
    </row>
    <row r="820" spans="12:16" ht="15.75" customHeight="1">
      <c r="L820" s="65"/>
      <c r="M820" s="65"/>
      <c r="N820" s="65"/>
      <c r="O820" s="65"/>
      <c r="P820" s="65"/>
    </row>
    <row r="821" spans="12:16" ht="15.75" customHeight="1">
      <c r="L821" s="65"/>
      <c r="M821" s="65"/>
      <c r="N821" s="65"/>
      <c r="O821" s="65"/>
      <c r="P821" s="65"/>
    </row>
    <row r="822" spans="12:16" ht="15.75" customHeight="1">
      <c r="L822" s="65"/>
      <c r="M822" s="65"/>
      <c r="N822" s="65"/>
      <c r="O822" s="65"/>
      <c r="P822" s="65"/>
    </row>
    <row r="823" spans="12:16" ht="15.75" customHeight="1">
      <c r="L823" s="65"/>
      <c r="M823" s="65"/>
      <c r="N823" s="65"/>
      <c r="O823" s="65"/>
      <c r="P823" s="65"/>
    </row>
    <row r="824" spans="12:16" ht="15.75" customHeight="1">
      <c r="L824" s="65"/>
      <c r="M824" s="65"/>
      <c r="N824" s="65"/>
      <c r="O824" s="65"/>
      <c r="P824" s="65"/>
    </row>
    <row r="825" spans="12:16" ht="15.75" customHeight="1">
      <c r="L825" s="65"/>
      <c r="M825" s="65"/>
      <c r="N825" s="65"/>
      <c r="O825" s="65"/>
      <c r="P825" s="65"/>
    </row>
    <row r="826" spans="12:16" ht="15.75" customHeight="1">
      <c r="L826" s="65"/>
      <c r="M826" s="65"/>
      <c r="N826" s="65"/>
      <c r="O826" s="65"/>
      <c r="P826" s="65"/>
    </row>
    <row r="827" spans="12:16" ht="15.75" customHeight="1">
      <c r="L827" s="65"/>
      <c r="M827" s="65"/>
      <c r="N827" s="65"/>
      <c r="O827" s="65"/>
      <c r="P827" s="65"/>
    </row>
    <row r="828" spans="12:16" ht="15.75" customHeight="1">
      <c r="L828" s="65"/>
      <c r="M828" s="65"/>
      <c r="N828" s="65"/>
      <c r="O828" s="65"/>
      <c r="P828" s="65"/>
    </row>
    <row r="829" spans="12:16" ht="15.75" customHeight="1">
      <c r="L829" s="65"/>
      <c r="M829" s="65"/>
      <c r="N829" s="65"/>
      <c r="O829" s="65"/>
      <c r="P829" s="65"/>
    </row>
    <row r="830" spans="12:16" ht="15.75" customHeight="1">
      <c r="L830" s="65"/>
      <c r="M830" s="65"/>
      <c r="N830" s="65"/>
      <c r="O830" s="65"/>
      <c r="P830" s="65"/>
    </row>
    <row r="831" spans="12:16" ht="15.75" customHeight="1">
      <c r="L831" s="65"/>
      <c r="M831" s="65"/>
      <c r="N831" s="65"/>
      <c r="O831" s="65"/>
      <c r="P831" s="65"/>
    </row>
    <row r="832" spans="12:16" ht="15.75" customHeight="1">
      <c r="L832" s="65"/>
      <c r="M832" s="65"/>
      <c r="N832" s="65"/>
      <c r="O832" s="65"/>
      <c r="P832" s="65"/>
    </row>
    <row r="833" spans="12:16" ht="15.75" customHeight="1">
      <c r="L833" s="65"/>
      <c r="M833" s="65"/>
      <c r="N833" s="65"/>
      <c r="O833" s="65"/>
      <c r="P833" s="65"/>
    </row>
    <row r="834" spans="12:16" ht="15.75" customHeight="1">
      <c r="L834" s="65"/>
      <c r="M834" s="65"/>
      <c r="N834" s="65"/>
      <c r="O834" s="65"/>
      <c r="P834" s="65"/>
    </row>
    <row r="835" spans="12:16" ht="15.75" customHeight="1">
      <c r="L835" s="65"/>
      <c r="M835" s="65"/>
      <c r="N835" s="65"/>
      <c r="O835" s="65"/>
      <c r="P835" s="65"/>
    </row>
    <row r="836" spans="12:16" ht="15.75" customHeight="1">
      <c r="L836" s="65"/>
      <c r="M836" s="65"/>
      <c r="N836" s="65"/>
      <c r="O836" s="65"/>
      <c r="P836" s="65"/>
    </row>
    <row r="837" spans="12:16" ht="15.75" customHeight="1">
      <c r="L837" s="65"/>
      <c r="M837" s="65"/>
      <c r="N837" s="65"/>
      <c r="O837" s="65"/>
      <c r="P837" s="65"/>
    </row>
    <row r="838" spans="12:16" ht="15.75" customHeight="1">
      <c r="L838" s="65"/>
      <c r="M838" s="65"/>
      <c r="N838" s="65"/>
      <c r="O838" s="65"/>
      <c r="P838" s="65"/>
    </row>
    <row r="839" spans="12:16" ht="15.75" customHeight="1">
      <c r="L839" s="65"/>
      <c r="M839" s="65"/>
      <c r="N839" s="65"/>
      <c r="O839" s="65"/>
      <c r="P839" s="65"/>
    </row>
    <row r="840" spans="12:16" ht="15.75" customHeight="1">
      <c r="L840" s="65"/>
      <c r="M840" s="65"/>
      <c r="N840" s="65"/>
      <c r="O840" s="65"/>
      <c r="P840" s="65"/>
    </row>
    <row r="841" spans="12:16" ht="15.75" customHeight="1">
      <c r="L841" s="65"/>
      <c r="M841" s="65"/>
      <c r="N841" s="65"/>
      <c r="O841" s="65"/>
      <c r="P841" s="65"/>
    </row>
    <row r="842" spans="12:16" ht="15.75" customHeight="1">
      <c r="L842" s="65"/>
      <c r="M842" s="65"/>
      <c r="N842" s="65"/>
      <c r="O842" s="65"/>
      <c r="P842" s="65"/>
    </row>
    <row r="843" spans="12:16" ht="15.75" customHeight="1">
      <c r="L843" s="65"/>
      <c r="M843" s="65"/>
      <c r="N843" s="65"/>
      <c r="O843" s="65"/>
      <c r="P843" s="65"/>
    </row>
    <row r="844" spans="12:16" ht="15.75" customHeight="1">
      <c r="L844" s="65"/>
      <c r="M844" s="65"/>
      <c r="N844" s="65"/>
      <c r="O844" s="65"/>
      <c r="P844" s="65"/>
    </row>
    <row r="845" spans="12:16" ht="15.75" customHeight="1">
      <c r="L845" s="65"/>
      <c r="M845" s="65"/>
      <c r="N845" s="65"/>
      <c r="O845" s="65"/>
      <c r="P845" s="65"/>
    </row>
    <row r="846" spans="12:16" ht="15.75" customHeight="1">
      <c r="L846" s="65"/>
      <c r="M846" s="65"/>
      <c r="N846" s="65"/>
      <c r="O846" s="65"/>
      <c r="P846" s="65"/>
    </row>
    <row r="847" spans="12:16" ht="15.75" customHeight="1">
      <c r="L847" s="65"/>
      <c r="M847" s="65"/>
      <c r="N847" s="65"/>
      <c r="O847" s="65"/>
      <c r="P847" s="65"/>
    </row>
    <row r="848" spans="12:16" ht="15.75" customHeight="1">
      <c r="L848" s="65"/>
      <c r="M848" s="65"/>
      <c r="N848" s="65"/>
      <c r="O848" s="65"/>
      <c r="P848" s="65"/>
    </row>
    <row r="849" spans="12:16" ht="15.75" customHeight="1">
      <c r="L849" s="65"/>
      <c r="M849" s="65"/>
      <c r="N849" s="65"/>
      <c r="O849" s="65"/>
      <c r="P849" s="65"/>
    </row>
    <row r="850" spans="12:16" ht="15.75" customHeight="1">
      <c r="L850" s="65"/>
      <c r="M850" s="65"/>
      <c r="N850" s="65"/>
      <c r="O850" s="65"/>
      <c r="P850" s="65"/>
    </row>
    <row r="851" spans="12:16" ht="15.75" customHeight="1">
      <c r="L851" s="65"/>
      <c r="M851" s="65"/>
      <c r="N851" s="65"/>
      <c r="O851" s="65"/>
      <c r="P851" s="65"/>
    </row>
    <row r="852" spans="12:16" ht="15.75" customHeight="1">
      <c r="L852" s="65"/>
      <c r="M852" s="65"/>
      <c r="N852" s="65"/>
      <c r="O852" s="65"/>
      <c r="P852" s="65"/>
    </row>
    <row r="853" spans="12:16" ht="15.75" customHeight="1">
      <c r="L853" s="65"/>
      <c r="M853" s="65"/>
      <c r="N853" s="65"/>
      <c r="O853" s="65"/>
      <c r="P853" s="65"/>
    </row>
    <row r="854" spans="12:16" ht="15.75" customHeight="1">
      <c r="L854" s="65"/>
      <c r="M854" s="65"/>
      <c r="N854" s="65"/>
      <c r="O854" s="65"/>
      <c r="P854" s="65"/>
    </row>
    <row r="855" spans="12:16" ht="15.75" customHeight="1">
      <c r="L855" s="65"/>
      <c r="M855" s="65"/>
      <c r="N855" s="65"/>
      <c r="O855" s="65"/>
      <c r="P855" s="65"/>
    </row>
    <row r="856" spans="12:16" ht="15.75" customHeight="1">
      <c r="L856" s="65"/>
      <c r="M856" s="65"/>
      <c r="N856" s="65"/>
      <c r="O856" s="65"/>
      <c r="P856" s="65"/>
    </row>
    <row r="857" spans="12:16" ht="15.75" customHeight="1">
      <c r="L857" s="65"/>
      <c r="M857" s="65"/>
      <c r="N857" s="65"/>
      <c r="O857" s="65"/>
      <c r="P857" s="65"/>
    </row>
    <row r="858" spans="12:16" ht="15.75" customHeight="1">
      <c r="L858" s="65"/>
      <c r="M858" s="65"/>
      <c r="N858" s="65"/>
      <c r="O858" s="65"/>
      <c r="P858" s="65"/>
    </row>
    <row r="859" spans="12:16" ht="15.75" customHeight="1">
      <c r="L859" s="65"/>
      <c r="M859" s="65"/>
      <c r="N859" s="65"/>
      <c r="O859" s="65"/>
      <c r="P859" s="65"/>
    </row>
    <row r="860" spans="12:16" ht="15.75" customHeight="1">
      <c r="L860" s="65"/>
      <c r="M860" s="65"/>
      <c r="N860" s="65"/>
      <c r="O860" s="65"/>
      <c r="P860" s="65"/>
    </row>
    <row r="861" spans="12:16" ht="15.75" customHeight="1">
      <c r="L861" s="65"/>
      <c r="M861" s="65"/>
      <c r="N861" s="65"/>
      <c r="O861" s="65"/>
      <c r="P861" s="65"/>
    </row>
    <row r="862" spans="12:16" ht="15.75" customHeight="1">
      <c r="L862" s="65"/>
      <c r="M862" s="65"/>
      <c r="N862" s="65"/>
      <c r="O862" s="65"/>
      <c r="P862" s="65"/>
    </row>
    <row r="863" spans="12:16" ht="15.75" customHeight="1">
      <c r="L863" s="65"/>
      <c r="M863" s="65"/>
      <c r="N863" s="65"/>
      <c r="O863" s="65"/>
      <c r="P863" s="65"/>
    </row>
    <row r="864" spans="12:16" ht="15.75" customHeight="1">
      <c r="L864" s="65"/>
      <c r="M864" s="65"/>
      <c r="N864" s="65"/>
      <c r="O864" s="65"/>
      <c r="P864" s="65"/>
    </row>
    <row r="865" spans="12:16" ht="15.75" customHeight="1">
      <c r="L865" s="65"/>
      <c r="M865" s="65"/>
      <c r="N865" s="65"/>
      <c r="O865" s="65"/>
      <c r="P865" s="65"/>
    </row>
    <row r="866" spans="12:16" ht="15.75" customHeight="1">
      <c r="L866" s="65"/>
      <c r="M866" s="65"/>
      <c r="N866" s="65"/>
      <c r="O866" s="65"/>
      <c r="P866" s="65"/>
    </row>
    <row r="867" spans="12:16" ht="15.75" customHeight="1">
      <c r="L867" s="65"/>
      <c r="M867" s="65"/>
      <c r="N867" s="65"/>
      <c r="O867" s="65"/>
      <c r="P867" s="65"/>
    </row>
    <row r="868" spans="12:16" ht="15.75" customHeight="1">
      <c r="L868" s="65"/>
      <c r="M868" s="65"/>
      <c r="N868" s="65"/>
      <c r="O868" s="65"/>
      <c r="P868" s="65"/>
    </row>
    <row r="869" spans="12:16" ht="15.75" customHeight="1">
      <c r="L869" s="65"/>
      <c r="M869" s="65"/>
      <c r="N869" s="65"/>
      <c r="O869" s="65"/>
      <c r="P869" s="65"/>
    </row>
    <row r="870" spans="12:16" ht="15.75" customHeight="1">
      <c r="L870" s="65"/>
      <c r="M870" s="65"/>
      <c r="N870" s="65"/>
      <c r="O870" s="65"/>
      <c r="P870" s="65"/>
    </row>
    <row r="871" spans="12:16" ht="15.75" customHeight="1">
      <c r="L871" s="65"/>
      <c r="M871" s="65"/>
      <c r="N871" s="65"/>
      <c r="O871" s="65"/>
      <c r="P871" s="65"/>
    </row>
    <row r="872" spans="12:16" ht="15.75" customHeight="1">
      <c r="L872" s="65"/>
      <c r="M872" s="65"/>
      <c r="N872" s="65"/>
      <c r="O872" s="65"/>
      <c r="P872" s="65"/>
    </row>
    <row r="873" spans="12:16" ht="15.75" customHeight="1">
      <c r="L873" s="65"/>
      <c r="M873" s="65"/>
      <c r="N873" s="65"/>
      <c r="O873" s="65"/>
      <c r="P873" s="65"/>
    </row>
    <row r="874" spans="12:16" ht="15.75" customHeight="1">
      <c r="L874" s="65"/>
      <c r="M874" s="65"/>
      <c r="N874" s="65"/>
      <c r="O874" s="65"/>
      <c r="P874" s="65"/>
    </row>
    <row r="875" spans="12:16" ht="15.75" customHeight="1">
      <c r="L875" s="65"/>
      <c r="M875" s="65"/>
      <c r="N875" s="65"/>
      <c r="O875" s="65"/>
      <c r="P875" s="65"/>
    </row>
    <row r="876" spans="12:16" ht="15.75" customHeight="1">
      <c r="L876" s="65"/>
      <c r="M876" s="65"/>
      <c r="N876" s="65"/>
      <c r="O876" s="65"/>
      <c r="P876" s="65"/>
    </row>
    <row r="877" spans="12:16" ht="15.75" customHeight="1">
      <c r="L877" s="65"/>
      <c r="M877" s="65"/>
      <c r="N877" s="65"/>
      <c r="O877" s="65"/>
      <c r="P877" s="65"/>
    </row>
    <row r="878" spans="12:16" ht="15.75" customHeight="1">
      <c r="L878" s="65"/>
      <c r="M878" s="65"/>
      <c r="N878" s="65"/>
      <c r="O878" s="65"/>
      <c r="P878" s="65"/>
    </row>
    <row r="879" spans="12:16" ht="15.75" customHeight="1">
      <c r="L879" s="65"/>
      <c r="M879" s="65"/>
      <c r="N879" s="65"/>
      <c r="O879" s="65"/>
      <c r="P879" s="65"/>
    </row>
    <row r="880" spans="12:16" ht="15.75" customHeight="1">
      <c r="L880" s="65"/>
      <c r="M880" s="65"/>
      <c r="N880" s="65"/>
      <c r="O880" s="65"/>
      <c r="P880" s="65"/>
    </row>
    <row r="881" spans="12:16" ht="15.75" customHeight="1">
      <c r="L881" s="65"/>
      <c r="M881" s="65"/>
      <c r="N881" s="65"/>
      <c r="O881" s="65"/>
      <c r="P881" s="65"/>
    </row>
    <row r="882" spans="12:16" ht="15.75" customHeight="1">
      <c r="L882" s="65"/>
      <c r="M882" s="65"/>
      <c r="N882" s="65"/>
      <c r="O882" s="65"/>
      <c r="P882" s="65"/>
    </row>
    <row r="883" spans="12:16" ht="15.75" customHeight="1">
      <c r="L883" s="65"/>
      <c r="M883" s="65"/>
      <c r="N883" s="65"/>
      <c r="O883" s="65"/>
      <c r="P883" s="65"/>
    </row>
    <row r="884" spans="12:16" ht="15.75" customHeight="1">
      <c r="L884" s="65"/>
      <c r="M884" s="65"/>
      <c r="N884" s="65"/>
      <c r="O884" s="65"/>
      <c r="P884" s="65"/>
    </row>
    <row r="885" spans="12:16" ht="15.75" customHeight="1">
      <c r="L885" s="65"/>
      <c r="M885" s="65"/>
      <c r="N885" s="65"/>
      <c r="O885" s="65"/>
      <c r="P885" s="65"/>
    </row>
    <row r="886" spans="12:16" ht="15.75" customHeight="1">
      <c r="L886" s="65"/>
      <c r="M886" s="65"/>
      <c r="N886" s="65"/>
      <c r="O886" s="65"/>
      <c r="P886" s="65"/>
    </row>
    <row r="887" spans="12:16" ht="15.75" customHeight="1">
      <c r="L887" s="65"/>
      <c r="M887" s="65"/>
      <c r="N887" s="65"/>
      <c r="O887" s="65"/>
      <c r="P887" s="65"/>
    </row>
    <row r="888" spans="12:16" ht="15.75" customHeight="1">
      <c r="L888" s="65"/>
      <c r="M888" s="65"/>
      <c r="N888" s="65"/>
      <c r="O888" s="65"/>
      <c r="P888" s="65"/>
    </row>
    <row r="889" spans="12:16" ht="15.75" customHeight="1">
      <c r="L889" s="65"/>
      <c r="M889" s="65"/>
      <c r="N889" s="65"/>
      <c r="O889" s="65"/>
      <c r="P889" s="65"/>
    </row>
    <row r="890" spans="12:16" ht="15.75" customHeight="1">
      <c r="L890" s="65"/>
      <c r="M890" s="65"/>
      <c r="N890" s="65"/>
      <c r="O890" s="65"/>
      <c r="P890" s="65"/>
    </row>
    <row r="891" spans="12:16" ht="15.75" customHeight="1">
      <c r="L891" s="65"/>
      <c r="M891" s="65"/>
      <c r="N891" s="65"/>
      <c r="O891" s="65"/>
      <c r="P891" s="65"/>
    </row>
    <row r="892" spans="12:16" ht="15.75" customHeight="1">
      <c r="L892" s="65"/>
      <c r="M892" s="65"/>
      <c r="N892" s="65"/>
      <c r="O892" s="65"/>
      <c r="P892" s="65"/>
    </row>
    <row r="893" spans="12:16" ht="15.75" customHeight="1">
      <c r="L893" s="65"/>
      <c r="M893" s="65"/>
      <c r="N893" s="65"/>
      <c r="O893" s="65"/>
      <c r="P893" s="65"/>
    </row>
    <row r="894" spans="12:16" ht="15.75" customHeight="1">
      <c r="L894" s="65"/>
      <c r="M894" s="65"/>
      <c r="N894" s="65"/>
      <c r="O894" s="65"/>
      <c r="P894" s="65"/>
    </row>
    <row r="895" spans="12:16" ht="15.75" customHeight="1">
      <c r="L895" s="65"/>
      <c r="M895" s="65"/>
      <c r="N895" s="65"/>
      <c r="O895" s="65"/>
      <c r="P895" s="65"/>
    </row>
    <row r="896" spans="12:16" ht="15.75" customHeight="1">
      <c r="L896" s="65"/>
      <c r="M896" s="65"/>
      <c r="N896" s="65"/>
      <c r="O896" s="65"/>
      <c r="P896" s="65"/>
    </row>
    <row r="897" spans="12:16" ht="15.75" customHeight="1">
      <c r="L897" s="65"/>
      <c r="M897" s="65"/>
      <c r="N897" s="65"/>
      <c r="O897" s="65"/>
      <c r="P897" s="65"/>
    </row>
    <row r="898" spans="12:16" ht="15.75" customHeight="1">
      <c r="L898" s="65"/>
      <c r="M898" s="65"/>
      <c r="N898" s="65"/>
      <c r="O898" s="65"/>
      <c r="P898" s="65"/>
    </row>
    <row r="899" spans="12:16" ht="15.75" customHeight="1">
      <c r="L899" s="65"/>
      <c r="M899" s="65"/>
      <c r="N899" s="65"/>
      <c r="O899" s="65"/>
      <c r="P899" s="65"/>
    </row>
    <row r="900" spans="12:16" ht="15.75" customHeight="1">
      <c r="L900" s="65"/>
      <c r="M900" s="65"/>
      <c r="N900" s="65"/>
      <c r="O900" s="65"/>
      <c r="P900" s="65"/>
    </row>
    <row r="901" spans="12:16" ht="15.75" customHeight="1">
      <c r="L901" s="65"/>
      <c r="M901" s="65"/>
      <c r="N901" s="65"/>
      <c r="O901" s="65"/>
      <c r="P901" s="65"/>
    </row>
    <row r="902" spans="12:16" ht="15.75" customHeight="1">
      <c r="L902" s="65"/>
      <c r="M902" s="65"/>
      <c r="N902" s="65"/>
      <c r="O902" s="65"/>
      <c r="P902" s="65"/>
    </row>
    <row r="903" spans="12:16" ht="15.75" customHeight="1">
      <c r="L903" s="65"/>
      <c r="M903" s="65"/>
      <c r="N903" s="65"/>
      <c r="O903" s="65"/>
      <c r="P903" s="65"/>
    </row>
    <row r="904" spans="12:16" ht="15.75" customHeight="1">
      <c r="L904" s="65"/>
      <c r="M904" s="65"/>
      <c r="N904" s="65"/>
      <c r="O904" s="65"/>
      <c r="P904" s="65"/>
    </row>
    <row r="905" spans="12:16" ht="15.75" customHeight="1">
      <c r="L905" s="65"/>
      <c r="M905" s="65"/>
      <c r="N905" s="65"/>
      <c r="O905" s="65"/>
      <c r="P905" s="65"/>
    </row>
    <row r="906" spans="12:16" ht="15.75" customHeight="1">
      <c r="L906" s="65"/>
      <c r="M906" s="65"/>
      <c r="N906" s="65"/>
      <c r="O906" s="65"/>
      <c r="P906" s="65"/>
    </row>
    <row r="907" spans="12:16" ht="15.75" customHeight="1">
      <c r="L907" s="65"/>
      <c r="M907" s="65"/>
      <c r="N907" s="65"/>
      <c r="O907" s="65"/>
      <c r="P907" s="65"/>
    </row>
    <row r="908" spans="12:16" ht="15.75" customHeight="1">
      <c r="L908" s="65"/>
      <c r="M908" s="65"/>
      <c r="N908" s="65"/>
      <c r="O908" s="65"/>
      <c r="P908" s="65"/>
    </row>
    <row r="909" spans="12:16" ht="15.75" customHeight="1">
      <c r="L909" s="65"/>
      <c r="M909" s="65"/>
      <c r="N909" s="65"/>
      <c r="O909" s="65"/>
      <c r="P909" s="65"/>
    </row>
    <row r="910" spans="12:16" ht="15.75" customHeight="1">
      <c r="L910" s="65"/>
      <c r="M910" s="65"/>
      <c r="N910" s="65"/>
      <c r="O910" s="65"/>
      <c r="P910" s="65"/>
    </row>
    <row r="911" spans="12:16" ht="15.75" customHeight="1">
      <c r="L911" s="65"/>
      <c r="M911" s="65"/>
      <c r="N911" s="65"/>
      <c r="O911" s="65"/>
      <c r="P911" s="65"/>
    </row>
    <row r="912" spans="12:16" ht="15.75" customHeight="1">
      <c r="L912" s="65"/>
      <c r="M912" s="65"/>
      <c r="N912" s="65"/>
      <c r="O912" s="65"/>
      <c r="P912" s="65"/>
    </row>
    <row r="913" spans="12:16" ht="15.75" customHeight="1">
      <c r="L913" s="65"/>
      <c r="M913" s="65"/>
      <c r="N913" s="65"/>
      <c r="O913" s="65"/>
      <c r="P913" s="65"/>
    </row>
    <row r="914" spans="12:16" ht="15.75" customHeight="1">
      <c r="L914" s="65"/>
      <c r="M914" s="65"/>
      <c r="N914" s="65"/>
      <c r="O914" s="65"/>
      <c r="P914" s="65"/>
    </row>
    <row r="915" spans="12:16" ht="15.75" customHeight="1">
      <c r="L915" s="65"/>
      <c r="M915" s="65"/>
      <c r="N915" s="65"/>
      <c r="O915" s="65"/>
      <c r="P915" s="65"/>
    </row>
    <row r="916" spans="12:16" ht="15.75" customHeight="1">
      <c r="L916" s="65"/>
      <c r="M916" s="65"/>
      <c r="N916" s="65"/>
      <c r="O916" s="65"/>
      <c r="P916" s="65"/>
    </row>
    <row r="917" spans="12:16" ht="15.75" customHeight="1">
      <c r="L917" s="65"/>
      <c r="M917" s="65"/>
      <c r="N917" s="65"/>
      <c r="O917" s="65"/>
      <c r="P917" s="65"/>
    </row>
    <row r="918" spans="12:16" ht="15.75" customHeight="1">
      <c r="L918" s="65"/>
      <c r="M918" s="65"/>
      <c r="N918" s="65"/>
      <c r="O918" s="65"/>
      <c r="P918" s="65"/>
    </row>
    <row r="919" spans="12:16" ht="15.75" customHeight="1">
      <c r="L919" s="65"/>
      <c r="M919" s="65"/>
      <c r="N919" s="65"/>
      <c r="O919" s="65"/>
      <c r="P919" s="65"/>
    </row>
    <row r="920" spans="12:16" ht="15.75" customHeight="1">
      <c r="L920" s="65"/>
      <c r="M920" s="65"/>
      <c r="N920" s="65"/>
      <c r="O920" s="65"/>
      <c r="P920" s="65"/>
    </row>
    <row r="921" spans="12:16" ht="15.75" customHeight="1">
      <c r="L921" s="65"/>
      <c r="M921" s="65"/>
      <c r="N921" s="65"/>
      <c r="O921" s="65"/>
      <c r="P921" s="65"/>
    </row>
    <row r="922" spans="12:16" ht="15.75" customHeight="1">
      <c r="L922" s="65"/>
      <c r="M922" s="65"/>
      <c r="N922" s="65"/>
      <c r="O922" s="65"/>
      <c r="P922" s="65"/>
    </row>
    <row r="923" spans="12:16" ht="15.75" customHeight="1">
      <c r="L923" s="65"/>
      <c r="M923" s="65"/>
      <c r="N923" s="65"/>
      <c r="O923" s="65"/>
      <c r="P923" s="65"/>
    </row>
    <row r="924" spans="12:16" ht="15.75" customHeight="1">
      <c r="L924" s="65"/>
      <c r="M924" s="65"/>
      <c r="N924" s="65"/>
      <c r="O924" s="65"/>
      <c r="P924" s="65"/>
    </row>
    <row r="925" spans="12:16" ht="15.75" customHeight="1">
      <c r="L925" s="65"/>
      <c r="M925" s="65"/>
      <c r="N925" s="65"/>
      <c r="O925" s="65"/>
      <c r="P925" s="65"/>
    </row>
    <row r="926" spans="12:16" ht="15.75" customHeight="1">
      <c r="L926" s="65"/>
      <c r="M926" s="65"/>
      <c r="N926" s="65"/>
      <c r="O926" s="65"/>
      <c r="P926" s="65"/>
    </row>
    <row r="927" spans="12:16" ht="15.75" customHeight="1">
      <c r="L927" s="65"/>
      <c r="M927" s="65"/>
      <c r="N927" s="65"/>
      <c r="O927" s="65"/>
      <c r="P927" s="65"/>
    </row>
    <row r="928" spans="12:16" ht="15.75" customHeight="1">
      <c r="L928" s="65"/>
      <c r="M928" s="65"/>
      <c r="N928" s="65"/>
      <c r="O928" s="65"/>
      <c r="P928" s="65"/>
    </row>
    <row r="929" spans="12:16" ht="15.75" customHeight="1">
      <c r="L929" s="65"/>
      <c r="M929" s="65"/>
      <c r="N929" s="65"/>
      <c r="O929" s="65"/>
      <c r="P929" s="65"/>
    </row>
    <row r="930" spans="12:16" ht="15.75" customHeight="1">
      <c r="L930" s="65"/>
      <c r="M930" s="65"/>
      <c r="N930" s="65"/>
      <c r="O930" s="65"/>
      <c r="P930" s="65"/>
    </row>
    <row r="931" spans="12:16" ht="15.75" customHeight="1">
      <c r="L931" s="65"/>
      <c r="M931" s="65"/>
      <c r="N931" s="65"/>
      <c r="O931" s="65"/>
      <c r="P931" s="65"/>
    </row>
    <row r="932" spans="12:16" ht="15.75" customHeight="1">
      <c r="L932" s="65"/>
      <c r="M932" s="65"/>
      <c r="N932" s="65"/>
      <c r="O932" s="65"/>
      <c r="P932" s="65"/>
    </row>
    <row r="933" spans="12:16" ht="15.75" customHeight="1">
      <c r="L933" s="65"/>
      <c r="M933" s="65"/>
      <c r="N933" s="65"/>
      <c r="O933" s="65"/>
      <c r="P933" s="65"/>
    </row>
    <row r="934" spans="12:16" ht="15.75" customHeight="1">
      <c r="L934" s="65"/>
      <c r="M934" s="65"/>
      <c r="N934" s="65"/>
      <c r="O934" s="65"/>
      <c r="P934" s="65"/>
    </row>
    <row r="935" spans="12:16" ht="15.75" customHeight="1">
      <c r="L935" s="65"/>
      <c r="M935" s="65"/>
      <c r="N935" s="65"/>
      <c r="O935" s="65"/>
      <c r="P935" s="65"/>
    </row>
    <row r="936" spans="12:16" ht="15.75" customHeight="1">
      <c r="L936" s="65"/>
      <c r="M936" s="65"/>
      <c r="N936" s="65"/>
      <c r="O936" s="65"/>
      <c r="P936" s="65"/>
    </row>
    <row r="937" spans="12:16" ht="15.75" customHeight="1">
      <c r="L937" s="65"/>
      <c r="M937" s="65"/>
      <c r="N937" s="65"/>
      <c r="O937" s="65"/>
      <c r="P937" s="65"/>
    </row>
    <row r="938" spans="12:16" ht="15.75" customHeight="1">
      <c r="L938" s="65"/>
      <c r="M938" s="65"/>
      <c r="N938" s="65"/>
      <c r="O938" s="65"/>
      <c r="P938" s="65"/>
    </row>
    <row r="939" spans="12:16" ht="15.75" customHeight="1">
      <c r="L939" s="65"/>
      <c r="M939" s="65"/>
      <c r="N939" s="65"/>
      <c r="O939" s="65"/>
      <c r="P939" s="65"/>
    </row>
    <row r="940" spans="12:16" ht="15.75" customHeight="1">
      <c r="L940" s="65"/>
      <c r="M940" s="65"/>
      <c r="N940" s="65"/>
      <c r="O940" s="65"/>
      <c r="P940" s="65"/>
    </row>
    <row r="941" spans="12:16" ht="15.75" customHeight="1">
      <c r="L941" s="65"/>
      <c r="M941" s="65"/>
      <c r="N941" s="65"/>
      <c r="O941" s="65"/>
      <c r="P941" s="65"/>
    </row>
    <row r="942" spans="12:16" ht="15.75" customHeight="1">
      <c r="L942" s="65"/>
      <c r="M942" s="65"/>
      <c r="N942" s="65"/>
      <c r="O942" s="65"/>
      <c r="P942" s="65"/>
    </row>
    <row r="943" spans="12:16" ht="15.75" customHeight="1">
      <c r="L943" s="65"/>
      <c r="M943" s="65"/>
      <c r="N943" s="65"/>
      <c r="O943" s="65"/>
      <c r="P943" s="65"/>
    </row>
    <row r="944" spans="12:16" ht="15.75" customHeight="1">
      <c r="L944" s="65"/>
      <c r="M944" s="65"/>
      <c r="N944" s="65"/>
      <c r="O944" s="65"/>
      <c r="P944" s="65"/>
    </row>
    <row r="945" spans="12:16" ht="15.75" customHeight="1">
      <c r="L945" s="65"/>
      <c r="M945" s="65"/>
      <c r="N945" s="65"/>
      <c r="O945" s="65"/>
      <c r="P945" s="65"/>
    </row>
    <row r="946" spans="12:16" ht="15.75" customHeight="1">
      <c r="L946" s="65"/>
      <c r="M946" s="65"/>
      <c r="N946" s="65"/>
      <c r="O946" s="65"/>
      <c r="P946" s="65"/>
    </row>
    <row r="947" spans="12:16" ht="15.75" customHeight="1">
      <c r="L947" s="65"/>
      <c r="M947" s="65"/>
      <c r="N947" s="65"/>
      <c r="O947" s="65"/>
      <c r="P947" s="65"/>
    </row>
    <row r="948" spans="12:16" ht="15.75" customHeight="1">
      <c r="L948" s="65"/>
      <c r="M948" s="65"/>
      <c r="N948" s="65"/>
      <c r="O948" s="65"/>
      <c r="P948" s="65"/>
    </row>
    <row r="949" spans="12:16" ht="15.75" customHeight="1">
      <c r="L949" s="65"/>
      <c r="M949" s="65"/>
      <c r="N949" s="65"/>
      <c r="O949" s="65"/>
      <c r="P949" s="65"/>
    </row>
    <row r="950" spans="12:16" ht="15.75" customHeight="1">
      <c r="L950" s="65"/>
      <c r="M950" s="65"/>
      <c r="N950" s="65"/>
      <c r="O950" s="65"/>
      <c r="P950" s="65"/>
    </row>
    <row r="951" spans="12:16" ht="15.75" customHeight="1">
      <c r="L951" s="65"/>
      <c r="M951" s="65"/>
      <c r="N951" s="65"/>
      <c r="O951" s="65"/>
      <c r="P951" s="65"/>
    </row>
    <row r="952" spans="12:16" ht="15.75" customHeight="1">
      <c r="L952" s="65"/>
      <c r="M952" s="65"/>
      <c r="N952" s="65"/>
      <c r="O952" s="65"/>
      <c r="P952" s="65"/>
    </row>
    <row r="953" spans="12:16" ht="15.75" customHeight="1">
      <c r="L953" s="65"/>
      <c r="M953" s="65"/>
      <c r="N953" s="65"/>
      <c r="O953" s="65"/>
      <c r="P953" s="65"/>
    </row>
    <row r="954" spans="12:16" ht="15.75" customHeight="1">
      <c r="L954" s="65"/>
      <c r="M954" s="65"/>
      <c r="N954" s="65"/>
      <c r="O954" s="65"/>
      <c r="P954" s="65"/>
    </row>
    <row r="955" spans="12:16" ht="15.75" customHeight="1">
      <c r="L955" s="65"/>
      <c r="M955" s="65"/>
      <c r="N955" s="65"/>
      <c r="O955" s="65"/>
      <c r="P955" s="65"/>
    </row>
    <row r="956" spans="12:16" ht="15.75" customHeight="1">
      <c r="L956" s="65"/>
      <c r="M956" s="65"/>
      <c r="N956" s="65"/>
      <c r="O956" s="65"/>
      <c r="P956" s="65"/>
    </row>
    <row r="957" spans="12:16" ht="15.75" customHeight="1">
      <c r="L957" s="65"/>
      <c r="M957" s="65"/>
      <c r="N957" s="65"/>
      <c r="O957" s="65"/>
      <c r="P957" s="65"/>
    </row>
    <row r="958" spans="12:16" ht="15.75" customHeight="1">
      <c r="L958" s="65"/>
      <c r="M958" s="65"/>
      <c r="N958" s="65"/>
      <c r="O958" s="65"/>
      <c r="P958" s="65"/>
    </row>
    <row r="959" spans="12:16" ht="15.75" customHeight="1">
      <c r="L959" s="65"/>
      <c r="M959" s="65"/>
      <c r="N959" s="65"/>
      <c r="O959" s="65"/>
      <c r="P959" s="65"/>
    </row>
    <row r="960" spans="12:16" ht="15.75" customHeight="1">
      <c r="L960" s="65"/>
      <c r="M960" s="65"/>
      <c r="N960" s="65"/>
      <c r="O960" s="65"/>
      <c r="P960" s="65"/>
    </row>
    <row r="961" spans="12:16" ht="15.75" customHeight="1">
      <c r="L961" s="65"/>
      <c r="M961" s="65"/>
      <c r="N961" s="65"/>
      <c r="O961" s="65"/>
      <c r="P961" s="65"/>
    </row>
    <row r="962" spans="12:16" ht="15.75" customHeight="1">
      <c r="L962" s="65"/>
      <c r="M962" s="65"/>
      <c r="N962" s="65"/>
      <c r="O962" s="65"/>
      <c r="P962" s="65"/>
    </row>
    <row r="963" spans="12:16" ht="15.75" customHeight="1">
      <c r="L963" s="65"/>
      <c r="M963" s="65"/>
      <c r="N963" s="65"/>
      <c r="O963" s="65"/>
      <c r="P963" s="65"/>
    </row>
    <row r="964" spans="12:16" ht="15.75" customHeight="1">
      <c r="L964" s="65"/>
      <c r="M964" s="65"/>
      <c r="N964" s="65"/>
      <c r="O964" s="65"/>
      <c r="P964" s="65"/>
    </row>
    <row r="965" spans="12:16" ht="15.75" customHeight="1">
      <c r="L965" s="65"/>
      <c r="M965" s="65"/>
      <c r="N965" s="65"/>
      <c r="O965" s="65"/>
      <c r="P965" s="65"/>
    </row>
    <row r="966" spans="12:16" ht="15.75" customHeight="1">
      <c r="L966" s="65"/>
      <c r="M966" s="65"/>
      <c r="N966" s="65"/>
      <c r="O966" s="65"/>
      <c r="P966" s="65"/>
    </row>
    <row r="967" spans="12:16" ht="15.75" customHeight="1">
      <c r="L967" s="65"/>
      <c r="M967" s="65"/>
      <c r="N967" s="65"/>
      <c r="O967" s="65"/>
      <c r="P967" s="65"/>
    </row>
    <row r="968" spans="12:16" ht="15.75" customHeight="1">
      <c r="L968" s="65"/>
      <c r="M968" s="65"/>
      <c r="N968" s="65"/>
      <c r="O968" s="65"/>
      <c r="P968" s="65"/>
    </row>
    <row r="969" spans="12:16" ht="15.75" customHeight="1">
      <c r="L969" s="65"/>
      <c r="M969" s="65"/>
      <c r="N969" s="65"/>
      <c r="O969" s="65"/>
      <c r="P969" s="65"/>
    </row>
    <row r="970" spans="12:16" ht="15.75" customHeight="1">
      <c r="L970" s="65"/>
      <c r="M970" s="65"/>
      <c r="N970" s="65"/>
      <c r="O970" s="65"/>
      <c r="P970" s="65"/>
    </row>
    <row r="971" spans="12:16" ht="15.75" customHeight="1">
      <c r="L971" s="65"/>
      <c r="M971" s="65"/>
      <c r="N971" s="65"/>
      <c r="O971" s="65"/>
      <c r="P971" s="65"/>
    </row>
    <row r="972" spans="12:16" ht="15.75" customHeight="1">
      <c r="L972" s="65"/>
      <c r="M972" s="65"/>
      <c r="N972" s="65"/>
      <c r="O972" s="65"/>
      <c r="P972" s="65"/>
    </row>
    <row r="973" spans="12:16" ht="15.75" customHeight="1">
      <c r="L973" s="65"/>
      <c r="M973" s="65"/>
      <c r="N973" s="65"/>
      <c r="O973" s="65"/>
      <c r="P973" s="65"/>
    </row>
    <row r="974" spans="12:16" ht="15.75" customHeight="1">
      <c r="L974" s="65"/>
      <c r="M974" s="65"/>
      <c r="N974" s="65"/>
      <c r="O974" s="65"/>
      <c r="P974" s="65"/>
    </row>
    <row r="975" spans="12:16" ht="15.75" customHeight="1">
      <c r="L975" s="65"/>
      <c r="M975" s="65"/>
      <c r="N975" s="65"/>
      <c r="O975" s="65"/>
      <c r="P975" s="65"/>
    </row>
    <row r="976" spans="12:16" ht="15.75" customHeight="1">
      <c r="L976" s="65"/>
      <c r="M976" s="65"/>
      <c r="N976" s="65"/>
      <c r="O976" s="65"/>
      <c r="P976" s="65"/>
    </row>
    <row r="977" spans="12:16" ht="15.75" customHeight="1">
      <c r="L977" s="65"/>
      <c r="M977" s="65"/>
      <c r="N977" s="65"/>
      <c r="O977" s="65"/>
      <c r="P977" s="65"/>
    </row>
    <row r="978" spans="12:16" ht="15.75" customHeight="1">
      <c r="L978" s="65"/>
      <c r="M978" s="65"/>
      <c r="N978" s="65"/>
      <c r="O978" s="65"/>
      <c r="P978" s="65"/>
    </row>
    <row r="979" spans="12:16" ht="15.75" customHeight="1">
      <c r="L979" s="65"/>
      <c r="M979" s="65"/>
      <c r="N979" s="65"/>
      <c r="O979" s="65"/>
      <c r="P979" s="65"/>
    </row>
    <row r="980" spans="12:16" ht="15.75" customHeight="1">
      <c r="L980" s="65"/>
      <c r="M980" s="65"/>
      <c r="N980" s="65"/>
      <c r="O980" s="65"/>
      <c r="P980" s="65"/>
    </row>
    <row r="981" spans="12:16" ht="15.75" customHeight="1">
      <c r="L981" s="65"/>
      <c r="M981" s="65"/>
      <c r="N981" s="65"/>
      <c r="O981" s="65"/>
      <c r="P981" s="65"/>
    </row>
    <row r="982" spans="12:16" ht="15.75" customHeight="1">
      <c r="L982" s="65"/>
      <c r="M982" s="65"/>
      <c r="N982" s="65"/>
      <c r="O982" s="65"/>
      <c r="P982" s="65"/>
    </row>
    <row r="983" spans="12:16" ht="15.75" customHeight="1">
      <c r="L983" s="65"/>
      <c r="M983" s="65"/>
      <c r="N983" s="65"/>
      <c r="O983" s="65"/>
      <c r="P983" s="65"/>
    </row>
    <row r="984" spans="12:16" ht="15.75" customHeight="1">
      <c r="L984" s="65"/>
      <c r="M984" s="65"/>
      <c r="N984" s="65"/>
      <c r="O984" s="65"/>
      <c r="P984" s="65"/>
    </row>
    <row r="985" spans="12:16" ht="15.75" customHeight="1">
      <c r="L985" s="65"/>
      <c r="M985" s="65"/>
      <c r="N985" s="65"/>
      <c r="O985" s="65"/>
      <c r="P985" s="65"/>
    </row>
    <row r="986" spans="12:16" ht="15.75" customHeight="1">
      <c r="L986" s="65"/>
      <c r="M986" s="65"/>
      <c r="N986" s="65"/>
      <c r="O986" s="65"/>
      <c r="P986" s="65"/>
    </row>
    <row r="987" spans="12:16" ht="15.75" customHeight="1">
      <c r="L987" s="65"/>
      <c r="M987" s="65"/>
      <c r="N987" s="65"/>
      <c r="O987" s="65"/>
      <c r="P987" s="65"/>
    </row>
    <row r="988" spans="12:16" ht="15.75" customHeight="1">
      <c r="L988" s="65"/>
      <c r="M988" s="65"/>
      <c r="N988" s="65"/>
      <c r="O988" s="65"/>
      <c r="P988" s="65"/>
    </row>
    <row r="989" spans="12:16" ht="15.75" customHeight="1">
      <c r="L989" s="65"/>
      <c r="M989" s="65"/>
      <c r="N989" s="65"/>
      <c r="O989" s="65"/>
      <c r="P989" s="65"/>
    </row>
    <row r="990" spans="12:16" ht="15.75" customHeight="1">
      <c r="L990" s="65"/>
      <c r="M990" s="65"/>
      <c r="N990" s="65"/>
      <c r="O990" s="65"/>
      <c r="P990" s="65"/>
    </row>
    <row r="991" spans="12:16" ht="15.75" customHeight="1">
      <c r="L991" s="65"/>
      <c r="M991" s="65"/>
      <c r="N991" s="65"/>
      <c r="O991" s="65"/>
      <c r="P991" s="65"/>
    </row>
    <row r="992" spans="12:16" ht="15.75" customHeight="1">
      <c r="L992" s="65"/>
      <c r="M992" s="65"/>
      <c r="N992" s="65"/>
      <c r="O992" s="65"/>
      <c r="P992" s="65"/>
    </row>
    <row r="993" spans="12:16" ht="15.75" customHeight="1">
      <c r="L993" s="65"/>
      <c r="M993" s="65"/>
      <c r="N993" s="65"/>
      <c r="O993" s="65"/>
      <c r="P993" s="65"/>
    </row>
    <row r="994" spans="12:16" ht="15.75" customHeight="1">
      <c r="L994" s="65"/>
      <c r="M994" s="65"/>
      <c r="N994" s="65"/>
      <c r="O994" s="65"/>
      <c r="P994" s="65"/>
    </row>
    <row r="995" spans="12:16" ht="15.75" customHeight="1">
      <c r="L995" s="65"/>
      <c r="M995" s="65"/>
      <c r="N995" s="65"/>
      <c r="O995" s="65"/>
      <c r="P995" s="65"/>
    </row>
    <row r="996" spans="12:16" ht="15.75" customHeight="1">
      <c r="L996" s="65"/>
      <c r="M996" s="65"/>
      <c r="N996" s="65"/>
      <c r="O996" s="65"/>
      <c r="P996" s="65"/>
    </row>
    <row r="997" spans="12:16" ht="15.75" customHeight="1">
      <c r="L997" s="65"/>
      <c r="M997" s="65"/>
      <c r="N997" s="65"/>
      <c r="O997" s="65"/>
      <c r="P997" s="65"/>
    </row>
    <row r="998" spans="12:16" ht="15.75" customHeight="1">
      <c r="L998" s="65"/>
      <c r="M998" s="65"/>
      <c r="N998" s="65"/>
      <c r="O998" s="65"/>
      <c r="P998" s="65"/>
    </row>
    <row r="999" spans="12:16" ht="15.75" customHeight="1">
      <c r="L999" s="65"/>
      <c r="M999" s="65"/>
      <c r="N999" s="65"/>
      <c r="O999" s="65"/>
      <c r="P999" s="65"/>
    </row>
    <row r="1000" spans="12:16" ht="15.75" customHeight="1">
      <c r="L1000" s="65"/>
      <c r="M1000" s="65"/>
      <c r="N1000" s="65"/>
      <c r="O1000" s="65"/>
      <c r="P1000" s="65"/>
    </row>
    <row r="1001" spans="12:16" ht="15.75" customHeight="1">
      <c r="L1001" s="65"/>
      <c r="M1001" s="65"/>
      <c r="N1001" s="65"/>
      <c r="O1001" s="65"/>
      <c r="P1001" s="65"/>
    </row>
    <row r="1002" spans="12:16" ht="15.75" customHeight="1">
      <c r="L1002" s="65"/>
      <c r="M1002" s="65"/>
      <c r="N1002" s="65"/>
      <c r="O1002" s="65"/>
      <c r="P1002" s="65"/>
    </row>
  </sheetData>
  <mergeCells count="1">
    <mergeCell ref="A1:A2"/>
  </mergeCells>
  <hyperlinks>
    <hyperlink ref="R11" r:id="rId1" xr:uid="{00000000-0004-0000-0400-000003000000}"/>
    <hyperlink ref="R12" r:id="rId2" xr:uid="{00000000-0004-0000-0400-000004000000}"/>
    <hyperlink ref="R13" r:id="rId3" location="p=18" xr:uid="{00000000-0004-0000-0400-000005000000}"/>
    <hyperlink ref="R14" r:id="rId4" xr:uid="{00000000-0004-0000-0400-000006000000}"/>
    <hyperlink ref="R17" r:id="rId5" xr:uid="{00000000-0004-0000-0400-000007000000}"/>
    <hyperlink ref="R43" r:id="rId6" xr:uid="{4B95DC67-13E1-4030-BD47-35BC5ED32EE9}"/>
    <hyperlink ref="R18" r:id="rId7" xr:uid="{2EED9428-516A-4785-8132-D482ED2204FA}"/>
    <hyperlink ref="R19" r:id="rId8" xr:uid="{8150F5BB-984C-48C0-8732-A8D208156272}"/>
  </hyperlinks>
  <pageMargins left="0.7" right="0.7" top="0.75" bottom="0.75" header="0" footer="0"/>
  <pageSetup orientation="portrait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306C"/>
  </sheetPr>
  <dimension ref="A1:AD1005"/>
  <sheetViews>
    <sheetView workbookViewId="0">
      <selection activeCell="J14" sqref="J14:Q15"/>
    </sheetView>
  </sheetViews>
  <sheetFormatPr defaultColWidth="14.42578125" defaultRowHeight="15" customHeight="1"/>
  <cols>
    <col min="1" max="1" width="71.42578125" customWidth="1"/>
    <col min="2" max="15" width="11.7109375" customWidth="1"/>
    <col min="16" max="16" width="12.7109375" customWidth="1"/>
    <col min="17" max="17" width="96.42578125" customWidth="1"/>
    <col min="18" max="18" width="24.7109375" customWidth="1"/>
    <col min="19" max="19" width="76.28515625" customWidth="1"/>
    <col min="20" max="30" width="8.85546875" customWidth="1"/>
  </cols>
  <sheetData>
    <row r="1" spans="1:30">
      <c r="A1" s="447" t="s">
        <v>159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</row>
    <row r="4" spans="1:30">
      <c r="A4" s="35" t="s">
        <v>160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2">
        <v>6</v>
      </c>
      <c r="N4" s="32">
        <v>11</v>
      </c>
      <c r="O4" s="32">
        <v>17</v>
      </c>
      <c r="P4" s="233" t="s">
        <v>52</v>
      </c>
      <c r="Q4" s="234" t="s">
        <v>161</v>
      </c>
      <c r="R4" s="233" t="s">
        <v>27</v>
      </c>
    </row>
    <row r="5" spans="1:30">
      <c r="A5" s="35" t="s">
        <v>162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2">
        <v>5</v>
      </c>
      <c r="N5" s="32">
        <v>6</v>
      </c>
      <c r="O5" s="32">
        <v>11</v>
      </c>
      <c r="P5" s="233" t="s">
        <v>52</v>
      </c>
      <c r="Q5" s="234" t="s">
        <v>161</v>
      </c>
      <c r="R5" s="233" t="s">
        <v>27</v>
      </c>
    </row>
    <row r="6" spans="1:30">
      <c r="A6" s="35" t="s">
        <v>163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59">
        <v>0.79100000000000004</v>
      </c>
      <c r="N6" s="59">
        <v>1.75</v>
      </c>
      <c r="O6" s="59">
        <v>3</v>
      </c>
      <c r="P6" s="233" t="s">
        <v>52</v>
      </c>
      <c r="Q6" s="234" t="s">
        <v>161</v>
      </c>
      <c r="R6" s="233" t="s">
        <v>27</v>
      </c>
    </row>
    <row r="7" spans="1:30">
      <c r="A7" s="45"/>
      <c r="B7" s="46"/>
      <c r="C7" s="46"/>
      <c r="D7" s="46"/>
      <c r="E7" s="46"/>
      <c r="F7" s="46"/>
      <c r="G7" s="46"/>
      <c r="H7" s="46"/>
      <c r="I7" s="46"/>
      <c r="J7" s="47"/>
      <c r="K7" s="47"/>
      <c r="L7" s="47"/>
      <c r="M7" s="47"/>
      <c r="N7" s="47"/>
      <c r="O7" s="47"/>
      <c r="P7" s="48"/>
      <c r="Q7" s="49"/>
      <c r="R7" s="189"/>
    </row>
    <row r="8" spans="1:30">
      <c r="A8" s="51" t="s">
        <v>50</v>
      </c>
      <c r="B8" s="28">
        <v>2010</v>
      </c>
      <c r="C8" s="28">
        <v>2011</v>
      </c>
      <c r="D8" s="28">
        <v>2012</v>
      </c>
      <c r="E8" s="28">
        <v>2013</v>
      </c>
      <c r="F8" s="28">
        <v>2014</v>
      </c>
      <c r="G8" s="28">
        <v>2015</v>
      </c>
      <c r="H8" s="28">
        <v>2016</v>
      </c>
      <c r="I8" s="28">
        <v>2017</v>
      </c>
      <c r="J8" s="28">
        <v>2018</v>
      </c>
      <c r="K8" s="28">
        <v>2019</v>
      </c>
      <c r="L8" s="28">
        <v>2020</v>
      </c>
      <c r="M8" s="28">
        <v>2021</v>
      </c>
      <c r="N8" s="28">
        <v>2022</v>
      </c>
      <c r="O8" s="28">
        <v>2023</v>
      </c>
      <c r="P8" s="29" t="s">
        <v>21</v>
      </c>
      <c r="Q8" s="29" t="s">
        <v>22</v>
      </c>
      <c r="R8" s="29" t="s">
        <v>23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>
      <c r="A9" s="425" t="s">
        <v>164</v>
      </c>
      <c r="B9" s="43">
        <v>8.7765930000000001</v>
      </c>
      <c r="C9" s="43">
        <v>62.041289999999996</v>
      </c>
      <c r="D9" s="43">
        <v>52.401102000000002</v>
      </c>
      <c r="E9" s="43">
        <v>113.285858</v>
      </c>
      <c r="F9" s="43">
        <v>159.14120600000001</v>
      </c>
      <c r="G9" s="43">
        <v>176.84761599999999</v>
      </c>
      <c r="H9" s="43">
        <v>241.487435</v>
      </c>
      <c r="I9" s="43">
        <v>258.34212500000001</v>
      </c>
      <c r="J9" s="43">
        <v>305.48444699999999</v>
      </c>
      <c r="K9" s="43">
        <v>492.00795799999997</v>
      </c>
      <c r="L9" s="227">
        <v>534</v>
      </c>
      <c r="M9" s="235">
        <v>861</v>
      </c>
      <c r="N9" s="235">
        <v>1499</v>
      </c>
      <c r="O9" s="235">
        <v>2593</v>
      </c>
      <c r="P9" s="34" t="s">
        <v>92</v>
      </c>
      <c r="Q9" s="223" t="s">
        <v>93</v>
      </c>
      <c r="R9" s="34" t="s">
        <v>94</v>
      </c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425" t="s">
        <v>165</v>
      </c>
      <c r="B10" s="236">
        <v>8.7765930000000001</v>
      </c>
      <c r="C10" s="43">
        <v>62.041289999999996</v>
      </c>
      <c r="D10" s="43">
        <v>102.674024</v>
      </c>
      <c r="E10" s="43">
        <v>416.68540000000002</v>
      </c>
      <c r="F10" s="43">
        <v>487.892696</v>
      </c>
      <c r="G10" s="43">
        <v>513.14457400000003</v>
      </c>
      <c r="H10" s="43">
        <v>591.17347099999995</v>
      </c>
      <c r="I10" s="43">
        <v>602.72382000000005</v>
      </c>
      <c r="J10" s="43">
        <v>615.33108400000003</v>
      </c>
      <c r="K10" s="236">
        <v>912.38458300000002</v>
      </c>
      <c r="L10" s="90">
        <v>966</v>
      </c>
      <c r="M10" s="120">
        <v>1209</v>
      </c>
      <c r="N10" s="120">
        <v>1718</v>
      </c>
      <c r="O10" s="120">
        <v>2868</v>
      </c>
      <c r="P10" s="34" t="s">
        <v>92</v>
      </c>
      <c r="Q10" s="223" t="s">
        <v>93</v>
      </c>
      <c r="R10" s="34" t="s">
        <v>94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425" t="s">
        <v>166</v>
      </c>
      <c r="B11" s="36"/>
      <c r="C11" s="36"/>
      <c r="D11" s="36"/>
      <c r="E11" s="36"/>
      <c r="F11" s="36"/>
      <c r="G11" s="36"/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34" t="s">
        <v>52</v>
      </c>
      <c r="Q11" s="64" t="s">
        <v>167</v>
      </c>
      <c r="R11" s="34" t="s">
        <v>94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425" t="s">
        <v>168</v>
      </c>
      <c r="B12" s="36"/>
      <c r="C12" s="36"/>
      <c r="D12" s="43">
        <v>25.41</v>
      </c>
      <c r="E12" s="43">
        <v>206.68199999999999</v>
      </c>
      <c r="F12" s="43">
        <v>120.666</v>
      </c>
      <c r="G12" s="43">
        <v>204.708</v>
      </c>
      <c r="H12" s="43">
        <v>222.768</v>
      </c>
      <c r="I12" s="43">
        <v>189.37799999999999</v>
      </c>
      <c r="J12" s="43">
        <v>173.208</v>
      </c>
      <c r="K12" s="43">
        <v>258.00599999999997</v>
      </c>
      <c r="L12" s="43">
        <v>279.63600000000002</v>
      </c>
      <c r="M12" s="43">
        <v>392.28</v>
      </c>
      <c r="N12" s="43">
        <v>262.66800000000001</v>
      </c>
      <c r="O12" s="43">
        <v>362.12400000000002</v>
      </c>
      <c r="P12" s="34" t="s">
        <v>52</v>
      </c>
      <c r="Q12" s="64" t="s">
        <v>169</v>
      </c>
      <c r="R12" s="34" t="s">
        <v>94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26"/>
      <c r="C14" s="26"/>
      <c r="D14" s="26"/>
      <c r="E14" s="26"/>
      <c r="F14" s="26"/>
      <c r="G14" s="26"/>
      <c r="H14" s="26"/>
      <c r="I14" s="26"/>
      <c r="J14" s="435"/>
      <c r="K14" s="435"/>
      <c r="L14" s="435"/>
      <c r="M14" s="435"/>
      <c r="N14" s="435"/>
      <c r="O14" s="435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59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81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33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33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7"/>
      <c r="C36" s="27"/>
      <c r="D36" s="27"/>
      <c r="E36" s="27"/>
      <c r="F36" s="27"/>
      <c r="G36" s="27"/>
      <c r="H36" s="27"/>
      <c r="I36" s="27"/>
      <c r="J36" s="26"/>
      <c r="K36" s="27"/>
      <c r="L36" s="27"/>
      <c r="M36" s="27"/>
      <c r="N36" s="27"/>
      <c r="O36" s="2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I37" s="27"/>
      <c r="J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I38" s="27"/>
      <c r="J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65"/>
      <c r="F77" s="65"/>
      <c r="G77" s="65"/>
      <c r="H77" s="65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65"/>
      <c r="F78" s="65"/>
      <c r="G78" s="65"/>
      <c r="H78" s="65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65"/>
      <c r="F79" s="65"/>
      <c r="G79" s="65"/>
      <c r="H79" s="65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65"/>
      <c r="F80" s="65"/>
      <c r="G80" s="65"/>
      <c r="H80" s="65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65"/>
      <c r="F81" s="65"/>
      <c r="G81" s="65"/>
      <c r="H81" s="65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65"/>
      <c r="F82" s="65"/>
      <c r="G82" s="65"/>
      <c r="H82" s="6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65"/>
      <c r="F83" s="65"/>
      <c r="G83" s="65"/>
      <c r="H83" s="65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65"/>
      <c r="F84" s="65"/>
      <c r="G84" s="65"/>
      <c r="H84" s="65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65"/>
      <c r="F85" s="65"/>
      <c r="G85" s="65"/>
      <c r="H85" s="65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65"/>
      <c r="F86" s="65"/>
      <c r="G86" s="65"/>
      <c r="H86" s="65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65"/>
      <c r="F87" s="65"/>
      <c r="G87" s="65"/>
      <c r="H87" s="65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65"/>
      <c r="F88" s="65"/>
      <c r="G88" s="65"/>
      <c r="H88" s="65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65"/>
      <c r="F89" s="65"/>
      <c r="G89" s="65"/>
      <c r="H89" s="65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65"/>
      <c r="F90" s="65"/>
      <c r="G90" s="65"/>
      <c r="H90" s="65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65"/>
      <c r="F91" s="65"/>
      <c r="G91" s="65"/>
      <c r="H91" s="65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65"/>
      <c r="F92" s="65"/>
      <c r="G92" s="65"/>
      <c r="H92" s="65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65"/>
      <c r="F93" s="65"/>
      <c r="G93" s="65"/>
      <c r="H93" s="65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65"/>
      <c r="F94" s="65"/>
      <c r="G94" s="65"/>
      <c r="H94" s="65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65"/>
      <c r="F95" s="65"/>
      <c r="G95" s="65"/>
      <c r="H95" s="65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65"/>
      <c r="F96" s="65"/>
      <c r="G96" s="65"/>
      <c r="H96" s="65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65"/>
      <c r="F97" s="65"/>
      <c r="G97" s="65"/>
      <c r="H97" s="65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65"/>
      <c r="F98" s="65"/>
      <c r="G98" s="65"/>
      <c r="H98" s="65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65"/>
      <c r="F99" s="65"/>
      <c r="G99" s="65"/>
      <c r="H99" s="65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65"/>
      <c r="F100" s="65"/>
      <c r="G100" s="65"/>
      <c r="H100" s="65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65"/>
      <c r="F101" s="65"/>
      <c r="G101" s="65"/>
      <c r="H101" s="65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  <row r="1002" spans="1:30" ht="15.75" customHeight="1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</row>
    <row r="1003" spans="1:30" ht="15.75" customHeight="1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</row>
    <row r="1004" spans="1:30" ht="15.75" customHeight="1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</row>
    <row r="1005" spans="1:30" ht="15.75" customHeight="1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</row>
  </sheetData>
  <mergeCells count="1">
    <mergeCell ref="A1:A2"/>
  </mergeCells>
  <hyperlinks>
    <hyperlink ref="Q4" r:id="rId1" xr:uid="{00000000-0004-0000-0500-000000000000}"/>
    <hyperlink ref="Q5" r:id="rId2" xr:uid="{00000000-0004-0000-0500-000001000000}"/>
    <hyperlink ref="Q6" r:id="rId3" xr:uid="{00000000-0004-0000-0500-000002000000}"/>
    <hyperlink ref="Q9" r:id="rId4" xr:uid="{00000000-0004-0000-0500-000003000000}"/>
    <hyperlink ref="Q10" r:id="rId5" xr:uid="{00000000-0004-0000-0500-000004000000}"/>
    <hyperlink ref="Q11" r:id="rId6" xr:uid="{00000000-0004-0000-0500-000006000000}"/>
    <hyperlink ref="Q12" r:id="rId7" xr:uid="{00000000-0004-0000-0500-000007000000}"/>
  </hyperlinks>
  <pageMargins left="0.7" right="0.7" top="0.75" bottom="0.75" header="0" footer="0"/>
  <pageSetup orientation="portrait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306C"/>
  </sheetPr>
  <dimension ref="A1:AD1005"/>
  <sheetViews>
    <sheetView topLeftCell="A7" workbookViewId="0">
      <selection activeCell="O5" sqref="O5"/>
    </sheetView>
  </sheetViews>
  <sheetFormatPr defaultColWidth="14.42578125" defaultRowHeight="15" customHeight="1"/>
  <cols>
    <col min="1" max="1" width="63.85546875" bestFit="1" customWidth="1"/>
    <col min="2" max="15" width="9.140625" customWidth="1"/>
    <col min="16" max="16" width="12.7109375" customWidth="1"/>
    <col min="17" max="17" width="66.7109375" customWidth="1"/>
    <col min="18" max="18" width="45.5703125" bestFit="1" customWidth="1"/>
    <col min="19" max="30" width="8.7109375" customWidth="1"/>
  </cols>
  <sheetData>
    <row r="1" spans="1:30">
      <c r="A1" s="447" t="s">
        <v>171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>
      <c r="A2" s="448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0">
      <c r="A3" s="28" t="s">
        <v>50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 t="s">
        <v>21</v>
      </c>
      <c r="Q3" s="29" t="s">
        <v>22</v>
      </c>
      <c r="R3" s="29" t="s">
        <v>23</v>
      </c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1:30" ht="17.25" customHeight="1">
      <c r="A4" s="35" t="s">
        <v>540</v>
      </c>
      <c r="B4" s="88"/>
      <c r="C4" s="88"/>
      <c r="D4" s="88"/>
      <c r="E4" s="88"/>
      <c r="F4" s="88"/>
      <c r="G4" s="88"/>
      <c r="H4" s="81">
        <v>1.9437169999999999</v>
      </c>
      <c r="I4" s="81">
        <v>1.711017</v>
      </c>
      <c r="J4" s="81">
        <v>1.8281780000000001</v>
      </c>
      <c r="K4" s="81">
        <v>2.4287019999999999</v>
      </c>
      <c r="L4" s="81">
        <v>4.6083990000000004</v>
      </c>
      <c r="M4" s="81">
        <v>5.0800729999999996</v>
      </c>
      <c r="N4" s="81">
        <v>7.8931370000000003</v>
      </c>
      <c r="O4" s="81">
        <v>14.016105</v>
      </c>
      <c r="P4" s="40" t="s">
        <v>92</v>
      </c>
      <c r="Q4" s="237" t="s">
        <v>93</v>
      </c>
      <c r="R4" s="34" t="s">
        <v>27</v>
      </c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ht="16.5" customHeight="1">
      <c r="A5" s="31" t="s">
        <v>541</v>
      </c>
      <c r="B5" s="88"/>
      <c r="C5" s="88"/>
      <c r="D5" s="88"/>
      <c r="E5" s="88"/>
      <c r="F5" s="88"/>
      <c r="G5" s="88"/>
      <c r="H5" s="81">
        <v>1.9437169999999999</v>
      </c>
      <c r="I5" s="81">
        <v>1.711017</v>
      </c>
      <c r="J5" s="81">
        <v>1.8281780000000001</v>
      </c>
      <c r="K5" s="81">
        <v>2.4287019999999999</v>
      </c>
      <c r="L5" s="81">
        <v>4.6083990000000004</v>
      </c>
      <c r="M5" s="81">
        <v>5.0800729999999996</v>
      </c>
      <c r="N5" s="81">
        <v>15.819877</v>
      </c>
      <c r="O5" s="81">
        <v>26.300097000000001</v>
      </c>
      <c r="P5" s="304" t="s">
        <v>92</v>
      </c>
      <c r="Q5" s="237" t="s">
        <v>93</v>
      </c>
      <c r="R5" s="34" t="s">
        <v>27</v>
      </c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 spans="1:30">
      <c r="A6" s="31" t="s">
        <v>516</v>
      </c>
      <c r="B6" s="88"/>
      <c r="C6" s="88"/>
      <c r="D6" s="88"/>
      <c r="E6" s="88"/>
      <c r="F6" s="88"/>
      <c r="G6" s="88"/>
      <c r="H6" s="305">
        <v>17138</v>
      </c>
      <c r="I6" s="305">
        <v>17662</v>
      </c>
      <c r="J6" s="305">
        <v>18325</v>
      </c>
      <c r="K6" s="305">
        <v>18746</v>
      </c>
      <c r="L6" s="305">
        <v>11067</v>
      </c>
      <c r="M6" s="305">
        <v>14617</v>
      </c>
      <c r="N6" s="305">
        <v>17510</v>
      </c>
      <c r="O6" s="88"/>
      <c r="P6" s="304" t="s">
        <v>542</v>
      </c>
      <c r="Q6" s="344" t="s">
        <v>172</v>
      </c>
      <c r="R6" s="108" t="s">
        <v>173</v>
      </c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</row>
    <row r="7" spans="1:30" ht="45">
      <c r="A7" s="31" t="s">
        <v>174</v>
      </c>
      <c r="B7" s="88"/>
      <c r="C7" s="88"/>
      <c r="D7" s="88"/>
      <c r="E7" s="235">
        <v>15005</v>
      </c>
      <c r="F7" s="235">
        <v>395994</v>
      </c>
      <c r="G7" s="235">
        <v>921009</v>
      </c>
      <c r="H7" s="235">
        <v>639006</v>
      </c>
      <c r="I7" s="235">
        <v>39996</v>
      </c>
      <c r="J7" s="235">
        <v>106</v>
      </c>
      <c r="K7" s="235">
        <v>255135.12479999999</v>
      </c>
      <c r="L7" s="235">
        <v>108781.3008</v>
      </c>
      <c r="M7" s="235">
        <v>2412304.6464</v>
      </c>
      <c r="N7" s="235">
        <v>5683241.9484000001</v>
      </c>
      <c r="O7" s="235">
        <v>2977690.5107999998</v>
      </c>
      <c r="P7" s="306" t="s">
        <v>175</v>
      </c>
      <c r="Q7" s="308" t="s">
        <v>176</v>
      </c>
      <c r="R7" s="31" t="s">
        <v>177</v>
      </c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 spans="1:30" ht="45">
      <c r="A8" s="31" t="s">
        <v>574</v>
      </c>
      <c r="B8" s="88"/>
      <c r="C8" s="88"/>
      <c r="D8" s="385"/>
      <c r="E8" s="235">
        <v>1</v>
      </c>
      <c r="F8" s="235">
        <v>2</v>
      </c>
      <c r="G8" s="235">
        <v>2</v>
      </c>
      <c r="H8" s="235">
        <v>6</v>
      </c>
      <c r="I8" s="235">
        <v>2</v>
      </c>
      <c r="J8" s="235">
        <v>5</v>
      </c>
      <c r="K8" s="235">
        <v>4</v>
      </c>
      <c r="L8" s="235">
        <v>5</v>
      </c>
      <c r="M8" s="235">
        <v>23</v>
      </c>
      <c r="N8" s="235">
        <v>43</v>
      </c>
      <c r="O8" s="235">
        <v>28</v>
      </c>
      <c r="P8" s="306" t="s">
        <v>175</v>
      </c>
      <c r="Q8" s="308" t="s">
        <v>176</v>
      </c>
      <c r="R8" s="34" t="s">
        <v>27</v>
      </c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 spans="1:30" ht="30">
      <c r="A9" s="31" t="s">
        <v>178</v>
      </c>
      <c r="B9" s="88"/>
      <c r="C9" s="88"/>
      <c r="D9" s="235">
        <v>1</v>
      </c>
      <c r="E9" s="235">
        <v>2</v>
      </c>
      <c r="F9" s="235">
        <v>3</v>
      </c>
      <c r="G9" s="235">
        <v>3</v>
      </c>
      <c r="H9" s="235">
        <v>3</v>
      </c>
      <c r="I9" s="235">
        <v>4</v>
      </c>
      <c r="J9" s="235">
        <v>4</v>
      </c>
      <c r="K9" s="235">
        <v>4</v>
      </c>
      <c r="L9" s="235">
        <v>5</v>
      </c>
      <c r="M9" s="235">
        <v>6</v>
      </c>
      <c r="N9" s="235">
        <v>6</v>
      </c>
      <c r="O9" s="235">
        <v>9</v>
      </c>
      <c r="P9" s="307" t="s">
        <v>175</v>
      </c>
      <c r="Q9" s="309" t="s">
        <v>179</v>
      </c>
      <c r="R9" s="34" t="s">
        <v>27</v>
      </c>
    </row>
    <row r="10" spans="1:30" ht="30">
      <c r="A10" s="31" t="s">
        <v>180</v>
      </c>
      <c r="B10" s="88"/>
      <c r="C10" s="88"/>
      <c r="D10" s="227">
        <v>4</v>
      </c>
      <c r="E10" s="227">
        <v>5</v>
      </c>
      <c r="F10" s="227">
        <v>6</v>
      </c>
      <c r="G10" s="227">
        <v>6</v>
      </c>
      <c r="H10" s="227">
        <v>6</v>
      </c>
      <c r="I10" s="227">
        <v>7</v>
      </c>
      <c r="J10" s="227">
        <v>7</v>
      </c>
      <c r="K10" s="227">
        <v>7</v>
      </c>
      <c r="L10" s="227">
        <v>10</v>
      </c>
      <c r="M10" s="227">
        <v>11</v>
      </c>
      <c r="N10" s="227">
        <v>11</v>
      </c>
      <c r="O10" s="227">
        <v>14</v>
      </c>
      <c r="P10" s="31" t="s">
        <v>175</v>
      </c>
      <c r="Q10" s="309" t="s">
        <v>179</v>
      </c>
      <c r="R10" s="34" t="s">
        <v>27</v>
      </c>
    </row>
    <row r="11" spans="1:30">
      <c r="A11" s="31" t="s">
        <v>576</v>
      </c>
      <c r="B11" s="88"/>
      <c r="C11" s="88"/>
      <c r="D11" s="88"/>
      <c r="E11" s="88"/>
      <c r="F11" s="227">
        <v>0</v>
      </c>
      <c r="G11" s="227">
        <v>0</v>
      </c>
      <c r="H11" s="227">
        <v>2</v>
      </c>
      <c r="I11" s="227">
        <v>5</v>
      </c>
      <c r="J11" s="227">
        <v>9</v>
      </c>
      <c r="K11" s="227">
        <v>11</v>
      </c>
      <c r="L11" s="227">
        <v>14</v>
      </c>
      <c r="M11" s="227">
        <v>46</v>
      </c>
      <c r="N11" s="227">
        <v>63</v>
      </c>
      <c r="O11" s="227">
        <v>79</v>
      </c>
      <c r="P11" s="31" t="s">
        <v>175</v>
      </c>
      <c r="Q11" s="310" t="s">
        <v>575</v>
      </c>
      <c r="R11" s="34" t="s">
        <v>27</v>
      </c>
    </row>
    <row r="12" spans="1:30">
      <c r="A12" s="31" t="s">
        <v>577</v>
      </c>
      <c r="B12" s="88"/>
      <c r="C12" s="88"/>
      <c r="D12" s="88"/>
      <c r="E12" s="88"/>
      <c r="F12" s="227">
        <v>1</v>
      </c>
      <c r="G12" s="227">
        <v>1</v>
      </c>
      <c r="H12" s="227">
        <v>3</v>
      </c>
      <c r="I12" s="227">
        <v>5</v>
      </c>
      <c r="J12" s="227">
        <v>10</v>
      </c>
      <c r="K12" s="227">
        <v>15</v>
      </c>
      <c r="L12" s="227">
        <v>16</v>
      </c>
      <c r="M12" s="227">
        <v>21</v>
      </c>
      <c r="N12" s="227">
        <v>31</v>
      </c>
      <c r="O12" s="227">
        <v>43</v>
      </c>
      <c r="P12" s="31" t="s">
        <v>175</v>
      </c>
      <c r="Q12" s="310" t="s">
        <v>575</v>
      </c>
      <c r="R12" s="34" t="s">
        <v>27</v>
      </c>
    </row>
    <row r="13" spans="1:30">
      <c r="A13" s="31" t="s">
        <v>183</v>
      </c>
      <c r="B13" s="88"/>
      <c r="C13" s="88"/>
      <c r="D13" s="88"/>
      <c r="E13" s="389"/>
      <c r="F13" s="389"/>
      <c r="G13" s="390">
        <v>1</v>
      </c>
      <c r="H13" s="390">
        <v>2</v>
      </c>
      <c r="I13" s="390">
        <v>2</v>
      </c>
      <c r="J13" s="390">
        <v>3</v>
      </c>
      <c r="K13" s="390">
        <v>3</v>
      </c>
      <c r="L13" s="390">
        <v>4</v>
      </c>
      <c r="M13" s="390">
        <v>5</v>
      </c>
      <c r="N13" s="390">
        <v>6</v>
      </c>
      <c r="O13" s="390">
        <v>7</v>
      </c>
      <c r="P13" s="391" t="s">
        <v>181</v>
      </c>
      <c r="Q13" s="392" t="s">
        <v>182</v>
      </c>
      <c r="R13" s="192" t="s">
        <v>27</v>
      </c>
    </row>
    <row r="14" spans="1:30">
      <c r="A14" s="387" t="s">
        <v>578</v>
      </c>
      <c r="B14" s="386">
        <v>288.14</v>
      </c>
      <c r="C14" s="386">
        <v>296.04000000000002</v>
      </c>
      <c r="D14" s="386">
        <v>301.89</v>
      </c>
      <c r="E14" s="386">
        <v>311.24</v>
      </c>
      <c r="F14" s="386">
        <v>321.69</v>
      </c>
      <c r="G14" s="386">
        <v>338.84</v>
      </c>
      <c r="H14" s="386">
        <v>356.18</v>
      </c>
      <c r="I14" s="386">
        <v>380.57</v>
      </c>
      <c r="J14" s="386">
        <v>395.41</v>
      </c>
      <c r="K14" s="386">
        <v>403.72</v>
      </c>
      <c r="L14" s="386">
        <v>279.79000000000002</v>
      </c>
      <c r="M14" s="386">
        <v>321.13</v>
      </c>
      <c r="N14" s="386">
        <v>347.73</v>
      </c>
      <c r="O14" s="393"/>
      <c r="P14" s="207" t="s">
        <v>582</v>
      </c>
      <c r="Q14" s="394" t="s">
        <v>580</v>
      </c>
      <c r="R14" s="211" t="s">
        <v>581</v>
      </c>
    </row>
    <row r="15" spans="1:30">
      <c r="A15" s="388" t="s">
        <v>579</v>
      </c>
      <c r="B15" s="386">
        <v>465.88</v>
      </c>
      <c r="C15" s="386">
        <v>479.74</v>
      </c>
      <c r="D15" s="386">
        <v>481.25</v>
      </c>
      <c r="E15" s="386">
        <v>490.26</v>
      </c>
      <c r="F15" s="386">
        <v>505.94</v>
      </c>
      <c r="G15" s="386">
        <v>534.97</v>
      </c>
      <c r="H15" s="386">
        <v>559.09</v>
      </c>
      <c r="I15" s="386">
        <v>595.24</v>
      </c>
      <c r="J15" s="386">
        <v>622.53</v>
      </c>
      <c r="K15" s="386">
        <v>632.73</v>
      </c>
      <c r="L15" s="386">
        <v>302.56</v>
      </c>
      <c r="M15" s="386">
        <v>343.88</v>
      </c>
      <c r="N15" s="386">
        <v>436.72</v>
      </c>
      <c r="O15" s="393"/>
      <c r="P15" s="207" t="s">
        <v>582</v>
      </c>
      <c r="Q15" s="207" t="s">
        <v>580</v>
      </c>
      <c r="R15" s="211" t="s">
        <v>581</v>
      </c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 spans="1:30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spans="1:30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  <row r="18" spans="1:30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</row>
    <row r="19" spans="1:30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</row>
    <row r="20" spans="1:3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</row>
    <row r="21" spans="1:30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 spans="1:30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 spans="1:30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</row>
    <row r="24" spans="1:30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</row>
    <row r="25" spans="1:30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 spans="1:30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</row>
    <row r="27" spans="1:30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</row>
    <row r="28" spans="1:30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</row>
    <row r="29" spans="1:30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</row>
    <row r="30" spans="1:30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</row>
    <row r="31" spans="1:30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</row>
    <row r="32" spans="1:30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 spans="1:30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 spans="1:30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</row>
    <row r="35" spans="1:30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 spans="1:30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</row>
    <row r="37" spans="1:30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0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 spans="1:30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 spans="1:30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 spans="1:30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0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spans="1:30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 spans="1:30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</row>
    <row r="45" spans="1:30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</row>
    <row r="46" spans="1:30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 spans="1:30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</row>
    <row r="48" spans="1:30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</row>
    <row r="49" spans="1:30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 spans="1:3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spans="1:30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 spans="1:30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 spans="1:30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 spans="1:30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 spans="1:30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 spans="1:30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</row>
    <row r="57" spans="1:30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</row>
    <row r="58" spans="1:30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 spans="1:30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</row>
    <row r="60" spans="1:3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</row>
    <row r="61" spans="1:30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</row>
    <row r="62" spans="1:30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</row>
    <row r="63" spans="1:30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</row>
    <row r="64" spans="1:30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</row>
    <row r="65" spans="1:30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</row>
    <row r="66" spans="1:30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</row>
    <row r="67" spans="1:30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</row>
    <row r="68" spans="1:30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 spans="1:30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</row>
    <row r="70" spans="1:3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</row>
    <row r="71" spans="1:30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</row>
    <row r="72" spans="1:30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</row>
    <row r="73" spans="1:30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 spans="1:30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</row>
    <row r="75" spans="1:30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 spans="1:30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spans="1:30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</row>
    <row r="78" spans="1:30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</row>
    <row r="79" spans="1:30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 spans="1:3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</row>
    <row r="81" spans="1:30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</row>
    <row r="82" spans="1:30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</row>
    <row r="83" spans="1:30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</row>
    <row r="84" spans="1:30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</row>
    <row r="85" spans="1:30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</row>
    <row r="86" spans="1:30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</row>
    <row r="87" spans="1:30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</row>
    <row r="88" spans="1:30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</row>
    <row r="89" spans="1:30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</row>
    <row r="90" spans="1:3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</row>
    <row r="91" spans="1:30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  <row r="92" spans="1:30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</row>
    <row r="93" spans="1:30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</row>
    <row r="94" spans="1:30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</row>
    <row r="95" spans="1:30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</row>
    <row r="96" spans="1:30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</row>
    <row r="97" spans="1:30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</row>
    <row r="98" spans="1:30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</row>
    <row r="99" spans="1:30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</row>
    <row r="100" spans="1:3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</row>
    <row r="101" spans="1:30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</row>
    <row r="102" spans="1:30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</row>
    <row r="103" spans="1:30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</row>
    <row r="104" spans="1:30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</row>
    <row r="105" spans="1:30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</row>
    <row r="106" spans="1:30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</row>
    <row r="107" spans="1:30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</row>
    <row r="108" spans="1:30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</row>
    <row r="109" spans="1:30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</row>
    <row r="110" spans="1:3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</row>
    <row r="111" spans="1:30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</row>
    <row r="112" spans="1:30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</row>
    <row r="113" spans="1:30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</row>
    <row r="114" spans="1:30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</row>
    <row r="115" spans="1:30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</row>
    <row r="116" spans="1:30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</row>
    <row r="117" spans="1:30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</row>
    <row r="118" spans="1:30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</row>
    <row r="119" spans="1:30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</row>
    <row r="120" spans="1:3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</row>
    <row r="121" spans="1:30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</row>
    <row r="122" spans="1:30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</row>
    <row r="123" spans="1:30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</row>
    <row r="124" spans="1:30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</row>
    <row r="125" spans="1:30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</row>
    <row r="126" spans="1:30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</row>
    <row r="127" spans="1:30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</row>
    <row r="128" spans="1:30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</row>
    <row r="129" spans="1:30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</row>
    <row r="130" spans="1: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</row>
    <row r="131" spans="1:30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</row>
    <row r="132" spans="1:30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</row>
    <row r="133" spans="1:30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</row>
    <row r="134" spans="1:30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</row>
    <row r="135" spans="1:30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</row>
    <row r="136" spans="1:30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</row>
    <row r="137" spans="1:30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</row>
    <row r="138" spans="1:30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</row>
    <row r="139" spans="1:30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</row>
    <row r="140" spans="1:3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</row>
    <row r="141" spans="1:30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</row>
    <row r="142" spans="1:30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</row>
    <row r="143" spans="1:30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</row>
    <row r="144" spans="1:30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</row>
    <row r="145" spans="1:30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</row>
    <row r="146" spans="1:30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</row>
    <row r="147" spans="1:30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</row>
    <row r="148" spans="1:30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</row>
    <row r="149" spans="1:30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</row>
    <row r="150" spans="1:3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</row>
    <row r="151" spans="1:30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</row>
    <row r="152" spans="1:30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</row>
    <row r="153" spans="1:30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</row>
    <row r="154" spans="1:30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</row>
    <row r="155" spans="1:30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</row>
    <row r="156" spans="1:30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</row>
    <row r="157" spans="1:30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</row>
    <row r="158" spans="1:30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</row>
    <row r="159" spans="1:30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</row>
    <row r="160" spans="1:3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</row>
    <row r="161" spans="1:30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</row>
    <row r="162" spans="1:30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</row>
    <row r="163" spans="1:30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</row>
    <row r="164" spans="1:30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</row>
    <row r="165" spans="1:30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</row>
    <row r="166" spans="1:30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</row>
    <row r="167" spans="1:30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</row>
    <row r="168" spans="1:30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</row>
    <row r="169" spans="1:30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</row>
    <row r="170" spans="1:3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</row>
    <row r="171" spans="1:30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</row>
    <row r="172" spans="1:30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</row>
    <row r="173" spans="1:30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</row>
    <row r="174" spans="1:30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</row>
    <row r="175" spans="1:30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</row>
    <row r="176" spans="1:30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</row>
    <row r="177" spans="1:30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</row>
    <row r="178" spans="1:30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</row>
    <row r="179" spans="1:30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</row>
    <row r="180" spans="1:3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</row>
    <row r="181" spans="1:30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</row>
    <row r="182" spans="1:30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</row>
    <row r="183" spans="1:30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</row>
    <row r="184" spans="1:30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</row>
    <row r="185" spans="1:30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</row>
    <row r="186" spans="1:30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</row>
    <row r="187" spans="1:30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</row>
    <row r="188" spans="1:30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</row>
    <row r="189" spans="1:30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</row>
    <row r="190" spans="1:3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</row>
    <row r="191" spans="1:30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</row>
    <row r="192" spans="1:30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</row>
    <row r="193" spans="1:30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</row>
    <row r="194" spans="1:30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</row>
    <row r="195" spans="1:30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 spans="1:30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 spans="1:30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spans="1:30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 spans="1:30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 spans="1:3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spans="1:30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 spans="1:30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 spans="1:30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 spans="1:30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 spans="1:30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 spans="1:30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 spans="1:30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 spans="1:30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 spans="1:30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 spans="1:3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 spans="1:30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spans="1:30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 spans="1:30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 spans="1:30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spans="1:30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 spans="1:30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 spans="1:30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 spans="1:30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 spans="1:30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 spans="1:3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 spans="1:30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 spans="1:30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 spans="1:30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 spans="1:30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 spans="1:30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 spans="1:30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 spans="1:30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 spans="1:30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 spans="1:30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 spans="1: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 spans="1:30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 spans="1:30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 spans="1:30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 spans="1:30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 spans="1:30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 spans="1:30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</row>
    <row r="237" spans="1:30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</row>
    <row r="238" spans="1:30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</row>
    <row r="239" spans="1:30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</row>
    <row r="240" spans="1:3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</row>
    <row r="241" spans="1:30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</row>
    <row r="242" spans="1:30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</row>
    <row r="243" spans="1:30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</row>
    <row r="244" spans="1:30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</row>
    <row r="245" spans="1:30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</row>
    <row r="246" spans="1:30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</row>
    <row r="247" spans="1:30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</row>
    <row r="248" spans="1:30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</row>
    <row r="249" spans="1:30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</row>
    <row r="250" spans="1:3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</row>
    <row r="251" spans="1:30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</row>
    <row r="252" spans="1:30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</row>
    <row r="253" spans="1:30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</row>
    <row r="254" spans="1:30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</row>
    <row r="255" spans="1:30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</row>
    <row r="256" spans="1:30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</row>
    <row r="257" spans="1:30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</row>
    <row r="258" spans="1:30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</row>
    <row r="259" spans="1:30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</row>
    <row r="260" spans="1:3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</row>
    <row r="261" spans="1:30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</row>
    <row r="262" spans="1:30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</row>
    <row r="263" spans="1:30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</row>
    <row r="264" spans="1:30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</row>
    <row r="265" spans="1:30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</row>
    <row r="266" spans="1:30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</row>
    <row r="267" spans="1:30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</row>
    <row r="268" spans="1:30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</row>
    <row r="269" spans="1:30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</row>
    <row r="270" spans="1:3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</row>
    <row r="271" spans="1:30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</row>
    <row r="272" spans="1:30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</row>
    <row r="273" spans="1:30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</row>
    <row r="274" spans="1:30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</row>
    <row r="275" spans="1:30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</row>
    <row r="276" spans="1:30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</row>
    <row r="277" spans="1:30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</row>
    <row r="278" spans="1:30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</row>
    <row r="279" spans="1:30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</row>
    <row r="280" spans="1:3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</row>
    <row r="281" spans="1:30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</row>
    <row r="282" spans="1:30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</row>
    <row r="283" spans="1:30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</row>
    <row r="284" spans="1:30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</row>
    <row r="285" spans="1:30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</row>
    <row r="286" spans="1:30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</row>
    <row r="287" spans="1:30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</row>
    <row r="288" spans="1:30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</row>
    <row r="289" spans="1:30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</row>
    <row r="290" spans="1:3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</row>
    <row r="291" spans="1:30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</row>
    <row r="292" spans="1:30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</row>
    <row r="293" spans="1:30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</row>
    <row r="294" spans="1:30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</row>
    <row r="295" spans="1:30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</row>
    <row r="296" spans="1:30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</row>
    <row r="297" spans="1:30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</row>
    <row r="298" spans="1:30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</row>
    <row r="299" spans="1:30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</row>
    <row r="300" spans="1:3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</row>
    <row r="301" spans="1:30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</row>
    <row r="302" spans="1:30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</row>
    <row r="303" spans="1:30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</row>
    <row r="304" spans="1:30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</row>
    <row r="305" spans="1:30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</row>
    <row r="306" spans="1:30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</row>
    <row r="307" spans="1:30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</row>
    <row r="308" spans="1:30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</row>
    <row r="309" spans="1:30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</row>
    <row r="310" spans="1:3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</row>
    <row r="311" spans="1:30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</row>
    <row r="312" spans="1:30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</row>
    <row r="313" spans="1:30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</row>
    <row r="314" spans="1:30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</row>
    <row r="315" spans="1:30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</row>
    <row r="316" spans="1:30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</row>
    <row r="317" spans="1:30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</row>
    <row r="318" spans="1:30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</row>
    <row r="319" spans="1:30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</row>
    <row r="320" spans="1:3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</row>
    <row r="321" spans="1:30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</row>
    <row r="322" spans="1:30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</row>
    <row r="323" spans="1:30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</row>
    <row r="324" spans="1:30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</row>
    <row r="325" spans="1:30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</row>
    <row r="326" spans="1:30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</row>
    <row r="327" spans="1:30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</row>
    <row r="328" spans="1:30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</row>
    <row r="329" spans="1:30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</row>
    <row r="330" spans="1: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</row>
    <row r="331" spans="1:30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</row>
    <row r="332" spans="1:30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</row>
    <row r="333" spans="1:30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</row>
    <row r="334" spans="1:30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</row>
    <row r="335" spans="1:30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</row>
    <row r="336" spans="1:30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</row>
    <row r="337" spans="1:30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</row>
    <row r="338" spans="1:30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</row>
    <row r="339" spans="1:30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</row>
    <row r="340" spans="1:3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</row>
    <row r="341" spans="1:30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</row>
    <row r="342" spans="1:30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</row>
    <row r="343" spans="1:30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</row>
    <row r="344" spans="1:30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</row>
    <row r="345" spans="1:30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</row>
    <row r="346" spans="1:30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</row>
    <row r="347" spans="1:30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</row>
    <row r="348" spans="1:30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</row>
    <row r="349" spans="1:30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</row>
    <row r="350" spans="1:3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</row>
    <row r="351" spans="1:30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</row>
    <row r="352" spans="1:30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</row>
    <row r="353" spans="1:30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</row>
    <row r="354" spans="1:30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</row>
    <row r="355" spans="1:30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</row>
    <row r="356" spans="1:30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</row>
    <row r="357" spans="1:30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</row>
    <row r="358" spans="1:30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</row>
    <row r="359" spans="1:30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</row>
    <row r="360" spans="1:3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</row>
    <row r="361" spans="1:30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</row>
    <row r="362" spans="1:30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</row>
    <row r="363" spans="1:30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</row>
    <row r="364" spans="1:30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</row>
    <row r="365" spans="1:30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</row>
    <row r="366" spans="1:30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</row>
    <row r="367" spans="1:30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</row>
    <row r="368" spans="1:30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</row>
    <row r="369" spans="1:30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</row>
    <row r="370" spans="1:3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</row>
    <row r="371" spans="1:30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</row>
    <row r="372" spans="1:30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</row>
    <row r="373" spans="1:30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</row>
    <row r="374" spans="1:30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</row>
    <row r="375" spans="1:30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</row>
    <row r="376" spans="1:30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</row>
    <row r="377" spans="1:30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</row>
    <row r="378" spans="1:30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</row>
    <row r="379" spans="1:30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</row>
    <row r="380" spans="1:3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</row>
    <row r="381" spans="1:30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</row>
    <row r="382" spans="1:30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</row>
    <row r="383" spans="1:30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</row>
    <row r="384" spans="1:30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</row>
    <row r="385" spans="1:30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</row>
    <row r="386" spans="1:30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</row>
    <row r="387" spans="1:30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</row>
    <row r="388" spans="1:30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</row>
    <row r="389" spans="1:30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</row>
    <row r="390" spans="1:3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</row>
    <row r="391" spans="1:30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</row>
    <row r="392" spans="1:30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</row>
    <row r="393" spans="1:30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</row>
    <row r="394" spans="1:30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</row>
    <row r="395" spans="1:30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</row>
    <row r="396" spans="1:30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</row>
    <row r="397" spans="1:30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</row>
    <row r="398" spans="1:30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</row>
    <row r="399" spans="1:30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</row>
    <row r="400" spans="1:3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</row>
    <row r="401" spans="1:30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</row>
    <row r="402" spans="1:30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</row>
    <row r="403" spans="1:30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</row>
    <row r="404" spans="1:30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</row>
    <row r="405" spans="1:30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</row>
    <row r="406" spans="1:30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</row>
    <row r="407" spans="1:30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</row>
    <row r="408" spans="1:30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</row>
    <row r="409" spans="1:30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</row>
    <row r="410" spans="1:3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</row>
    <row r="411" spans="1:30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</row>
    <row r="412" spans="1:30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</row>
    <row r="413" spans="1:30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</row>
    <row r="414" spans="1:30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</row>
    <row r="415" spans="1:30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</row>
    <row r="416" spans="1:30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</row>
    <row r="417" spans="1:30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</row>
    <row r="418" spans="1:30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</row>
    <row r="419" spans="1:30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</row>
    <row r="420" spans="1:3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</row>
    <row r="421" spans="1:30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</row>
    <row r="422" spans="1:30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</row>
    <row r="423" spans="1:30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</row>
    <row r="424" spans="1:30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</row>
    <row r="425" spans="1:30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</row>
    <row r="426" spans="1:30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</row>
    <row r="427" spans="1:30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</row>
    <row r="428" spans="1:30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</row>
    <row r="429" spans="1:30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</row>
    <row r="430" spans="1: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</row>
    <row r="431" spans="1:30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</row>
    <row r="432" spans="1:30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</row>
    <row r="433" spans="1:30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</row>
    <row r="434" spans="1:30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</row>
    <row r="435" spans="1:30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</row>
    <row r="436" spans="1:30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</row>
    <row r="437" spans="1:30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</row>
    <row r="438" spans="1:30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</row>
    <row r="439" spans="1:30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</row>
    <row r="440" spans="1:3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</row>
    <row r="441" spans="1:30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</row>
    <row r="442" spans="1:30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</row>
    <row r="443" spans="1:30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</row>
    <row r="444" spans="1:30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</row>
    <row r="445" spans="1:30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</row>
    <row r="446" spans="1:30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</row>
    <row r="447" spans="1:30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</row>
    <row r="448" spans="1:30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</row>
    <row r="449" spans="1:30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</row>
    <row r="450" spans="1:3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</row>
    <row r="451" spans="1:30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</row>
    <row r="452" spans="1:30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</row>
    <row r="453" spans="1:30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</row>
    <row r="454" spans="1:30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</row>
    <row r="455" spans="1:30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</row>
    <row r="456" spans="1:30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</row>
    <row r="457" spans="1:30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</row>
    <row r="458" spans="1:30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</row>
    <row r="459" spans="1:30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</row>
    <row r="460" spans="1:3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</row>
    <row r="461" spans="1:30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</row>
    <row r="462" spans="1:30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</row>
    <row r="463" spans="1:30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</row>
    <row r="464" spans="1:30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</row>
    <row r="465" spans="1:30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</row>
    <row r="466" spans="1:30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</row>
    <row r="467" spans="1:30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</row>
    <row r="468" spans="1:30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</row>
    <row r="469" spans="1:30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</row>
    <row r="470" spans="1:3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</row>
    <row r="471" spans="1:30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</row>
    <row r="472" spans="1:30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</row>
    <row r="473" spans="1:30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</row>
    <row r="474" spans="1:30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</row>
    <row r="475" spans="1:30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</row>
    <row r="476" spans="1:30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</row>
    <row r="477" spans="1:30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</row>
    <row r="478" spans="1:30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</row>
    <row r="479" spans="1:30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</row>
    <row r="480" spans="1:3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</row>
    <row r="481" spans="1:30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</row>
    <row r="482" spans="1:30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</row>
    <row r="483" spans="1:30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</row>
    <row r="484" spans="1:30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</row>
    <row r="485" spans="1:30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</row>
    <row r="486" spans="1:30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</row>
    <row r="487" spans="1:30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</row>
    <row r="488" spans="1:30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</row>
    <row r="489" spans="1:30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</row>
    <row r="490" spans="1:3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</row>
    <row r="491" spans="1:30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</row>
    <row r="492" spans="1:30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</row>
    <row r="493" spans="1:30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</row>
    <row r="494" spans="1:30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</row>
    <row r="495" spans="1:30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</row>
    <row r="496" spans="1:30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</row>
    <row r="497" spans="1:30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</row>
    <row r="498" spans="1:30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</row>
    <row r="499" spans="1:30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</row>
    <row r="500" spans="1:3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</row>
    <row r="501" spans="1:30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</row>
    <row r="502" spans="1:30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</row>
    <row r="503" spans="1:30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</row>
    <row r="504" spans="1:30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</row>
    <row r="505" spans="1:30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</row>
    <row r="506" spans="1:30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</row>
    <row r="507" spans="1:30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</row>
    <row r="508" spans="1:30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</row>
    <row r="509" spans="1:30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</row>
    <row r="510" spans="1:3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</row>
    <row r="511" spans="1:30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</row>
    <row r="512" spans="1:30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</row>
    <row r="513" spans="1:30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</row>
    <row r="514" spans="1:30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</row>
    <row r="515" spans="1:30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</row>
    <row r="516" spans="1:30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</row>
    <row r="517" spans="1:30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</row>
    <row r="518" spans="1:30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</row>
    <row r="519" spans="1:30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</row>
    <row r="520" spans="1:3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</row>
    <row r="521" spans="1:30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</row>
    <row r="522" spans="1:30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</row>
    <row r="523" spans="1:30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</row>
    <row r="524" spans="1:30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</row>
    <row r="525" spans="1:30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</row>
    <row r="526" spans="1:30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</row>
    <row r="527" spans="1:30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</row>
    <row r="528" spans="1:30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</row>
    <row r="529" spans="1:30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</row>
    <row r="530" spans="1: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</row>
    <row r="531" spans="1:30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</row>
    <row r="532" spans="1:30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</row>
    <row r="533" spans="1:30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</row>
    <row r="534" spans="1:30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</row>
    <row r="535" spans="1:30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</row>
    <row r="536" spans="1:30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</row>
    <row r="537" spans="1:30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</row>
    <row r="538" spans="1:30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</row>
    <row r="539" spans="1:30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</row>
    <row r="540" spans="1:3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</row>
    <row r="541" spans="1:30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</row>
    <row r="542" spans="1:30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</row>
    <row r="543" spans="1:30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</row>
    <row r="544" spans="1:30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</row>
    <row r="545" spans="1:30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</row>
    <row r="546" spans="1:30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</row>
    <row r="547" spans="1:30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</row>
    <row r="548" spans="1:30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</row>
    <row r="549" spans="1:30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</row>
    <row r="550" spans="1:3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</row>
    <row r="551" spans="1:30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</row>
    <row r="552" spans="1:30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</row>
    <row r="553" spans="1:30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</row>
    <row r="554" spans="1:30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</row>
    <row r="555" spans="1:30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</row>
    <row r="556" spans="1:30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</row>
    <row r="557" spans="1:30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</row>
    <row r="558" spans="1:30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</row>
    <row r="559" spans="1:30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</row>
    <row r="560" spans="1:3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</row>
    <row r="561" spans="1:30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</row>
    <row r="562" spans="1:30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</row>
    <row r="563" spans="1:30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</row>
    <row r="564" spans="1:30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</row>
    <row r="565" spans="1:30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</row>
    <row r="566" spans="1:30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</row>
    <row r="567" spans="1:30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</row>
    <row r="568" spans="1:30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</row>
    <row r="569" spans="1:30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</row>
    <row r="570" spans="1:3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</row>
    <row r="571" spans="1:30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</row>
    <row r="572" spans="1:30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</row>
    <row r="573" spans="1:30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</row>
    <row r="574" spans="1:30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</row>
    <row r="575" spans="1:30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</row>
    <row r="576" spans="1:30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</row>
    <row r="577" spans="1:30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</row>
    <row r="578" spans="1:30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</row>
    <row r="579" spans="1:30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</row>
    <row r="580" spans="1:3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</row>
    <row r="581" spans="1:30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</row>
    <row r="582" spans="1:30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</row>
    <row r="583" spans="1:30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</row>
    <row r="584" spans="1:30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</row>
    <row r="585" spans="1:30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</row>
    <row r="586" spans="1:30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</row>
    <row r="587" spans="1:30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</row>
    <row r="588" spans="1:30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</row>
    <row r="589" spans="1:30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</row>
    <row r="590" spans="1:3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</row>
    <row r="591" spans="1:30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</row>
    <row r="592" spans="1:30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</row>
    <row r="593" spans="1:30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</row>
    <row r="594" spans="1:30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</row>
    <row r="595" spans="1:30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</row>
    <row r="596" spans="1:30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</row>
    <row r="597" spans="1:30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</row>
    <row r="598" spans="1:30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</row>
    <row r="599" spans="1:30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</row>
    <row r="600" spans="1:3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</row>
    <row r="601" spans="1:30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</row>
    <row r="602" spans="1:30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</row>
    <row r="603" spans="1:30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</row>
    <row r="604" spans="1:30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</row>
    <row r="605" spans="1:30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</row>
    <row r="606" spans="1:30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</row>
    <row r="607" spans="1:30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</row>
    <row r="608" spans="1:30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</row>
    <row r="609" spans="1:30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</row>
    <row r="610" spans="1:3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</row>
    <row r="611" spans="1:30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</row>
    <row r="612" spans="1:30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</row>
    <row r="613" spans="1:30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</row>
    <row r="614" spans="1:30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</row>
    <row r="615" spans="1:30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</row>
    <row r="616" spans="1:30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</row>
    <row r="617" spans="1:30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</row>
    <row r="618" spans="1:30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</row>
    <row r="619" spans="1:30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</row>
    <row r="620" spans="1:3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</row>
    <row r="621" spans="1:30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</row>
    <row r="622" spans="1:30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</row>
    <row r="623" spans="1:30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</row>
    <row r="624" spans="1:30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</row>
    <row r="625" spans="1:30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</row>
    <row r="626" spans="1:30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</row>
    <row r="627" spans="1:30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</row>
    <row r="628" spans="1:30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</row>
    <row r="629" spans="1:30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</row>
    <row r="630" spans="1: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</row>
    <row r="631" spans="1:30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</row>
    <row r="632" spans="1:30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</row>
    <row r="633" spans="1:30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</row>
    <row r="634" spans="1:30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</row>
    <row r="635" spans="1:30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</row>
    <row r="636" spans="1:30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</row>
    <row r="637" spans="1:30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</row>
    <row r="638" spans="1:30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</row>
    <row r="639" spans="1:30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</row>
    <row r="640" spans="1:3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</row>
    <row r="641" spans="1:30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</row>
    <row r="642" spans="1:30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</row>
    <row r="643" spans="1:30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</row>
    <row r="644" spans="1:30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</row>
    <row r="645" spans="1:30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</row>
    <row r="646" spans="1:30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</row>
    <row r="647" spans="1:30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</row>
    <row r="648" spans="1:30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</row>
    <row r="649" spans="1:30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</row>
    <row r="650" spans="1:3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</row>
    <row r="651" spans="1:30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</row>
    <row r="652" spans="1:30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</row>
    <row r="653" spans="1:30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</row>
    <row r="654" spans="1:30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</row>
    <row r="655" spans="1:30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</row>
    <row r="656" spans="1:30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</row>
    <row r="657" spans="1:30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</row>
    <row r="658" spans="1:30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</row>
    <row r="659" spans="1:30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</row>
    <row r="660" spans="1:3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</row>
    <row r="661" spans="1:30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</row>
    <row r="662" spans="1:30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</row>
    <row r="663" spans="1:30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</row>
    <row r="664" spans="1:30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</row>
    <row r="665" spans="1:30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</row>
    <row r="666" spans="1:30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</row>
    <row r="667" spans="1:30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</row>
    <row r="668" spans="1:30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</row>
    <row r="669" spans="1:30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</row>
    <row r="670" spans="1:3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</row>
    <row r="671" spans="1:30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</row>
    <row r="672" spans="1:30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</row>
    <row r="673" spans="1:30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</row>
    <row r="674" spans="1:30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</row>
    <row r="675" spans="1:30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</row>
    <row r="676" spans="1:30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</row>
    <row r="677" spans="1:30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</row>
    <row r="678" spans="1:30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</row>
    <row r="679" spans="1:30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</row>
    <row r="680" spans="1:3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</row>
    <row r="681" spans="1:30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</row>
    <row r="682" spans="1:30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</row>
    <row r="683" spans="1:30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</row>
    <row r="684" spans="1:30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</row>
    <row r="685" spans="1:30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</row>
    <row r="686" spans="1:30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</row>
    <row r="687" spans="1:30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</row>
    <row r="688" spans="1:30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</row>
    <row r="689" spans="1:30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</row>
    <row r="690" spans="1:3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</row>
    <row r="691" spans="1:30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</row>
    <row r="692" spans="1:30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</row>
    <row r="693" spans="1:30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</row>
    <row r="694" spans="1:30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</row>
    <row r="695" spans="1:30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</row>
    <row r="696" spans="1:30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</row>
    <row r="697" spans="1:30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</row>
    <row r="698" spans="1:30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</row>
    <row r="699" spans="1:30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</row>
    <row r="700" spans="1:3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</row>
    <row r="701" spans="1:30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</row>
    <row r="702" spans="1:30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</row>
    <row r="703" spans="1:30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</row>
    <row r="704" spans="1:30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</row>
    <row r="705" spans="1:30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</row>
    <row r="706" spans="1:30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</row>
    <row r="707" spans="1:30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</row>
    <row r="708" spans="1:30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</row>
    <row r="709" spans="1:30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</row>
    <row r="710" spans="1:3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</row>
    <row r="711" spans="1:30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</row>
    <row r="712" spans="1:30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</row>
    <row r="713" spans="1:30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</row>
    <row r="714" spans="1:30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</row>
    <row r="715" spans="1:30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</row>
    <row r="716" spans="1:30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</row>
    <row r="717" spans="1:30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</row>
    <row r="718" spans="1:30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</row>
    <row r="719" spans="1:30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</row>
    <row r="720" spans="1:3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</row>
    <row r="721" spans="1:30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</row>
    <row r="722" spans="1:30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</row>
    <row r="723" spans="1:30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</row>
    <row r="724" spans="1:30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</row>
    <row r="725" spans="1:30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</row>
    <row r="726" spans="1:30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</row>
    <row r="727" spans="1:30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</row>
    <row r="728" spans="1:30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</row>
    <row r="729" spans="1:30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</row>
    <row r="730" spans="1: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</row>
    <row r="731" spans="1:30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</row>
    <row r="732" spans="1:30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</row>
    <row r="733" spans="1:30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</row>
    <row r="734" spans="1:30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</row>
    <row r="735" spans="1:30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</row>
    <row r="736" spans="1:30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</row>
    <row r="737" spans="1:30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</row>
    <row r="738" spans="1:30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</row>
    <row r="739" spans="1:30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</row>
    <row r="740" spans="1:3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</row>
    <row r="741" spans="1:30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</row>
    <row r="742" spans="1:30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</row>
    <row r="743" spans="1:30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</row>
    <row r="744" spans="1:30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</row>
    <row r="745" spans="1:30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</row>
    <row r="746" spans="1:30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</row>
    <row r="747" spans="1:30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</row>
    <row r="748" spans="1:30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</row>
    <row r="749" spans="1:30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</row>
    <row r="750" spans="1:3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</row>
    <row r="751" spans="1:30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</row>
    <row r="752" spans="1:30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</row>
    <row r="753" spans="1:30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</row>
    <row r="754" spans="1:30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</row>
    <row r="755" spans="1:30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</row>
    <row r="756" spans="1:30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</row>
    <row r="757" spans="1:30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</row>
    <row r="758" spans="1:30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</row>
    <row r="759" spans="1:30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</row>
    <row r="760" spans="1:3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</row>
    <row r="761" spans="1:30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</row>
    <row r="762" spans="1:30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</row>
    <row r="763" spans="1:30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</row>
    <row r="764" spans="1:30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</row>
    <row r="765" spans="1:30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</row>
    <row r="766" spans="1:30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</row>
    <row r="767" spans="1:30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</row>
    <row r="768" spans="1:30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</row>
    <row r="769" spans="1:30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</row>
    <row r="770" spans="1:3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</row>
    <row r="771" spans="1:30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</row>
    <row r="772" spans="1:30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</row>
    <row r="773" spans="1:30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</row>
    <row r="774" spans="1:30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</row>
    <row r="775" spans="1:30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</row>
    <row r="776" spans="1:30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</row>
    <row r="777" spans="1:30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</row>
    <row r="778" spans="1:30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</row>
    <row r="779" spans="1:30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</row>
    <row r="780" spans="1:3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</row>
    <row r="781" spans="1:30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</row>
    <row r="782" spans="1:30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</row>
    <row r="783" spans="1:30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</row>
    <row r="784" spans="1:30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</row>
    <row r="785" spans="1:30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</row>
    <row r="786" spans="1:30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</row>
    <row r="787" spans="1:30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</row>
    <row r="788" spans="1:30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</row>
    <row r="789" spans="1:30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</row>
    <row r="790" spans="1:3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</row>
    <row r="791" spans="1:30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</row>
    <row r="792" spans="1:30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</row>
    <row r="793" spans="1:30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</row>
    <row r="794" spans="1:30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</row>
    <row r="795" spans="1:30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</row>
    <row r="796" spans="1:30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</row>
    <row r="797" spans="1:30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</row>
    <row r="798" spans="1:30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</row>
    <row r="799" spans="1:30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</row>
    <row r="800" spans="1:3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</row>
    <row r="801" spans="1:30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</row>
    <row r="802" spans="1:30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</row>
    <row r="803" spans="1:30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</row>
    <row r="804" spans="1:30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</row>
    <row r="805" spans="1:30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</row>
    <row r="806" spans="1:30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</row>
    <row r="807" spans="1:30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</row>
    <row r="808" spans="1:30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</row>
    <row r="809" spans="1:30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</row>
    <row r="810" spans="1:3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</row>
    <row r="811" spans="1:30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</row>
    <row r="812" spans="1:30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</row>
    <row r="813" spans="1:30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</row>
    <row r="814" spans="1:30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</row>
    <row r="815" spans="1:30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</row>
    <row r="816" spans="1:30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</row>
    <row r="817" spans="1:30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</row>
    <row r="818" spans="1:30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</row>
    <row r="819" spans="1:30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</row>
    <row r="820" spans="1:3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</row>
    <row r="821" spans="1:30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</row>
    <row r="822" spans="1:30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</row>
    <row r="823" spans="1:30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</row>
    <row r="824" spans="1:30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</row>
    <row r="825" spans="1:30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</row>
    <row r="826" spans="1:30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</row>
    <row r="827" spans="1:30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</row>
    <row r="828" spans="1:30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</row>
    <row r="829" spans="1:30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</row>
    <row r="830" spans="1: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</row>
    <row r="831" spans="1:30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</row>
    <row r="832" spans="1:30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</row>
    <row r="833" spans="1:30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</row>
    <row r="834" spans="1:30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</row>
    <row r="835" spans="1:30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</row>
    <row r="836" spans="1:30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</row>
    <row r="837" spans="1:30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</row>
    <row r="838" spans="1:30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</row>
    <row r="839" spans="1:30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</row>
    <row r="840" spans="1:3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</row>
    <row r="841" spans="1:30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</row>
    <row r="842" spans="1:30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</row>
    <row r="843" spans="1:30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</row>
    <row r="844" spans="1:30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</row>
    <row r="845" spans="1:30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</row>
    <row r="846" spans="1:30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</row>
    <row r="847" spans="1:30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</row>
    <row r="848" spans="1:30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</row>
    <row r="849" spans="1:30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</row>
    <row r="850" spans="1:3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</row>
    <row r="851" spans="1:30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</row>
    <row r="852" spans="1:30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</row>
    <row r="853" spans="1:30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</row>
    <row r="854" spans="1:30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</row>
    <row r="855" spans="1:30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</row>
    <row r="856" spans="1:30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</row>
    <row r="857" spans="1:30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</row>
    <row r="858" spans="1:30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</row>
    <row r="859" spans="1:30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</row>
    <row r="860" spans="1:3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</row>
    <row r="861" spans="1:30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</row>
    <row r="862" spans="1:30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</row>
    <row r="863" spans="1:30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</row>
    <row r="864" spans="1:30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</row>
    <row r="865" spans="1:30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</row>
    <row r="866" spans="1:30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</row>
    <row r="867" spans="1:30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</row>
    <row r="868" spans="1:30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</row>
    <row r="869" spans="1:30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</row>
    <row r="870" spans="1:3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</row>
    <row r="871" spans="1:30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</row>
    <row r="872" spans="1:30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</row>
    <row r="873" spans="1:30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</row>
    <row r="874" spans="1:30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</row>
    <row r="875" spans="1:30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</row>
    <row r="876" spans="1:30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</row>
    <row r="877" spans="1:30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</row>
    <row r="878" spans="1:30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</row>
    <row r="879" spans="1:30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</row>
    <row r="880" spans="1:3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</row>
    <row r="881" spans="1:30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</row>
    <row r="882" spans="1:30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</row>
    <row r="883" spans="1:30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</row>
    <row r="884" spans="1:30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</row>
    <row r="885" spans="1:30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</row>
    <row r="886" spans="1:30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</row>
    <row r="887" spans="1:30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</row>
    <row r="888" spans="1:30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</row>
    <row r="889" spans="1:30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</row>
    <row r="890" spans="1:3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</row>
    <row r="891" spans="1:30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</row>
    <row r="892" spans="1:30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</row>
    <row r="893" spans="1:30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</row>
    <row r="894" spans="1:30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</row>
    <row r="895" spans="1:30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</row>
    <row r="896" spans="1:30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</row>
    <row r="897" spans="1:30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</row>
    <row r="898" spans="1:30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</row>
    <row r="899" spans="1:30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</row>
    <row r="900" spans="1:3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</row>
    <row r="901" spans="1:30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</row>
    <row r="902" spans="1:30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</row>
    <row r="903" spans="1:30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</row>
    <row r="904" spans="1:30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</row>
    <row r="905" spans="1:30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</row>
    <row r="906" spans="1:30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</row>
    <row r="907" spans="1:30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</row>
    <row r="908" spans="1:30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</row>
    <row r="909" spans="1:30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</row>
    <row r="910" spans="1:3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</row>
    <row r="911" spans="1:30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</row>
    <row r="912" spans="1:30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</row>
    <row r="913" spans="1:30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</row>
    <row r="914" spans="1:30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</row>
    <row r="915" spans="1:30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</row>
    <row r="916" spans="1:30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</row>
    <row r="917" spans="1:30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</row>
    <row r="918" spans="1:30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</row>
    <row r="919" spans="1:30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</row>
    <row r="920" spans="1:3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</row>
    <row r="921" spans="1:30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</row>
    <row r="922" spans="1:30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</row>
    <row r="923" spans="1:30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</row>
    <row r="924" spans="1:30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</row>
    <row r="925" spans="1:30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</row>
    <row r="926" spans="1:30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</row>
    <row r="927" spans="1:30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</row>
    <row r="928" spans="1:30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</row>
    <row r="929" spans="1:30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</row>
    <row r="930" spans="1: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</row>
    <row r="931" spans="1:30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</row>
    <row r="932" spans="1:30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</row>
    <row r="933" spans="1:30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</row>
    <row r="934" spans="1:30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</row>
    <row r="935" spans="1:30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</row>
    <row r="936" spans="1:30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</row>
    <row r="937" spans="1:30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</row>
    <row r="938" spans="1:30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</row>
    <row r="939" spans="1:30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</row>
    <row r="940" spans="1:3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</row>
    <row r="941" spans="1:30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</row>
    <row r="942" spans="1:30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</row>
    <row r="943" spans="1:30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</row>
    <row r="944" spans="1:30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</row>
    <row r="945" spans="1:30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</row>
    <row r="946" spans="1:30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</row>
    <row r="947" spans="1:30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</row>
    <row r="948" spans="1:30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</row>
    <row r="949" spans="1:30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</row>
    <row r="950" spans="1:3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</row>
    <row r="951" spans="1:30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</row>
    <row r="952" spans="1:30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</row>
    <row r="953" spans="1:30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</row>
    <row r="954" spans="1:30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</row>
    <row r="955" spans="1:30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</row>
    <row r="956" spans="1:30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</row>
    <row r="957" spans="1:30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</row>
    <row r="958" spans="1:30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</row>
    <row r="959" spans="1:30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</row>
    <row r="960" spans="1:3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</row>
    <row r="961" spans="1:30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</row>
    <row r="962" spans="1:30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</row>
    <row r="963" spans="1:30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</row>
    <row r="964" spans="1:30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</row>
    <row r="965" spans="1:30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</row>
    <row r="966" spans="1:30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</row>
    <row r="967" spans="1:30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</row>
    <row r="968" spans="1:30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</row>
    <row r="969" spans="1:30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</row>
    <row r="970" spans="1:3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</row>
    <row r="971" spans="1:30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</row>
    <row r="972" spans="1:30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</row>
    <row r="973" spans="1:30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</row>
    <row r="974" spans="1:30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</row>
    <row r="975" spans="1:30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</row>
    <row r="976" spans="1:30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</row>
    <row r="977" spans="1:30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</row>
    <row r="978" spans="1:30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</row>
    <row r="979" spans="1:30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</row>
    <row r="980" spans="1:3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</row>
    <row r="981" spans="1:30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</row>
    <row r="982" spans="1:30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</row>
    <row r="983" spans="1:30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</row>
    <row r="984" spans="1:30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</row>
    <row r="985" spans="1:30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</row>
    <row r="986" spans="1:30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</row>
    <row r="987" spans="1:30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</row>
    <row r="988" spans="1:30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</row>
    <row r="989" spans="1:30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</row>
    <row r="990" spans="1:3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</row>
    <row r="991" spans="1:30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</row>
    <row r="992" spans="1:30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</row>
    <row r="993" spans="1:30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</row>
    <row r="994" spans="1:30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</row>
    <row r="995" spans="1:30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</row>
    <row r="996" spans="1:30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</row>
    <row r="997" spans="1:30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</row>
    <row r="998" spans="1:30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</row>
    <row r="999" spans="1:30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</row>
    <row r="1000" spans="1:30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</row>
    <row r="1001" spans="1:30" ht="15.75" customHeight="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</row>
    <row r="1002" spans="1:30" ht="15.75" customHeight="1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</row>
    <row r="1003" spans="1:30" ht="15.75" customHeight="1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</row>
    <row r="1004" spans="1:30" ht="15.75" customHeight="1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</row>
    <row r="1005" spans="1:30" ht="15.75" customHeight="1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</row>
  </sheetData>
  <mergeCells count="1">
    <mergeCell ref="A1:A2"/>
  </mergeCells>
  <hyperlinks>
    <hyperlink ref="Q4" r:id="rId1" xr:uid="{00000000-0004-0000-0600-000000000000}"/>
    <hyperlink ref="Q7" r:id="rId2" location="InplviewHashef347ce3-9fcc-4b72-be6a-207e60680777=ShowInGrid%3DTrue" xr:uid="{00000000-0004-0000-0600-000002000000}"/>
    <hyperlink ref="Q9" r:id="rId3" xr:uid="{00000000-0004-0000-0600-000003000000}"/>
    <hyperlink ref="Q10" r:id="rId4" xr:uid="{00000000-0004-0000-0600-000004000000}"/>
    <hyperlink ref="Q13" r:id="rId5" display="Where to find Sustainable Aviation Fuel — 4AIR All SAF activity Map: https://www.google.com/maps/d/viewer?mid=1JsMmhJvm27YLD3CRE31v0PjJ_gN6rVdq&amp;ll=37.481588920733614%2C-95.65963304209313&amp;z=5" xr:uid="{00000000-0004-0000-0600-000006000000}"/>
    <hyperlink ref="Q6" r:id="rId6" xr:uid="{56C2DAB1-48D3-4216-B5B5-8C4F85A376AD}"/>
    <hyperlink ref="Q5" r:id="rId7" xr:uid="{4CBFC6C4-86CC-4E11-A857-13C5732F7004}"/>
    <hyperlink ref="Q8" r:id="rId8" location="InplviewHashef347ce3-9fcc-4b72-be6a-207e60680777=ShowInGrid%3DTrue" xr:uid="{CB700CD6-61CE-4395-A87D-E3A3BCA9DCC5}"/>
  </hyperlinks>
  <pageMargins left="0.7" right="0.7" top="0.75" bottom="0.75" header="0" footer="0"/>
  <pageSetup orientation="landscape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306C"/>
  </sheetPr>
  <dimension ref="A1:AD10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2" sqref="D12:O12"/>
    </sheetView>
  </sheetViews>
  <sheetFormatPr defaultColWidth="14.42578125" defaultRowHeight="15" customHeight="1"/>
  <cols>
    <col min="1" max="1" width="62.85546875" customWidth="1"/>
    <col min="2" max="15" width="11.7109375" customWidth="1"/>
    <col min="16" max="16" width="27.42578125" customWidth="1"/>
    <col min="17" max="17" width="73.5703125" customWidth="1"/>
    <col min="18" max="18" width="24.7109375" customWidth="1"/>
    <col min="19" max="30" width="8.85546875" customWidth="1"/>
  </cols>
  <sheetData>
    <row r="1" spans="1:30">
      <c r="A1" s="447" t="s">
        <v>184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58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185</v>
      </c>
      <c r="B4" s="36"/>
      <c r="C4" s="36"/>
      <c r="D4" s="36"/>
      <c r="E4" s="36"/>
      <c r="F4" s="36"/>
      <c r="G4" s="158">
        <v>9.4224999999999994</v>
      </c>
      <c r="H4" s="158">
        <v>11.158927</v>
      </c>
      <c r="I4" s="158">
        <v>13.019864999999999</v>
      </c>
      <c r="J4" s="158">
        <v>12.355041999999999</v>
      </c>
      <c r="K4" s="158">
        <v>13.0586</v>
      </c>
      <c r="L4" s="158">
        <v>13.994249999999999</v>
      </c>
      <c r="M4" s="158">
        <v>13.3658</v>
      </c>
      <c r="N4" s="158">
        <v>12.844099999999999</v>
      </c>
      <c r="O4" s="158">
        <v>13.9023</v>
      </c>
      <c r="P4" s="238" t="s">
        <v>186</v>
      </c>
      <c r="Q4" s="238" t="s">
        <v>187</v>
      </c>
      <c r="R4" s="34" t="s">
        <v>27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>
      <c r="A5" s="35" t="s">
        <v>188</v>
      </c>
      <c r="B5" s="36"/>
      <c r="C5" s="36"/>
      <c r="D5" s="36"/>
      <c r="E5" s="32">
        <v>123</v>
      </c>
      <c r="F5" s="32">
        <v>122</v>
      </c>
      <c r="G5" s="32">
        <v>137</v>
      </c>
      <c r="H5" s="32">
        <v>147</v>
      </c>
      <c r="I5" s="32">
        <v>148</v>
      </c>
      <c r="J5" s="37">
        <v>140</v>
      </c>
      <c r="K5" s="37">
        <v>126</v>
      </c>
      <c r="L5" s="37">
        <v>124</v>
      </c>
      <c r="M5" s="37">
        <v>116</v>
      </c>
      <c r="N5" s="37">
        <v>123</v>
      </c>
      <c r="O5" s="37">
        <v>118</v>
      </c>
      <c r="P5" s="238" t="s">
        <v>186</v>
      </c>
      <c r="Q5" s="238" t="s">
        <v>187</v>
      </c>
      <c r="R5" s="34" t="s">
        <v>27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189</v>
      </c>
      <c r="B6" s="36"/>
      <c r="C6" s="36"/>
      <c r="D6" s="36"/>
      <c r="E6" s="32">
        <v>11</v>
      </c>
      <c r="F6" s="32">
        <v>15</v>
      </c>
      <c r="G6" s="32">
        <v>22</v>
      </c>
      <c r="H6" s="32">
        <v>18</v>
      </c>
      <c r="I6" s="32">
        <v>7</v>
      </c>
      <c r="J6" s="37">
        <v>0</v>
      </c>
      <c r="K6" s="37">
        <v>3</v>
      </c>
      <c r="L6" s="37">
        <v>1</v>
      </c>
      <c r="M6" s="37">
        <v>3</v>
      </c>
      <c r="N6" s="37">
        <v>3</v>
      </c>
      <c r="O6" s="37">
        <v>5</v>
      </c>
      <c r="P6" s="238" t="s">
        <v>186</v>
      </c>
      <c r="Q6" s="239" t="s">
        <v>187</v>
      </c>
      <c r="R6" s="34" t="s">
        <v>27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41" t="s">
        <v>42</v>
      </c>
      <c r="B7" s="36"/>
      <c r="C7" s="36"/>
      <c r="D7" s="36"/>
      <c r="E7" s="32">
        <v>7</v>
      </c>
      <c r="F7" s="32">
        <v>9</v>
      </c>
      <c r="G7" s="32">
        <v>9</v>
      </c>
      <c r="H7" s="32">
        <v>11</v>
      </c>
      <c r="I7" s="32">
        <v>4</v>
      </c>
      <c r="J7" s="37">
        <v>4</v>
      </c>
      <c r="K7" s="37">
        <v>2</v>
      </c>
      <c r="L7" s="37">
        <v>5</v>
      </c>
      <c r="M7" s="37">
        <v>4</v>
      </c>
      <c r="N7" s="37">
        <v>4</v>
      </c>
      <c r="O7" s="37">
        <v>1</v>
      </c>
      <c r="P7" s="238" t="s">
        <v>186</v>
      </c>
      <c r="Q7" s="239" t="s">
        <v>187</v>
      </c>
      <c r="R7" s="34" t="s">
        <v>27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190</v>
      </c>
      <c r="B8" s="36"/>
      <c r="C8" s="36"/>
      <c r="D8" s="36"/>
      <c r="E8" s="36"/>
      <c r="F8" s="36"/>
      <c r="G8" s="36"/>
      <c r="H8" s="32">
        <v>13</v>
      </c>
      <c r="I8" s="32">
        <v>11</v>
      </c>
      <c r="J8" s="32">
        <v>6</v>
      </c>
      <c r="K8" s="32">
        <v>0</v>
      </c>
      <c r="L8" s="37">
        <v>5</v>
      </c>
      <c r="M8" s="37">
        <v>1</v>
      </c>
      <c r="N8" s="37">
        <v>1</v>
      </c>
      <c r="O8" s="37">
        <v>1</v>
      </c>
      <c r="P8" s="238" t="s">
        <v>186</v>
      </c>
      <c r="Q8" s="239" t="s">
        <v>187</v>
      </c>
      <c r="R8" s="34" t="s">
        <v>27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191</v>
      </c>
      <c r="B9" s="36"/>
      <c r="C9" s="36"/>
      <c r="D9" s="36"/>
      <c r="E9" s="32">
        <v>36</v>
      </c>
      <c r="F9" s="32">
        <v>36</v>
      </c>
      <c r="G9" s="32">
        <v>36</v>
      </c>
      <c r="H9" s="32">
        <v>38</v>
      </c>
      <c r="I9" s="32">
        <v>37</v>
      </c>
      <c r="J9" s="37">
        <v>40</v>
      </c>
      <c r="K9" s="37">
        <v>38</v>
      </c>
      <c r="L9" s="37">
        <v>37</v>
      </c>
      <c r="M9" s="37">
        <v>36</v>
      </c>
      <c r="N9" s="37">
        <v>36</v>
      </c>
      <c r="O9" s="37">
        <v>35</v>
      </c>
      <c r="P9" s="238" t="s">
        <v>186</v>
      </c>
      <c r="Q9" s="238" t="s">
        <v>187</v>
      </c>
      <c r="R9" s="34" t="s">
        <v>27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9"/>
      <c r="Q10" s="49"/>
      <c r="R10" s="50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51" t="s">
        <v>192</v>
      </c>
      <c r="B11" s="51">
        <v>2010</v>
      </c>
      <c r="C11" s="51">
        <v>2011</v>
      </c>
      <c r="D11" s="51">
        <v>2012</v>
      </c>
      <c r="E11" s="51">
        <v>2013</v>
      </c>
      <c r="F11" s="51">
        <v>2014</v>
      </c>
      <c r="G11" s="51">
        <v>2015</v>
      </c>
      <c r="H11" s="51">
        <v>2016</v>
      </c>
      <c r="I11" s="51">
        <v>2017</v>
      </c>
      <c r="J11" s="51">
        <v>2018</v>
      </c>
      <c r="K11" s="51">
        <v>2019</v>
      </c>
      <c r="L11" s="51">
        <v>2020</v>
      </c>
      <c r="M11" s="51">
        <v>2021</v>
      </c>
      <c r="N11" s="51">
        <v>2022</v>
      </c>
      <c r="O11" s="51">
        <v>2023</v>
      </c>
      <c r="P11" s="79" t="s">
        <v>21</v>
      </c>
      <c r="Q11" s="79" t="s">
        <v>22</v>
      </c>
      <c r="R11" s="79" t="s">
        <v>23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>
      <c r="A12" s="240" t="s">
        <v>193</v>
      </c>
      <c r="B12" s="36"/>
      <c r="C12" s="36"/>
      <c r="D12" s="80">
        <v>3.4740000000000002</v>
      </c>
      <c r="E12" s="80">
        <v>4.7039999999999997</v>
      </c>
      <c r="F12" s="80">
        <v>5.9470000000000001</v>
      </c>
      <c r="G12" s="80">
        <v>6.5170000000000003</v>
      </c>
      <c r="H12" s="80">
        <v>6.3929999999999998</v>
      </c>
      <c r="I12" s="80">
        <v>6.9</v>
      </c>
      <c r="J12" s="98">
        <v>7.4683609999999998</v>
      </c>
      <c r="K12" s="98">
        <v>8.5927129999999998</v>
      </c>
      <c r="L12" s="98">
        <v>8.4123590000000004</v>
      </c>
      <c r="M12" s="98">
        <v>8.4486000000000008</v>
      </c>
      <c r="N12" s="98">
        <v>9.5440000000000005</v>
      </c>
      <c r="O12" s="98">
        <v>9.820703</v>
      </c>
      <c r="P12" s="99" t="s">
        <v>194</v>
      </c>
      <c r="Q12" s="289" t="s">
        <v>195</v>
      </c>
      <c r="R12" s="34" t="s">
        <v>27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>
      <c r="A13" s="240" t="s">
        <v>543</v>
      </c>
      <c r="B13" s="36"/>
      <c r="C13" s="36"/>
      <c r="D13" s="345">
        <v>8.5999999999999993E-2</v>
      </c>
      <c r="E13" s="345">
        <v>0.15244199999999999</v>
      </c>
      <c r="F13" s="345">
        <v>0.21998699999999999</v>
      </c>
      <c r="G13" s="345">
        <v>0.20699999999999999</v>
      </c>
      <c r="H13" s="345">
        <v>0.204847</v>
      </c>
      <c r="I13" s="345">
        <v>0.211617</v>
      </c>
      <c r="J13" s="345">
        <v>0.221</v>
      </c>
      <c r="K13" s="345">
        <v>0.211615</v>
      </c>
      <c r="L13" s="346">
        <v>0.204958</v>
      </c>
      <c r="M13" s="346">
        <v>0.19595099999999999</v>
      </c>
      <c r="N13" s="347">
        <v>0.19441999999999998</v>
      </c>
      <c r="O13" s="347">
        <v>0.17687224700000001</v>
      </c>
      <c r="P13" s="349" t="s">
        <v>194</v>
      </c>
      <c r="Q13" s="100" t="s">
        <v>195</v>
      </c>
      <c r="R13" s="34" t="s">
        <v>27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>
      <c r="A14" s="240" t="s">
        <v>196</v>
      </c>
      <c r="B14" s="36"/>
      <c r="C14" s="36"/>
      <c r="D14" s="80">
        <v>1.8981250000000001</v>
      </c>
      <c r="E14" s="80">
        <v>2.882517</v>
      </c>
      <c r="F14" s="80">
        <v>4.0050569999999999</v>
      </c>
      <c r="G14" s="80">
        <v>4.6689999999999996</v>
      </c>
      <c r="H14" s="80">
        <v>4.7089999999999996</v>
      </c>
      <c r="I14" s="80">
        <v>5.2039809999999997</v>
      </c>
      <c r="J14" s="80">
        <v>6.0170000000000003</v>
      </c>
      <c r="K14" s="80">
        <v>6.8584620000000003</v>
      </c>
      <c r="L14" s="98">
        <v>7.2568599999999996</v>
      </c>
      <c r="M14" s="98">
        <v>7.5225499999999998</v>
      </c>
      <c r="N14" s="348">
        <v>8.9771599999999996</v>
      </c>
      <c r="O14" s="348">
        <v>9.5399999999999991</v>
      </c>
      <c r="P14" s="349" t="s">
        <v>194</v>
      </c>
      <c r="Q14" s="241" t="s">
        <v>195</v>
      </c>
      <c r="R14" s="34" t="s">
        <v>27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>
      <c r="A15" s="240" t="s">
        <v>197</v>
      </c>
      <c r="B15" s="36"/>
      <c r="C15" s="36"/>
      <c r="D15" s="140">
        <f>+D12+D13-D14</f>
        <v>1.661875</v>
      </c>
      <c r="E15" s="140">
        <f t="shared" ref="E15:O15" si="0">+E12+E13-E14</f>
        <v>1.9739249999999995</v>
      </c>
      <c r="F15" s="140">
        <f t="shared" si="0"/>
        <v>2.1619299999999999</v>
      </c>
      <c r="G15" s="140">
        <f t="shared" si="0"/>
        <v>2.0550000000000006</v>
      </c>
      <c r="H15" s="140">
        <f t="shared" si="0"/>
        <v>1.8888470000000002</v>
      </c>
      <c r="I15" s="140">
        <f t="shared" si="0"/>
        <v>1.907636000000001</v>
      </c>
      <c r="J15" s="140">
        <f t="shared" si="0"/>
        <v>1.6723609999999995</v>
      </c>
      <c r="K15" s="140">
        <f t="shared" si="0"/>
        <v>1.9458659999999997</v>
      </c>
      <c r="L15" s="140">
        <f t="shared" si="0"/>
        <v>1.3604570000000002</v>
      </c>
      <c r="M15" s="140">
        <f t="shared" si="0"/>
        <v>1.122001</v>
      </c>
      <c r="N15" s="140">
        <f t="shared" si="0"/>
        <v>0.76126000000000005</v>
      </c>
      <c r="O15" s="140">
        <f t="shared" si="0"/>
        <v>0.45757524700000118</v>
      </c>
      <c r="P15" s="99" t="s">
        <v>198</v>
      </c>
      <c r="Q15" s="79"/>
      <c r="R15" s="79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30">
      <c r="A16" s="240" t="s">
        <v>199</v>
      </c>
      <c r="B16" s="43">
        <v>126.83606807999999</v>
      </c>
      <c r="C16" s="43">
        <v>127.78123085999998</v>
      </c>
      <c r="D16" s="43">
        <v>128.97547985999998</v>
      </c>
      <c r="E16" s="43">
        <v>136.58113992</v>
      </c>
      <c r="F16" s="43">
        <v>144.4700076</v>
      </c>
      <c r="G16" s="43">
        <v>143.06761806</v>
      </c>
      <c r="H16" s="43">
        <v>139.71689658</v>
      </c>
      <c r="I16" s="43">
        <v>140.41638527999999</v>
      </c>
      <c r="J16" s="43">
        <v>139.9148007</v>
      </c>
      <c r="K16" s="43">
        <f>38543*3412.14/1000000</f>
        <v>131.51411202</v>
      </c>
      <c r="L16" s="43">
        <v>123.584299</v>
      </c>
      <c r="M16" s="43">
        <v>124.416861</v>
      </c>
      <c r="N16" s="43">
        <v>121.008133</v>
      </c>
      <c r="O16" s="43">
        <v>107.27426946</v>
      </c>
      <c r="P16" s="31" t="s">
        <v>52</v>
      </c>
      <c r="Q16" s="64" t="s">
        <v>53</v>
      </c>
      <c r="R16" s="34" t="s">
        <v>200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30">
      <c r="A17" s="35" t="s">
        <v>201</v>
      </c>
      <c r="B17" s="43">
        <v>87.712470839999995</v>
      </c>
      <c r="C17" s="43">
        <v>91.073428739999983</v>
      </c>
      <c r="D17" s="43">
        <v>91.189441500000001</v>
      </c>
      <c r="E17" s="43">
        <v>94.485568739999991</v>
      </c>
      <c r="F17" s="43">
        <v>92.943281459999994</v>
      </c>
      <c r="G17" s="43">
        <v>93.21284052</v>
      </c>
      <c r="H17" s="43">
        <v>93.690540119999994</v>
      </c>
      <c r="I17" s="43">
        <v>93.629121600000005</v>
      </c>
      <c r="J17" s="43">
        <v>93.983984159999991</v>
      </c>
      <c r="K17" s="43">
        <f>26433*3412.14/1000000</f>
        <v>90.193096619999992</v>
      </c>
      <c r="L17" s="43">
        <f>24916*3412.14/1000000</f>
        <v>85.016880239999992</v>
      </c>
      <c r="M17" s="43">
        <f>24413*3412.14/1000000</f>
        <v>83.300573819999997</v>
      </c>
      <c r="N17" s="43">
        <f>23287*3412.14/1000000</f>
        <v>79.458504179999991</v>
      </c>
      <c r="O17" s="43">
        <v>74.336882040000006</v>
      </c>
      <c r="P17" s="31" t="s">
        <v>52</v>
      </c>
      <c r="Q17" s="64" t="s">
        <v>53</v>
      </c>
      <c r="R17" s="34" t="s">
        <v>200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30">
      <c r="A18" s="35" t="s">
        <v>202</v>
      </c>
      <c r="B18" s="43">
        <v>39.055354439999995</v>
      </c>
      <c r="C18" s="43">
        <v>36.622498620000002</v>
      </c>
      <c r="D18" s="43">
        <v>37.704147000000006</v>
      </c>
      <c r="E18" s="43">
        <v>41.976146279999995</v>
      </c>
      <c r="F18" s="43">
        <v>51.274227779999997</v>
      </c>
      <c r="G18" s="43">
        <v>49.69099482</v>
      </c>
      <c r="H18" s="43">
        <v>45.7909188</v>
      </c>
      <c r="I18" s="43">
        <v>46.545001739999996</v>
      </c>
      <c r="J18" s="43">
        <v>45.671493899999994</v>
      </c>
      <c r="K18" s="43">
        <f>12020*3412.14/1000000</f>
        <v>41.013922799999996</v>
      </c>
      <c r="L18" s="43">
        <v>38.253501999999997</v>
      </c>
      <c r="M18" s="43">
        <v>40.594230000000003</v>
      </c>
      <c r="N18" s="43">
        <v>40.952503999999998</v>
      </c>
      <c r="O18" s="43">
        <v>32.568876299999999</v>
      </c>
      <c r="P18" s="31" t="s">
        <v>52</v>
      </c>
      <c r="Q18" s="64" t="s">
        <v>53</v>
      </c>
      <c r="R18" s="34" t="s">
        <v>200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>
      <c r="A19" s="35" t="s">
        <v>203</v>
      </c>
      <c r="B19" s="43">
        <f t="shared" ref="B19:N19" si="1">+B20-B16</f>
        <v>2090.1639319199999</v>
      </c>
      <c r="C19" s="43">
        <f t="shared" si="1"/>
        <v>2085.2187691399999</v>
      </c>
      <c r="D19" s="43">
        <f t="shared" si="1"/>
        <v>2022.02452014</v>
      </c>
      <c r="E19" s="43">
        <f t="shared" si="1"/>
        <v>2201.4188600799998</v>
      </c>
      <c r="F19" s="43">
        <f t="shared" si="1"/>
        <v>2256.5299924000001</v>
      </c>
      <c r="G19" s="43">
        <f t="shared" si="1"/>
        <v>2168.9323819400001</v>
      </c>
      <c r="H19" s="43">
        <f t="shared" si="1"/>
        <v>2090.2831034199999</v>
      </c>
      <c r="I19" s="43">
        <f t="shared" si="1"/>
        <v>2144.5836147199998</v>
      </c>
      <c r="J19" s="43">
        <f t="shared" si="1"/>
        <v>2219.0851993000001</v>
      </c>
      <c r="K19" s="43">
        <f t="shared" si="1"/>
        <v>2105.4858879799999</v>
      </c>
      <c r="L19" s="43">
        <f t="shared" si="1"/>
        <v>1846.4157009999999</v>
      </c>
      <c r="M19" s="43">
        <f t="shared" si="1"/>
        <v>1864.5831390000001</v>
      </c>
      <c r="N19" s="43">
        <f t="shared" si="1"/>
        <v>1890.991867</v>
      </c>
      <c r="O19" s="43">
        <f>+O20-O16</f>
        <v>1810.7257305400001</v>
      </c>
      <c r="P19" s="31" t="s">
        <v>198</v>
      </c>
      <c r="Q19" s="64"/>
      <c r="R19" s="34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5" t="s">
        <v>204</v>
      </c>
      <c r="B20" s="32">
        <v>2217</v>
      </c>
      <c r="C20" s="32">
        <v>2213</v>
      </c>
      <c r="D20" s="32">
        <v>2151</v>
      </c>
      <c r="E20" s="32">
        <v>2338</v>
      </c>
      <c r="F20" s="32">
        <v>2401</v>
      </c>
      <c r="G20" s="32">
        <v>2312</v>
      </c>
      <c r="H20" s="32">
        <v>2230</v>
      </c>
      <c r="I20" s="32">
        <v>2285</v>
      </c>
      <c r="J20" s="32">
        <v>2359</v>
      </c>
      <c r="K20" s="32">
        <v>2237</v>
      </c>
      <c r="L20" s="32">
        <v>1970</v>
      </c>
      <c r="M20" s="32">
        <v>1989</v>
      </c>
      <c r="N20" s="32">
        <v>2012</v>
      </c>
      <c r="O20" s="32">
        <v>1918</v>
      </c>
      <c r="P20" s="31" t="s">
        <v>52</v>
      </c>
      <c r="Q20" s="288" t="s">
        <v>53</v>
      </c>
      <c r="R20" s="34" t="s">
        <v>511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35" t="s">
        <v>205</v>
      </c>
      <c r="B21" s="32">
        <v>541</v>
      </c>
      <c r="C21" s="32">
        <v>524</v>
      </c>
      <c r="D21" s="32">
        <v>438</v>
      </c>
      <c r="E21" s="32">
        <v>572</v>
      </c>
      <c r="F21" s="32">
        <v>579</v>
      </c>
      <c r="G21" s="32">
        <v>513</v>
      </c>
      <c r="H21" s="32">
        <v>448</v>
      </c>
      <c r="I21" s="32">
        <v>433</v>
      </c>
      <c r="J21" s="32">
        <v>525</v>
      </c>
      <c r="K21" s="32">
        <v>546</v>
      </c>
      <c r="L21" s="32">
        <v>345</v>
      </c>
      <c r="M21" s="32">
        <v>344</v>
      </c>
      <c r="N21" s="32">
        <v>422</v>
      </c>
      <c r="O21" s="32">
        <v>450</v>
      </c>
      <c r="P21" s="31" t="s">
        <v>52</v>
      </c>
      <c r="Q21" s="242" t="s">
        <v>53</v>
      </c>
      <c r="R21" s="34" t="s">
        <v>511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35" t="s">
        <v>206</v>
      </c>
      <c r="B22" s="32">
        <v>72</v>
      </c>
      <c r="C22" s="32">
        <v>69</v>
      </c>
      <c r="D22" s="32">
        <v>61</v>
      </c>
      <c r="E22" s="32">
        <v>70</v>
      </c>
      <c r="F22" s="32">
        <v>76</v>
      </c>
      <c r="G22" s="32">
        <v>79</v>
      </c>
      <c r="H22" s="32">
        <v>84</v>
      </c>
      <c r="I22" s="32">
        <v>84</v>
      </c>
      <c r="J22" s="32">
        <v>84</v>
      </c>
      <c r="K22" s="32">
        <v>84</v>
      </c>
      <c r="L22" s="32">
        <v>83</v>
      </c>
      <c r="M22" s="32">
        <v>83</v>
      </c>
      <c r="N22" s="32">
        <v>83</v>
      </c>
      <c r="O22" s="32">
        <v>82</v>
      </c>
      <c r="P22" s="31" t="s">
        <v>52</v>
      </c>
      <c r="Q22" s="64" t="s">
        <v>53</v>
      </c>
      <c r="R22" s="34" t="s">
        <v>511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201</v>
      </c>
      <c r="B23" s="32">
        <v>1409</v>
      </c>
      <c r="C23" s="32">
        <v>1438</v>
      </c>
      <c r="D23" s="32">
        <v>1462</v>
      </c>
      <c r="E23" s="32">
        <v>1489</v>
      </c>
      <c r="F23" s="32">
        <v>1495</v>
      </c>
      <c r="G23" s="32">
        <v>1476</v>
      </c>
      <c r="H23" s="32">
        <v>1474</v>
      </c>
      <c r="I23" s="32">
        <v>1539</v>
      </c>
      <c r="J23" s="32">
        <v>1537</v>
      </c>
      <c r="K23" s="32">
        <v>1413</v>
      </c>
      <c r="L23" s="32">
        <v>1356</v>
      </c>
      <c r="M23" s="32">
        <v>1366</v>
      </c>
      <c r="N23" s="32">
        <v>1308</v>
      </c>
      <c r="O23" s="32">
        <v>1224</v>
      </c>
      <c r="P23" s="31" t="s">
        <v>52</v>
      </c>
      <c r="Q23" s="64" t="s">
        <v>53</v>
      </c>
      <c r="R23" s="34" t="s">
        <v>511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202</v>
      </c>
      <c r="B24" s="32">
        <v>196</v>
      </c>
      <c r="C24" s="32">
        <v>182</v>
      </c>
      <c r="D24" s="32">
        <v>190</v>
      </c>
      <c r="E24" s="32">
        <v>207</v>
      </c>
      <c r="F24" s="32">
        <v>251</v>
      </c>
      <c r="G24" s="32">
        <v>244</v>
      </c>
      <c r="H24" s="32">
        <v>224</v>
      </c>
      <c r="I24" s="32">
        <v>229</v>
      </c>
      <c r="J24" s="32">
        <v>221</v>
      </c>
      <c r="K24" s="32">
        <v>201</v>
      </c>
      <c r="L24" s="32">
        <v>185</v>
      </c>
      <c r="M24" s="32">
        <v>199</v>
      </c>
      <c r="N24" s="32">
        <v>198</v>
      </c>
      <c r="O24" s="32">
        <v>162</v>
      </c>
      <c r="P24" s="31" t="s">
        <v>52</v>
      </c>
      <c r="Q24" s="64" t="s">
        <v>53</v>
      </c>
      <c r="R24" s="34" t="s">
        <v>511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207</v>
      </c>
      <c r="B25" s="43">
        <v>15.7</v>
      </c>
      <c r="C25" s="43">
        <v>18.3</v>
      </c>
      <c r="D25" s="43">
        <v>18.053588999999999</v>
      </c>
      <c r="E25" s="43">
        <v>21.199020000000001</v>
      </c>
      <c r="F25" s="43">
        <v>25.093776999999999</v>
      </c>
      <c r="G25" s="43">
        <v>27.381663</v>
      </c>
      <c r="H25" s="43">
        <v>29.304248000000001</v>
      </c>
      <c r="I25" s="43">
        <v>33.410285999999999</v>
      </c>
      <c r="J25" s="43">
        <v>37.627758</v>
      </c>
      <c r="K25" s="43">
        <v>41.975704999999998</v>
      </c>
      <c r="L25" s="43">
        <v>42.988148000000002</v>
      </c>
      <c r="M25" s="43">
        <v>44.971052</v>
      </c>
      <c r="N25" s="43">
        <v>48.070886999999999</v>
      </c>
      <c r="O25" s="43">
        <v>49.944090000000003</v>
      </c>
      <c r="P25" s="31" t="s">
        <v>208</v>
      </c>
      <c r="Q25" s="101" t="s">
        <v>209</v>
      </c>
      <c r="R25" s="34" t="s">
        <v>511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210</v>
      </c>
      <c r="B26" s="36"/>
      <c r="C26" s="36"/>
      <c r="D26" s="36"/>
      <c r="E26" s="36"/>
      <c r="F26" s="36"/>
      <c r="G26" s="36"/>
      <c r="H26" s="59">
        <v>10.0039768600908</v>
      </c>
      <c r="I26" s="59">
        <v>10.867588571765101</v>
      </c>
      <c r="J26" s="59">
        <v>10.730605345237</v>
      </c>
      <c r="K26" s="59">
        <v>10.8062154100458</v>
      </c>
      <c r="L26" s="59">
        <v>12.010147</v>
      </c>
      <c r="M26" s="59">
        <v>12.96185</v>
      </c>
      <c r="N26" s="59">
        <v>13.244444</v>
      </c>
      <c r="O26" s="59">
        <v>13.264989999999999</v>
      </c>
      <c r="P26" s="31" t="s">
        <v>52</v>
      </c>
      <c r="Q26" s="102" t="s">
        <v>211</v>
      </c>
      <c r="R26" s="34" t="s">
        <v>511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3.5" customHeight="1">
      <c r="A27" s="35" t="s">
        <v>212</v>
      </c>
      <c r="B27" s="36"/>
      <c r="C27" s="36"/>
      <c r="D27" s="43">
        <v>258.23399999999998</v>
      </c>
      <c r="E27" s="43">
        <v>370.98099999999999</v>
      </c>
      <c r="F27" s="43">
        <v>519.399</v>
      </c>
      <c r="G27" s="43">
        <v>682.97799999999995</v>
      </c>
      <c r="H27" s="43">
        <v>612.49599999999998</v>
      </c>
      <c r="I27" s="43">
        <v>666.54499999999996</v>
      </c>
      <c r="J27" s="43">
        <v>809.85500000000002</v>
      </c>
      <c r="K27" s="43">
        <v>942.62699999999995</v>
      </c>
      <c r="L27" s="89">
        <v>981.59299999999996</v>
      </c>
      <c r="M27" s="89">
        <v>1059.261</v>
      </c>
      <c r="N27" s="89">
        <v>1545.4090000000001</v>
      </c>
      <c r="O27" s="295">
        <v>1753.4892339999999</v>
      </c>
      <c r="P27" s="99" t="s">
        <v>194</v>
      </c>
      <c r="Q27" s="100" t="s">
        <v>195</v>
      </c>
      <c r="R27" s="34" t="s">
        <v>511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3.5" customHeight="1">
      <c r="A28" s="35" t="s">
        <v>213</v>
      </c>
      <c r="B28" s="103"/>
      <c r="C28" s="36"/>
      <c r="D28" s="43">
        <v>18.347999999999999</v>
      </c>
      <c r="E28" s="43">
        <v>30.262</v>
      </c>
      <c r="F28" s="43">
        <v>44.905999999999999</v>
      </c>
      <c r="G28" s="43">
        <v>45.781999999999996</v>
      </c>
      <c r="H28" s="43">
        <v>34.744999999999997</v>
      </c>
      <c r="I28" s="43">
        <v>41.134</v>
      </c>
      <c r="J28" s="43">
        <v>41.139000000000003</v>
      </c>
      <c r="K28" s="43">
        <v>42.323</v>
      </c>
      <c r="L28" s="89">
        <v>42.118000000000002</v>
      </c>
      <c r="M28" s="89">
        <v>42.997</v>
      </c>
      <c r="N28" s="89">
        <v>46.787999999999997</v>
      </c>
      <c r="O28" s="295">
        <v>50.057676000000001</v>
      </c>
      <c r="P28" s="99" t="s">
        <v>194</v>
      </c>
      <c r="Q28" s="100" t="s">
        <v>195</v>
      </c>
      <c r="R28" s="34" t="s">
        <v>511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6">
        <f>+O14/30.18505982</f>
        <v>0.31605039237586641</v>
      </c>
      <c r="P29" s="49"/>
      <c r="Q29" s="49"/>
      <c r="R29" s="50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51" t="s">
        <v>71</v>
      </c>
      <c r="B30" s="51">
        <v>2010</v>
      </c>
      <c r="C30" s="51">
        <v>2011</v>
      </c>
      <c r="D30" s="51">
        <v>2012</v>
      </c>
      <c r="E30" s="51">
        <v>2013</v>
      </c>
      <c r="F30" s="51">
        <v>2014</v>
      </c>
      <c r="G30" s="51">
        <v>2015</v>
      </c>
      <c r="H30" s="51">
        <v>2016</v>
      </c>
      <c r="I30" s="51">
        <v>2017</v>
      </c>
      <c r="J30" s="51">
        <v>2018</v>
      </c>
      <c r="K30" s="51">
        <v>2019</v>
      </c>
      <c r="L30" s="51">
        <v>2020</v>
      </c>
      <c r="M30" s="51">
        <v>2021</v>
      </c>
      <c r="N30" s="51">
        <v>2022</v>
      </c>
      <c r="O30" s="51">
        <v>2023</v>
      </c>
      <c r="P30" s="79" t="s">
        <v>21</v>
      </c>
      <c r="Q30" s="79" t="s">
        <v>22</v>
      </c>
      <c r="R30" s="79" t="s">
        <v>23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5.75" customHeight="1">
      <c r="A31" s="35" t="s">
        <v>214</v>
      </c>
      <c r="B31" s="32">
        <v>26549</v>
      </c>
      <c r="C31" s="32">
        <v>25477</v>
      </c>
      <c r="D31" s="32">
        <v>25484</v>
      </c>
      <c r="E31" s="32">
        <v>25085</v>
      </c>
      <c r="F31" s="32">
        <v>26895</v>
      </c>
      <c r="G31" s="32">
        <v>23416</v>
      </c>
      <c r="H31" s="32">
        <v>23596</v>
      </c>
      <c r="I31" s="32">
        <v>24432</v>
      </c>
      <c r="J31" s="32">
        <v>25040</v>
      </c>
      <c r="K31" s="32">
        <v>24738</v>
      </c>
      <c r="L31" s="32">
        <v>24306</v>
      </c>
      <c r="M31" s="32">
        <v>25517</v>
      </c>
      <c r="N31" s="32">
        <v>26939</v>
      </c>
      <c r="O31" s="32">
        <v>27349</v>
      </c>
      <c r="P31" s="31" t="s">
        <v>215</v>
      </c>
      <c r="Q31" s="62" t="s">
        <v>216</v>
      </c>
      <c r="R31" s="34" t="s">
        <v>27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36"/>
      <c r="N33" s="336"/>
      <c r="O33" s="336"/>
      <c r="P33" s="26"/>
      <c r="Q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33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104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A2"/>
  </mergeCells>
  <hyperlinks>
    <hyperlink ref="Q12" r:id="rId1" location="data/FO" xr:uid="{00000000-0004-0000-0700-000000000000}"/>
    <hyperlink ref="Q13" r:id="rId2" location="data/FO" xr:uid="{00000000-0004-0000-0700-000001000000}"/>
    <hyperlink ref="Q14" r:id="rId3" location="data/FO" xr:uid="{00000000-0004-0000-0700-000002000000}"/>
    <hyperlink ref="Q16" r:id="rId4" xr:uid="{00000000-0004-0000-0700-000003000000}"/>
    <hyperlink ref="Q17" r:id="rId5" xr:uid="{00000000-0004-0000-0700-000004000000}"/>
    <hyperlink ref="Q18" r:id="rId6" xr:uid="{00000000-0004-0000-0700-000005000000}"/>
    <hyperlink ref="Q21" r:id="rId7" xr:uid="{00000000-0004-0000-0700-000007000000}"/>
    <hyperlink ref="Q22" r:id="rId8" xr:uid="{00000000-0004-0000-0700-000008000000}"/>
    <hyperlink ref="Q23" r:id="rId9" xr:uid="{00000000-0004-0000-0700-000009000000}"/>
    <hyperlink ref="Q24" r:id="rId10" xr:uid="{00000000-0004-0000-0700-00000A000000}"/>
    <hyperlink ref="Q25" r:id="rId11" xr:uid="{00000000-0004-0000-0700-00000B000000}"/>
    <hyperlink ref="Q26" r:id="rId12" xr:uid="{00000000-0004-0000-0700-00000C000000}"/>
    <hyperlink ref="Q27" r:id="rId13" location="data/FO" xr:uid="{00000000-0004-0000-0700-00000D000000}"/>
    <hyperlink ref="Q28" r:id="rId14" location="data/FO" xr:uid="{00000000-0004-0000-0700-00000E000000}"/>
    <hyperlink ref="Q31" r:id="rId15" location="tab=Tables" xr:uid="{00000000-0004-0000-0700-00000F000000}"/>
    <hyperlink ref="Q20" r:id="rId16" xr:uid="{9C2B9B72-D82F-4572-BD78-CBAD785E58E0}"/>
  </hyperlinks>
  <pageMargins left="0.7" right="0.7" top="0.75" bottom="0.75" header="0" footer="0"/>
  <pageSetup orientation="portrait"/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306C"/>
  </sheetPr>
  <dimension ref="A1:AD1000"/>
  <sheetViews>
    <sheetView workbookViewId="0">
      <pane xSplit="1" ySplit="3" topLeftCell="F23" activePane="bottomRight" state="frozen"/>
      <selection pane="topRight" activeCell="B1" sqref="B1"/>
      <selection pane="bottomLeft" activeCell="A4" sqref="A4"/>
      <selection pane="bottomRight" activeCell="Q12" sqref="Q12"/>
    </sheetView>
  </sheetViews>
  <sheetFormatPr defaultColWidth="14.42578125" defaultRowHeight="15" customHeight="1"/>
  <cols>
    <col min="1" max="1" width="78.5703125" customWidth="1"/>
    <col min="2" max="15" width="11.7109375" customWidth="1"/>
    <col min="16" max="16" width="17.140625" customWidth="1"/>
    <col min="17" max="17" width="62.85546875" customWidth="1"/>
    <col min="18" max="18" width="25.85546875" customWidth="1"/>
    <col min="19" max="30" width="70.7109375" customWidth="1"/>
  </cols>
  <sheetData>
    <row r="1" spans="1:30">
      <c r="A1" s="447" t="s">
        <v>217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8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218</v>
      </c>
      <c r="B4" s="32">
        <v>86</v>
      </c>
      <c r="C4" s="105">
        <v>85</v>
      </c>
      <c r="D4" s="32">
        <v>85</v>
      </c>
      <c r="E4" s="32">
        <v>84</v>
      </c>
      <c r="F4" s="105">
        <v>84</v>
      </c>
      <c r="G4" s="32">
        <v>78</v>
      </c>
      <c r="H4" s="32">
        <v>77</v>
      </c>
      <c r="I4" s="106">
        <v>76</v>
      </c>
      <c r="J4" s="32">
        <v>75</v>
      </c>
      <c r="K4" s="32">
        <v>75</v>
      </c>
      <c r="L4" s="32">
        <v>64</v>
      </c>
      <c r="M4" s="32">
        <v>98</v>
      </c>
      <c r="N4" s="32">
        <v>60</v>
      </c>
      <c r="O4" s="32">
        <v>61</v>
      </c>
      <c r="P4" s="34" t="s">
        <v>52</v>
      </c>
      <c r="Q4" s="107" t="s">
        <v>219</v>
      </c>
      <c r="R4" s="34" t="s">
        <v>98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220</v>
      </c>
      <c r="B5" s="32">
        <v>2</v>
      </c>
      <c r="C5" s="32">
        <v>0</v>
      </c>
      <c r="D5" s="32">
        <v>2</v>
      </c>
      <c r="E5" s="32">
        <v>2</v>
      </c>
      <c r="F5" s="32">
        <v>1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108">
        <v>1</v>
      </c>
      <c r="M5" s="109">
        <v>2</v>
      </c>
      <c r="N5" s="32">
        <v>2</v>
      </c>
      <c r="O5" s="32">
        <v>3</v>
      </c>
      <c r="P5" s="35" t="s">
        <v>52</v>
      </c>
      <c r="Q5" s="55" t="s">
        <v>219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221</v>
      </c>
      <c r="B6" s="32">
        <v>2</v>
      </c>
      <c r="C6" s="32">
        <v>2</v>
      </c>
      <c r="D6" s="32">
        <v>2</v>
      </c>
      <c r="E6" s="32">
        <v>2</v>
      </c>
      <c r="F6" s="32">
        <v>2</v>
      </c>
      <c r="G6" s="32">
        <v>2</v>
      </c>
      <c r="H6" s="32">
        <v>1</v>
      </c>
      <c r="I6" s="32">
        <v>1</v>
      </c>
      <c r="J6" s="32">
        <v>1</v>
      </c>
      <c r="K6" s="32">
        <v>0</v>
      </c>
      <c r="L6" s="110">
        <v>2</v>
      </c>
      <c r="M6" s="111">
        <v>2</v>
      </c>
      <c r="N6" s="32">
        <v>0</v>
      </c>
      <c r="O6" s="32">
        <v>0</v>
      </c>
      <c r="P6" s="35" t="s">
        <v>52</v>
      </c>
      <c r="Q6" s="55" t="s">
        <v>219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5" t="s">
        <v>222</v>
      </c>
      <c r="B7" s="32">
        <v>11</v>
      </c>
      <c r="C7" s="32">
        <v>10</v>
      </c>
      <c r="D7" s="32">
        <v>11</v>
      </c>
      <c r="E7" s="32">
        <v>13</v>
      </c>
      <c r="F7" s="32">
        <v>8</v>
      </c>
      <c r="G7" s="32">
        <v>9</v>
      </c>
      <c r="H7" s="32">
        <v>11</v>
      </c>
      <c r="I7" s="32">
        <v>11</v>
      </c>
      <c r="J7" s="32">
        <v>20</v>
      </c>
      <c r="K7" s="32">
        <v>16</v>
      </c>
      <c r="L7" s="110">
        <v>11</v>
      </c>
      <c r="M7" s="111">
        <v>13</v>
      </c>
      <c r="N7" s="32">
        <v>2</v>
      </c>
      <c r="O7" s="32">
        <v>0</v>
      </c>
      <c r="P7" s="35" t="s">
        <v>52</v>
      </c>
      <c r="Q7" s="55" t="s">
        <v>219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223</v>
      </c>
      <c r="B8" s="32">
        <v>20</v>
      </c>
      <c r="C8" s="32">
        <v>20</v>
      </c>
      <c r="D8" s="32">
        <v>16</v>
      </c>
      <c r="E8" s="32">
        <v>13</v>
      </c>
      <c r="F8" s="32">
        <v>15</v>
      </c>
      <c r="G8" s="32">
        <v>15</v>
      </c>
      <c r="H8" s="32">
        <v>15</v>
      </c>
      <c r="I8" s="32">
        <v>10</v>
      </c>
      <c r="J8" s="32">
        <v>16</v>
      </c>
      <c r="K8" s="32">
        <v>13</v>
      </c>
      <c r="L8" s="110">
        <v>14</v>
      </c>
      <c r="M8" s="111">
        <v>13</v>
      </c>
      <c r="N8" s="32">
        <v>14</v>
      </c>
      <c r="O8" s="32">
        <v>14</v>
      </c>
      <c r="P8" s="35" t="s">
        <v>52</v>
      </c>
      <c r="Q8" s="55" t="s">
        <v>219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224</v>
      </c>
      <c r="B9" s="32">
        <v>9</v>
      </c>
      <c r="C9" s="32">
        <v>9</v>
      </c>
      <c r="D9" s="32">
        <v>7</v>
      </c>
      <c r="E9" s="32">
        <v>5</v>
      </c>
      <c r="F9" s="32">
        <v>7</v>
      </c>
      <c r="G9" s="32">
        <v>7</v>
      </c>
      <c r="H9" s="32">
        <v>7</v>
      </c>
      <c r="I9" s="32">
        <v>8</v>
      </c>
      <c r="J9" s="32">
        <v>6</v>
      </c>
      <c r="K9" s="32">
        <v>6</v>
      </c>
      <c r="L9" s="110">
        <v>8</v>
      </c>
      <c r="M9" s="111">
        <v>8</v>
      </c>
      <c r="N9" s="32">
        <v>8</v>
      </c>
      <c r="O9" s="32">
        <v>8</v>
      </c>
      <c r="P9" s="35" t="s">
        <v>52</v>
      </c>
      <c r="Q9" s="55" t="s">
        <v>219</v>
      </c>
      <c r="R9" s="34" t="s">
        <v>98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112"/>
      <c r="B10" s="113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5"/>
      <c r="Q10" s="116"/>
      <c r="R10" s="117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8" t="s">
        <v>50</v>
      </c>
      <c r="B11" s="28">
        <v>2010</v>
      </c>
      <c r="C11" s="28">
        <v>2011</v>
      </c>
      <c r="D11" s="28">
        <v>2012</v>
      </c>
      <c r="E11" s="28">
        <v>2013</v>
      </c>
      <c r="F11" s="28">
        <v>2014</v>
      </c>
      <c r="G11" s="28">
        <v>2015</v>
      </c>
      <c r="H11" s="28">
        <v>2016</v>
      </c>
      <c r="I11" s="28">
        <v>2017</v>
      </c>
      <c r="J11" s="28">
        <v>2018</v>
      </c>
      <c r="K11" s="28">
        <v>2019</v>
      </c>
      <c r="L11" s="28">
        <v>2020</v>
      </c>
      <c r="M11" s="28">
        <v>2021</v>
      </c>
      <c r="N11" s="28">
        <v>2022</v>
      </c>
      <c r="O11" s="28">
        <v>2023</v>
      </c>
      <c r="P11" s="29" t="s">
        <v>21</v>
      </c>
      <c r="Q11" s="29" t="s">
        <v>22</v>
      </c>
      <c r="R11" s="28" t="s">
        <v>23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30">
      <c r="A12" s="35" t="s">
        <v>225</v>
      </c>
      <c r="B12" s="43">
        <f t="shared" ref="B12:H12" si="0">+SUM(B13:B15)</f>
        <v>251.05</v>
      </c>
      <c r="C12" s="43">
        <f t="shared" si="0"/>
        <v>250.5</v>
      </c>
      <c r="D12" s="43">
        <f t="shared" si="0"/>
        <v>251.83999999999997</v>
      </c>
      <c r="E12" s="43">
        <f t="shared" si="0"/>
        <v>255.02</v>
      </c>
      <c r="F12" s="43">
        <f t="shared" si="0"/>
        <v>258.95</v>
      </c>
      <c r="G12" s="43">
        <f t="shared" si="0"/>
        <v>262.11</v>
      </c>
      <c r="H12" s="43">
        <f t="shared" si="0"/>
        <v>266.77999999999997</v>
      </c>
      <c r="I12" s="43">
        <v>268.7</v>
      </c>
      <c r="J12" s="43">
        <v>292.39999999999998</v>
      </c>
      <c r="K12" s="36"/>
      <c r="L12" s="36"/>
      <c r="M12" s="36"/>
      <c r="N12" s="36"/>
      <c r="O12" s="36"/>
      <c r="P12" s="35" t="s">
        <v>92</v>
      </c>
      <c r="Q12" s="118" t="s">
        <v>226</v>
      </c>
      <c r="R12" s="34" t="s">
        <v>227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30">
      <c r="A13" s="35" t="s">
        <v>228</v>
      </c>
      <c r="B13" s="43">
        <f>65.26+20.17</f>
        <v>85.43</v>
      </c>
      <c r="C13" s="43">
        <v>87</v>
      </c>
      <c r="D13" s="43">
        <v>86.89</v>
      </c>
      <c r="E13" s="43">
        <v>87.56</v>
      </c>
      <c r="F13" s="43">
        <v>89.57</v>
      </c>
      <c r="G13" s="43">
        <f>67.56+23.39</f>
        <v>90.95</v>
      </c>
      <c r="H13" s="43">
        <v>93.7</v>
      </c>
      <c r="I13" s="43">
        <f>67.18+26.99</f>
        <v>94.17</v>
      </c>
      <c r="J13" s="43">
        <v>93.9</v>
      </c>
      <c r="K13" s="36"/>
      <c r="L13" s="36"/>
      <c r="M13" s="36"/>
      <c r="N13" s="36"/>
      <c r="O13" s="36"/>
      <c r="P13" s="35" t="s">
        <v>92</v>
      </c>
      <c r="Q13" s="119" t="s">
        <v>229</v>
      </c>
      <c r="R13" s="34" t="s">
        <v>227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30">
      <c r="A14" s="35" t="s">
        <v>230</v>
      </c>
      <c r="B14" s="43">
        <v>29.31</v>
      </c>
      <c r="C14" s="43">
        <v>31.8</v>
      </c>
      <c r="D14" s="43">
        <v>32.5</v>
      </c>
      <c r="E14" s="43">
        <v>33.159999999999997</v>
      </c>
      <c r="F14" s="43">
        <v>33.21</v>
      </c>
      <c r="G14" s="43">
        <v>33.549999999999997</v>
      </c>
      <c r="H14" s="43">
        <v>33.9</v>
      </c>
      <c r="I14" s="43">
        <v>34.03</v>
      </c>
      <c r="J14" s="43">
        <v>34.549999999999997</v>
      </c>
      <c r="K14" s="36"/>
      <c r="L14" s="36"/>
      <c r="M14" s="88"/>
      <c r="N14" s="36"/>
      <c r="O14" s="36"/>
      <c r="P14" s="35" t="s">
        <v>92</v>
      </c>
      <c r="Q14" s="119" t="s">
        <v>229</v>
      </c>
      <c r="R14" s="34" t="s">
        <v>227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30">
      <c r="A15" s="35" t="s">
        <v>231</v>
      </c>
      <c r="B15" s="43">
        <v>136.31</v>
      </c>
      <c r="C15" s="43">
        <v>131.69999999999999</v>
      </c>
      <c r="D15" s="43">
        <v>132.44999999999999</v>
      </c>
      <c r="E15" s="43">
        <v>134.30000000000001</v>
      </c>
      <c r="F15" s="43">
        <v>136.16999999999999</v>
      </c>
      <c r="G15" s="43">
        <v>137.61000000000001</v>
      </c>
      <c r="H15" s="43">
        <v>139.18</v>
      </c>
      <c r="I15" s="43">
        <v>139.59</v>
      </c>
      <c r="J15" s="43">
        <v>146.12</v>
      </c>
      <c r="K15" s="36"/>
      <c r="L15" s="88"/>
      <c r="M15" s="36"/>
      <c r="N15" s="36"/>
      <c r="O15" s="36"/>
      <c r="P15" s="35" t="s">
        <v>92</v>
      </c>
      <c r="Q15" s="119" t="s">
        <v>229</v>
      </c>
      <c r="R15" s="34" t="s">
        <v>227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30">
      <c r="A16" s="35" t="s">
        <v>232</v>
      </c>
      <c r="B16" s="43">
        <v>17.633246400000001</v>
      </c>
      <c r="C16" s="43">
        <v>15.396998400000001</v>
      </c>
      <c r="D16" s="43">
        <v>16.968</v>
      </c>
      <c r="E16" s="43">
        <v>17.007000000000001</v>
      </c>
      <c r="F16" s="43">
        <v>16.706</v>
      </c>
      <c r="G16" s="43">
        <v>16.631</v>
      </c>
      <c r="H16" s="43">
        <v>16.994</v>
      </c>
      <c r="I16" s="43">
        <v>16.347999999999999</v>
      </c>
      <c r="J16" s="43">
        <v>16.783000000000001</v>
      </c>
      <c r="K16" s="43">
        <v>15.558999999999999</v>
      </c>
      <c r="L16" s="43">
        <v>15.516</v>
      </c>
      <c r="M16" s="43">
        <v>15.223000000000001</v>
      </c>
      <c r="N16" s="43">
        <v>14.589</v>
      </c>
      <c r="O16" s="43">
        <v>13.86</v>
      </c>
      <c r="P16" s="35" t="s">
        <v>52</v>
      </c>
      <c r="Q16" s="290" t="s">
        <v>233</v>
      </c>
      <c r="R16" s="34" t="s">
        <v>512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30">
      <c r="A17" s="35" t="s">
        <v>234</v>
      </c>
      <c r="B17" s="43">
        <v>2.0747664000000001</v>
      </c>
      <c r="C17" s="43">
        <v>1.8180288</v>
      </c>
      <c r="D17" s="43">
        <v>1.986</v>
      </c>
      <c r="E17" s="43">
        <v>1.865</v>
      </c>
      <c r="F17" s="43">
        <v>1.9550000000000001</v>
      </c>
      <c r="G17" s="43">
        <v>1.986</v>
      </c>
      <c r="H17" s="43">
        <v>2.2320000000000002</v>
      </c>
      <c r="I17" s="43">
        <v>2.1240000000000001</v>
      </c>
      <c r="J17" s="43">
        <v>2.0499999999999998</v>
      </c>
      <c r="K17" s="43">
        <v>1.667</v>
      </c>
      <c r="L17" s="43">
        <v>1.65</v>
      </c>
      <c r="M17" s="43">
        <v>1.712</v>
      </c>
      <c r="N17" s="43">
        <v>1.647</v>
      </c>
      <c r="O17" s="43">
        <v>1.5429999999999999</v>
      </c>
      <c r="P17" s="35" t="s">
        <v>52</v>
      </c>
      <c r="Q17" s="55" t="s">
        <v>235</v>
      </c>
      <c r="R17" s="34" t="s">
        <v>512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30">
      <c r="A18" s="35" t="s">
        <v>236</v>
      </c>
      <c r="B18" s="43">
        <v>19.708920000000003</v>
      </c>
      <c r="C18" s="43">
        <v>17.251315199999997</v>
      </c>
      <c r="D18" s="43">
        <v>18.954000000000001</v>
      </c>
      <c r="E18" s="43">
        <v>18.870999999999999</v>
      </c>
      <c r="F18" s="43">
        <v>18.661000000000001</v>
      </c>
      <c r="G18" s="43">
        <v>18.617000000000001</v>
      </c>
      <c r="H18" s="43">
        <v>19.225999999999999</v>
      </c>
      <c r="I18" s="43">
        <v>18.472999999999999</v>
      </c>
      <c r="J18" s="43">
        <v>18.832999999999998</v>
      </c>
      <c r="K18" s="43">
        <v>17.225000000000001</v>
      </c>
      <c r="L18" s="43">
        <v>17.166</v>
      </c>
      <c r="M18" s="43">
        <v>16.934000000000001</v>
      </c>
      <c r="N18" s="43">
        <v>16.236000000000001</v>
      </c>
      <c r="O18" s="43">
        <v>15.403</v>
      </c>
      <c r="P18" s="35" t="s">
        <v>52</v>
      </c>
      <c r="Q18" s="243" t="s">
        <v>237</v>
      </c>
      <c r="R18" s="34" t="s">
        <v>512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30">
      <c r="A19" s="35" t="s">
        <v>238</v>
      </c>
      <c r="B19" s="59">
        <v>0.36469440000000003</v>
      </c>
      <c r="C19" s="59">
        <v>0.35199360000000002</v>
      </c>
      <c r="D19" s="59">
        <v>0.41799999999999998</v>
      </c>
      <c r="E19" s="59">
        <v>0.45600000000000002</v>
      </c>
      <c r="F19" s="59">
        <v>0.44400000000000001</v>
      </c>
      <c r="G19" s="59">
        <v>0.45200000000000001</v>
      </c>
      <c r="H19" s="59">
        <v>0.46400000000000002</v>
      </c>
      <c r="I19" s="59">
        <v>0.42199999999999999</v>
      </c>
      <c r="J19" s="59">
        <v>0.46700000000000003</v>
      </c>
      <c r="K19" s="59">
        <v>0.29699999999999999</v>
      </c>
      <c r="L19" s="59">
        <v>0.28000000000000003</v>
      </c>
      <c r="M19" s="59">
        <v>0.252</v>
      </c>
      <c r="N19" s="59">
        <v>0.27400000000000002</v>
      </c>
      <c r="O19" s="59">
        <v>0.28299999999999997</v>
      </c>
      <c r="P19" s="35" t="s">
        <v>52</v>
      </c>
      <c r="Q19" s="55" t="s">
        <v>237</v>
      </c>
      <c r="R19" s="34" t="s">
        <v>512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30">
      <c r="A20" s="35" t="s">
        <v>239</v>
      </c>
      <c r="B20" s="43">
        <v>15.985771199999999</v>
      </c>
      <c r="C20" s="43">
        <v>13.940942400000001</v>
      </c>
      <c r="D20" s="43">
        <v>14.757</v>
      </c>
      <c r="E20" s="43">
        <v>14.574</v>
      </c>
      <c r="F20" s="43">
        <v>14.459</v>
      </c>
      <c r="G20" s="43">
        <v>14.452</v>
      </c>
      <c r="H20" s="43">
        <v>14.837999999999999</v>
      </c>
      <c r="I20" s="43">
        <v>14.195</v>
      </c>
      <c r="J20" s="43">
        <v>14.611000000000001</v>
      </c>
      <c r="K20" s="43">
        <v>13.683999999999999</v>
      </c>
      <c r="L20" s="43">
        <v>13.731999999999999</v>
      </c>
      <c r="M20" s="43">
        <v>13.315</v>
      </c>
      <c r="N20" s="43">
        <v>7.7469999999999999</v>
      </c>
      <c r="O20" s="43">
        <v>7.39</v>
      </c>
      <c r="P20" s="35" t="s">
        <v>52</v>
      </c>
      <c r="Q20" s="55" t="s">
        <v>237</v>
      </c>
      <c r="R20" s="34" t="s">
        <v>512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30">
      <c r="A21" s="35" t="s">
        <v>240</v>
      </c>
      <c r="B21" s="59">
        <v>3.2196528</v>
      </c>
      <c r="C21" s="59">
        <v>2.8150416000000003</v>
      </c>
      <c r="D21" s="59">
        <v>3.577</v>
      </c>
      <c r="E21" s="59">
        <v>3.6459999999999999</v>
      </c>
      <c r="F21" s="59">
        <v>3.5510000000000002</v>
      </c>
      <c r="G21" s="59">
        <v>3.5019999999999998</v>
      </c>
      <c r="H21" s="59">
        <v>3.7</v>
      </c>
      <c r="I21" s="59">
        <v>3.6389999999999998</v>
      </c>
      <c r="J21" s="59">
        <v>3.5569999999999999</v>
      </c>
      <c r="K21" s="59">
        <v>3.0470000000000002</v>
      </c>
      <c r="L21" s="59">
        <v>2.956</v>
      </c>
      <c r="M21" s="59">
        <v>3.1869999999999998</v>
      </c>
      <c r="N21" s="59">
        <v>8.2149999999999999</v>
      </c>
      <c r="O21" s="59">
        <v>7.73</v>
      </c>
      <c r="P21" s="35" t="s">
        <v>52</v>
      </c>
      <c r="Q21" s="190" t="s">
        <v>237</v>
      </c>
      <c r="R21" s="34" t="s">
        <v>512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30">
      <c r="A22" s="35" t="s">
        <v>201</v>
      </c>
      <c r="B22" s="59">
        <v>0.1378944</v>
      </c>
      <c r="C22" s="59">
        <v>0.14333760000000001</v>
      </c>
      <c r="D22" s="59">
        <v>0.20300000000000001</v>
      </c>
      <c r="E22" s="59">
        <v>0.19500000000000001</v>
      </c>
      <c r="F22" s="59">
        <v>0.20599999999999999</v>
      </c>
      <c r="G22" s="59">
        <v>0.21099999999999999</v>
      </c>
      <c r="H22" s="59">
        <v>0.224</v>
      </c>
      <c r="I22" s="59">
        <v>0.216</v>
      </c>
      <c r="J22" s="59">
        <v>0.19700000000000001</v>
      </c>
      <c r="K22" s="59">
        <v>0.19700000000000001</v>
      </c>
      <c r="L22" s="59">
        <v>0.19800000000000001</v>
      </c>
      <c r="M22" s="59">
        <v>0.18</v>
      </c>
      <c r="N22" s="59">
        <v>0</v>
      </c>
      <c r="O22" s="59">
        <v>0</v>
      </c>
      <c r="P22" s="35" t="s">
        <v>52</v>
      </c>
      <c r="Q22" s="55" t="s">
        <v>237</v>
      </c>
      <c r="R22" s="34" t="s">
        <v>512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5.75" customHeight="1">
      <c r="A23" s="35" t="s">
        <v>241</v>
      </c>
      <c r="B23" s="43">
        <v>144.934</v>
      </c>
      <c r="C23" s="43">
        <v>135.24100000000001</v>
      </c>
      <c r="D23" s="43">
        <v>135.73500000000001</v>
      </c>
      <c r="E23" s="236">
        <v>135.76400000000001</v>
      </c>
      <c r="F23" s="43">
        <v>134.40799999999999</v>
      </c>
      <c r="G23" s="43">
        <v>133.11699999999999</v>
      </c>
      <c r="H23" s="43">
        <v>135.95699999999999</v>
      </c>
      <c r="I23" s="43">
        <v>130.94200000000001</v>
      </c>
      <c r="J23" s="43">
        <v>134.465</v>
      </c>
      <c r="K23" s="43">
        <v>115.114</v>
      </c>
      <c r="L23" s="90">
        <v>114.81399999999999</v>
      </c>
      <c r="M23" s="120">
        <v>113.173</v>
      </c>
      <c r="N23" s="43">
        <v>108.508</v>
      </c>
      <c r="O23" s="43">
        <v>103.306</v>
      </c>
      <c r="P23" s="35" t="s">
        <v>52</v>
      </c>
      <c r="Q23" s="290" t="s">
        <v>242</v>
      </c>
      <c r="R23" s="34" t="s">
        <v>98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5.75" customHeight="1">
      <c r="A24" s="35" t="s">
        <v>243</v>
      </c>
      <c r="B24" s="43">
        <v>17.501999999999999</v>
      </c>
      <c r="C24" s="43">
        <v>16.765999999999998</v>
      </c>
      <c r="D24" s="43">
        <v>16.309999999999999</v>
      </c>
      <c r="E24" s="43">
        <v>15.167999999999999</v>
      </c>
      <c r="F24" s="43">
        <v>15.782999999999999</v>
      </c>
      <c r="G24" s="43">
        <v>16.623000000000001</v>
      </c>
      <c r="H24" s="43">
        <v>18.259</v>
      </c>
      <c r="I24" s="43">
        <v>17.72</v>
      </c>
      <c r="J24" s="43">
        <v>16.724</v>
      </c>
      <c r="K24" s="43">
        <v>12.308</v>
      </c>
      <c r="L24" s="90">
        <v>11.939</v>
      </c>
      <c r="M24" s="120">
        <v>12.721</v>
      </c>
      <c r="N24" s="43">
        <v>12.244</v>
      </c>
      <c r="O24" s="43">
        <v>12.535</v>
      </c>
      <c r="P24" s="35" t="s">
        <v>52</v>
      </c>
      <c r="Q24" s="55" t="s">
        <v>244</v>
      </c>
      <c r="R24" s="34" t="s">
        <v>98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5.75" customHeight="1">
      <c r="A25" s="35" t="s">
        <v>245</v>
      </c>
      <c r="B25" s="43">
        <v>162.43600000000001</v>
      </c>
      <c r="C25" s="43"/>
      <c r="D25" s="43">
        <v>152.04499999999999</v>
      </c>
      <c r="E25" s="43">
        <v>150.93199999999999</v>
      </c>
      <c r="F25" s="43">
        <v>150.191</v>
      </c>
      <c r="G25" s="43">
        <v>149.74</v>
      </c>
      <c r="H25" s="43">
        <v>154.21600000000001</v>
      </c>
      <c r="I25" s="43">
        <v>148.66200000000001</v>
      </c>
      <c r="J25" s="43">
        <v>151.18799999999999</v>
      </c>
      <c r="K25" s="43">
        <v>127.422</v>
      </c>
      <c r="L25" s="90">
        <v>126.752</v>
      </c>
      <c r="M25" s="120">
        <v>125.89400000000001</v>
      </c>
      <c r="N25" s="43">
        <v>120.753</v>
      </c>
      <c r="O25" s="43">
        <v>115.84099999999999</v>
      </c>
      <c r="P25" s="35" t="s">
        <v>52</v>
      </c>
      <c r="Q25" s="55" t="s">
        <v>246</v>
      </c>
      <c r="R25" s="34" t="s">
        <v>98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5.75" customHeight="1">
      <c r="A26" s="35" t="s">
        <v>238</v>
      </c>
      <c r="B26" s="59">
        <v>3.3220000000000001</v>
      </c>
      <c r="C26" s="59">
        <v>3.4329999999999998</v>
      </c>
      <c r="D26" s="59">
        <v>3.91</v>
      </c>
      <c r="E26" s="59">
        <v>4.4589999999999996</v>
      </c>
      <c r="F26" s="59">
        <v>4.4290000000000003</v>
      </c>
      <c r="G26" s="59">
        <v>4.2949999999999999</v>
      </c>
      <c r="H26" s="59">
        <v>4.4340000000000002</v>
      </c>
      <c r="I26" s="59">
        <v>4.1719999999999997</v>
      </c>
      <c r="J26" s="59">
        <v>4.5679999999999996</v>
      </c>
      <c r="K26" s="59">
        <v>2.4540000000000002</v>
      </c>
      <c r="L26" s="244">
        <v>2.2839999999999998</v>
      </c>
      <c r="M26" s="121">
        <v>2.0289999999999999</v>
      </c>
      <c r="N26" s="59">
        <v>2.2120000000000002</v>
      </c>
      <c r="O26" s="43">
        <v>2.2749999999999999</v>
      </c>
      <c r="P26" s="35" t="s">
        <v>52</v>
      </c>
      <c r="Q26" s="55" t="s">
        <v>246</v>
      </c>
      <c r="R26" s="34" t="s">
        <v>98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5.75" customHeight="1">
      <c r="A27" s="35" t="s">
        <v>239</v>
      </c>
      <c r="B27" s="43">
        <v>130.46700000000001</v>
      </c>
      <c r="C27" s="43">
        <v>121.648</v>
      </c>
      <c r="D27" s="43">
        <v>117.598</v>
      </c>
      <c r="E27" s="43">
        <v>115.574</v>
      </c>
      <c r="F27" s="43">
        <v>115.709</v>
      </c>
      <c r="G27" s="43">
        <v>114.886</v>
      </c>
      <c r="H27" s="43">
        <v>17.88</v>
      </c>
      <c r="I27" s="43">
        <v>112.857</v>
      </c>
      <c r="J27" s="43">
        <v>116.339</v>
      </c>
      <c r="K27" s="43">
        <v>101</v>
      </c>
      <c r="L27" s="244">
        <v>101.36199999999999</v>
      </c>
      <c r="M27" s="120">
        <v>98.516000000000005</v>
      </c>
      <c r="N27" s="43">
        <v>57.216999999999999</v>
      </c>
      <c r="O27" s="43">
        <v>54.557000000000002</v>
      </c>
      <c r="P27" s="35" t="s">
        <v>52</v>
      </c>
      <c r="Q27" s="243" t="s">
        <v>246</v>
      </c>
      <c r="R27" s="34" t="s">
        <v>98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5.75" customHeight="1">
      <c r="A28" s="35" t="s">
        <v>240</v>
      </c>
      <c r="B28" s="43">
        <v>27.509</v>
      </c>
      <c r="C28" s="43">
        <v>25.664000000000001</v>
      </c>
      <c r="D28" s="43">
        <v>28.922999999999998</v>
      </c>
      <c r="E28" s="43">
        <v>29.341999999999999</v>
      </c>
      <c r="F28" s="43">
        <v>28.411000000000001</v>
      </c>
      <c r="G28" s="43">
        <v>28.821000000000002</v>
      </c>
      <c r="H28" s="43">
        <v>30.094999999999999</v>
      </c>
      <c r="I28" s="43">
        <v>29.794</v>
      </c>
      <c r="J28" s="43">
        <v>28.686</v>
      </c>
      <c r="K28" s="43">
        <v>22.472999999999999</v>
      </c>
      <c r="L28" s="244">
        <v>21.629000000000001</v>
      </c>
      <c r="M28" s="120">
        <v>23.994</v>
      </c>
      <c r="N28" s="43">
        <v>61.323999999999998</v>
      </c>
      <c r="O28" s="43">
        <v>59.009</v>
      </c>
      <c r="P28" s="35" t="s">
        <v>52</v>
      </c>
      <c r="Q28" s="190" t="s">
        <v>246</v>
      </c>
      <c r="R28" s="34" t="s">
        <v>98</v>
      </c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15.75" customHeight="1">
      <c r="A29" s="35" t="s">
        <v>201</v>
      </c>
      <c r="B29" s="59">
        <v>1.1379999999999999</v>
      </c>
      <c r="C29" s="59">
        <v>1.262</v>
      </c>
      <c r="D29" s="59">
        <v>1.6140000000000001</v>
      </c>
      <c r="E29" s="59">
        <v>1.5569999999999999</v>
      </c>
      <c r="F29" s="59">
        <v>1.643</v>
      </c>
      <c r="G29" s="59">
        <v>1.7390000000000001</v>
      </c>
      <c r="H29" s="59">
        <v>1.806</v>
      </c>
      <c r="I29" s="59">
        <v>1.839</v>
      </c>
      <c r="J29" s="59">
        <v>1.5960000000000001</v>
      </c>
      <c r="K29" s="59">
        <v>1.4950000000000001</v>
      </c>
      <c r="L29" s="245">
        <v>1.478</v>
      </c>
      <c r="M29" s="121">
        <v>1.355</v>
      </c>
      <c r="N29" s="43">
        <v>0</v>
      </c>
      <c r="O29" s="43">
        <v>0</v>
      </c>
      <c r="P29" s="35" t="s">
        <v>52</v>
      </c>
      <c r="Q29" s="55" t="s">
        <v>246</v>
      </c>
      <c r="R29" s="34" t="s">
        <v>98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5.75" customHeight="1">
      <c r="A30" s="112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5"/>
      <c r="Q30" s="116"/>
      <c r="R30" s="117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8" t="s">
        <v>71</v>
      </c>
      <c r="B31" s="28">
        <v>2010</v>
      </c>
      <c r="C31" s="28">
        <v>2011</v>
      </c>
      <c r="D31" s="28">
        <v>2012</v>
      </c>
      <c r="E31" s="28">
        <v>2013</v>
      </c>
      <c r="F31" s="28">
        <v>2014</v>
      </c>
      <c r="G31" s="28">
        <v>2015</v>
      </c>
      <c r="H31" s="28">
        <v>2016</v>
      </c>
      <c r="I31" s="28">
        <v>2017</v>
      </c>
      <c r="J31" s="28">
        <v>2018</v>
      </c>
      <c r="K31" s="28">
        <v>2019</v>
      </c>
      <c r="L31" s="28">
        <v>2020</v>
      </c>
      <c r="M31" s="28">
        <v>2021</v>
      </c>
      <c r="N31" s="28">
        <v>2022</v>
      </c>
      <c r="O31" s="28">
        <v>2023</v>
      </c>
      <c r="P31" s="29" t="s">
        <v>21</v>
      </c>
      <c r="Q31" s="29" t="s">
        <v>22</v>
      </c>
      <c r="R31" s="28" t="s">
        <v>23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5.75" customHeight="1">
      <c r="A32" s="34" t="s">
        <v>247</v>
      </c>
      <c r="B32" s="36"/>
      <c r="C32" s="32">
        <v>640</v>
      </c>
      <c r="D32" s="32">
        <v>290</v>
      </c>
      <c r="E32" s="32">
        <v>550</v>
      </c>
      <c r="F32" s="32">
        <v>348</v>
      </c>
      <c r="G32" s="32">
        <v>524</v>
      </c>
      <c r="H32" s="32">
        <v>227</v>
      </c>
      <c r="I32" s="32">
        <v>142</v>
      </c>
      <c r="J32" s="32">
        <v>54</v>
      </c>
      <c r="K32" s="105">
        <v>57</v>
      </c>
      <c r="L32" s="105">
        <v>54</v>
      </c>
      <c r="M32" s="105">
        <v>55</v>
      </c>
      <c r="N32" s="105">
        <v>55</v>
      </c>
      <c r="O32" s="36"/>
      <c r="P32" s="35" t="s">
        <v>248</v>
      </c>
      <c r="Q32" s="64" t="s">
        <v>249</v>
      </c>
      <c r="R32" s="34" t="s">
        <v>98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35" t="s">
        <v>250</v>
      </c>
      <c r="B33" s="36"/>
      <c r="C33" s="36"/>
      <c r="D33" s="36"/>
      <c r="E33" s="68">
        <v>5350</v>
      </c>
      <c r="F33" s="68">
        <v>4753</v>
      </c>
      <c r="G33" s="36"/>
      <c r="H33" s="68">
        <v>4640</v>
      </c>
      <c r="I33" s="36"/>
      <c r="J33" s="68">
        <v>4600</v>
      </c>
      <c r="K33" s="68">
        <v>7000</v>
      </c>
      <c r="L33" s="67"/>
      <c r="M33" s="67"/>
      <c r="N33" s="67"/>
      <c r="O33" s="67"/>
      <c r="P33" s="35" t="s">
        <v>251</v>
      </c>
      <c r="Q33" s="122" t="s">
        <v>252</v>
      </c>
      <c r="R33" s="34" t="s">
        <v>98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5" t="s">
        <v>253</v>
      </c>
      <c r="B34" s="36"/>
      <c r="C34" s="36"/>
      <c r="D34" s="36"/>
      <c r="E34" s="68">
        <f>+E33+8557</f>
        <v>13907</v>
      </c>
      <c r="F34" s="68">
        <v>13878</v>
      </c>
      <c r="G34" s="36"/>
      <c r="H34" s="68">
        <v>13756</v>
      </c>
      <c r="I34" s="36"/>
      <c r="J34" s="68">
        <v>13601</v>
      </c>
      <c r="K34" s="67"/>
      <c r="L34" s="67"/>
      <c r="M34" s="67"/>
      <c r="N34" s="67"/>
      <c r="O34" s="67"/>
      <c r="P34" s="35" t="s">
        <v>251</v>
      </c>
      <c r="Q34" s="122" t="s">
        <v>254</v>
      </c>
      <c r="R34" s="34" t="s">
        <v>98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35" t="s">
        <v>255</v>
      </c>
      <c r="B35" s="36"/>
      <c r="C35" s="36"/>
      <c r="D35" s="36"/>
      <c r="E35" s="68">
        <v>5600</v>
      </c>
      <c r="F35" s="68">
        <v>5561.0000000000009</v>
      </c>
      <c r="G35" s="36"/>
      <c r="H35" s="68">
        <v>5576.2000000000007</v>
      </c>
      <c r="I35" s="36"/>
      <c r="J35" s="68">
        <v>5567</v>
      </c>
      <c r="K35" s="67"/>
      <c r="L35" s="67"/>
      <c r="M35" s="67"/>
      <c r="N35" s="67"/>
      <c r="O35" s="67"/>
      <c r="P35" s="35" t="s">
        <v>251</v>
      </c>
      <c r="Q35" s="122" t="s">
        <v>256</v>
      </c>
      <c r="R35" s="34" t="s">
        <v>98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J136" s="65"/>
      <c r="K136" s="65"/>
      <c r="L136" s="65"/>
      <c r="M136" s="65"/>
      <c r="N136" s="65"/>
      <c r="O136" s="65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J137" s="65"/>
      <c r="K137" s="65"/>
      <c r="L137" s="65"/>
      <c r="M137" s="65"/>
      <c r="N137" s="65"/>
      <c r="O137" s="65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J138" s="65"/>
      <c r="K138" s="65"/>
      <c r="L138" s="65"/>
      <c r="M138" s="65"/>
      <c r="N138" s="65"/>
      <c r="O138" s="65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J139" s="65"/>
      <c r="K139" s="65"/>
      <c r="L139" s="65"/>
      <c r="M139" s="65"/>
      <c r="N139" s="65"/>
      <c r="O139" s="65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J140" s="65"/>
      <c r="K140" s="65"/>
      <c r="L140" s="65"/>
      <c r="M140" s="65"/>
      <c r="N140" s="65"/>
      <c r="O140" s="65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J141" s="65"/>
      <c r="K141" s="65"/>
      <c r="L141" s="65"/>
      <c r="M141" s="65"/>
      <c r="N141" s="65"/>
      <c r="O141" s="65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J142" s="65"/>
      <c r="K142" s="65"/>
      <c r="L142" s="65"/>
      <c r="M142" s="65"/>
      <c r="N142" s="65"/>
      <c r="O142" s="65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J143" s="65"/>
      <c r="K143" s="65"/>
      <c r="L143" s="65"/>
      <c r="M143" s="65"/>
      <c r="N143" s="65"/>
      <c r="O143" s="65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J144" s="65"/>
      <c r="K144" s="65"/>
      <c r="L144" s="65"/>
      <c r="M144" s="65"/>
      <c r="N144" s="65"/>
      <c r="O144" s="65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J145" s="65"/>
      <c r="K145" s="65"/>
      <c r="L145" s="65"/>
      <c r="M145" s="65"/>
      <c r="N145" s="65"/>
      <c r="O145" s="65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Q4" r:id="rId1" xr:uid="{00000000-0004-0000-0800-000000000000}"/>
    <hyperlink ref="Q5" r:id="rId2" xr:uid="{00000000-0004-0000-0800-000001000000}"/>
    <hyperlink ref="Q6" r:id="rId3" xr:uid="{00000000-0004-0000-0800-000002000000}"/>
    <hyperlink ref="Q7" r:id="rId4" xr:uid="{00000000-0004-0000-0800-000003000000}"/>
    <hyperlink ref="Q8" r:id="rId5" xr:uid="{00000000-0004-0000-0800-000004000000}"/>
    <hyperlink ref="Q9" r:id="rId6" xr:uid="{00000000-0004-0000-0800-000005000000}"/>
    <hyperlink ref="Q12" r:id="rId7" xr:uid="{00000000-0004-0000-0800-000006000000}"/>
    <hyperlink ref="Q13" r:id="rId8" xr:uid="{00000000-0004-0000-0800-000007000000}"/>
    <hyperlink ref="Q14" r:id="rId9" xr:uid="{00000000-0004-0000-0800-000008000000}"/>
    <hyperlink ref="Q15" r:id="rId10" xr:uid="{00000000-0004-0000-0800-000009000000}"/>
    <hyperlink ref="Q16" r:id="rId11" xr:uid="{00000000-0004-0000-0800-00000A000000}"/>
    <hyperlink ref="Q17" r:id="rId12" xr:uid="{00000000-0004-0000-0800-00000B000000}"/>
    <hyperlink ref="Q18" r:id="rId13" xr:uid="{00000000-0004-0000-0800-00000C000000}"/>
    <hyperlink ref="Q23" r:id="rId14" xr:uid="{00000000-0004-0000-0800-00000D000000}"/>
    <hyperlink ref="Q24" r:id="rId15" xr:uid="{00000000-0004-0000-0800-00000E000000}"/>
    <hyperlink ref="Q25" r:id="rId16" xr:uid="{00000000-0004-0000-0800-00000F000000}"/>
    <hyperlink ref="Q26" r:id="rId17" xr:uid="{00000000-0004-0000-0800-000010000000}"/>
    <hyperlink ref="Q27" r:id="rId18" xr:uid="{00000000-0004-0000-0800-000011000000}"/>
    <hyperlink ref="Q28" r:id="rId19" xr:uid="{00000000-0004-0000-0800-000012000000}"/>
    <hyperlink ref="Q29" r:id="rId20" xr:uid="{00000000-0004-0000-0800-000013000000}"/>
    <hyperlink ref="Q32" r:id="rId21" xr:uid="{00000000-0004-0000-0800-000014000000}"/>
    <hyperlink ref="Q33" r:id="rId22" xr:uid="{00000000-0004-0000-0800-000015000000}"/>
    <hyperlink ref="Q34" r:id="rId23" xr:uid="{00000000-0004-0000-0800-000016000000}"/>
    <hyperlink ref="Q35" r:id="rId24" xr:uid="{00000000-0004-0000-0800-000017000000}"/>
  </hyperlinks>
  <pageMargins left="0.7" right="0.7" top="0.75" bottom="0.75" header="0" footer="0"/>
  <pageSetup orientation="portrait"/>
  <drawing r:id="rId2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306C"/>
  </sheetPr>
  <dimension ref="A1:AD1000"/>
  <sheetViews>
    <sheetView zoomScaleNormal="100" workbookViewId="0">
      <pane xSplit="1" ySplit="3" topLeftCell="H17" activePane="bottomRight" state="frozen"/>
      <selection pane="topRight" activeCell="B1" sqref="B1"/>
      <selection pane="bottomLeft" activeCell="A4" sqref="A4"/>
      <selection pane="bottomRight" activeCell="Q23" sqref="Q23"/>
    </sheetView>
  </sheetViews>
  <sheetFormatPr defaultColWidth="14.42578125" defaultRowHeight="15" customHeight="1"/>
  <cols>
    <col min="1" max="1" width="86" customWidth="1"/>
    <col min="2" max="15" width="11.7109375" customWidth="1"/>
    <col min="16" max="16" width="24.140625" customWidth="1"/>
    <col min="17" max="17" width="70.85546875" customWidth="1"/>
    <col min="18" max="18" width="24.7109375" customWidth="1"/>
    <col min="19" max="19" width="20.5703125" customWidth="1"/>
    <col min="20" max="30" width="8.85546875" customWidth="1"/>
  </cols>
  <sheetData>
    <row r="1" spans="1:30">
      <c r="A1" s="447" t="s">
        <v>257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8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258</v>
      </c>
      <c r="B4" s="32">
        <v>133</v>
      </c>
      <c r="C4" s="32">
        <v>158</v>
      </c>
      <c r="D4" s="32">
        <v>183</v>
      </c>
      <c r="E4" s="32">
        <v>209</v>
      </c>
      <c r="F4" s="32">
        <v>218</v>
      </c>
      <c r="G4" s="108">
        <v>225</v>
      </c>
      <c r="H4" s="109">
        <v>229</v>
      </c>
      <c r="I4" s="109">
        <v>234</v>
      </c>
      <c r="J4" s="109">
        <v>245</v>
      </c>
      <c r="K4" s="109">
        <v>257</v>
      </c>
      <c r="L4" s="109">
        <v>282</v>
      </c>
      <c r="M4" s="109">
        <v>341</v>
      </c>
      <c r="N4" s="32">
        <v>400</v>
      </c>
      <c r="O4" s="32">
        <v>429</v>
      </c>
      <c r="P4" s="34" t="s">
        <v>92</v>
      </c>
      <c r="Q4" s="55" t="s">
        <v>259</v>
      </c>
      <c r="R4" s="34" t="s">
        <v>98</v>
      </c>
      <c r="S4" s="63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4" t="s">
        <v>260</v>
      </c>
      <c r="B5" s="32">
        <v>25</v>
      </c>
      <c r="C5" s="32">
        <v>38</v>
      </c>
      <c r="D5" s="32">
        <v>50</v>
      </c>
      <c r="E5" s="32">
        <v>61</v>
      </c>
      <c r="F5" s="32">
        <v>64</v>
      </c>
      <c r="G5" s="110">
        <v>65</v>
      </c>
      <c r="H5" s="111">
        <v>68</v>
      </c>
      <c r="I5" s="111">
        <v>71</v>
      </c>
      <c r="J5" s="111">
        <v>75</v>
      </c>
      <c r="K5" s="111">
        <v>95</v>
      </c>
      <c r="L5" s="111">
        <v>97</v>
      </c>
      <c r="M5" s="111">
        <v>101</v>
      </c>
      <c r="N5" s="32">
        <v>100</v>
      </c>
      <c r="O5" s="32">
        <v>100</v>
      </c>
      <c r="P5" s="34" t="s">
        <v>92</v>
      </c>
      <c r="Q5" s="55" t="s">
        <v>259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4" t="s">
        <v>261</v>
      </c>
      <c r="B6" s="32">
        <v>14</v>
      </c>
      <c r="C6" s="32">
        <v>14</v>
      </c>
      <c r="D6" s="32">
        <v>14</v>
      </c>
      <c r="E6" s="32">
        <v>14</v>
      </c>
      <c r="F6" s="32">
        <v>14</v>
      </c>
      <c r="G6" s="110">
        <v>14</v>
      </c>
      <c r="H6" s="111">
        <v>14</v>
      </c>
      <c r="I6" s="111">
        <v>14</v>
      </c>
      <c r="J6" s="111">
        <v>14</v>
      </c>
      <c r="K6" s="111">
        <v>11</v>
      </c>
      <c r="L6" s="111">
        <v>29</v>
      </c>
      <c r="M6" s="111">
        <v>29</v>
      </c>
      <c r="N6" s="32">
        <v>15</v>
      </c>
      <c r="O6" s="32">
        <v>15</v>
      </c>
      <c r="P6" s="34" t="s">
        <v>92</v>
      </c>
      <c r="Q6" s="55" t="s">
        <v>259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4" t="s">
        <v>262</v>
      </c>
      <c r="B7" s="32">
        <v>13</v>
      </c>
      <c r="C7" s="32">
        <v>13</v>
      </c>
      <c r="D7" s="32">
        <v>13</v>
      </c>
      <c r="E7" s="32">
        <v>13</v>
      </c>
      <c r="F7" s="32">
        <v>13</v>
      </c>
      <c r="G7" s="110">
        <v>13</v>
      </c>
      <c r="H7" s="111">
        <v>13</v>
      </c>
      <c r="I7" s="111">
        <v>13</v>
      </c>
      <c r="J7" s="111">
        <v>13</v>
      </c>
      <c r="K7" s="111">
        <v>11</v>
      </c>
      <c r="L7" s="111">
        <v>10</v>
      </c>
      <c r="M7" s="111">
        <v>10</v>
      </c>
      <c r="N7" s="32">
        <v>12</v>
      </c>
      <c r="O7" s="32">
        <v>12</v>
      </c>
      <c r="P7" s="34" t="s">
        <v>92</v>
      </c>
      <c r="Q7" s="55" t="s">
        <v>259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4" t="s">
        <v>263</v>
      </c>
      <c r="B8" s="32">
        <v>81</v>
      </c>
      <c r="C8" s="32">
        <v>93</v>
      </c>
      <c r="D8" s="32">
        <v>106</v>
      </c>
      <c r="E8" s="32">
        <v>121</v>
      </c>
      <c r="F8" s="32">
        <v>127</v>
      </c>
      <c r="G8" s="110">
        <v>133</v>
      </c>
      <c r="H8" s="111">
        <v>134</v>
      </c>
      <c r="I8" s="111">
        <v>136</v>
      </c>
      <c r="J8" s="111">
        <v>143</v>
      </c>
      <c r="K8" s="111">
        <v>107</v>
      </c>
      <c r="L8" s="111">
        <v>119</v>
      </c>
      <c r="M8" s="111">
        <v>119</v>
      </c>
      <c r="N8" s="32">
        <v>101</v>
      </c>
      <c r="O8" s="32">
        <v>101</v>
      </c>
      <c r="P8" s="34" t="s">
        <v>92</v>
      </c>
      <c r="Q8" s="55" t="s">
        <v>259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264</v>
      </c>
      <c r="B9" s="32">
        <v>0</v>
      </c>
      <c r="C9" s="32">
        <v>1</v>
      </c>
      <c r="D9" s="32">
        <v>4</v>
      </c>
      <c r="E9" s="32">
        <v>1</v>
      </c>
      <c r="F9" s="32">
        <v>0</v>
      </c>
      <c r="G9" s="110">
        <v>0</v>
      </c>
      <c r="H9" s="111">
        <v>0</v>
      </c>
      <c r="I9" s="111">
        <v>1</v>
      </c>
      <c r="J9" s="111">
        <v>3</v>
      </c>
      <c r="K9" s="111">
        <v>6</v>
      </c>
      <c r="L9" s="111">
        <v>7</v>
      </c>
      <c r="M9" s="111">
        <v>15</v>
      </c>
      <c r="N9" s="32">
        <v>24</v>
      </c>
      <c r="O9" s="32">
        <v>29</v>
      </c>
      <c r="P9" s="34" t="s">
        <v>92</v>
      </c>
      <c r="Q9" s="55" t="s">
        <v>259</v>
      </c>
      <c r="R9" s="34" t="s">
        <v>98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35" t="s">
        <v>265</v>
      </c>
      <c r="B10" s="32">
        <v>19</v>
      </c>
      <c r="C10" s="32">
        <v>25</v>
      </c>
      <c r="D10" s="32">
        <v>25</v>
      </c>
      <c r="E10" s="32">
        <v>26</v>
      </c>
      <c r="F10" s="32">
        <v>9</v>
      </c>
      <c r="G10" s="110">
        <v>7</v>
      </c>
      <c r="H10" s="111">
        <v>4</v>
      </c>
      <c r="I10" s="111">
        <v>5</v>
      </c>
      <c r="J10" s="111">
        <v>11</v>
      </c>
      <c r="K10" s="111">
        <v>14</v>
      </c>
      <c r="L10" s="111">
        <v>18</v>
      </c>
      <c r="M10" s="111">
        <v>44</v>
      </c>
      <c r="N10" s="111">
        <v>24</v>
      </c>
      <c r="O10" s="111">
        <v>1</v>
      </c>
      <c r="P10" s="34" t="s">
        <v>92</v>
      </c>
      <c r="Q10" s="55" t="s">
        <v>259</v>
      </c>
      <c r="R10" s="34" t="s">
        <v>98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35" t="s">
        <v>266</v>
      </c>
      <c r="B11" s="105">
        <v>3</v>
      </c>
      <c r="C11" s="105">
        <v>8</v>
      </c>
      <c r="D11" s="105">
        <v>1</v>
      </c>
      <c r="E11" s="105">
        <v>3</v>
      </c>
      <c r="F11" s="105">
        <v>5</v>
      </c>
      <c r="G11" s="123">
        <v>4</v>
      </c>
      <c r="H11" s="111">
        <v>9</v>
      </c>
      <c r="I11" s="111">
        <v>4</v>
      </c>
      <c r="J11" s="111">
        <v>2</v>
      </c>
      <c r="K11" s="111">
        <v>3</v>
      </c>
      <c r="L11" s="124">
        <v>1</v>
      </c>
      <c r="M11" s="125"/>
      <c r="N11" s="32">
        <v>2</v>
      </c>
      <c r="O11" s="126"/>
      <c r="P11" s="34" t="s">
        <v>92</v>
      </c>
      <c r="Q11" s="55" t="s">
        <v>259</v>
      </c>
      <c r="R11" s="34" t="s">
        <v>98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267</v>
      </c>
      <c r="B12" s="105">
        <v>29</v>
      </c>
      <c r="C12" s="105">
        <v>34</v>
      </c>
      <c r="D12" s="105">
        <v>35</v>
      </c>
      <c r="E12" s="105">
        <v>36</v>
      </c>
      <c r="F12" s="105">
        <v>36</v>
      </c>
      <c r="G12" s="123">
        <v>36</v>
      </c>
      <c r="H12" s="127">
        <v>36</v>
      </c>
      <c r="I12" s="111">
        <v>36</v>
      </c>
      <c r="J12" s="111">
        <v>36</v>
      </c>
      <c r="K12" s="111">
        <v>36</v>
      </c>
      <c r="L12" s="111">
        <v>35</v>
      </c>
      <c r="M12" s="111">
        <v>35</v>
      </c>
      <c r="N12" s="32">
        <v>34</v>
      </c>
      <c r="O12" s="32">
        <v>35</v>
      </c>
      <c r="P12" s="34" t="s">
        <v>92</v>
      </c>
      <c r="Q12" s="55" t="s">
        <v>259</v>
      </c>
      <c r="R12" s="34" t="s">
        <v>98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30">
      <c r="A13" s="35" t="s">
        <v>268</v>
      </c>
      <c r="B13" s="32">
        <v>359</v>
      </c>
      <c r="C13" s="32">
        <v>394</v>
      </c>
      <c r="D13" s="32">
        <v>425</v>
      </c>
      <c r="E13" s="32">
        <v>451</v>
      </c>
      <c r="F13" s="32">
        <v>474</v>
      </c>
      <c r="G13" s="32">
        <v>483</v>
      </c>
      <c r="H13" s="32">
        <v>490</v>
      </c>
      <c r="I13" s="32">
        <v>497</v>
      </c>
      <c r="J13" s="32">
        <v>514</v>
      </c>
      <c r="K13" s="32">
        <v>565</v>
      </c>
      <c r="L13" s="32">
        <v>545</v>
      </c>
      <c r="M13" s="32">
        <v>549</v>
      </c>
      <c r="N13" s="32">
        <v>516</v>
      </c>
      <c r="O13" s="32">
        <v>535</v>
      </c>
      <c r="P13" s="35" t="s">
        <v>92</v>
      </c>
      <c r="Q13" s="128" t="s">
        <v>269</v>
      </c>
      <c r="R13" s="34" t="s">
        <v>98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30">
      <c r="A14" s="35" t="s">
        <v>270</v>
      </c>
      <c r="B14" s="32">
        <v>46</v>
      </c>
      <c r="C14" s="32">
        <v>46</v>
      </c>
      <c r="D14" s="32">
        <v>48</v>
      </c>
      <c r="E14" s="32">
        <v>48</v>
      </c>
      <c r="F14" s="32">
        <v>49</v>
      </c>
      <c r="G14" s="32">
        <v>49</v>
      </c>
      <c r="H14" s="32">
        <v>49</v>
      </c>
      <c r="I14" s="32">
        <v>49</v>
      </c>
      <c r="J14" s="32">
        <v>49</v>
      </c>
      <c r="K14" s="32">
        <v>49</v>
      </c>
      <c r="L14" s="32">
        <v>49</v>
      </c>
      <c r="M14" s="32">
        <v>49</v>
      </c>
      <c r="N14" s="32">
        <v>49</v>
      </c>
      <c r="O14" s="32">
        <v>45</v>
      </c>
      <c r="P14" s="35" t="s">
        <v>92</v>
      </c>
      <c r="Q14" s="129" t="s">
        <v>271</v>
      </c>
      <c r="R14" s="34" t="s">
        <v>98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112"/>
      <c r="B15" s="114"/>
      <c r="C15" s="114"/>
      <c r="D15" s="114"/>
      <c r="E15" s="114"/>
      <c r="F15" s="114"/>
      <c r="G15" s="114"/>
      <c r="H15" s="114"/>
      <c r="I15" s="114"/>
      <c r="J15" s="113"/>
      <c r="K15" s="113"/>
      <c r="L15" s="113"/>
      <c r="M15" s="360"/>
      <c r="N15" s="113"/>
      <c r="O15" s="113"/>
      <c r="P15" s="116"/>
      <c r="Q15" s="116"/>
      <c r="R15" s="130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8" t="s">
        <v>272</v>
      </c>
      <c r="B16" s="28">
        <v>2010</v>
      </c>
      <c r="C16" s="28">
        <v>2011</v>
      </c>
      <c r="D16" s="28">
        <v>2012</v>
      </c>
      <c r="E16" s="28">
        <v>2013</v>
      </c>
      <c r="F16" s="28">
        <v>2014</v>
      </c>
      <c r="G16" s="28">
        <v>2015</v>
      </c>
      <c r="H16" s="28">
        <v>2016</v>
      </c>
      <c r="I16" s="28">
        <v>2017</v>
      </c>
      <c r="J16" s="28">
        <v>2018</v>
      </c>
      <c r="K16" s="28">
        <v>2019</v>
      </c>
      <c r="L16" s="131">
        <v>2020</v>
      </c>
      <c r="M16" s="132">
        <v>2021</v>
      </c>
      <c r="N16" s="28">
        <v>2022</v>
      </c>
      <c r="O16" s="28">
        <v>2023</v>
      </c>
      <c r="P16" s="29" t="s">
        <v>21</v>
      </c>
      <c r="Q16" s="29" t="s">
        <v>22</v>
      </c>
      <c r="R16" s="28" t="s">
        <v>23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>
      <c r="A17" s="35" t="s">
        <v>273</v>
      </c>
      <c r="B17" s="133"/>
      <c r="C17" s="133"/>
      <c r="D17" s="133"/>
      <c r="E17" s="133"/>
      <c r="F17" s="134"/>
      <c r="G17" s="134"/>
      <c r="H17" s="134"/>
      <c r="I17" s="134"/>
      <c r="J17" s="43">
        <v>125.12774973833359</v>
      </c>
      <c r="K17" s="135"/>
      <c r="L17" s="90">
        <v>344.75902719999999</v>
      </c>
      <c r="M17" s="120">
        <v>346.13106220000003</v>
      </c>
      <c r="N17" s="43">
        <v>434.83679999999998</v>
      </c>
      <c r="O17" s="43">
        <v>435.87349999999998</v>
      </c>
      <c r="P17" s="34" t="s">
        <v>92</v>
      </c>
      <c r="Q17" s="293" t="s">
        <v>546</v>
      </c>
      <c r="R17" s="34" t="s">
        <v>98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30">
      <c r="A18" s="35" t="s">
        <v>274</v>
      </c>
      <c r="B18" s="133"/>
      <c r="C18" s="133"/>
      <c r="D18" s="133"/>
      <c r="E18" s="133"/>
      <c r="F18" s="134"/>
      <c r="G18" s="134"/>
      <c r="H18" s="134"/>
      <c r="I18" s="134"/>
      <c r="J18" s="43">
        <v>132</v>
      </c>
      <c r="K18" s="135"/>
      <c r="L18" s="43">
        <v>147</v>
      </c>
      <c r="M18" s="137"/>
      <c r="N18" s="135"/>
      <c r="O18" s="43">
        <v>147.08000000000001</v>
      </c>
      <c r="P18" s="34" t="s">
        <v>275</v>
      </c>
      <c r="Q18" s="138" t="s">
        <v>276</v>
      </c>
      <c r="R18" s="34" t="s">
        <v>98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30">
      <c r="A19" s="35" t="s">
        <v>277</v>
      </c>
      <c r="B19" s="133"/>
      <c r="C19" s="133"/>
      <c r="D19" s="133"/>
      <c r="E19" s="133"/>
      <c r="F19" s="134"/>
      <c r="G19" s="134"/>
      <c r="H19" s="134"/>
      <c r="I19" s="134"/>
      <c r="J19" s="43">
        <v>1124</v>
      </c>
      <c r="K19" s="135"/>
      <c r="L19" s="43">
        <v>1157</v>
      </c>
      <c r="M19" s="137"/>
      <c r="N19" s="135"/>
      <c r="O19" s="43">
        <v>1277.8889999999999</v>
      </c>
      <c r="P19" s="34" t="s">
        <v>275</v>
      </c>
      <c r="Q19" s="139" t="s">
        <v>278</v>
      </c>
      <c r="R19" s="34" t="s">
        <v>98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30">
      <c r="A20" s="35" t="s">
        <v>279</v>
      </c>
      <c r="B20" s="59">
        <v>0.94784544532000004</v>
      </c>
      <c r="C20" s="59">
        <v>1.3818346454280002</v>
      </c>
      <c r="D20" s="59">
        <v>1.6778588646600001</v>
      </c>
      <c r="E20" s="59">
        <v>2.0842330495920001</v>
      </c>
      <c r="F20" s="59">
        <v>2.1646238639919999</v>
      </c>
      <c r="G20" s="59">
        <v>2.1646238639919999</v>
      </c>
      <c r="H20" s="59">
        <v>2.1866800590039999</v>
      </c>
      <c r="I20" s="59">
        <v>2.1870212590039997</v>
      </c>
      <c r="J20" s="59">
        <v>2.3303904964439996</v>
      </c>
      <c r="K20" s="59">
        <v>2.3785148286639997</v>
      </c>
      <c r="L20" s="59">
        <v>2.4109288286639998</v>
      </c>
      <c r="M20" s="59">
        <v>2.4109288286639998</v>
      </c>
      <c r="N20" s="59">
        <v>2.4109288286639998</v>
      </c>
      <c r="O20" s="59">
        <v>2.4109288286639998</v>
      </c>
      <c r="P20" s="34" t="s">
        <v>92</v>
      </c>
      <c r="Q20" s="190" t="s">
        <v>259</v>
      </c>
      <c r="R20" s="76" t="s">
        <v>280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35" t="s">
        <v>281</v>
      </c>
      <c r="B21" s="59">
        <v>5.3880716000000026</v>
      </c>
      <c r="C21" s="59">
        <v>5.5375620950000028</v>
      </c>
      <c r="D21" s="59">
        <v>5.9042283200000032</v>
      </c>
      <c r="E21" s="59">
        <v>7.1320503600000027</v>
      </c>
      <c r="F21" s="59">
        <v>7.1768723600000026</v>
      </c>
      <c r="G21" s="59">
        <v>7.8956303600000028</v>
      </c>
      <c r="H21" s="59">
        <v>7.8956303600000028</v>
      </c>
      <c r="I21" s="59">
        <v>7.8956303600000028</v>
      </c>
      <c r="J21" s="59">
        <v>9.7217618600000026</v>
      </c>
      <c r="K21" s="59">
        <v>10.652238110000003</v>
      </c>
      <c r="L21" s="59">
        <v>12.763315985000002</v>
      </c>
      <c r="M21" s="59">
        <v>17.167976115000002</v>
      </c>
      <c r="N21" s="59">
        <v>18.214613615000001</v>
      </c>
      <c r="O21" s="59">
        <v>18.251769155000002</v>
      </c>
      <c r="P21" s="34" t="s">
        <v>92</v>
      </c>
      <c r="Q21" s="55" t="s">
        <v>259</v>
      </c>
      <c r="R21" s="34" t="s">
        <v>98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35" t="s">
        <v>282</v>
      </c>
      <c r="B22" s="59">
        <v>1.8173375676396248</v>
      </c>
      <c r="C22" s="59">
        <v>2.3786014937462703</v>
      </c>
      <c r="D22" s="59">
        <v>3.0289899970258229</v>
      </c>
      <c r="E22" s="59">
        <v>3.5291746615061301</v>
      </c>
      <c r="F22" s="59">
        <v>3.723025227346159</v>
      </c>
      <c r="G22" s="59">
        <v>3.8045922425502354</v>
      </c>
      <c r="H22" s="59">
        <v>4.0303677316089201</v>
      </c>
      <c r="I22" s="59">
        <v>4.2102567296590419</v>
      </c>
      <c r="J22" s="59">
        <v>4.9356798236985568</v>
      </c>
      <c r="K22" s="59">
        <v>5.7714268882248847</v>
      </c>
      <c r="L22" s="59">
        <v>7.404395031459039</v>
      </c>
      <c r="M22" s="59">
        <v>9.7669785861637131</v>
      </c>
      <c r="N22" s="59">
        <v>10.486236226389488</v>
      </c>
      <c r="O22" s="59">
        <v>10.504499451395025</v>
      </c>
      <c r="P22" s="34" t="s">
        <v>92</v>
      </c>
      <c r="Q22" s="190" t="s">
        <v>259</v>
      </c>
      <c r="R22" s="34" t="s">
        <v>98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30">
      <c r="A23" s="35" t="s">
        <v>283</v>
      </c>
      <c r="B23" s="59">
        <v>271.10000000000002</v>
      </c>
      <c r="C23" s="59">
        <v>264.86</v>
      </c>
      <c r="D23" s="59">
        <v>264.39</v>
      </c>
      <c r="E23" s="59">
        <v>259.24</v>
      </c>
      <c r="F23" s="59">
        <v>258.45999999999998</v>
      </c>
      <c r="G23" s="59">
        <v>266.56</v>
      </c>
      <c r="H23" s="59">
        <v>274.02999999999997</v>
      </c>
      <c r="I23" s="59">
        <v>277.5</v>
      </c>
      <c r="J23" s="59">
        <v>281.20999999999998</v>
      </c>
      <c r="K23" s="59">
        <v>280.37</v>
      </c>
      <c r="L23" s="140">
        <v>281.02</v>
      </c>
      <c r="M23" s="141">
        <v>278.23</v>
      </c>
      <c r="N23" s="141">
        <v>274.3</v>
      </c>
      <c r="O23" s="133"/>
      <c r="P23" s="34" t="s">
        <v>92</v>
      </c>
      <c r="Q23" s="55" t="s">
        <v>284</v>
      </c>
      <c r="R23" s="34" t="s">
        <v>98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285</v>
      </c>
      <c r="B24" s="43">
        <v>106.681</v>
      </c>
      <c r="C24" s="43">
        <v>114.173</v>
      </c>
      <c r="D24" s="43">
        <v>125.92700000000001</v>
      </c>
      <c r="E24" s="43">
        <v>133.18</v>
      </c>
      <c r="F24" s="142">
        <v>141.63200000000001</v>
      </c>
      <c r="G24" s="43">
        <v>138.84100000000001</v>
      </c>
      <c r="H24" s="43">
        <v>137.6</v>
      </c>
      <c r="I24" s="43">
        <v>139.83099999999999</v>
      </c>
      <c r="J24" s="43">
        <v>135.92099999999999</v>
      </c>
      <c r="K24" s="43">
        <v>129.5</v>
      </c>
      <c r="L24" s="90">
        <v>126.872</v>
      </c>
      <c r="M24" s="120">
        <v>116.04900000000001</v>
      </c>
      <c r="N24" s="43">
        <v>105.99299999999999</v>
      </c>
      <c r="O24" s="43">
        <v>97.56</v>
      </c>
      <c r="P24" s="34" t="s">
        <v>52</v>
      </c>
      <c r="Q24" s="55" t="s">
        <v>286</v>
      </c>
      <c r="R24" s="34" t="s">
        <v>98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287</v>
      </c>
      <c r="B25" s="43">
        <v>219.95400000000001</v>
      </c>
      <c r="C25" s="43">
        <v>235.99</v>
      </c>
      <c r="D25" s="43">
        <v>259.56400000000002</v>
      </c>
      <c r="E25" s="43">
        <v>272.798</v>
      </c>
      <c r="F25" s="142">
        <v>287.69200000000001</v>
      </c>
      <c r="G25" s="43">
        <v>284.05200000000002</v>
      </c>
      <c r="H25" s="43">
        <v>277.72000000000003</v>
      </c>
      <c r="I25" s="43">
        <v>282.05099999999999</v>
      </c>
      <c r="J25" s="43">
        <v>273.85599999999999</v>
      </c>
      <c r="K25" s="43">
        <v>261.06400000000002</v>
      </c>
      <c r="L25" s="90">
        <v>256.512</v>
      </c>
      <c r="M25" s="120">
        <v>235.90600000000001</v>
      </c>
      <c r="N25" s="43">
        <v>216.14599999999999</v>
      </c>
      <c r="O25" s="43">
        <v>197.71199999999999</v>
      </c>
      <c r="P25" s="34" t="s">
        <v>52</v>
      </c>
      <c r="Q25" s="60" t="s">
        <v>288</v>
      </c>
      <c r="R25" s="34" t="s">
        <v>98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289</v>
      </c>
      <c r="B26" s="43">
        <v>64.168769999999981</v>
      </c>
      <c r="C26" s="43">
        <v>71.994010000000017</v>
      </c>
      <c r="D26" s="43">
        <v>80.27265000000007</v>
      </c>
      <c r="E26" s="43">
        <v>89.394360000000091</v>
      </c>
      <c r="F26" s="43">
        <v>96.577120000000036</v>
      </c>
      <c r="G26" s="43">
        <v>99.470280000000031</v>
      </c>
      <c r="H26" s="43">
        <v>105.34576000000007</v>
      </c>
      <c r="I26" s="43">
        <v>108.25581000000007</v>
      </c>
      <c r="J26" s="43">
        <v>115.4852600000001</v>
      </c>
      <c r="K26" s="43">
        <v>90.052050000000008</v>
      </c>
      <c r="L26" s="90">
        <v>93.594800000000006</v>
      </c>
      <c r="M26" s="120">
        <v>94.378799999999998</v>
      </c>
      <c r="N26" s="43">
        <v>94.853300000000004</v>
      </c>
      <c r="O26" s="43">
        <v>95.1357</v>
      </c>
      <c r="P26" s="34" t="s">
        <v>92</v>
      </c>
      <c r="Q26" s="63" t="s">
        <v>290</v>
      </c>
      <c r="R26" s="34" t="s">
        <v>98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35" t="s">
        <v>291</v>
      </c>
      <c r="B27" s="43">
        <v>163.1</v>
      </c>
      <c r="C27" s="43">
        <v>153.87</v>
      </c>
      <c r="D27" s="43">
        <v>155.63</v>
      </c>
      <c r="E27" s="43">
        <v>151.69</v>
      </c>
      <c r="F27" s="43">
        <v>151.38999999999999</v>
      </c>
      <c r="G27" s="43">
        <v>150.22</v>
      </c>
      <c r="H27" s="43">
        <v>146.27000000000001</v>
      </c>
      <c r="I27" s="43">
        <v>147.9</v>
      </c>
      <c r="J27" s="43">
        <v>150.22999999999999</v>
      </c>
      <c r="K27" s="43">
        <v>152.36000000000001</v>
      </c>
      <c r="L27" s="291">
        <v>147.6</v>
      </c>
      <c r="M27" s="120">
        <v>145.28</v>
      </c>
      <c r="N27" s="43">
        <v>143.16999999999999</v>
      </c>
      <c r="O27" s="133"/>
      <c r="P27" s="34" t="s">
        <v>92</v>
      </c>
      <c r="Q27" s="83" t="s">
        <v>284</v>
      </c>
      <c r="R27" s="34" t="s">
        <v>511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112"/>
      <c r="B28" s="114"/>
      <c r="C28" s="114"/>
      <c r="D28" s="114"/>
      <c r="E28" s="114"/>
      <c r="F28" s="114"/>
      <c r="G28" s="114"/>
      <c r="H28" s="143"/>
      <c r="I28" s="143"/>
      <c r="J28" s="143"/>
      <c r="K28" s="143"/>
      <c r="L28" s="143"/>
      <c r="M28" s="143"/>
      <c r="N28" s="143"/>
      <c r="O28" s="143"/>
      <c r="P28" s="116"/>
      <c r="Q28" s="116"/>
      <c r="R28" s="130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8" t="s">
        <v>292</v>
      </c>
      <c r="B29" s="28">
        <v>2010</v>
      </c>
      <c r="C29" s="28">
        <v>2011</v>
      </c>
      <c r="D29" s="28">
        <v>2012</v>
      </c>
      <c r="E29" s="28">
        <v>2013</v>
      </c>
      <c r="F29" s="28">
        <v>2014</v>
      </c>
      <c r="G29" s="28">
        <v>2015</v>
      </c>
      <c r="H29" s="28">
        <v>2016</v>
      </c>
      <c r="I29" s="28">
        <v>2107</v>
      </c>
      <c r="J29" s="28">
        <v>2018</v>
      </c>
      <c r="K29" s="28">
        <v>2019</v>
      </c>
      <c r="L29" s="28">
        <v>2020</v>
      </c>
      <c r="M29" s="28">
        <v>2021</v>
      </c>
      <c r="N29" s="28">
        <v>2022</v>
      </c>
      <c r="O29" s="28">
        <v>2023</v>
      </c>
      <c r="P29" s="29" t="s">
        <v>21</v>
      </c>
      <c r="Q29" s="29" t="s">
        <v>22</v>
      </c>
      <c r="R29" s="28" t="s">
        <v>23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5.75" customHeight="1">
      <c r="A30" s="35" t="s">
        <v>293</v>
      </c>
      <c r="B30" s="88"/>
      <c r="C30" s="36"/>
      <c r="D30" s="36"/>
      <c r="E30" s="36"/>
      <c r="F30" s="36"/>
      <c r="G30" s="36"/>
      <c r="H30" s="88"/>
      <c r="I30" s="36"/>
      <c r="J30" s="36"/>
      <c r="K30" s="36"/>
      <c r="L30" s="36"/>
      <c r="M30" s="36"/>
      <c r="N30" s="36"/>
      <c r="O30" s="36"/>
      <c r="P30" s="34" t="s">
        <v>92</v>
      </c>
      <c r="Q30" s="55"/>
      <c r="R30" s="3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35" t="s">
        <v>294</v>
      </c>
      <c r="B31" s="36"/>
      <c r="C31" s="36"/>
      <c r="D31" s="36"/>
      <c r="E31" s="36"/>
      <c r="F31" s="68">
        <v>275000</v>
      </c>
      <c r="G31" s="36"/>
      <c r="H31" s="88"/>
      <c r="I31" s="88"/>
      <c r="J31" s="88"/>
      <c r="K31" s="88"/>
      <c r="L31" s="68">
        <v>372870</v>
      </c>
      <c r="M31" s="88"/>
      <c r="N31" s="88"/>
      <c r="O31" s="88"/>
      <c r="P31" s="34" t="s">
        <v>92</v>
      </c>
      <c r="Q31" s="128" t="s">
        <v>295</v>
      </c>
      <c r="R31" s="35" t="s">
        <v>98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35" t="s">
        <v>296</v>
      </c>
      <c r="B32" s="36"/>
      <c r="C32" s="36"/>
      <c r="D32" s="36"/>
      <c r="E32" s="36"/>
      <c r="F32" s="68">
        <v>18000</v>
      </c>
      <c r="G32" s="36"/>
      <c r="H32" s="36"/>
      <c r="I32" s="36"/>
      <c r="J32" s="36"/>
      <c r="K32" s="36"/>
      <c r="L32" s="68">
        <v>24826</v>
      </c>
      <c r="M32" s="36"/>
      <c r="N32" s="36"/>
      <c r="O32" s="36"/>
      <c r="P32" s="34" t="s">
        <v>92</v>
      </c>
      <c r="Q32" s="144" t="s">
        <v>295</v>
      </c>
      <c r="R32" s="35" t="s">
        <v>98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30">
      <c r="A33" s="34" t="s">
        <v>297</v>
      </c>
      <c r="B33" s="36"/>
      <c r="C33" s="36"/>
      <c r="D33" s="36"/>
      <c r="E33" s="36"/>
      <c r="F33" s="68">
        <v>2.9</v>
      </c>
      <c r="G33" s="36"/>
      <c r="H33" s="36"/>
      <c r="I33" s="36"/>
      <c r="J33" s="36"/>
      <c r="K33" s="36"/>
      <c r="L33" s="36"/>
      <c r="M33" s="36"/>
      <c r="N33" s="36"/>
      <c r="O33" s="36"/>
      <c r="P33" s="34" t="s">
        <v>92</v>
      </c>
      <c r="Q33" s="55" t="s">
        <v>298</v>
      </c>
      <c r="R33" s="35" t="s">
        <v>98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02" t="s">
        <v>517</v>
      </c>
      <c r="B35" s="202">
        <v>2010</v>
      </c>
      <c r="C35" s="202">
        <v>2011</v>
      </c>
      <c r="D35" s="202">
        <v>2012</v>
      </c>
      <c r="E35" s="202">
        <v>2013</v>
      </c>
      <c r="F35" s="202">
        <v>2014</v>
      </c>
      <c r="G35" s="202">
        <v>2015</v>
      </c>
      <c r="H35" s="202">
        <v>2016</v>
      </c>
      <c r="I35" s="202">
        <v>2017</v>
      </c>
      <c r="J35" s="202">
        <v>2018</v>
      </c>
      <c r="K35" s="202">
        <v>2019</v>
      </c>
      <c r="L35" s="202">
        <v>2020</v>
      </c>
      <c r="M35" s="202">
        <v>2021</v>
      </c>
      <c r="N35" s="202">
        <v>2022</v>
      </c>
      <c r="O35" s="202">
        <v>2023</v>
      </c>
      <c r="P35" s="202" t="s">
        <v>21</v>
      </c>
      <c r="Q35" s="202" t="s">
        <v>22</v>
      </c>
      <c r="R35" s="202" t="s">
        <v>23</v>
      </c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</row>
    <row r="36" spans="1:30" ht="15.75" customHeight="1">
      <c r="A36" s="204" t="s">
        <v>518</v>
      </c>
      <c r="B36" s="213">
        <v>7</v>
      </c>
      <c r="C36" s="213">
        <v>5</v>
      </c>
      <c r="D36" s="213">
        <v>6</v>
      </c>
      <c r="E36" s="213">
        <v>6</v>
      </c>
      <c r="F36" s="213">
        <v>5</v>
      </c>
      <c r="G36" s="213">
        <v>6</v>
      </c>
      <c r="H36" s="213">
        <v>5</v>
      </c>
      <c r="I36" s="213">
        <v>7</v>
      </c>
      <c r="J36" s="213">
        <v>14</v>
      </c>
      <c r="K36" s="213">
        <v>29</v>
      </c>
      <c r="L36" s="213">
        <v>53</v>
      </c>
      <c r="M36" s="213">
        <v>97</v>
      </c>
      <c r="N36" s="213">
        <v>109</v>
      </c>
      <c r="O36" s="213">
        <v>135</v>
      </c>
      <c r="P36" s="204" t="s">
        <v>92</v>
      </c>
      <c r="Q36" s="313" t="s">
        <v>519</v>
      </c>
      <c r="R36" s="204" t="s">
        <v>520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04" t="s">
        <v>521</v>
      </c>
      <c r="B37" s="213">
        <v>30</v>
      </c>
      <c r="C37" s="213">
        <v>32</v>
      </c>
      <c r="D37" s="213">
        <v>33</v>
      </c>
      <c r="E37" s="213">
        <v>38</v>
      </c>
      <c r="F37" s="213">
        <v>39</v>
      </c>
      <c r="G37" s="213">
        <v>41</v>
      </c>
      <c r="H37" s="213">
        <v>41</v>
      </c>
      <c r="I37" s="213">
        <v>45</v>
      </c>
      <c r="J37" s="213">
        <v>58</v>
      </c>
      <c r="K37" s="213">
        <v>63</v>
      </c>
      <c r="L37" s="213">
        <v>70</v>
      </c>
      <c r="M37" s="213">
        <v>76</v>
      </c>
      <c r="N37" s="213">
        <v>82</v>
      </c>
      <c r="O37" s="213">
        <v>102</v>
      </c>
      <c r="P37" s="204" t="s">
        <v>92</v>
      </c>
      <c r="Q37" s="313" t="s">
        <v>519</v>
      </c>
      <c r="R37" s="204" t="s">
        <v>522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Q4" r:id="rId1" xr:uid="{00000000-0004-0000-0900-000000000000}"/>
    <hyperlink ref="Q5" r:id="rId2" xr:uid="{00000000-0004-0000-0900-000001000000}"/>
    <hyperlink ref="Q6" r:id="rId3" xr:uid="{00000000-0004-0000-0900-000002000000}"/>
    <hyperlink ref="Q7" r:id="rId4" xr:uid="{00000000-0004-0000-0900-000003000000}"/>
    <hyperlink ref="Q8" r:id="rId5" xr:uid="{00000000-0004-0000-0900-000004000000}"/>
    <hyperlink ref="Q9" r:id="rId6" xr:uid="{00000000-0004-0000-0900-000005000000}"/>
    <hyperlink ref="Q10" r:id="rId7" xr:uid="{00000000-0004-0000-0900-000006000000}"/>
    <hyperlink ref="Q11" r:id="rId8" xr:uid="{00000000-0004-0000-0900-000007000000}"/>
    <hyperlink ref="Q12" r:id="rId9" xr:uid="{00000000-0004-0000-0900-000008000000}"/>
    <hyperlink ref="Q13" r:id="rId10" xr:uid="{00000000-0004-0000-0900-000009000000}"/>
    <hyperlink ref="Q14" r:id="rId11" xr:uid="{00000000-0004-0000-0900-00000A000000}"/>
    <hyperlink ref="Q18" r:id="rId12" xr:uid="{00000000-0004-0000-0900-00000B000000}"/>
    <hyperlink ref="Q19" r:id="rId13" xr:uid="{00000000-0004-0000-0900-00000C000000}"/>
    <hyperlink ref="Q20" r:id="rId14" xr:uid="{00000000-0004-0000-0900-00000D000000}"/>
    <hyperlink ref="Q21" r:id="rId15" xr:uid="{00000000-0004-0000-0900-00000E000000}"/>
    <hyperlink ref="Q22" r:id="rId16" xr:uid="{00000000-0004-0000-0900-00000F000000}"/>
    <hyperlink ref="Q23" r:id="rId17" location="iallsectors/methane/inventsect/all" xr:uid="{00000000-0004-0000-0900-000010000000}"/>
    <hyperlink ref="Q24" r:id="rId18" xr:uid="{00000000-0004-0000-0900-000011000000}"/>
    <hyperlink ref="Q25" r:id="rId19" xr:uid="{00000000-0004-0000-0900-000012000000}"/>
    <hyperlink ref="Q26" r:id="rId20" xr:uid="{00000000-0004-0000-0900-000013000000}"/>
    <hyperlink ref="Q27" r:id="rId21" location="iallsectors/methane/inventsect/all" xr:uid="{00000000-0004-0000-0900-000014000000}"/>
    <hyperlink ref="Q31" r:id="rId22" xr:uid="{00000000-0004-0000-0900-000015000000}"/>
    <hyperlink ref="Q32" r:id="rId23" xr:uid="{00000000-0004-0000-0900-000016000000}"/>
    <hyperlink ref="Q33" r:id="rId24" xr:uid="{00000000-0004-0000-0900-000017000000}"/>
    <hyperlink ref="Q36" r:id="rId25" xr:uid="{6355303C-ACD8-4038-9B19-98AEABC8A6CA}"/>
    <hyperlink ref="Q37" r:id="rId26" xr:uid="{7A972DDA-7A69-4C39-959D-1FF0CBEDE12E}"/>
    <hyperlink ref="Q17" r:id="rId27" xr:uid="{E72718BE-F49B-4E04-97A3-1B691150E4C7}"/>
  </hyperlinks>
  <pageMargins left="0.7" right="0.7" top="0.75" bottom="0.75" header="0" footer="0"/>
  <pageSetup orientation="portrait"/>
  <drawing r:id="rId2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F2DB-A3E4-4C65-957C-B8E94F4AAD65}">
  <sheetPr>
    <tabColor rgb="FF08306C"/>
  </sheetPr>
  <dimension ref="A1:AI1004"/>
  <sheetViews>
    <sheetView workbookViewId="0">
      <selection activeCell="C37" sqref="C37"/>
    </sheetView>
  </sheetViews>
  <sheetFormatPr defaultColWidth="14.42578125" defaultRowHeight="15"/>
  <cols>
    <col min="1" max="1" width="15.28515625" customWidth="1"/>
    <col min="2" max="2" width="14.140625" customWidth="1"/>
    <col min="3" max="3" width="14.5703125" bestFit="1" customWidth="1"/>
    <col min="4" max="4" width="12.140625" customWidth="1"/>
    <col min="5" max="5" width="20.28515625" bestFit="1" customWidth="1"/>
    <col min="6" max="6" width="9.140625" customWidth="1"/>
    <col min="7" max="7" width="22.42578125" customWidth="1"/>
    <col min="8" max="8" width="18" customWidth="1"/>
    <col min="9" max="9" width="9.140625" customWidth="1"/>
    <col min="10" max="10" width="18.85546875" customWidth="1"/>
    <col min="11" max="11" width="11" customWidth="1"/>
    <col min="12" max="12" width="1.7109375" customWidth="1"/>
    <col min="13" max="13" width="17.42578125" customWidth="1"/>
    <col min="14" max="14" width="14.140625" bestFit="1" customWidth="1"/>
    <col min="15" max="15" width="9.140625" customWidth="1"/>
    <col min="16" max="16" width="16" customWidth="1"/>
    <col min="17" max="17" width="14.140625" bestFit="1" customWidth="1"/>
    <col min="18" max="18" width="9.140625" customWidth="1"/>
    <col min="19" max="19" width="18.140625" customWidth="1"/>
    <col min="20" max="20" width="19" customWidth="1"/>
    <col min="21" max="21" width="5.28515625" customWidth="1"/>
    <col min="22" max="22" width="17" customWidth="1"/>
    <col min="23" max="23" width="20.5703125" customWidth="1"/>
    <col min="24" max="24" width="2.42578125" customWidth="1"/>
    <col min="25" max="25" width="22" customWidth="1"/>
    <col min="26" max="27" width="9.140625" customWidth="1"/>
    <col min="28" max="28" width="14.5703125" customWidth="1"/>
    <col min="29" max="29" width="13.5703125" customWidth="1"/>
    <col min="30" max="30" width="9.140625" customWidth="1"/>
    <col min="31" max="31" width="17.85546875" customWidth="1"/>
    <col min="32" max="32" width="19" bestFit="1" customWidth="1"/>
    <col min="33" max="33" width="9.140625" customWidth="1"/>
    <col min="34" max="34" width="14.7109375" customWidth="1"/>
    <col min="35" max="35" width="11.140625" customWidth="1"/>
  </cols>
  <sheetData>
    <row r="1" spans="1:35" ht="14.25" customHeight="1">
      <c r="A1" s="265" t="s">
        <v>462</v>
      </c>
      <c r="B1" s="266"/>
      <c r="C1" s="266"/>
      <c r="D1" s="266"/>
      <c r="E1" s="266"/>
      <c r="F1" s="266"/>
      <c r="G1" s="267"/>
      <c r="H1" s="267"/>
      <c r="I1" s="267"/>
      <c r="J1" s="266"/>
      <c r="K1" s="266"/>
      <c r="L1" s="266"/>
      <c r="M1" s="265" t="s">
        <v>463</v>
      </c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8" t="s">
        <v>464</v>
      </c>
      <c r="Z1" s="266"/>
      <c r="AA1" s="266"/>
      <c r="AB1" s="266"/>
      <c r="AC1" s="266"/>
      <c r="AD1" s="266"/>
      <c r="AE1" s="266"/>
      <c r="AF1" s="266"/>
      <c r="AG1" s="266"/>
      <c r="AH1" s="266"/>
      <c r="AI1" s="266"/>
    </row>
    <row r="2" spans="1:35" ht="14.25" customHeight="1">
      <c r="A2" s="131" t="s">
        <v>2</v>
      </c>
      <c r="B2" s="131" t="s">
        <v>465</v>
      </c>
      <c r="C2" s="269"/>
      <c r="D2" s="301" t="s">
        <v>441</v>
      </c>
      <c r="E2" s="301" t="s">
        <v>465</v>
      </c>
      <c r="F2" s="269"/>
      <c r="G2" s="131" t="s">
        <v>8</v>
      </c>
      <c r="H2" s="131" t="s">
        <v>466</v>
      </c>
      <c r="I2" s="269"/>
      <c r="J2" s="131" t="s">
        <v>467</v>
      </c>
      <c r="K2" s="131" t="s">
        <v>468</v>
      </c>
      <c r="L2" s="270"/>
      <c r="M2" s="131" t="s">
        <v>2</v>
      </c>
      <c r="N2" s="131" t="s">
        <v>465</v>
      </c>
      <c r="O2" s="269"/>
      <c r="P2" s="131" t="s">
        <v>441</v>
      </c>
      <c r="Q2" s="131" t="s">
        <v>465</v>
      </c>
      <c r="R2" s="269"/>
      <c r="S2" s="131" t="s">
        <v>8</v>
      </c>
      <c r="T2" s="131" t="s">
        <v>466</v>
      </c>
      <c r="U2" s="269"/>
      <c r="V2" s="131" t="s">
        <v>467</v>
      </c>
      <c r="W2" s="131" t="s">
        <v>468</v>
      </c>
      <c r="X2" s="270"/>
      <c r="Y2" s="131" t="s">
        <v>2</v>
      </c>
      <c r="Z2" s="131" t="s">
        <v>465</v>
      </c>
      <c r="AA2" s="269"/>
      <c r="AB2" s="131" t="s">
        <v>441</v>
      </c>
      <c r="AC2" s="131" t="s">
        <v>465</v>
      </c>
      <c r="AD2" s="269"/>
      <c r="AE2" s="131" t="s">
        <v>8</v>
      </c>
      <c r="AF2" s="131" t="s">
        <v>466</v>
      </c>
      <c r="AG2" s="269"/>
      <c r="AH2" s="131" t="s">
        <v>467</v>
      </c>
      <c r="AI2" s="131" t="s">
        <v>468</v>
      </c>
    </row>
    <row r="3" spans="1:35" ht="14.25" customHeight="1">
      <c r="A3" s="54" t="s">
        <v>470</v>
      </c>
      <c r="B3" s="54">
        <v>625.63199999999995</v>
      </c>
      <c r="C3" s="271"/>
      <c r="D3" s="259" t="s">
        <v>470</v>
      </c>
      <c r="E3" s="259">
        <v>230.66399999999999</v>
      </c>
      <c r="F3" s="271"/>
      <c r="G3" s="54" t="s">
        <v>471</v>
      </c>
      <c r="H3" s="355">
        <v>5.2877929669999997</v>
      </c>
      <c r="I3" s="271"/>
      <c r="J3" s="108" t="s">
        <v>470</v>
      </c>
      <c r="K3" s="54">
        <v>6477</v>
      </c>
      <c r="L3" s="272"/>
      <c r="M3" s="54" t="s">
        <v>470</v>
      </c>
      <c r="N3" s="54">
        <v>501.815</v>
      </c>
      <c r="O3" s="271"/>
      <c r="P3" s="54" t="s">
        <v>470</v>
      </c>
      <c r="Q3" s="54">
        <v>190.553</v>
      </c>
      <c r="R3" s="271"/>
      <c r="S3" s="54" t="s">
        <v>471</v>
      </c>
      <c r="T3" s="54">
        <v>5.2875889999999997</v>
      </c>
      <c r="U3" s="271"/>
      <c r="V3" s="108" t="s">
        <v>470</v>
      </c>
      <c r="W3" s="54">
        <v>5418</v>
      </c>
      <c r="X3" s="272"/>
      <c r="Y3" s="54" t="s">
        <v>470</v>
      </c>
      <c r="Z3" s="54">
        <v>374.76600000000002</v>
      </c>
      <c r="AA3" s="271"/>
      <c r="AB3" s="54" t="s">
        <v>470</v>
      </c>
      <c r="AC3" s="54">
        <v>141.792</v>
      </c>
      <c r="AD3" s="271"/>
      <c r="AE3" s="54" t="s">
        <v>471</v>
      </c>
      <c r="AF3" s="54">
        <v>5.4049569999999996</v>
      </c>
      <c r="AG3" s="271"/>
      <c r="AH3" s="108" t="s">
        <v>470</v>
      </c>
      <c r="AI3" s="54">
        <v>5525</v>
      </c>
    </row>
    <row r="4" spans="1:35" ht="14.25" customHeight="1">
      <c r="A4" s="54" t="s">
        <v>471</v>
      </c>
      <c r="B4" s="54">
        <v>160.06200000000001</v>
      </c>
      <c r="C4" s="271"/>
      <c r="D4" s="259" t="s">
        <v>474</v>
      </c>
      <c r="E4" s="259">
        <v>26.628</v>
      </c>
      <c r="F4" s="271"/>
      <c r="G4" s="54" t="s">
        <v>472</v>
      </c>
      <c r="H4" s="355">
        <v>1.4244955370000001</v>
      </c>
      <c r="I4" s="350"/>
      <c r="J4" s="108" t="s">
        <v>479</v>
      </c>
      <c r="K4" s="54">
        <v>4957</v>
      </c>
      <c r="L4" s="272"/>
      <c r="M4" s="54" t="s">
        <v>469</v>
      </c>
      <c r="N4" s="54">
        <v>60.731000000000002</v>
      </c>
      <c r="O4" s="271"/>
      <c r="P4" s="54" t="s">
        <v>472</v>
      </c>
      <c r="Q4" s="54">
        <v>7.2649999999999997</v>
      </c>
      <c r="R4" s="271"/>
      <c r="S4" s="54" t="s">
        <v>472</v>
      </c>
      <c r="T4" s="54">
        <v>1.7567089659999999</v>
      </c>
      <c r="U4" s="271"/>
      <c r="V4" s="108" t="s">
        <v>474</v>
      </c>
      <c r="W4" s="54">
        <v>4308</v>
      </c>
      <c r="X4" s="272"/>
      <c r="Y4" s="54" t="s">
        <v>475</v>
      </c>
      <c r="Z4" s="54">
        <v>150.864</v>
      </c>
      <c r="AA4" s="271"/>
      <c r="AB4" s="54" t="s">
        <v>474</v>
      </c>
      <c r="AC4" s="54">
        <v>27.341999999999999</v>
      </c>
      <c r="AD4" s="271"/>
      <c r="AE4" s="54" t="s">
        <v>472</v>
      </c>
      <c r="AF4" s="54">
        <v>1.1673210999999999</v>
      </c>
      <c r="AG4" s="271"/>
      <c r="AH4" s="108" t="s">
        <v>474</v>
      </c>
      <c r="AI4" s="54">
        <v>4016</v>
      </c>
    </row>
    <row r="5" spans="1:35" ht="14.25" customHeight="1">
      <c r="A5" s="54" t="s">
        <v>472</v>
      </c>
      <c r="B5" s="54">
        <v>114.324</v>
      </c>
      <c r="C5" s="271"/>
      <c r="D5" s="259" t="s">
        <v>485</v>
      </c>
      <c r="E5" s="259">
        <v>0.71399999999999997</v>
      </c>
      <c r="F5" s="271"/>
      <c r="G5" s="54" t="s">
        <v>494</v>
      </c>
      <c r="H5" s="355">
        <v>1.393638232</v>
      </c>
      <c r="I5" s="350"/>
      <c r="J5" s="108" t="s">
        <v>478</v>
      </c>
      <c r="K5" s="54">
        <v>3048</v>
      </c>
      <c r="L5" s="272"/>
      <c r="M5" s="54" t="s">
        <v>476</v>
      </c>
      <c r="N5" s="54">
        <v>72.869</v>
      </c>
      <c r="O5" s="271"/>
      <c r="P5" s="54" t="s">
        <v>474</v>
      </c>
      <c r="Q5" s="54">
        <v>36.749000000000002</v>
      </c>
      <c r="R5" s="271"/>
      <c r="S5" s="351" t="s">
        <v>494</v>
      </c>
      <c r="T5" s="54">
        <v>0.64670067499999995</v>
      </c>
      <c r="U5" s="271"/>
      <c r="V5" s="108" t="s">
        <v>479</v>
      </c>
      <c r="W5" s="54">
        <v>3600</v>
      </c>
      <c r="X5" s="272"/>
      <c r="Y5" s="54" t="s">
        <v>476</v>
      </c>
      <c r="Z5" s="54">
        <v>149.184</v>
      </c>
      <c r="AA5" s="271"/>
      <c r="AB5" s="54" t="s">
        <v>472</v>
      </c>
      <c r="AC5" s="54">
        <v>8.3580000000000005</v>
      </c>
      <c r="AD5" s="271"/>
      <c r="AE5" s="54" t="s">
        <v>477</v>
      </c>
      <c r="AF5" s="54">
        <v>0.44624637299999997</v>
      </c>
      <c r="AG5" s="271"/>
      <c r="AH5" s="108" t="s">
        <v>479</v>
      </c>
      <c r="AI5" s="54">
        <v>3773</v>
      </c>
    </row>
    <row r="6" spans="1:35" ht="14.25" customHeight="1">
      <c r="A6" s="54" t="s">
        <v>562</v>
      </c>
      <c r="B6" s="54">
        <v>99.456000000000003</v>
      </c>
      <c r="C6" s="271"/>
      <c r="E6" s="368">
        <f>+E3+E4+E5</f>
        <v>258.00599999999997</v>
      </c>
      <c r="F6" s="271"/>
      <c r="G6" s="54" t="s">
        <v>477</v>
      </c>
      <c r="H6" s="355">
        <v>1.393638232</v>
      </c>
      <c r="I6" s="350"/>
      <c r="J6" s="108" t="s">
        <v>486</v>
      </c>
      <c r="K6" s="54">
        <v>1232</v>
      </c>
      <c r="L6" s="272"/>
      <c r="M6" s="54" t="s">
        <v>475</v>
      </c>
      <c r="N6" s="54">
        <v>153.845</v>
      </c>
      <c r="O6" s="271"/>
      <c r="P6" s="54" t="s">
        <v>480</v>
      </c>
      <c r="Q6" s="54">
        <v>1.931</v>
      </c>
      <c r="R6" s="271"/>
      <c r="S6" s="351" t="s">
        <v>477</v>
      </c>
      <c r="T6" s="54">
        <v>0.56114420399999998</v>
      </c>
      <c r="U6" s="271"/>
      <c r="V6" s="108" t="s">
        <v>478</v>
      </c>
      <c r="W6" s="54">
        <v>1461</v>
      </c>
      <c r="X6" s="272"/>
      <c r="Y6" s="54" t="s">
        <v>481</v>
      </c>
      <c r="Z6" s="54">
        <v>100.33799999999999</v>
      </c>
      <c r="AA6" s="271"/>
      <c r="AB6" s="54" t="s">
        <v>482</v>
      </c>
      <c r="AC6" s="54">
        <v>7.0979999999999999</v>
      </c>
      <c r="AD6" s="271"/>
      <c r="AE6" s="54" t="s">
        <v>483</v>
      </c>
      <c r="AF6" s="54">
        <v>0.241522769</v>
      </c>
      <c r="AG6" s="271"/>
      <c r="AH6" s="108" t="s">
        <v>478</v>
      </c>
      <c r="AI6" s="54">
        <v>1718</v>
      </c>
    </row>
    <row r="7" spans="1:35" ht="14.25" customHeight="1">
      <c r="A7" s="54" t="s">
        <v>476</v>
      </c>
      <c r="B7" s="54">
        <v>83.873999999999995</v>
      </c>
      <c r="C7" s="271"/>
      <c r="D7" s="299"/>
      <c r="E7" s="299"/>
      <c r="F7" s="271"/>
      <c r="G7" s="54" t="s">
        <v>483</v>
      </c>
      <c r="H7" s="54">
        <v>0.32424067299999998</v>
      </c>
      <c r="I7" s="271"/>
      <c r="J7" s="108" t="s">
        <v>507</v>
      </c>
      <c r="K7" s="54">
        <v>1171</v>
      </c>
      <c r="L7" s="272"/>
      <c r="M7" s="54" t="s">
        <v>472</v>
      </c>
      <c r="N7" s="54">
        <v>94.162999999999997</v>
      </c>
      <c r="O7" s="271"/>
      <c r="P7" s="54" t="s">
        <v>485</v>
      </c>
      <c r="Q7" s="54">
        <v>1.133</v>
      </c>
      <c r="R7" s="271"/>
      <c r="S7" s="351" t="s">
        <v>473</v>
      </c>
      <c r="T7" s="54">
        <v>0.42933387099999998</v>
      </c>
      <c r="U7" s="271"/>
      <c r="V7" s="108" t="s">
        <v>486</v>
      </c>
      <c r="W7" s="54">
        <v>1068</v>
      </c>
      <c r="X7" s="272"/>
      <c r="Y7" s="54" t="s">
        <v>469</v>
      </c>
      <c r="Z7" s="54">
        <v>69.552000000000007</v>
      </c>
      <c r="AA7" s="271"/>
      <c r="AB7" s="54" t="s">
        <v>478</v>
      </c>
      <c r="AC7" s="54">
        <v>1.554</v>
      </c>
      <c r="AD7" s="271"/>
      <c r="AE7" s="54" t="s">
        <v>473</v>
      </c>
      <c r="AF7" s="54">
        <v>0.22124559999999999</v>
      </c>
      <c r="AG7" s="271"/>
      <c r="AH7" s="108" t="s">
        <v>487</v>
      </c>
      <c r="AI7" s="54">
        <v>587</v>
      </c>
    </row>
    <row r="8" spans="1:35" ht="14.25" customHeight="1">
      <c r="C8" s="273"/>
      <c r="D8" s="300"/>
      <c r="E8" s="300"/>
      <c r="F8" s="273"/>
      <c r="G8" s="273"/>
      <c r="H8" s="348">
        <f>+H4+H3+H5+H6+H7</f>
        <v>9.8238056410000016</v>
      </c>
      <c r="I8" s="271"/>
      <c r="J8" s="273"/>
      <c r="K8" s="273"/>
      <c r="L8" s="274"/>
      <c r="M8" s="54" t="s">
        <v>478</v>
      </c>
      <c r="N8" s="54">
        <v>63.292999999999999</v>
      </c>
      <c r="O8" s="273"/>
      <c r="P8" s="273"/>
      <c r="Q8" s="273"/>
      <c r="R8" s="273"/>
      <c r="S8" s="273"/>
      <c r="T8" s="273"/>
      <c r="U8" s="273"/>
      <c r="V8" s="273"/>
      <c r="W8" s="273"/>
      <c r="X8" s="274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</row>
    <row r="9" spans="1:35" ht="14.25" customHeight="1">
      <c r="C9" s="269"/>
      <c r="D9" s="269"/>
      <c r="E9" s="269"/>
      <c r="F9" s="269"/>
      <c r="G9" s="269"/>
      <c r="H9" s="357"/>
      <c r="I9" s="269"/>
      <c r="J9" s="269"/>
      <c r="K9" s="269"/>
      <c r="L9" s="270"/>
      <c r="M9" s="108" t="s">
        <v>482</v>
      </c>
      <c r="N9" s="227">
        <v>43.679000000000002</v>
      </c>
      <c r="O9" s="269"/>
      <c r="P9" s="269"/>
      <c r="Q9" s="269"/>
      <c r="R9" s="269"/>
      <c r="S9" s="269"/>
      <c r="T9" s="269"/>
      <c r="U9" s="269"/>
      <c r="V9" s="269"/>
      <c r="W9" s="269"/>
      <c r="X9" s="270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</row>
    <row r="10" spans="1:35" ht="14.25" customHeight="1">
      <c r="A10" s="269"/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70"/>
      <c r="M10" s="108" t="s">
        <v>471</v>
      </c>
      <c r="N10" s="227">
        <v>66.820999999999998</v>
      </c>
      <c r="O10" s="269"/>
      <c r="S10" s="269"/>
      <c r="T10" s="269"/>
      <c r="U10" s="269"/>
      <c r="V10" s="269"/>
      <c r="W10" s="269"/>
      <c r="X10" s="270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</row>
    <row r="11" spans="1:35" ht="14.25" customHeight="1">
      <c r="A11" s="269"/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70"/>
      <c r="M11" s="108"/>
      <c r="N11" s="131"/>
      <c r="O11" s="269"/>
      <c r="P11" s="269"/>
      <c r="Q11" s="269"/>
      <c r="R11" s="269"/>
      <c r="S11" s="269"/>
      <c r="T11" s="269"/>
      <c r="U11" s="269"/>
      <c r="V11" s="269"/>
      <c r="W11" s="269"/>
      <c r="X11" s="270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</row>
    <row r="12" spans="1:35" ht="14.25" customHeight="1">
      <c r="A12" s="131" t="s">
        <v>488</v>
      </c>
      <c r="B12" s="131" t="s">
        <v>468</v>
      </c>
      <c r="C12" s="269"/>
      <c r="D12" s="131" t="s">
        <v>489</v>
      </c>
      <c r="E12" s="131" t="s">
        <v>468</v>
      </c>
      <c r="F12" s="269"/>
      <c r="G12" s="131" t="s">
        <v>490</v>
      </c>
      <c r="H12" s="131" t="s">
        <v>468</v>
      </c>
      <c r="I12" s="269"/>
      <c r="J12" s="301" t="s">
        <v>491</v>
      </c>
      <c r="K12" s="301" t="s">
        <v>468</v>
      </c>
      <c r="L12" s="270"/>
      <c r="M12" s="131" t="s">
        <v>488</v>
      </c>
      <c r="N12" s="131" t="s">
        <v>468</v>
      </c>
      <c r="O12" s="269"/>
      <c r="P12" s="131" t="s">
        <v>489</v>
      </c>
      <c r="Q12" s="131" t="s">
        <v>468</v>
      </c>
      <c r="R12" s="269"/>
      <c r="S12" s="131" t="s">
        <v>490</v>
      </c>
      <c r="T12" s="131" t="s">
        <v>468</v>
      </c>
      <c r="U12" s="269"/>
      <c r="V12" s="258" t="s">
        <v>491</v>
      </c>
      <c r="W12" s="258" t="s">
        <v>468</v>
      </c>
      <c r="X12" s="270"/>
      <c r="Y12" s="131" t="s">
        <v>488</v>
      </c>
      <c r="Z12" s="131" t="s">
        <v>468</v>
      </c>
      <c r="AA12" s="269"/>
      <c r="AB12" s="131" t="s">
        <v>489</v>
      </c>
      <c r="AC12" s="131" t="s">
        <v>468</v>
      </c>
      <c r="AD12" s="269"/>
      <c r="AE12" s="131" t="s">
        <v>490</v>
      </c>
      <c r="AF12" s="131" t="s">
        <v>468</v>
      </c>
      <c r="AG12" s="269"/>
      <c r="AH12" s="131" t="s">
        <v>491</v>
      </c>
      <c r="AI12" s="131" t="s">
        <v>468</v>
      </c>
    </row>
    <row r="13" spans="1:35" ht="14.25" customHeight="1">
      <c r="A13" s="108" t="s">
        <v>470</v>
      </c>
      <c r="B13" s="54">
        <v>45420</v>
      </c>
      <c r="C13" s="273"/>
      <c r="D13" s="108" t="s">
        <v>478</v>
      </c>
      <c r="E13" s="54">
        <v>43177</v>
      </c>
      <c r="F13" s="273"/>
      <c r="G13" s="108" t="s">
        <v>482</v>
      </c>
      <c r="H13" s="54">
        <v>78264</v>
      </c>
      <c r="I13" s="273"/>
      <c r="J13" s="283" t="s">
        <v>478</v>
      </c>
      <c r="K13" s="259">
        <v>107</v>
      </c>
      <c r="L13" s="274"/>
      <c r="M13" s="108" t="s">
        <v>470</v>
      </c>
      <c r="N13" s="54">
        <v>111420</v>
      </c>
      <c r="O13" s="273"/>
      <c r="P13" s="108" t="s">
        <v>478</v>
      </c>
      <c r="Q13" s="54">
        <v>64808</v>
      </c>
      <c r="R13" s="273"/>
      <c r="S13" s="108" t="s">
        <v>482</v>
      </c>
      <c r="T13" s="54">
        <v>276041</v>
      </c>
      <c r="U13" s="273"/>
      <c r="V13" s="283" t="s">
        <v>470</v>
      </c>
      <c r="W13" s="259">
        <v>102</v>
      </c>
      <c r="X13" s="274"/>
      <c r="Y13" s="108" t="s">
        <v>478</v>
      </c>
      <c r="Z13" s="54">
        <v>97086</v>
      </c>
      <c r="AA13" s="273"/>
      <c r="AB13" s="108" t="s">
        <v>478</v>
      </c>
      <c r="AC13" s="54">
        <v>108885</v>
      </c>
      <c r="AD13" s="273"/>
      <c r="AE13" s="108" t="s">
        <v>482</v>
      </c>
      <c r="AF13" s="54">
        <v>501047</v>
      </c>
      <c r="AG13" s="273"/>
      <c r="AH13" s="108" t="s">
        <v>492</v>
      </c>
      <c r="AI13" s="54">
        <v>77</v>
      </c>
    </row>
    <row r="14" spans="1:35" ht="14.25" customHeight="1">
      <c r="A14" s="108" t="s">
        <v>478</v>
      </c>
      <c r="B14" s="54">
        <v>38946</v>
      </c>
      <c r="C14" s="273"/>
      <c r="D14" s="108" t="s">
        <v>470</v>
      </c>
      <c r="E14" s="54">
        <v>1504</v>
      </c>
      <c r="F14" s="273"/>
      <c r="G14" s="108" t="s">
        <v>478</v>
      </c>
      <c r="H14" s="54">
        <v>62095</v>
      </c>
      <c r="I14" s="273"/>
      <c r="J14" s="300"/>
      <c r="K14" s="299"/>
      <c r="L14" s="274"/>
      <c r="M14" s="108" t="s">
        <v>478</v>
      </c>
      <c r="N14" s="54">
        <v>50498</v>
      </c>
      <c r="O14" s="273"/>
      <c r="P14" s="108" t="s">
        <v>470</v>
      </c>
      <c r="Q14" s="54">
        <v>3228</v>
      </c>
      <c r="R14" s="273"/>
      <c r="S14" s="108" t="s">
        <v>471</v>
      </c>
      <c r="T14" s="54">
        <v>25971</v>
      </c>
      <c r="U14" s="273"/>
      <c r="V14" s="283" t="s">
        <v>478</v>
      </c>
      <c r="W14" s="259">
        <v>26469</v>
      </c>
      <c r="X14" s="274"/>
      <c r="Y14" s="108" t="s">
        <v>470</v>
      </c>
      <c r="Z14" s="54">
        <v>60869</v>
      </c>
      <c r="AA14" s="273"/>
      <c r="AB14" s="281" t="s">
        <v>493</v>
      </c>
      <c r="AC14" s="282">
        <v>1675</v>
      </c>
      <c r="AD14" s="273"/>
      <c r="AE14" s="108" t="s">
        <v>471</v>
      </c>
      <c r="AF14" s="54">
        <v>93990</v>
      </c>
      <c r="AG14" s="273"/>
      <c r="AH14" s="108" t="s">
        <v>494</v>
      </c>
      <c r="AI14" s="54">
        <v>15</v>
      </c>
    </row>
    <row r="15" spans="1:35" ht="14.25" customHeight="1">
      <c r="A15" s="108" t="s">
        <v>482</v>
      </c>
      <c r="B15" s="54">
        <v>21950</v>
      </c>
      <c r="C15" s="273"/>
      <c r="D15" s="108" t="s">
        <v>481</v>
      </c>
      <c r="E15" s="108">
        <v>1001</v>
      </c>
      <c r="F15" s="273"/>
      <c r="G15" s="108" t="s">
        <v>470</v>
      </c>
      <c r="H15" s="54">
        <v>24459</v>
      </c>
      <c r="I15" s="273"/>
      <c r="J15" s="258" t="s">
        <v>572</v>
      </c>
      <c r="K15" s="258" t="s">
        <v>468</v>
      </c>
      <c r="L15" s="274"/>
      <c r="M15" s="108" t="s">
        <v>482</v>
      </c>
      <c r="N15" s="54">
        <v>48587</v>
      </c>
      <c r="O15" s="273"/>
      <c r="P15" s="273"/>
      <c r="Q15" s="273"/>
      <c r="R15" s="273"/>
      <c r="S15" s="131" t="s">
        <v>495</v>
      </c>
      <c r="T15" s="54">
        <v>31177</v>
      </c>
      <c r="U15" s="271"/>
      <c r="V15" s="300"/>
      <c r="W15" s="299"/>
      <c r="X15" s="274"/>
      <c r="Y15" s="108" t="s">
        <v>493</v>
      </c>
      <c r="Z15" s="54">
        <v>11650</v>
      </c>
      <c r="AA15" s="273"/>
      <c r="AB15" s="283" t="s">
        <v>479</v>
      </c>
      <c r="AC15" s="283">
        <v>1500</v>
      </c>
      <c r="AD15" s="273"/>
      <c r="AE15" s="108" t="s">
        <v>478</v>
      </c>
      <c r="AF15" s="54">
        <v>92240</v>
      </c>
      <c r="AG15" s="271"/>
      <c r="AH15" s="108" t="s">
        <v>478</v>
      </c>
      <c r="AI15" s="54">
        <v>12</v>
      </c>
    </row>
    <row r="16" spans="1:35" ht="14.25" customHeight="1">
      <c r="A16" s="108" t="s">
        <v>508</v>
      </c>
      <c r="B16" s="54">
        <v>1977</v>
      </c>
      <c r="C16" s="273"/>
      <c r="D16" s="273"/>
      <c r="E16" s="273"/>
      <c r="F16" s="273"/>
      <c r="G16" s="108" t="s">
        <v>509</v>
      </c>
      <c r="H16" s="54">
        <v>4931</v>
      </c>
      <c r="I16" s="273"/>
      <c r="J16" s="283" t="s">
        <v>478</v>
      </c>
      <c r="K16" s="259">
        <f>+B14+E13</f>
        <v>82123</v>
      </c>
      <c r="L16" s="274"/>
      <c r="M16" s="108" t="s">
        <v>479</v>
      </c>
      <c r="N16" s="54">
        <v>3000</v>
      </c>
      <c r="O16" s="273"/>
      <c r="P16" s="273"/>
      <c r="Q16" s="273"/>
      <c r="R16" s="273"/>
      <c r="S16" s="108" t="s">
        <v>478</v>
      </c>
      <c r="T16" s="54">
        <v>96212</v>
      </c>
      <c r="U16" s="273"/>
      <c r="V16" s="300"/>
      <c r="W16" s="300"/>
      <c r="X16" s="274"/>
      <c r="Y16" s="108" t="s">
        <v>469</v>
      </c>
      <c r="Z16" s="54">
        <v>3000</v>
      </c>
      <c r="AA16" s="273"/>
      <c r="AB16" s="283" t="s">
        <v>470</v>
      </c>
      <c r="AC16" s="283">
        <v>1344</v>
      </c>
      <c r="AD16" s="273"/>
      <c r="AE16" s="131" t="s">
        <v>495</v>
      </c>
      <c r="AF16" s="54">
        <v>36942</v>
      </c>
      <c r="AG16" s="273"/>
      <c r="AH16" s="275"/>
      <c r="AI16" s="273"/>
    </row>
    <row r="17" spans="1:35" ht="14.25" customHeight="1">
      <c r="A17" s="108" t="s">
        <v>493</v>
      </c>
      <c r="B17" s="54">
        <v>60</v>
      </c>
      <c r="C17" s="273"/>
      <c r="D17" s="273"/>
      <c r="E17" s="273"/>
      <c r="F17" s="273"/>
      <c r="G17" s="108" t="s">
        <v>486</v>
      </c>
      <c r="H17" s="54">
        <v>4370</v>
      </c>
      <c r="I17" s="273"/>
      <c r="J17" s="283" t="s">
        <v>470</v>
      </c>
      <c r="K17" s="259">
        <f>+E14+B13</f>
        <v>46924</v>
      </c>
      <c r="L17" s="274"/>
      <c r="M17" s="108"/>
      <c r="N17" s="54"/>
      <c r="O17" s="273"/>
      <c r="P17" s="273"/>
      <c r="Q17" s="273"/>
      <c r="R17" s="273"/>
      <c r="S17" s="108" t="s">
        <v>486</v>
      </c>
      <c r="T17" s="54">
        <v>9833</v>
      </c>
      <c r="U17" s="273"/>
      <c r="V17" s="273"/>
      <c r="W17" s="273"/>
      <c r="X17" s="274"/>
      <c r="Y17" s="108" t="s">
        <v>479</v>
      </c>
      <c r="Z17" s="54">
        <v>3800</v>
      </c>
      <c r="AA17" s="273"/>
      <c r="AB17" s="273"/>
      <c r="AC17" s="273"/>
      <c r="AD17" s="273"/>
      <c r="AE17" s="108" t="s">
        <v>486</v>
      </c>
      <c r="AF17" s="54">
        <v>11309</v>
      </c>
      <c r="AG17" s="273"/>
      <c r="AH17" s="273"/>
      <c r="AI17" s="273"/>
    </row>
    <row r="18" spans="1:35" ht="14.25" customHeight="1">
      <c r="A18" s="273"/>
      <c r="B18" s="273"/>
      <c r="C18" s="273"/>
      <c r="D18" s="273"/>
      <c r="E18" s="273"/>
      <c r="F18" s="273"/>
      <c r="G18" s="273"/>
      <c r="H18" s="273"/>
      <c r="I18" s="273"/>
      <c r="J18" s="283" t="s">
        <v>482</v>
      </c>
      <c r="K18" s="371">
        <f>+B15</f>
        <v>21950</v>
      </c>
      <c r="L18" s="274"/>
      <c r="M18" s="273"/>
      <c r="N18" s="273"/>
      <c r="O18" s="273"/>
      <c r="P18" s="273"/>
      <c r="Q18" s="273"/>
      <c r="R18" s="273"/>
      <c r="S18" s="108" t="s">
        <v>497</v>
      </c>
      <c r="T18" s="54">
        <v>25335</v>
      </c>
      <c r="U18" s="273"/>
      <c r="V18" s="273"/>
      <c r="W18" s="273"/>
      <c r="X18" s="274"/>
      <c r="Y18" s="108" t="s">
        <v>496</v>
      </c>
      <c r="Z18" s="54">
        <v>7500</v>
      </c>
      <c r="AA18" s="273"/>
      <c r="AB18" s="273"/>
      <c r="AC18" s="273"/>
      <c r="AD18" s="273"/>
      <c r="AE18" s="108" t="s">
        <v>497</v>
      </c>
      <c r="AF18" s="54">
        <v>9417</v>
      </c>
      <c r="AG18" s="273"/>
      <c r="AH18" s="273"/>
      <c r="AI18" s="273"/>
    </row>
    <row r="19" spans="1:35" ht="14.25" customHeight="1">
      <c r="A19" s="273"/>
      <c r="B19" s="273"/>
      <c r="C19" s="273"/>
      <c r="D19" s="273"/>
      <c r="E19" s="273"/>
      <c r="F19" s="273"/>
      <c r="G19" s="273"/>
      <c r="H19" s="273"/>
      <c r="I19" s="273"/>
      <c r="J19" s="283" t="s">
        <v>508</v>
      </c>
      <c r="K19" s="259">
        <v>1977</v>
      </c>
      <c r="L19" s="274"/>
      <c r="M19" s="273"/>
      <c r="N19" s="273"/>
      <c r="O19" s="273"/>
      <c r="P19" s="273"/>
      <c r="Q19" s="273"/>
      <c r="R19" s="273"/>
      <c r="S19" s="275" t="s">
        <v>498</v>
      </c>
      <c r="T19" s="273"/>
      <c r="U19" s="273"/>
      <c r="V19" s="273"/>
      <c r="W19" s="273"/>
      <c r="X19" s="274"/>
      <c r="Y19" s="108" t="s">
        <v>484</v>
      </c>
      <c r="Z19" s="54">
        <v>2400</v>
      </c>
      <c r="AA19" s="273"/>
      <c r="AB19" s="273"/>
      <c r="AC19" s="273"/>
      <c r="AD19" s="273"/>
      <c r="AE19" s="275" t="s">
        <v>498</v>
      </c>
      <c r="AF19" s="273"/>
      <c r="AG19" s="273"/>
      <c r="AH19" s="273"/>
      <c r="AI19" s="273"/>
    </row>
    <row r="20" spans="1:35" ht="14.25" customHeight="1">
      <c r="A20" s="273"/>
      <c r="B20" s="273"/>
      <c r="C20" s="273"/>
      <c r="D20" s="273"/>
      <c r="E20" s="273"/>
      <c r="F20" s="273"/>
      <c r="G20" s="273"/>
      <c r="H20" s="273"/>
      <c r="I20" s="273"/>
      <c r="J20" s="283" t="s">
        <v>481</v>
      </c>
      <c r="K20" s="283">
        <v>1001</v>
      </c>
      <c r="L20" s="274"/>
      <c r="M20" s="273"/>
      <c r="N20" s="273"/>
      <c r="O20" s="273"/>
      <c r="P20" s="273"/>
      <c r="Q20" s="273"/>
      <c r="R20" s="273"/>
      <c r="S20" s="275"/>
      <c r="T20" s="273"/>
      <c r="U20" s="273"/>
      <c r="V20" s="273"/>
      <c r="W20" s="273"/>
      <c r="X20" s="274"/>
      <c r="Y20" s="273"/>
      <c r="Z20" s="271"/>
      <c r="AA20" s="273"/>
      <c r="AB20" s="273"/>
      <c r="AC20" s="273"/>
      <c r="AD20" s="273"/>
      <c r="AE20" s="275"/>
      <c r="AF20" s="273"/>
      <c r="AG20" s="273"/>
      <c r="AH20" s="273"/>
      <c r="AI20" s="273"/>
    </row>
    <row r="21" spans="1:35" ht="14.25" customHeight="1">
      <c r="A21" s="265" t="s">
        <v>499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65" t="s">
        <v>500</v>
      </c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68" t="s">
        <v>501</v>
      </c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</row>
    <row r="22" spans="1:35" ht="14.25" customHeight="1">
      <c r="A22" s="276" t="s">
        <v>2</v>
      </c>
      <c r="B22" s="277" t="s">
        <v>465</v>
      </c>
      <c r="C22" s="273"/>
      <c r="D22" s="276" t="s">
        <v>441</v>
      </c>
      <c r="E22" s="277" t="s">
        <v>465</v>
      </c>
      <c r="F22" s="273"/>
      <c r="G22" s="302" t="s">
        <v>8</v>
      </c>
      <c r="H22" s="303" t="s">
        <v>502</v>
      </c>
      <c r="I22" s="273"/>
      <c r="J22" s="273"/>
      <c r="K22" s="273"/>
      <c r="L22" s="279"/>
      <c r="M22" s="276" t="s">
        <v>2</v>
      </c>
      <c r="N22" s="277" t="s">
        <v>465</v>
      </c>
      <c r="O22" s="273"/>
      <c r="P22" s="276" t="s">
        <v>441</v>
      </c>
      <c r="Q22" s="277" t="s">
        <v>465</v>
      </c>
      <c r="R22" s="273"/>
      <c r="S22" s="276" t="s">
        <v>8</v>
      </c>
      <c r="T22" s="278" t="s">
        <v>502</v>
      </c>
      <c r="U22" s="273"/>
      <c r="V22" s="273"/>
      <c r="W22" s="273"/>
      <c r="X22" s="279"/>
      <c r="Y22" s="276" t="s">
        <v>2</v>
      </c>
      <c r="Z22" s="277" t="s">
        <v>465</v>
      </c>
      <c r="AA22" s="273"/>
      <c r="AB22" s="276" t="s">
        <v>441</v>
      </c>
      <c r="AC22" s="277" t="s">
        <v>465</v>
      </c>
      <c r="AD22" s="273"/>
      <c r="AE22" s="276" t="s">
        <v>8</v>
      </c>
      <c r="AF22" s="278" t="s">
        <v>502</v>
      </c>
      <c r="AG22" s="273"/>
      <c r="AH22" s="273"/>
      <c r="AI22" s="273"/>
    </row>
    <row r="23" spans="1:35" ht="14.25" customHeight="1">
      <c r="A23" s="108" t="s">
        <v>469</v>
      </c>
      <c r="B23" s="54">
        <v>27.257999999999999</v>
      </c>
      <c r="C23" s="273"/>
      <c r="D23" s="108" t="s">
        <v>470</v>
      </c>
      <c r="E23" s="54">
        <v>140.07</v>
      </c>
      <c r="F23" s="273"/>
      <c r="G23" s="283" t="s">
        <v>470</v>
      </c>
      <c r="H23" s="259">
        <v>176.511788</v>
      </c>
      <c r="I23" s="86"/>
      <c r="J23" s="273"/>
      <c r="K23" s="273"/>
      <c r="L23" s="279"/>
      <c r="M23" s="108" t="s">
        <v>469</v>
      </c>
      <c r="N23" s="54">
        <v>68.795000000000002</v>
      </c>
      <c r="O23" s="273"/>
      <c r="P23" s="108" t="s">
        <v>470</v>
      </c>
      <c r="Q23" s="54">
        <v>123.35299999999999</v>
      </c>
      <c r="R23" s="273"/>
      <c r="S23" s="108" t="s">
        <v>470</v>
      </c>
      <c r="T23" s="54">
        <v>194.095663</v>
      </c>
      <c r="U23" s="273"/>
      <c r="V23" s="273"/>
      <c r="W23" s="273"/>
      <c r="X23" s="279"/>
      <c r="Y23" s="108" t="s">
        <v>469</v>
      </c>
      <c r="Z23" s="284">
        <v>60.774000000000001</v>
      </c>
      <c r="AA23" s="273"/>
      <c r="AB23" s="108" t="s">
        <v>470</v>
      </c>
      <c r="AC23" s="284">
        <v>129.15</v>
      </c>
      <c r="AD23" s="271"/>
      <c r="AE23" s="108" t="s">
        <v>470</v>
      </c>
      <c r="AF23" s="284">
        <v>28.560176999999999</v>
      </c>
      <c r="AG23" s="280"/>
      <c r="AH23" s="273"/>
      <c r="AI23" s="273"/>
    </row>
    <row r="24" spans="1:35" ht="14.25" customHeight="1">
      <c r="B24" s="273"/>
      <c r="C24" s="273"/>
      <c r="D24" s="108" t="s">
        <v>485</v>
      </c>
      <c r="E24" s="54">
        <v>174.72</v>
      </c>
      <c r="F24" s="273"/>
      <c r="G24" s="353" t="s">
        <v>494</v>
      </c>
      <c r="H24" s="354">
        <v>0.15021300000000001</v>
      </c>
      <c r="I24" s="86"/>
      <c r="J24" s="358"/>
      <c r="K24" s="359"/>
      <c r="L24" s="279"/>
      <c r="M24" s="108" t="s">
        <v>470</v>
      </c>
      <c r="N24" s="54">
        <v>0.29299999999999998</v>
      </c>
      <c r="O24" s="273"/>
      <c r="P24" s="108" t="s">
        <v>485</v>
      </c>
      <c r="Q24" s="54">
        <v>76.858999999999995</v>
      </c>
      <c r="R24" s="273"/>
      <c r="S24" s="108" t="s">
        <v>494</v>
      </c>
      <c r="T24" s="355">
        <v>0.10446999999999999</v>
      </c>
      <c r="U24" s="273"/>
      <c r="V24" s="273"/>
      <c r="W24" s="273"/>
      <c r="X24" s="279"/>
      <c r="Y24" s="273"/>
      <c r="AA24" s="273"/>
      <c r="AB24" s="108" t="s">
        <v>485</v>
      </c>
      <c r="AC24" s="284">
        <v>27.173999999999999</v>
      </c>
      <c r="AD24" s="273"/>
      <c r="AE24" s="108" t="s">
        <v>503</v>
      </c>
      <c r="AF24" s="284">
        <v>0.45688699999999999</v>
      </c>
      <c r="AG24" s="273"/>
      <c r="AH24" s="273"/>
      <c r="AI24" s="273"/>
    </row>
    <row r="25" spans="1:35" ht="14.25" customHeight="1">
      <c r="A25" s="273"/>
      <c r="B25" s="273"/>
      <c r="C25" s="273"/>
      <c r="D25" s="108" t="s">
        <v>475</v>
      </c>
      <c r="E25" s="54">
        <v>33.054000000000002</v>
      </c>
      <c r="F25" s="273"/>
      <c r="G25" s="283" t="s">
        <v>506</v>
      </c>
      <c r="H25" s="354">
        <v>6.2274000000000003E-2</v>
      </c>
      <c r="I25" s="86"/>
      <c r="J25" s="358"/>
      <c r="K25" s="359"/>
      <c r="L25" s="279"/>
      <c r="M25" s="273"/>
      <c r="N25" s="273"/>
      <c r="O25" s="273"/>
      <c r="P25" s="108" t="s">
        <v>504</v>
      </c>
      <c r="Q25" s="54">
        <v>20.579000000000001</v>
      </c>
      <c r="R25" s="273"/>
      <c r="S25" s="352" t="s">
        <v>481</v>
      </c>
      <c r="T25" s="355">
        <v>5.0596000000000002E-2</v>
      </c>
      <c r="U25" s="273"/>
      <c r="V25" s="273"/>
      <c r="W25" s="273"/>
      <c r="X25" s="279"/>
      <c r="Y25" s="273"/>
      <c r="AA25" s="273"/>
      <c r="AB25" s="108" t="s">
        <v>504</v>
      </c>
      <c r="AC25" s="284">
        <v>26.88</v>
      </c>
      <c r="AD25" s="273"/>
      <c r="AE25" s="108" t="s">
        <v>494</v>
      </c>
      <c r="AF25" s="284">
        <v>27.003</v>
      </c>
      <c r="AG25" s="273"/>
      <c r="AH25" s="273"/>
      <c r="AI25" s="273"/>
    </row>
    <row r="26" spans="1:35" ht="14.25" customHeight="1">
      <c r="A26" s="273"/>
      <c r="B26" s="273"/>
      <c r="C26" s="273"/>
      <c r="D26" s="108" t="s">
        <v>505</v>
      </c>
      <c r="E26" s="54">
        <v>44.73</v>
      </c>
      <c r="F26" s="273"/>
      <c r="G26" s="283" t="s">
        <v>481</v>
      </c>
      <c r="H26" s="354">
        <v>4.8161000000000002E-2</v>
      </c>
      <c r="I26" s="86"/>
      <c r="J26" s="358"/>
      <c r="K26" s="359"/>
      <c r="L26" s="279"/>
      <c r="M26" s="273"/>
      <c r="N26" s="273"/>
      <c r="O26" s="273"/>
      <c r="P26" s="108" t="s">
        <v>475</v>
      </c>
      <c r="Q26" s="54">
        <v>12.515000000000001</v>
      </c>
      <c r="R26" s="273"/>
      <c r="S26" s="352" t="s">
        <v>506</v>
      </c>
      <c r="T26" s="355">
        <v>3.7324999999999997E-2</v>
      </c>
      <c r="U26" s="273"/>
      <c r="V26" s="273"/>
      <c r="W26" s="273"/>
      <c r="X26" s="279"/>
      <c r="Y26" s="273"/>
      <c r="AA26" s="273"/>
      <c r="AB26" s="108" t="s">
        <v>475</v>
      </c>
      <c r="AC26" s="284">
        <v>23.646000000000001</v>
      </c>
      <c r="AD26" s="273"/>
      <c r="AE26" s="108" t="s">
        <v>485</v>
      </c>
      <c r="AF26" s="284">
        <v>1.312694</v>
      </c>
      <c r="AG26" s="273"/>
      <c r="AH26" s="273"/>
      <c r="AI26" s="273"/>
    </row>
    <row r="27" spans="1:35" ht="14.25" customHeight="1">
      <c r="A27" s="273"/>
      <c r="B27" s="273"/>
      <c r="C27" s="273"/>
      <c r="D27" s="108" t="s">
        <v>504</v>
      </c>
      <c r="E27" s="54">
        <v>84.462000000000003</v>
      </c>
      <c r="F27" s="273"/>
      <c r="G27" s="283" t="s">
        <v>545</v>
      </c>
      <c r="H27" s="354">
        <v>2.8171999999999999E-2</v>
      </c>
      <c r="I27" s="86"/>
      <c r="J27" s="273"/>
      <c r="K27" s="273"/>
      <c r="L27" s="279"/>
      <c r="M27" s="273"/>
      <c r="N27" s="273"/>
      <c r="O27" s="273"/>
      <c r="P27" s="108" t="s">
        <v>505</v>
      </c>
      <c r="Q27" s="54">
        <v>12.430999999999999</v>
      </c>
      <c r="R27" s="273"/>
      <c r="S27" s="352" t="s">
        <v>544</v>
      </c>
      <c r="T27" s="355">
        <v>3.5948000000000001E-2</v>
      </c>
      <c r="U27" s="273"/>
      <c r="V27" s="273"/>
      <c r="W27" s="273"/>
      <c r="X27" s="279"/>
      <c r="Y27" s="273"/>
      <c r="AA27" s="273"/>
      <c r="AB27" s="108" t="s">
        <v>505</v>
      </c>
      <c r="AC27" s="284">
        <v>3.36</v>
      </c>
      <c r="AD27" s="273"/>
      <c r="AE27" s="108" t="s">
        <v>506</v>
      </c>
      <c r="AF27" s="284">
        <v>7.2214E-2</v>
      </c>
      <c r="AG27" s="273"/>
      <c r="AH27" s="273"/>
      <c r="AI27" s="273"/>
    </row>
    <row r="28" spans="1:35" ht="14.25" customHeight="1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4"/>
      <c r="M28" s="273"/>
      <c r="N28" s="273"/>
      <c r="O28" s="273"/>
      <c r="P28" s="108" t="s">
        <v>473</v>
      </c>
      <c r="Q28" s="54">
        <v>4.157</v>
      </c>
      <c r="R28" s="273"/>
      <c r="S28" s="273"/>
      <c r="T28" s="273"/>
      <c r="U28" s="273"/>
      <c r="V28" s="273"/>
      <c r="W28" s="273"/>
      <c r="X28" s="274"/>
      <c r="Y28" s="273"/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</row>
    <row r="29" spans="1:35" ht="14.25" customHeight="1">
      <c r="A29" s="273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4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4"/>
      <c r="Y29" s="273"/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</row>
    <row r="30" spans="1:35" ht="14.25" customHeight="1">
      <c r="A30" s="273"/>
      <c r="B30" s="273"/>
      <c r="C30" s="273"/>
      <c r="D30" s="273"/>
      <c r="E30" s="273"/>
      <c r="F30" s="273"/>
      <c r="G30" s="273"/>
      <c r="H30" s="356"/>
      <c r="I30" s="273"/>
      <c r="J30" s="273"/>
      <c r="K30" s="273"/>
      <c r="L30" s="274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4"/>
      <c r="Y30" s="273" t="s">
        <v>170</v>
      </c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</row>
    <row r="31" spans="1:35" ht="14.25" customHeight="1">
      <c r="A31" s="258" t="s">
        <v>563</v>
      </c>
      <c r="B31" s="258" t="s">
        <v>564</v>
      </c>
      <c r="C31" s="258" t="s">
        <v>565</v>
      </c>
      <c r="D31" s="258" t="s">
        <v>566</v>
      </c>
      <c r="E31" s="258" t="s">
        <v>567</v>
      </c>
      <c r="F31" s="258" t="s">
        <v>568</v>
      </c>
      <c r="G31" s="369" t="s">
        <v>571</v>
      </c>
      <c r="H31" s="350"/>
      <c r="I31" s="273"/>
      <c r="J31" s="273"/>
      <c r="K31" s="273"/>
      <c r="L31" s="274"/>
      <c r="M31" s="273"/>
      <c r="N31" s="273"/>
      <c r="O31" s="273"/>
      <c r="P31" s="350"/>
      <c r="Q31" s="273"/>
      <c r="R31" s="273"/>
      <c r="S31" s="350"/>
      <c r="T31" s="273"/>
      <c r="U31" s="273"/>
      <c r="V31" s="273"/>
      <c r="W31" s="273"/>
      <c r="X31" s="274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</row>
    <row r="32" spans="1:35" ht="14.25" customHeight="1">
      <c r="A32" s="283" t="s">
        <v>560</v>
      </c>
      <c r="B32" s="259" t="s">
        <v>470</v>
      </c>
      <c r="C32" s="283" t="s">
        <v>2</v>
      </c>
      <c r="D32" s="259">
        <v>625.63199999999995</v>
      </c>
      <c r="E32" s="283" t="s">
        <v>465</v>
      </c>
      <c r="F32" s="283" t="s">
        <v>569</v>
      </c>
      <c r="G32" s="373">
        <f>+D32/(ETHANOL!$O$22*1000)</f>
        <v>0.43644887196015231</v>
      </c>
      <c r="H32" s="350"/>
      <c r="I32" s="273"/>
      <c r="J32" s="273"/>
      <c r="K32" s="273"/>
      <c r="L32" s="274"/>
      <c r="M32" s="273"/>
      <c r="N32" s="273"/>
      <c r="O32" s="273"/>
      <c r="P32" s="350"/>
      <c r="Q32" s="273"/>
      <c r="R32" s="273"/>
      <c r="S32" s="350"/>
      <c r="T32" s="273"/>
      <c r="U32" s="273"/>
      <c r="V32" s="273"/>
      <c r="W32" s="273"/>
      <c r="X32" s="274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</row>
    <row r="33" spans="1:35" ht="14.25" customHeight="1">
      <c r="A33" s="283" t="s">
        <v>560</v>
      </c>
      <c r="B33" s="259" t="s">
        <v>471</v>
      </c>
      <c r="C33" s="283" t="s">
        <v>2</v>
      </c>
      <c r="D33" s="259">
        <v>160.06200000000001</v>
      </c>
      <c r="E33" s="283" t="s">
        <v>465</v>
      </c>
      <c r="F33" s="283" t="s">
        <v>569</v>
      </c>
      <c r="G33" s="373">
        <f>+D33/(ETHANOL!$O$22*1000)</f>
        <v>0.11166129504834457</v>
      </c>
      <c r="H33" s="350"/>
      <c r="I33" s="273"/>
      <c r="J33" s="273"/>
      <c r="K33" s="273"/>
      <c r="L33" s="274"/>
      <c r="M33" s="273"/>
      <c r="N33" s="273"/>
      <c r="O33" s="273"/>
      <c r="P33" s="350"/>
      <c r="Q33" s="273"/>
      <c r="R33" s="273"/>
      <c r="S33" s="350"/>
      <c r="T33" s="273"/>
      <c r="U33" s="273"/>
      <c r="V33" s="273"/>
      <c r="W33" s="273"/>
      <c r="X33" s="274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</row>
    <row r="34" spans="1:35" ht="14.25" customHeight="1">
      <c r="A34" s="283" t="s">
        <v>560</v>
      </c>
      <c r="B34" s="259" t="s">
        <v>472</v>
      </c>
      <c r="C34" s="283" t="s">
        <v>2</v>
      </c>
      <c r="D34" s="259">
        <v>114.324</v>
      </c>
      <c r="E34" s="283" t="s">
        <v>465</v>
      </c>
      <c r="F34" s="283" t="s">
        <v>569</v>
      </c>
      <c r="G34" s="373">
        <f>+D34/(ETHANOL!$O$22*1000)</f>
        <v>7.9753882215060065E-2</v>
      </c>
      <c r="H34" s="350"/>
      <c r="I34" s="273"/>
      <c r="J34" s="273"/>
      <c r="K34" s="273"/>
      <c r="L34" s="274"/>
      <c r="M34" s="273"/>
      <c r="N34" s="273"/>
      <c r="O34" s="273"/>
      <c r="P34" s="350"/>
      <c r="Q34" s="273"/>
      <c r="R34" s="273"/>
      <c r="S34" s="273"/>
      <c r="T34" s="273"/>
      <c r="U34" s="273"/>
      <c r="V34" s="273"/>
      <c r="W34" s="273"/>
      <c r="X34" s="274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</row>
    <row r="35" spans="1:35" ht="14.25" customHeight="1">
      <c r="A35" s="283" t="s">
        <v>560</v>
      </c>
      <c r="B35" s="259" t="s">
        <v>562</v>
      </c>
      <c r="C35" s="283" t="s">
        <v>2</v>
      </c>
      <c r="D35" s="259">
        <v>99.456000000000003</v>
      </c>
      <c r="E35" s="283" t="s">
        <v>465</v>
      </c>
      <c r="F35" s="283" t="s">
        <v>569</v>
      </c>
      <c r="G35" s="373">
        <f>+D35/(ETHANOL!$O$22*1000)</f>
        <v>6.9381775564019921E-2</v>
      </c>
      <c r="H35" s="350"/>
      <c r="I35" s="273"/>
      <c r="J35" s="273"/>
      <c r="K35" s="273"/>
      <c r="L35" s="274"/>
      <c r="M35" s="273"/>
      <c r="N35" s="273"/>
      <c r="O35" s="273"/>
      <c r="P35" s="350"/>
      <c r="Q35" s="273"/>
      <c r="R35" s="273"/>
      <c r="S35" s="273"/>
      <c r="T35" s="273"/>
      <c r="U35" s="273"/>
      <c r="V35" s="273"/>
      <c r="W35" s="273"/>
      <c r="X35" s="274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</row>
    <row r="36" spans="1:35" ht="14.25" customHeight="1">
      <c r="A36" s="283" t="s">
        <v>560</v>
      </c>
      <c r="B36" s="259" t="s">
        <v>476</v>
      </c>
      <c r="C36" s="283" t="s">
        <v>2</v>
      </c>
      <c r="D36" s="259">
        <v>83.873999999999995</v>
      </c>
      <c r="E36" s="283" t="s">
        <v>465</v>
      </c>
      <c r="F36" s="283" t="s">
        <v>569</v>
      </c>
      <c r="G36" s="373">
        <f>+D36/(ETHANOL!$O$22*1000)</f>
        <v>5.8511573395839435E-2</v>
      </c>
      <c r="H36" s="273"/>
      <c r="I36" s="273"/>
      <c r="J36" s="273"/>
      <c r="K36" s="273"/>
      <c r="L36" s="274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4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</row>
    <row r="37" spans="1:35" ht="14.25" customHeight="1">
      <c r="A37" s="283" t="s">
        <v>469</v>
      </c>
      <c r="B37" s="283" t="s">
        <v>560</v>
      </c>
      <c r="C37" s="283" t="s">
        <v>2</v>
      </c>
      <c r="D37" s="283">
        <v>27</v>
      </c>
      <c r="E37" s="283" t="s">
        <v>465</v>
      </c>
      <c r="F37" s="283" t="s">
        <v>570</v>
      </c>
      <c r="G37" s="373">
        <f>+D37/(ETHANOL!$O$21*1000)</f>
        <v>0.99053488883997354</v>
      </c>
      <c r="H37" s="273"/>
      <c r="I37" s="273"/>
      <c r="J37" s="273"/>
      <c r="K37" s="273"/>
      <c r="L37" s="274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4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</row>
    <row r="38" spans="1:35" ht="14.25" customHeight="1">
      <c r="A38" s="283" t="s">
        <v>560</v>
      </c>
      <c r="B38" s="259" t="s">
        <v>470</v>
      </c>
      <c r="C38" s="283" t="s">
        <v>4</v>
      </c>
      <c r="D38" s="259">
        <v>230.66399999999999</v>
      </c>
      <c r="E38" s="283" t="s">
        <v>465</v>
      </c>
      <c r="F38" s="283" t="s">
        <v>569</v>
      </c>
      <c r="G38" s="374">
        <f>D38/$E$6</f>
        <v>0.89402572033208538</v>
      </c>
      <c r="H38" s="273"/>
      <c r="I38" s="273"/>
      <c r="J38" s="273"/>
      <c r="K38" s="273"/>
      <c r="L38" s="274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4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</row>
    <row r="39" spans="1:35" ht="14.25" customHeight="1">
      <c r="A39" s="283" t="s">
        <v>560</v>
      </c>
      <c r="B39" s="259" t="s">
        <v>474</v>
      </c>
      <c r="C39" s="283" t="s">
        <v>4</v>
      </c>
      <c r="D39" s="259">
        <v>26.628</v>
      </c>
      <c r="E39" s="283" t="s">
        <v>465</v>
      </c>
      <c r="F39" s="283" t="s">
        <v>569</v>
      </c>
      <c r="G39" s="374">
        <f t="shared" ref="G39:G40" si="0">D39/$E$6</f>
        <v>0.10320690216506594</v>
      </c>
      <c r="H39" s="273"/>
      <c r="I39" s="273"/>
      <c r="J39" s="273"/>
      <c r="K39" s="273"/>
      <c r="L39" s="274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4"/>
      <c r="Y39" s="273"/>
      <c r="Z39" s="273"/>
      <c r="AA39" s="273"/>
      <c r="AB39" s="273"/>
      <c r="AC39" s="273"/>
      <c r="AD39" s="273"/>
      <c r="AE39" s="273"/>
      <c r="AF39" s="273"/>
      <c r="AG39" s="273"/>
      <c r="AH39" s="273"/>
      <c r="AI39" s="273"/>
    </row>
    <row r="40" spans="1:35" ht="14.25" customHeight="1">
      <c r="A40" s="283" t="s">
        <v>560</v>
      </c>
      <c r="B40" s="259" t="s">
        <v>485</v>
      </c>
      <c r="C40" s="283" t="s">
        <v>4</v>
      </c>
      <c r="D40" s="259">
        <v>0.71399999999999997</v>
      </c>
      <c r="E40" s="283" t="s">
        <v>465</v>
      </c>
      <c r="F40" s="283" t="s">
        <v>569</v>
      </c>
      <c r="G40" s="374">
        <f t="shared" si="0"/>
        <v>2.767377502848771E-3</v>
      </c>
      <c r="H40" s="273"/>
      <c r="I40" s="273"/>
      <c r="J40" s="273"/>
      <c r="K40" s="273"/>
      <c r="L40" s="274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4"/>
      <c r="Y40" s="273"/>
      <c r="Z40" s="273"/>
      <c r="AA40" s="273"/>
      <c r="AB40" s="273"/>
      <c r="AC40" s="273"/>
      <c r="AD40" s="273"/>
      <c r="AE40" s="273"/>
      <c r="AF40" s="273"/>
      <c r="AG40" s="273"/>
      <c r="AH40" s="273"/>
      <c r="AI40" s="273"/>
    </row>
    <row r="41" spans="1:35" ht="14.25" customHeight="1">
      <c r="A41" s="283" t="s">
        <v>470</v>
      </c>
      <c r="B41" s="283" t="s">
        <v>560</v>
      </c>
      <c r="C41" s="283" t="s">
        <v>4</v>
      </c>
      <c r="D41" s="259">
        <v>140.07</v>
      </c>
      <c r="E41" s="283" t="s">
        <v>465</v>
      </c>
      <c r="F41" s="283" t="s">
        <v>570</v>
      </c>
      <c r="G41" s="374">
        <f>D41/BIODIESEL!$O$13</f>
        <v>0.27957079386369355</v>
      </c>
      <c r="H41" s="273"/>
      <c r="I41" s="273"/>
      <c r="J41" s="273"/>
      <c r="K41" s="273"/>
      <c r="L41" s="274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4"/>
      <c r="Y41" s="273"/>
      <c r="Z41" s="273"/>
      <c r="AA41" s="273"/>
      <c r="AB41" s="273"/>
      <c r="AC41" s="273"/>
      <c r="AD41" s="273"/>
      <c r="AE41" s="273"/>
      <c r="AF41" s="273"/>
      <c r="AG41" s="273"/>
      <c r="AH41" s="273"/>
      <c r="AI41" s="273"/>
    </row>
    <row r="42" spans="1:35" ht="14.25" customHeight="1">
      <c r="A42" s="283" t="s">
        <v>485</v>
      </c>
      <c r="B42" s="283" t="s">
        <v>560</v>
      </c>
      <c r="C42" s="283" t="s">
        <v>4</v>
      </c>
      <c r="D42" s="259">
        <v>174.72</v>
      </c>
      <c r="E42" s="283" t="s">
        <v>465</v>
      </c>
      <c r="F42" s="283" t="s">
        <v>570</v>
      </c>
      <c r="G42" s="374">
        <f>D42/BIODIESEL!$O$13</f>
        <v>0.34872998574901504</v>
      </c>
      <c r="H42" s="273"/>
      <c r="I42" s="273"/>
      <c r="J42" s="273"/>
      <c r="K42" s="273"/>
      <c r="L42" s="274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4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</row>
    <row r="43" spans="1:35" ht="14.25" customHeight="1">
      <c r="A43" s="283" t="s">
        <v>475</v>
      </c>
      <c r="B43" s="283" t="s">
        <v>560</v>
      </c>
      <c r="C43" s="283" t="s">
        <v>4</v>
      </c>
      <c r="D43" s="259">
        <v>33.054000000000002</v>
      </c>
      <c r="E43" s="283" t="s">
        <v>465</v>
      </c>
      <c r="F43" s="283" t="s">
        <v>570</v>
      </c>
      <c r="G43" s="374">
        <f>D43/BIODIESEL!$O$13</f>
        <v>6.5973677592421842E-2</v>
      </c>
      <c r="H43" s="273"/>
      <c r="I43" s="273"/>
      <c r="J43" s="273"/>
      <c r="K43" s="273"/>
      <c r="L43" s="274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4"/>
      <c r="Y43" s="273"/>
      <c r="Z43" s="273"/>
      <c r="AA43" s="273"/>
      <c r="AB43" s="273"/>
      <c r="AC43" s="273"/>
      <c r="AD43" s="273"/>
      <c r="AE43" s="273"/>
      <c r="AF43" s="273"/>
      <c r="AG43" s="273"/>
      <c r="AH43" s="273"/>
      <c r="AI43" s="273"/>
    </row>
    <row r="44" spans="1:35" ht="14.25" customHeight="1">
      <c r="A44" s="283" t="s">
        <v>505</v>
      </c>
      <c r="B44" s="283" t="s">
        <v>560</v>
      </c>
      <c r="C44" s="283" t="s">
        <v>4</v>
      </c>
      <c r="D44" s="259">
        <v>44.73</v>
      </c>
      <c r="E44" s="283" t="s">
        <v>465</v>
      </c>
      <c r="F44" s="283" t="s">
        <v>570</v>
      </c>
      <c r="G44" s="374">
        <f>D44/BIODIESEL!$O$13</f>
        <v>8.9278229524687738E-2</v>
      </c>
      <c r="H44" s="273"/>
      <c r="I44" s="273"/>
      <c r="J44" s="273"/>
      <c r="K44" s="273"/>
      <c r="L44" s="274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4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</row>
    <row r="45" spans="1:35" ht="14.25" customHeight="1">
      <c r="A45" s="283" t="s">
        <v>504</v>
      </c>
      <c r="B45" s="283" t="s">
        <v>560</v>
      </c>
      <c r="C45" s="283" t="s">
        <v>4</v>
      </c>
      <c r="D45" s="259">
        <v>84.462000000000003</v>
      </c>
      <c r="E45" s="283" t="s">
        <v>465</v>
      </c>
      <c r="F45" s="283" t="s">
        <v>570</v>
      </c>
      <c r="G45" s="374">
        <f>D45/BIODIESEL!$O$13</f>
        <v>0.16858076955318974</v>
      </c>
      <c r="H45" s="273"/>
      <c r="I45" s="273"/>
      <c r="J45" s="273"/>
      <c r="K45" s="273"/>
      <c r="L45" s="274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4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</row>
    <row r="46" spans="1:35" ht="14.25" customHeight="1">
      <c r="A46" s="283" t="s">
        <v>560</v>
      </c>
      <c r="B46" s="259" t="s">
        <v>471</v>
      </c>
      <c r="C46" s="283" t="s">
        <v>8</v>
      </c>
      <c r="D46" s="354">
        <v>5.2877929669999997</v>
      </c>
      <c r="E46" s="283" t="s">
        <v>466</v>
      </c>
      <c r="F46" s="283" t="s">
        <v>569</v>
      </c>
      <c r="G46" s="375">
        <f>D46/$H$8</f>
        <v>0.53826319048202742</v>
      </c>
      <c r="H46" s="370"/>
      <c r="I46" s="273"/>
      <c r="J46" s="273"/>
      <c r="K46" s="273"/>
      <c r="L46" s="274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4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</row>
    <row r="47" spans="1:35" ht="14.25" customHeight="1">
      <c r="A47" s="283" t="s">
        <v>560</v>
      </c>
      <c r="B47" s="259" t="s">
        <v>472</v>
      </c>
      <c r="C47" s="283" t="s">
        <v>8</v>
      </c>
      <c r="D47" s="354">
        <v>1.4244955370000001</v>
      </c>
      <c r="E47" s="283" t="s">
        <v>466</v>
      </c>
      <c r="F47" s="283" t="s">
        <v>569</v>
      </c>
      <c r="G47" s="375">
        <f t="shared" ref="G47:G50" si="1">D47/$H$8</f>
        <v>0.14500445031758541</v>
      </c>
      <c r="H47" s="273"/>
      <c r="I47" s="273"/>
      <c r="J47" s="273"/>
      <c r="K47" s="273"/>
      <c r="L47" s="274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4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</row>
    <row r="48" spans="1:35" ht="14.25" customHeight="1">
      <c r="A48" s="283" t="s">
        <v>560</v>
      </c>
      <c r="B48" s="259" t="s">
        <v>494</v>
      </c>
      <c r="C48" s="283" t="s">
        <v>8</v>
      </c>
      <c r="D48" s="354">
        <v>1.393638232</v>
      </c>
      <c r="E48" s="283" t="s">
        <v>466</v>
      </c>
      <c r="F48" s="283" t="s">
        <v>569</v>
      </c>
      <c r="G48" s="375">
        <f t="shared" si="1"/>
        <v>0.14186337585747844</v>
      </c>
      <c r="H48" s="273"/>
      <c r="I48" s="273"/>
      <c r="J48" s="273"/>
      <c r="K48" s="273"/>
      <c r="L48" s="274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4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</row>
    <row r="49" spans="1:35" ht="14.25" customHeight="1">
      <c r="A49" s="283" t="s">
        <v>560</v>
      </c>
      <c r="B49" s="259" t="s">
        <v>477</v>
      </c>
      <c r="C49" s="283" t="s">
        <v>8</v>
      </c>
      <c r="D49" s="354">
        <v>1.393638232</v>
      </c>
      <c r="E49" s="283" t="s">
        <v>466</v>
      </c>
      <c r="F49" s="283" t="s">
        <v>569</v>
      </c>
      <c r="G49" s="375">
        <f t="shared" si="1"/>
        <v>0.14186337585747844</v>
      </c>
      <c r="H49" s="273"/>
      <c r="I49" s="273"/>
      <c r="J49" s="273"/>
      <c r="K49" s="273"/>
      <c r="L49" s="274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4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</row>
    <row r="50" spans="1:35" ht="14.25" customHeight="1">
      <c r="A50" s="283" t="s">
        <v>560</v>
      </c>
      <c r="B50" s="259" t="s">
        <v>483</v>
      </c>
      <c r="C50" s="283" t="s">
        <v>8</v>
      </c>
      <c r="D50" s="259">
        <v>0.32424067299999998</v>
      </c>
      <c r="E50" s="283" t="s">
        <v>466</v>
      </c>
      <c r="F50" s="283" t="s">
        <v>569</v>
      </c>
      <c r="G50" s="375">
        <f t="shared" si="1"/>
        <v>3.3005607485430091E-2</v>
      </c>
      <c r="H50" s="273"/>
      <c r="I50" s="273"/>
      <c r="J50" s="273"/>
      <c r="K50" s="273"/>
      <c r="L50" s="274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4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</row>
    <row r="51" spans="1:35" ht="14.25" customHeight="1">
      <c r="A51" s="283" t="s">
        <v>470</v>
      </c>
      <c r="B51" s="283" t="s">
        <v>560</v>
      </c>
      <c r="C51" s="283" t="s">
        <v>8</v>
      </c>
      <c r="D51" s="354">
        <v>0.176511788</v>
      </c>
      <c r="E51" s="283" t="s">
        <v>466</v>
      </c>
      <c r="F51" s="283" t="s">
        <v>570</v>
      </c>
      <c r="G51" s="375">
        <f>D51/'WOOD PELLETS'!$O$13</f>
        <v>0.99796203753774892</v>
      </c>
      <c r="H51" s="273"/>
      <c r="I51" s="273"/>
      <c r="J51" s="273"/>
      <c r="K51" s="273"/>
      <c r="L51" s="274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4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</row>
    <row r="52" spans="1:35" ht="14.25" customHeight="1">
      <c r="A52" s="353" t="s">
        <v>494</v>
      </c>
      <c r="B52" s="283" t="s">
        <v>560</v>
      </c>
      <c r="C52" s="283" t="s">
        <v>8</v>
      </c>
      <c r="D52" s="354">
        <v>1.5021300000000001E-4</v>
      </c>
      <c r="E52" s="283" t="s">
        <v>466</v>
      </c>
      <c r="F52" s="283" t="s">
        <v>570</v>
      </c>
      <c r="G52" s="375">
        <f>D52/'WOOD PELLETS'!$O$13</f>
        <v>8.4927399604981554E-4</v>
      </c>
      <c r="H52" s="273"/>
      <c r="I52" s="273"/>
      <c r="J52" s="273"/>
      <c r="K52" s="273"/>
      <c r="L52" s="274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4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</row>
    <row r="53" spans="1:35" ht="14.25" customHeight="1">
      <c r="A53" s="283" t="s">
        <v>506</v>
      </c>
      <c r="B53" s="283" t="s">
        <v>560</v>
      </c>
      <c r="C53" s="283" t="s">
        <v>8</v>
      </c>
      <c r="D53" s="354">
        <v>6.2274000000000007E-5</v>
      </c>
      <c r="E53" s="283" t="s">
        <v>466</v>
      </c>
      <c r="F53" s="283" t="s">
        <v>570</v>
      </c>
      <c r="G53" s="375">
        <f>D53/'WOOD PELLETS'!$O$13</f>
        <v>3.5208463202256938E-4</v>
      </c>
      <c r="H53" s="273"/>
      <c r="I53" s="273"/>
      <c r="J53" s="273"/>
      <c r="K53" s="273"/>
      <c r="L53" s="274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4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</row>
    <row r="54" spans="1:35" ht="14.25" customHeight="1">
      <c r="A54" s="283" t="s">
        <v>481</v>
      </c>
      <c r="B54" s="283" t="s">
        <v>560</v>
      </c>
      <c r="C54" s="283" t="s">
        <v>8</v>
      </c>
      <c r="D54" s="354">
        <v>4.8161000000000002E-5</v>
      </c>
      <c r="E54" s="283" t="s">
        <v>466</v>
      </c>
      <c r="F54" s="283" t="s">
        <v>570</v>
      </c>
      <c r="G54" s="375">
        <f>D54/'WOOD PELLETS'!$O$13</f>
        <v>2.7229257736517589E-4</v>
      </c>
      <c r="H54" s="273"/>
      <c r="I54" s="273"/>
      <c r="J54" s="273"/>
      <c r="K54" s="273"/>
      <c r="L54" s="274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4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</row>
    <row r="55" spans="1:35" ht="14.25" customHeight="1">
      <c r="A55" s="283" t="s">
        <v>545</v>
      </c>
      <c r="B55" s="283" t="s">
        <v>560</v>
      </c>
      <c r="C55" s="283" t="s">
        <v>8</v>
      </c>
      <c r="D55" s="354">
        <v>2.8172000000000001E-5</v>
      </c>
      <c r="E55" s="283" t="s">
        <v>466</v>
      </c>
      <c r="F55" s="283" t="s">
        <v>570</v>
      </c>
      <c r="G55" s="375">
        <f>D55/'WOOD PELLETS'!$O$13</f>
        <v>1.5927880420945858E-4</v>
      </c>
      <c r="H55" s="273"/>
      <c r="I55" s="273"/>
      <c r="J55" s="273"/>
      <c r="K55" s="273"/>
      <c r="L55" s="274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4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</row>
    <row r="56" spans="1:35" ht="14.25" customHeight="1">
      <c r="A56" s="283" t="s">
        <v>560</v>
      </c>
      <c r="B56" s="376" t="s">
        <v>470</v>
      </c>
      <c r="C56" s="283" t="s">
        <v>467</v>
      </c>
      <c r="D56" s="259">
        <v>6477</v>
      </c>
      <c r="E56" s="283" t="s">
        <v>468</v>
      </c>
      <c r="F56" s="283" t="s">
        <v>569</v>
      </c>
      <c r="G56" s="375">
        <f>D56/(FATS!$P$24*1000)</f>
        <v>0.33734375</v>
      </c>
      <c r="H56" s="273"/>
      <c r="I56" s="273"/>
      <c r="J56" s="273"/>
      <c r="K56" s="273"/>
      <c r="L56" s="274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4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</row>
    <row r="57" spans="1:35" ht="14.25" customHeight="1">
      <c r="A57" s="377" t="s">
        <v>560</v>
      </c>
      <c r="B57" s="377" t="s">
        <v>479</v>
      </c>
      <c r="C57" s="377" t="s">
        <v>467</v>
      </c>
      <c r="D57" s="378">
        <v>4957</v>
      </c>
      <c r="E57" s="377" t="s">
        <v>468</v>
      </c>
      <c r="F57" s="377" t="s">
        <v>569</v>
      </c>
      <c r="G57" s="379">
        <f>D57/(FATS!$P$24*1000)</f>
        <v>0.25817708333333333</v>
      </c>
      <c r="H57" s="273"/>
      <c r="I57" s="273"/>
      <c r="J57" s="273"/>
      <c r="K57" s="273"/>
      <c r="L57" s="274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4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</row>
    <row r="58" spans="1:35" ht="14.25" customHeight="1">
      <c r="A58" s="377" t="s">
        <v>560</v>
      </c>
      <c r="B58" s="377" t="s">
        <v>478</v>
      </c>
      <c r="C58" s="377" t="s">
        <v>467</v>
      </c>
      <c r="D58" s="378">
        <v>3048</v>
      </c>
      <c r="E58" s="377" t="s">
        <v>468</v>
      </c>
      <c r="F58" s="377" t="s">
        <v>569</v>
      </c>
      <c r="G58" s="379">
        <f>D58/(FATS!$P$24*1000)</f>
        <v>0.15875</v>
      </c>
      <c r="H58" s="273"/>
      <c r="I58" s="273"/>
      <c r="J58" s="273"/>
      <c r="K58" s="273"/>
      <c r="L58" s="274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4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</row>
    <row r="59" spans="1:35" ht="14.25" customHeight="1">
      <c r="A59" s="377" t="s">
        <v>560</v>
      </c>
      <c r="B59" s="377" t="s">
        <v>486</v>
      </c>
      <c r="C59" s="377" t="s">
        <v>467</v>
      </c>
      <c r="D59" s="378">
        <v>1232</v>
      </c>
      <c r="E59" s="377" t="s">
        <v>468</v>
      </c>
      <c r="F59" s="377" t="s">
        <v>569</v>
      </c>
      <c r="G59" s="379">
        <f>D59/(FATS!$P$24*1000)</f>
        <v>6.4166666666666664E-2</v>
      </c>
      <c r="H59" s="273"/>
      <c r="I59" s="273"/>
      <c r="J59" s="273"/>
      <c r="K59" s="273"/>
      <c r="L59" s="274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4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</row>
    <row r="60" spans="1:35" ht="14.25" customHeight="1">
      <c r="A60" s="377" t="s">
        <v>560</v>
      </c>
      <c r="B60" s="377" t="s">
        <v>507</v>
      </c>
      <c r="C60" s="377" t="s">
        <v>467</v>
      </c>
      <c r="D60" s="378">
        <v>1171</v>
      </c>
      <c r="E60" s="377" t="s">
        <v>468</v>
      </c>
      <c r="F60" s="377" t="s">
        <v>569</v>
      </c>
      <c r="G60" s="379">
        <f>D60/(FATS!$P$24*1000)</f>
        <v>6.0989583333333333E-2</v>
      </c>
      <c r="H60" s="273"/>
      <c r="I60" s="273"/>
      <c r="J60" s="273"/>
      <c r="K60" s="273"/>
      <c r="L60" s="274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4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</row>
    <row r="61" spans="1:35" ht="14.25" customHeight="1">
      <c r="A61" s="377" t="s">
        <v>560</v>
      </c>
      <c r="B61" s="377" t="s">
        <v>470</v>
      </c>
      <c r="C61" s="377" t="s">
        <v>488</v>
      </c>
      <c r="D61" s="378">
        <v>45420</v>
      </c>
      <c r="E61" s="377" t="s">
        <v>468</v>
      </c>
      <c r="F61" s="377" t="s">
        <v>569</v>
      </c>
      <c r="G61" s="377"/>
      <c r="H61" s="273"/>
      <c r="I61" s="273"/>
      <c r="J61" s="273"/>
      <c r="K61" s="273"/>
      <c r="L61" s="274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4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</row>
    <row r="62" spans="1:35" ht="14.25" customHeight="1">
      <c r="A62" s="377" t="s">
        <v>560</v>
      </c>
      <c r="B62" s="377" t="s">
        <v>478</v>
      </c>
      <c r="C62" s="377" t="s">
        <v>488</v>
      </c>
      <c r="D62" s="378">
        <v>38946</v>
      </c>
      <c r="E62" s="377" t="s">
        <v>468</v>
      </c>
      <c r="F62" s="377" t="s">
        <v>569</v>
      </c>
      <c r="G62" s="377"/>
      <c r="H62" s="273"/>
      <c r="I62" s="273"/>
      <c r="J62" s="273"/>
      <c r="K62" s="273"/>
      <c r="L62" s="274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4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</row>
    <row r="63" spans="1:35" ht="14.25" customHeight="1">
      <c r="A63" s="377" t="s">
        <v>560</v>
      </c>
      <c r="B63" s="377" t="s">
        <v>482</v>
      </c>
      <c r="C63" s="377" t="s">
        <v>488</v>
      </c>
      <c r="D63" s="378">
        <v>21950</v>
      </c>
      <c r="E63" s="377" t="s">
        <v>468</v>
      </c>
      <c r="F63" s="377" t="s">
        <v>569</v>
      </c>
      <c r="G63" s="377"/>
      <c r="H63" s="273"/>
      <c r="I63" s="273"/>
      <c r="J63" s="273"/>
      <c r="K63" s="273"/>
      <c r="L63" s="274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4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</row>
    <row r="64" spans="1:35" ht="14.25" customHeight="1">
      <c r="A64" s="377" t="s">
        <v>560</v>
      </c>
      <c r="B64" s="377" t="s">
        <v>508</v>
      </c>
      <c r="C64" s="377" t="s">
        <v>488</v>
      </c>
      <c r="D64" s="378">
        <v>1977</v>
      </c>
      <c r="E64" s="377" t="s">
        <v>468</v>
      </c>
      <c r="F64" s="377" t="s">
        <v>569</v>
      </c>
      <c r="G64" s="377"/>
      <c r="H64" s="273"/>
      <c r="I64" s="273"/>
      <c r="J64" s="273"/>
      <c r="K64" s="273"/>
      <c r="L64" s="274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4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</row>
    <row r="65" spans="1:35" ht="14.25" customHeight="1">
      <c r="A65" s="377" t="s">
        <v>560</v>
      </c>
      <c r="B65" s="377" t="s">
        <v>493</v>
      </c>
      <c r="C65" s="377" t="s">
        <v>488</v>
      </c>
      <c r="D65" s="378">
        <v>60</v>
      </c>
      <c r="E65" s="377" t="s">
        <v>468</v>
      </c>
      <c r="F65" s="377" t="s">
        <v>569</v>
      </c>
      <c r="G65" s="377"/>
      <c r="H65" s="273"/>
      <c r="I65" s="273"/>
      <c r="J65" s="273"/>
      <c r="K65" s="273"/>
      <c r="L65" s="274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4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</row>
    <row r="66" spans="1:35" ht="14.25" customHeight="1">
      <c r="A66" s="377" t="s">
        <v>560</v>
      </c>
      <c r="B66" s="377" t="s">
        <v>478</v>
      </c>
      <c r="C66" s="377" t="s">
        <v>489</v>
      </c>
      <c r="D66" s="378">
        <v>43177</v>
      </c>
      <c r="E66" s="377" t="s">
        <v>468</v>
      </c>
      <c r="F66" s="377" t="s">
        <v>569</v>
      </c>
      <c r="G66" s="377"/>
      <c r="H66" s="273"/>
      <c r="I66" s="273"/>
      <c r="J66" s="273"/>
      <c r="K66" s="273"/>
      <c r="L66" s="274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4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</row>
    <row r="67" spans="1:35" ht="14.25" customHeight="1">
      <c r="A67" s="377" t="s">
        <v>560</v>
      </c>
      <c r="B67" s="377" t="s">
        <v>470</v>
      </c>
      <c r="C67" s="377" t="s">
        <v>489</v>
      </c>
      <c r="D67" s="378">
        <v>1504</v>
      </c>
      <c r="E67" s="377" t="s">
        <v>468</v>
      </c>
      <c r="F67" s="377" t="s">
        <v>569</v>
      </c>
      <c r="G67" s="377"/>
      <c r="H67" s="273"/>
      <c r="I67" s="273"/>
      <c r="J67" s="273"/>
      <c r="K67" s="273"/>
      <c r="L67" s="274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4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</row>
    <row r="68" spans="1:35" ht="14.25" customHeight="1">
      <c r="A68" s="377" t="s">
        <v>560</v>
      </c>
      <c r="B68" s="377" t="s">
        <v>481</v>
      </c>
      <c r="C68" s="377" t="s">
        <v>489</v>
      </c>
      <c r="D68" s="378">
        <v>1001</v>
      </c>
      <c r="E68" s="377" t="s">
        <v>468</v>
      </c>
      <c r="F68" s="377" t="s">
        <v>569</v>
      </c>
      <c r="G68" s="377"/>
      <c r="H68" s="273"/>
      <c r="I68" s="273"/>
      <c r="J68" s="273"/>
      <c r="K68" s="273"/>
      <c r="L68" s="274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4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</row>
    <row r="69" spans="1:35" ht="14.25" customHeight="1">
      <c r="A69" s="377" t="s">
        <v>560</v>
      </c>
      <c r="B69" s="377" t="s">
        <v>482</v>
      </c>
      <c r="C69" s="377" t="s">
        <v>490</v>
      </c>
      <c r="D69" s="378">
        <v>78264</v>
      </c>
      <c r="E69" s="377" t="s">
        <v>468</v>
      </c>
      <c r="F69" s="377" t="s">
        <v>569</v>
      </c>
      <c r="G69" s="379">
        <f>D69/(FATS!$P$27*1000)</f>
        <v>0.40677754677754679</v>
      </c>
      <c r="H69" s="370"/>
      <c r="I69" s="273"/>
      <c r="J69" s="273"/>
      <c r="K69" s="273"/>
      <c r="L69" s="274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4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</row>
    <row r="70" spans="1:35" ht="14.25" customHeight="1">
      <c r="A70" s="377" t="s">
        <v>560</v>
      </c>
      <c r="B70" s="377" t="s">
        <v>478</v>
      </c>
      <c r="C70" s="377" t="s">
        <v>490</v>
      </c>
      <c r="D70" s="378">
        <v>62095</v>
      </c>
      <c r="E70" s="377" t="s">
        <v>468</v>
      </c>
      <c r="F70" s="377" t="s">
        <v>569</v>
      </c>
      <c r="G70" s="379">
        <f>D70/(FATS!$P$27*1000)</f>
        <v>0.32273908523908523</v>
      </c>
      <c r="H70" s="273"/>
      <c r="I70" s="273"/>
      <c r="J70" s="273"/>
      <c r="K70" s="273"/>
      <c r="L70" s="274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4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</row>
    <row r="71" spans="1:35" ht="14.25" customHeight="1">
      <c r="A71" s="377" t="s">
        <v>560</v>
      </c>
      <c r="B71" s="377" t="s">
        <v>470</v>
      </c>
      <c r="C71" s="377" t="s">
        <v>490</v>
      </c>
      <c r="D71" s="378">
        <v>24459</v>
      </c>
      <c r="E71" s="377" t="s">
        <v>468</v>
      </c>
      <c r="F71" s="377" t="s">
        <v>569</v>
      </c>
      <c r="G71" s="379">
        <f>D71/(FATS!$P$27*1000)</f>
        <v>0.12712577962577962</v>
      </c>
      <c r="H71" s="273"/>
      <c r="I71" s="273"/>
      <c r="J71" s="273"/>
      <c r="K71" s="273"/>
      <c r="L71" s="274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4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</row>
    <row r="72" spans="1:35" ht="14.25" customHeight="1">
      <c r="A72" s="377" t="s">
        <v>560</v>
      </c>
      <c r="B72" s="377" t="s">
        <v>509</v>
      </c>
      <c r="C72" s="377" t="s">
        <v>490</v>
      </c>
      <c r="D72" s="378">
        <v>4931</v>
      </c>
      <c r="E72" s="377" t="s">
        <v>468</v>
      </c>
      <c r="F72" s="377" t="s">
        <v>569</v>
      </c>
      <c r="G72" s="379">
        <f>D72/(FATS!$P$27*1000)</f>
        <v>2.5628898128898129E-2</v>
      </c>
      <c r="H72" s="273"/>
      <c r="I72" s="273"/>
      <c r="J72" s="273"/>
      <c r="K72" s="273"/>
      <c r="L72" s="274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4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</row>
    <row r="73" spans="1:35" ht="14.25" customHeight="1">
      <c r="A73" s="377" t="s">
        <v>560</v>
      </c>
      <c r="B73" s="377" t="s">
        <v>486</v>
      </c>
      <c r="C73" s="377" t="s">
        <v>490</v>
      </c>
      <c r="D73" s="378">
        <v>4370</v>
      </c>
      <c r="E73" s="377" t="s">
        <v>468</v>
      </c>
      <c r="F73" s="377" t="s">
        <v>569</v>
      </c>
      <c r="G73" s="379">
        <f>D73/(FATS!$P$27*1000)</f>
        <v>2.2713097713097714E-2</v>
      </c>
      <c r="H73" s="273"/>
      <c r="I73" s="273"/>
      <c r="J73" s="273"/>
      <c r="K73" s="273"/>
      <c r="L73" s="274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4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  <c r="AI73" s="273"/>
    </row>
    <row r="74" spans="1:35" ht="14.25" customHeight="1">
      <c r="A74" s="377" t="s">
        <v>560</v>
      </c>
      <c r="B74" s="377" t="s">
        <v>478</v>
      </c>
      <c r="C74" s="377" t="s">
        <v>491</v>
      </c>
      <c r="D74" s="378">
        <v>107</v>
      </c>
      <c r="E74" s="377" t="s">
        <v>468</v>
      </c>
      <c r="F74" s="377" t="s">
        <v>569</v>
      </c>
      <c r="G74" s="379">
        <f>D74/(FATS!$P$26*1000)</f>
        <v>1</v>
      </c>
      <c r="H74" s="273"/>
      <c r="I74" s="273"/>
      <c r="J74" s="273"/>
      <c r="K74" s="273"/>
      <c r="L74" s="274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4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</row>
    <row r="75" spans="1:35" ht="14.25" customHeight="1">
      <c r="A75" s="377" t="s">
        <v>560</v>
      </c>
      <c r="B75" s="377" t="s">
        <v>478</v>
      </c>
      <c r="C75" s="377" t="s">
        <v>572</v>
      </c>
      <c r="D75" s="378">
        <v>82123</v>
      </c>
      <c r="E75" s="377" t="s">
        <v>468</v>
      </c>
      <c r="F75" s="377" t="s">
        <v>569</v>
      </c>
      <c r="G75" s="379">
        <f>D75/(FATS!$P$25*1000)</f>
        <v>0.53292018170019462</v>
      </c>
      <c r="H75" s="372"/>
      <c r="I75" s="273"/>
      <c r="J75" s="273"/>
      <c r="K75" s="273"/>
      <c r="L75" s="274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4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  <c r="AI75" s="273"/>
    </row>
    <row r="76" spans="1:35" ht="14.25" customHeight="1">
      <c r="A76" s="377" t="s">
        <v>560</v>
      </c>
      <c r="B76" s="377" t="s">
        <v>470</v>
      </c>
      <c r="C76" s="377" t="s">
        <v>572</v>
      </c>
      <c r="D76" s="378">
        <v>46924</v>
      </c>
      <c r="E76" s="377" t="s">
        <v>468</v>
      </c>
      <c r="F76" s="377" t="s">
        <v>569</v>
      </c>
      <c r="G76" s="379">
        <f>D76/(FATS!$P$25*1000)</f>
        <v>0.30450356911096682</v>
      </c>
      <c r="H76" s="273"/>
      <c r="I76" s="273"/>
      <c r="J76" s="273"/>
      <c r="K76" s="273"/>
      <c r="L76" s="274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4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</row>
    <row r="77" spans="1:35" ht="14.25" customHeight="1">
      <c r="A77" s="377" t="s">
        <v>560</v>
      </c>
      <c r="B77" s="377" t="s">
        <v>482</v>
      </c>
      <c r="C77" s="377" t="s">
        <v>572</v>
      </c>
      <c r="D77" s="378">
        <v>21950</v>
      </c>
      <c r="E77" s="377" t="s">
        <v>468</v>
      </c>
      <c r="F77" s="377" t="s">
        <v>569</v>
      </c>
      <c r="G77" s="379">
        <f>D77/(FATS!$P$25*1000)</f>
        <v>0.14243997404282929</v>
      </c>
      <c r="H77" s="273"/>
      <c r="I77" s="273"/>
      <c r="J77" s="273"/>
      <c r="K77" s="273"/>
      <c r="L77" s="274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4"/>
      <c r="Y77" s="273"/>
      <c r="Z77" s="273"/>
      <c r="AA77" s="273"/>
      <c r="AB77" s="273"/>
      <c r="AC77" s="273"/>
      <c r="AD77" s="273"/>
      <c r="AE77" s="273"/>
      <c r="AF77" s="273"/>
      <c r="AG77" s="273"/>
      <c r="AH77" s="273"/>
      <c r="AI77" s="273"/>
    </row>
    <row r="78" spans="1:35" ht="14.25" customHeight="1">
      <c r="A78" s="377" t="s">
        <v>560</v>
      </c>
      <c r="B78" s="377" t="s">
        <v>508</v>
      </c>
      <c r="C78" s="377" t="s">
        <v>572</v>
      </c>
      <c r="D78" s="378">
        <v>1977</v>
      </c>
      <c r="E78" s="377" t="s">
        <v>468</v>
      </c>
      <c r="F78" s="377" t="s">
        <v>569</v>
      </c>
      <c r="G78" s="379">
        <f>D78/(FATS!$P$25*1000)</f>
        <v>1.2829331602855286E-2</v>
      </c>
      <c r="H78" s="273"/>
      <c r="I78" s="273"/>
      <c r="J78" s="273"/>
      <c r="K78" s="273"/>
      <c r="L78" s="274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4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</row>
    <row r="79" spans="1:35" ht="14.25" customHeight="1">
      <c r="A79" s="377" t="s">
        <v>560</v>
      </c>
      <c r="B79" s="377" t="s">
        <v>481</v>
      </c>
      <c r="C79" s="377" t="s">
        <v>572</v>
      </c>
      <c r="D79" s="378">
        <v>1001</v>
      </c>
      <c r="E79" s="377" t="s">
        <v>468</v>
      </c>
      <c r="F79" s="377" t="s">
        <v>569</v>
      </c>
      <c r="G79" s="379">
        <f>D79/(FATS!$P$25*1000)</f>
        <v>6.4957819597663844E-3</v>
      </c>
      <c r="H79" s="273"/>
      <c r="I79" s="273"/>
      <c r="J79" s="273"/>
      <c r="K79" s="273"/>
      <c r="L79" s="274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4"/>
      <c r="Y79" s="273"/>
      <c r="Z79" s="273"/>
      <c r="AA79" s="273"/>
      <c r="AB79" s="273"/>
      <c r="AC79" s="273"/>
      <c r="AD79" s="273"/>
      <c r="AE79" s="273"/>
      <c r="AF79" s="273"/>
      <c r="AG79" s="273"/>
      <c r="AH79" s="273"/>
      <c r="AI79" s="273"/>
    </row>
    <row r="80" spans="1:35" ht="14.2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4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4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</row>
    <row r="81" spans="1:35" ht="14.2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4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4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</row>
    <row r="82" spans="1:35" ht="14.2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4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4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</row>
    <row r="83" spans="1:35" ht="14.2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4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4"/>
      <c r="Y83" s="273"/>
      <c r="Z83" s="273"/>
      <c r="AA83" s="273"/>
      <c r="AB83" s="273"/>
      <c r="AC83" s="273"/>
      <c r="AD83" s="273"/>
      <c r="AE83" s="273"/>
      <c r="AF83" s="273"/>
      <c r="AG83" s="273"/>
      <c r="AH83" s="273"/>
      <c r="AI83" s="273"/>
    </row>
    <row r="84" spans="1:35" ht="14.2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4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4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</row>
    <row r="85" spans="1:35" ht="14.2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4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4"/>
      <c r="Y85" s="273"/>
      <c r="Z85" s="273"/>
      <c r="AA85" s="273"/>
      <c r="AB85" s="273"/>
      <c r="AC85" s="273"/>
      <c r="AD85" s="273"/>
      <c r="AE85" s="273"/>
      <c r="AF85" s="273"/>
      <c r="AG85" s="273"/>
      <c r="AH85" s="273"/>
      <c r="AI85" s="273"/>
    </row>
    <row r="86" spans="1:35" ht="14.2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4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4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</row>
    <row r="87" spans="1:35" ht="14.2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4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4"/>
      <c r="Y87" s="273"/>
      <c r="Z87" s="273"/>
      <c r="AA87" s="273"/>
      <c r="AB87" s="273"/>
      <c r="AC87" s="273"/>
      <c r="AD87" s="273"/>
      <c r="AE87" s="273"/>
      <c r="AF87" s="273"/>
      <c r="AG87" s="273"/>
      <c r="AH87" s="273"/>
      <c r="AI87" s="273"/>
    </row>
    <row r="88" spans="1:35" ht="14.2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4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4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</row>
    <row r="89" spans="1:35" ht="14.2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4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4"/>
      <c r="Y89" s="273"/>
      <c r="Z89" s="273"/>
      <c r="AA89" s="273"/>
      <c r="AB89" s="273"/>
      <c r="AC89" s="273"/>
      <c r="AD89" s="273"/>
      <c r="AE89" s="273"/>
      <c r="AF89" s="273"/>
      <c r="AG89" s="273"/>
      <c r="AH89" s="273"/>
      <c r="AI89" s="273"/>
    </row>
    <row r="90" spans="1:35" ht="14.2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4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4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</row>
    <row r="91" spans="1:35" ht="14.2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4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4"/>
      <c r="Y91" s="273"/>
      <c r="Z91" s="273"/>
      <c r="AA91" s="273"/>
      <c r="AB91" s="273"/>
      <c r="AC91" s="273"/>
      <c r="AD91" s="273"/>
      <c r="AE91" s="273"/>
      <c r="AF91" s="273"/>
      <c r="AG91" s="273"/>
      <c r="AH91" s="273"/>
      <c r="AI91" s="273"/>
    </row>
    <row r="92" spans="1:35" ht="14.2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4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4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</row>
    <row r="93" spans="1:35" ht="14.2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4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4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</row>
    <row r="94" spans="1:35" ht="14.2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4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4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</row>
    <row r="95" spans="1:35" ht="14.2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4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4"/>
      <c r="Y95" s="273"/>
      <c r="Z95" s="273"/>
      <c r="AA95" s="273"/>
      <c r="AB95" s="273"/>
      <c r="AC95" s="273"/>
      <c r="AD95" s="273"/>
      <c r="AE95" s="273"/>
      <c r="AF95" s="273"/>
      <c r="AG95" s="273"/>
      <c r="AH95" s="273"/>
      <c r="AI95" s="273"/>
    </row>
    <row r="96" spans="1:35" ht="14.2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4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4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</row>
    <row r="97" spans="1:35" ht="14.2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4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4"/>
      <c r="Y97" s="273"/>
      <c r="Z97" s="273"/>
      <c r="AA97" s="273"/>
      <c r="AB97" s="273"/>
      <c r="AC97" s="273"/>
      <c r="AD97" s="273"/>
      <c r="AE97" s="273"/>
      <c r="AF97" s="273"/>
      <c r="AG97" s="273"/>
      <c r="AH97" s="273"/>
      <c r="AI97" s="273"/>
    </row>
    <row r="98" spans="1:35" ht="14.2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4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4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</row>
    <row r="99" spans="1:35" ht="14.2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4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4"/>
      <c r="Y99" s="273"/>
      <c r="Z99" s="273"/>
      <c r="AA99" s="273"/>
      <c r="AB99" s="273"/>
      <c r="AC99" s="273"/>
      <c r="AD99" s="273"/>
      <c r="AE99" s="273"/>
      <c r="AF99" s="273"/>
      <c r="AG99" s="273"/>
      <c r="AH99" s="273"/>
      <c r="AI99" s="273"/>
    </row>
    <row r="100" spans="1:35" ht="14.2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4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4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</row>
    <row r="101" spans="1:35" ht="14.2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4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4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</row>
    <row r="102" spans="1:35" ht="14.2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4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4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</row>
    <row r="103" spans="1:35" ht="14.2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4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4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</row>
    <row r="104" spans="1:35" ht="14.2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4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4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</row>
    <row r="105" spans="1:35" ht="14.2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4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4"/>
      <c r="Y105" s="273"/>
      <c r="Z105" s="273"/>
      <c r="AA105" s="273"/>
      <c r="AB105" s="273"/>
      <c r="AC105" s="273"/>
      <c r="AD105" s="273"/>
      <c r="AE105" s="273"/>
      <c r="AF105" s="273"/>
      <c r="AG105" s="273"/>
      <c r="AH105" s="273"/>
      <c r="AI105" s="273"/>
    </row>
    <row r="106" spans="1:35" ht="14.2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4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4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</row>
    <row r="107" spans="1:35" ht="14.2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4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4"/>
      <c r="Y107" s="273"/>
      <c r="Z107" s="273"/>
      <c r="AA107" s="273"/>
      <c r="AB107" s="273"/>
      <c r="AC107" s="273"/>
      <c r="AD107" s="273"/>
      <c r="AE107" s="273"/>
      <c r="AF107" s="273"/>
      <c r="AG107" s="273"/>
      <c r="AH107" s="273"/>
      <c r="AI107" s="273"/>
    </row>
    <row r="108" spans="1:35" ht="14.2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4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4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</row>
    <row r="109" spans="1:35" ht="14.2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4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4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</row>
    <row r="110" spans="1:35" ht="14.2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4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4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</row>
    <row r="111" spans="1:35" ht="14.2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4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4"/>
      <c r="Y111" s="273"/>
      <c r="Z111" s="273"/>
      <c r="AA111" s="273"/>
      <c r="AB111" s="273"/>
      <c r="AC111" s="273"/>
      <c r="AD111" s="273"/>
      <c r="AE111" s="273"/>
      <c r="AF111" s="273"/>
      <c r="AG111" s="273"/>
      <c r="AH111" s="273"/>
      <c r="AI111" s="273"/>
    </row>
    <row r="112" spans="1:35" ht="14.2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4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4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</row>
    <row r="113" spans="1:35" ht="14.2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4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4"/>
      <c r="Y113" s="273"/>
      <c r="Z113" s="273"/>
      <c r="AA113" s="273"/>
      <c r="AB113" s="273"/>
      <c r="AC113" s="273"/>
      <c r="AD113" s="273"/>
      <c r="AE113" s="273"/>
      <c r="AF113" s="273"/>
      <c r="AG113" s="273"/>
      <c r="AH113" s="273"/>
      <c r="AI113" s="273"/>
    </row>
    <row r="114" spans="1:35" ht="14.2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4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4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</row>
    <row r="115" spans="1:35" ht="14.2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4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4"/>
      <c r="Y115" s="273"/>
      <c r="Z115" s="273"/>
      <c r="AA115" s="273"/>
      <c r="AB115" s="273"/>
      <c r="AC115" s="273"/>
      <c r="AD115" s="273"/>
      <c r="AE115" s="273"/>
      <c r="AF115" s="273"/>
      <c r="AG115" s="273"/>
      <c r="AH115" s="273"/>
      <c r="AI115" s="273"/>
    </row>
    <row r="116" spans="1:35" ht="14.2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4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4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</row>
    <row r="117" spans="1:35" ht="14.2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4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4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</row>
    <row r="118" spans="1:35" ht="14.2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4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4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</row>
    <row r="119" spans="1:35" ht="14.2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4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4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</row>
    <row r="120" spans="1:35" ht="14.2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4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4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</row>
    <row r="121" spans="1:35" ht="14.2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4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4"/>
      <c r="Y121" s="273"/>
      <c r="Z121" s="273"/>
      <c r="AA121" s="273"/>
      <c r="AB121" s="273"/>
      <c r="AC121" s="273"/>
      <c r="AD121" s="273"/>
      <c r="AE121" s="273"/>
      <c r="AF121" s="273"/>
      <c r="AG121" s="273"/>
      <c r="AH121" s="273"/>
      <c r="AI121" s="273"/>
    </row>
    <row r="122" spans="1:35" ht="14.2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4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4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</row>
    <row r="123" spans="1:35" ht="14.2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4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4"/>
      <c r="Y123" s="273"/>
      <c r="Z123" s="273"/>
      <c r="AA123" s="273"/>
      <c r="AB123" s="273"/>
      <c r="AC123" s="273"/>
      <c r="AD123" s="273"/>
      <c r="AE123" s="273"/>
      <c r="AF123" s="273"/>
      <c r="AG123" s="273"/>
      <c r="AH123" s="273"/>
      <c r="AI123" s="273"/>
    </row>
    <row r="124" spans="1:35" ht="14.2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4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4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</row>
    <row r="125" spans="1:35" ht="14.2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4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4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</row>
    <row r="126" spans="1:35" ht="14.2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4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4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</row>
    <row r="127" spans="1:35" ht="14.2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4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4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</row>
    <row r="128" spans="1:35" ht="14.2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4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4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</row>
    <row r="129" spans="1:35" ht="14.2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4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4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/>
    </row>
    <row r="130" spans="1:35" ht="14.2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4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4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</row>
    <row r="131" spans="1:35" ht="14.2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4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4"/>
      <c r="Y131" s="273"/>
      <c r="Z131" s="273"/>
      <c r="AA131" s="273"/>
      <c r="AB131" s="273"/>
      <c r="AC131" s="273"/>
      <c r="AD131" s="273"/>
      <c r="AE131" s="273"/>
      <c r="AF131" s="273"/>
      <c r="AG131" s="273"/>
      <c r="AH131" s="273"/>
      <c r="AI131" s="273"/>
    </row>
    <row r="132" spans="1:35" ht="14.2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4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4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</row>
    <row r="133" spans="1:35" ht="14.2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4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4"/>
      <c r="Y133" s="273"/>
      <c r="Z133" s="273"/>
      <c r="AA133" s="273"/>
      <c r="AB133" s="273"/>
      <c r="AC133" s="273"/>
      <c r="AD133" s="273"/>
      <c r="AE133" s="273"/>
      <c r="AF133" s="273"/>
      <c r="AG133" s="273"/>
      <c r="AH133" s="273"/>
      <c r="AI133" s="273"/>
    </row>
    <row r="134" spans="1:35" ht="14.2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4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4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</row>
    <row r="135" spans="1:35" ht="14.2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4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4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</row>
    <row r="136" spans="1:35" ht="14.2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4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4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</row>
    <row r="137" spans="1:35" ht="14.2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4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4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</row>
    <row r="138" spans="1:35" ht="14.2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4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4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</row>
    <row r="139" spans="1:35" ht="14.2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4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4"/>
      <c r="Y139" s="273"/>
      <c r="Z139" s="273"/>
      <c r="AA139" s="273"/>
      <c r="AB139" s="273"/>
      <c r="AC139" s="273"/>
      <c r="AD139" s="273"/>
      <c r="AE139" s="273"/>
      <c r="AF139" s="273"/>
      <c r="AG139" s="273"/>
      <c r="AH139" s="273"/>
      <c r="AI139" s="273"/>
    </row>
    <row r="140" spans="1:35" ht="14.2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4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4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</row>
    <row r="141" spans="1:35" ht="14.2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4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4"/>
      <c r="Y141" s="273"/>
      <c r="Z141" s="273"/>
      <c r="AA141" s="273"/>
      <c r="AB141" s="273"/>
      <c r="AC141" s="273"/>
      <c r="AD141" s="273"/>
      <c r="AE141" s="273"/>
      <c r="AF141" s="273"/>
      <c r="AG141" s="273"/>
      <c r="AH141" s="273"/>
      <c r="AI141" s="273"/>
    </row>
    <row r="142" spans="1:35" ht="14.2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4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4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</row>
    <row r="143" spans="1:35" ht="14.2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4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4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</row>
    <row r="144" spans="1:35" ht="14.2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4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4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</row>
    <row r="145" spans="1:35" ht="14.2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4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4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</row>
    <row r="146" spans="1:35" ht="14.2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4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4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</row>
    <row r="147" spans="1:35" ht="14.2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4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4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</row>
    <row r="148" spans="1:35" ht="14.2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4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</row>
    <row r="149" spans="1:35" ht="14.2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4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</row>
    <row r="150" spans="1:35" ht="14.2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4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4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</row>
    <row r="151" spans="1:35" ht="14.2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4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4"/>
      <c r="Y151" s="273"/>
      <c r="Z151" s="273"/>
      <c r="AA151" s="273"/>
      <c r="AB151" s="273"/>
      <c r="AC151" s="273"/>
      <c r="AD151" s="273"/>
      <c r="AE151" s="273"/>
      <c r="AF151" s="273"/>
      <c r="AG151" s="273"/>
      <c r="AH151" s="273"/>
      <c r="AI151" s="273"/>
    </row>
    <row r="152" spans="1:35" ht="14.2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4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4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</row>
    <row r="153" spans="1:35" ht="14.2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4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4"/>
      <c r="Y153" s="273"/>
      <c r="Z153" s="273"/>
      <c r="AA153" s="273"/>
      <c r="AB153" s="273"/>
      <c r="AC153" s="273"/>
      <c r="AD153" s="273"/>
      <c r="AE153" s="273"/>
      <c r="AF153" s="273"/>
      <c r="AG153" s="273"/>
      <c r="AH153" s="273"/>
      <c r="AI153" s="273"/>
    </row>
    <row r="154" spans="1:35" ht="14.2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4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4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</row>
    <row r="155" spans="1:35" ht="14.2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4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4"/>
      <c r="Y155" s="273"/>
      <c r="Z155" s="273"/>
      <c r="AA155" s="273"/>
      <c r="AB155" s="273"/>
      <c r="AC155" s="273"/>
      <c r="AD155" s="273"/>
      <c r="AE155" s="273"/>
      <c r="AF155" s="273"/>
      <c r="AG155" s="273"/>
      <c r="AH155" s="273"/>
      <c r="AI155" s="273"/>
    </row>
    <row r="156" spans="1:35" ht="14.2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4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4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</row>
    <row r="157" spans="1:35" ht="14.2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4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4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</row>
    <row r="158" spans="1:35" ht="14.2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4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4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</row>
    <row r="159" spans="1:35" ht="14.2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4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4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</row>
    <row r="160" spans="1:35" ht="14.2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4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4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</row>
    <row r="161" spans="1:35" ht="14.2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4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4"/>
      <c r="Y161" s="273"/>
      <c r="Z161" s="273"/>
      <c r="AA161" s="273"/>
      <c r="AB161" s="273"/>
      <c r="AC161" s="273"/>
      <c r="AD161" s="273"/>
      <c r="AE161" s="273"/>
      <c r="AF161" s="273"/>
      <c r="AG161" s="273"/>
      <c r="AH161" s="273"/>
      <c r="AI161" s="273"/>
    </row>
    <row r="162" spans="1:35" ht="14.2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4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4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</row>
    <row r="163" spans="1:35" ht="14.2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4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4"/>
      <c r="Y163" s="273"/>
      <c r="Z163" s="273"/>
      <c r="AA163" s="273"/>
      <c r="AB163" s="273"/>
      <c r="AC163" s="273"/>
      <c r="AD163" s="273"/>
      <c r="AE163" s="273"/>
      <c r="AF163" s="273"/>
      <c r="AG163" s="273"/>
      <c r="AH163" s="273"/>
      <c r="AI163" s="273"/>
    </row>
    <row r="164" spans="1:35" ht="14.2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4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4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</row>
    <row r="165" spans="1:35" ht="14.2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4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4"/>
      <c r="Y165" s="273"/>
      <c r="Z165" s="273"/>
      <c r="AA165" s="273"/>
      <c r="AB165" s="273"/>
      <c r="AC165" s="273"/>
      <c r="AD165" s="273"/>
      <c r="AE165" s="273"/>
      <c r="AF165" s="273"/>
      <c r="AG165" s="273"/>
      <c r="AH165" s="273"/>
      <c r="AI165" s="273"/>
    </row>
    <row r="166" spans="1:35" ht="14.2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4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4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</row>
    <row r="167" spans="1:35" ht="14.2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4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4"/>
      <c r="Y167" s="273"/>
      <c r="Z167" s="273"/>
      <c r="AA167" s="273"/>
      <c r="AB167" s="273"/>
      <c r="AC167" s="273"/>
      <c r="AD167" s="273"/>
      <c r="AE167" s="273"/>
      <c r="AF167" s="273"/>
      <c r="AG167" s="273"/>
      <c r="AH167" s="273"/>
      <c r="AI167" s="273"/>
    </row>
    <row r="168" spans="1:35" ht="14.2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4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4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</row>
    <row r="169" spans="1:35" ht="14.2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4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4"/>
      <c r="Y169" s="273"/>
      <c r="Z169" s="273"/>
      <c r="AA169" s="273"/>
      <c r="AB169" s="273"/>
      <c r="AC169" s="273"/>
      <c r="AD169" s="273"/>
      <c r="AE169" s="273"/>
      <c r="AF169" s="273"/>
      <c r="AG169" s="273"/>
      <c r="AH169" s="273"/>
      <c r="AI169" s="273"/>
    </row>
    <row r="170" spans="1:35" ht="14.2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4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4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</row>
    <row r="171" spans="1:35" ht="14.2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4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4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</row>
    <row r="172" spans="1:35" ht="14.2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4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4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</row>
    <row r="173" spans="1:35" ht="14.2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4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4"/>
      <c r="Y173" s="273"/>
      <c r="Z173" s="273"/>
      <c r="AA173" s="273"/>
      <c r="AB173" s="273"/>
      <c r="AC173" s="273"/>
      <c r="AD173" s="273"/>
      <c r="AE173" s="273"/>
      <c r="AF173" s="273"/>
      <c r="AG173" s="273"/>
      <c r="AH173" s="273"/>
      <c r="AI173" s="273"/>
    </row>
    <row r="174" spans="1:35" ht="14.2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4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4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</row>
    <row r="175" spans="1:35" ht="14.2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4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4"/>
      <c r="Y175" s="273"/>
      <c r="Z175" s="273"/>
      <c r="AA175" s="273"/>
      <c r="AB175" s="273"/>
      <c r="AC175" s="273"/>
      <c r="AD175" s="273"/>
      <c r="AE175" s="273"/>
      <c r="AF175" s="273"/>
      <c r="AG175" s="273"/>
      <c r="AH175" s="273"/>
      <c r="AI175" s="273"/>
    </row>
    <row r="176" spans="1:35" ht="14.2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4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4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</row>
    <row r="177" spans="1:35" ht="14.2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4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4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</row>
    <row r="178" spans="1:35" ht="14.2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4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4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</row>
    <row r="179" spans="1:35" ht="14.2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4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4"/>
      <c r="Y179" s="273"/>
      <c r="Z179" s="273"/>
      <c r="AA179" s="273"/>
      <c r="AB179" s="273"/>
      <c r="AC179" s="273"/>
      <c r="AD179" s="273"/>
      <c r="AE179" s="273"/>
      <c r="AF179" s="273"/>
      <c r="AG179" s="273"/>
      <c r="AH179" s="273"/>
      <c r="AI179" s="273"/>
    </row>
    <row r="180" spans="1:35" ht="14.2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4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4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</row>
    <row r="181" spans="1:35" ht="14.2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4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4"/>
      <c r="Y181" s="273"/>
      <c r="Z181" s="273"/>
      <c r="AA181" s="273"/>
      <c r="AB181" s="273"/>
      <c r="AC181" s="273"/>
      <c r="AD181" s="273"/>
      <c r="AE181" s="273"/>
      <c r="AF181" s="273"/>
      <c r="AG181" s="273"/>
      <c r="AH181" s="273"/>
      <c r="AI181" s="273"/>
    </row>
    <row r="182" spans="1:35" ht="14.2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4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4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</row>
    <row r="183" spans="1:35" ht="14.2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4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4"/>
      <c r="Y183" s="273"/>
      <c r="Z183" s="273"/>
      <c r="AA183" s="273"/>
      <c r="AB183" s="273"/>
      <c r="AC183" s="273"/>
      <c r="AD183" s="273"/>
      <c r="AE183" s="273"/>
      <c r="AF183" s="273"/>
      <c r="AG183" s="273"/>
      <c r="AH183" s="273"/>
      <c r="AI183" s="273"/>
    </row>
    <row r="184" spans="1:35" ht="14.2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4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4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</row>
    <row r="185" spans="1:35" ht="14.2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4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4"/>
      <c r="Y185" s="273"/>
      <c r="Z185" s="273"/>
      <c r="AA185" s="273"/>
      <c r="AB185" s="273"/>
      <c r="AC185" s="273"/>
      <c r="AD185" s="273"/>
      <c r="AE185" s="273"/>
      <c r="AF185" s="273"/>
      <c r="AG185" s="273"/>
      <c r="AH185" s="273"/>
      <c r="AI185" s="273"/>
    </row>
    <row r="186" spans="1:35" ht="14.2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4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4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</row>
    <row r="187" spans="1:35" ht="14.2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4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4"/>
      <c r="Y187" s="273"/>
      <c r="Z187" s="273"/>
      <c r="AA187" s="273"/>
      <c r="AB187" s="273"/>
      <c r="AC187" s="273"/>
      <c r="AD187" s="273"/>
      <c r="AE187" s="273"/>
      <c r="AF187" s="273"/>
      <c r="AG187" s="273"/>
      <c r="AH187" s="273"/>
      <c r="AI187" s="273"/>
    </row>
    <row r="188" spans="1:35" ht="14.2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4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4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</row>
    <row r="189" spans="1:35" ht="14.2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4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4"/>
      <c r="Y189" s="273"/>
      <c r="Z189" s="273"/>
      <c r="AA189" s="273"/>
      <c r="AB189" s="273"/>
      <c r="AC189" s="273"/>
      <c r="AD189" s="273"/>
      <c r="AE189" s="273"/>
      <c r="AF189" s="273"/>
      <c r="AG189" s="273"/>
      <c r="AH189" s="273"/>
      <c r="AI189" s="273"/>
    </row>
    <row r="190" spans="1:35" ht="14.2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4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4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</row>
    <row r="191" spans="1:35" ht="14.2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4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4"/>
      <c r="Y191" s="273"/>
      <c r="Z191" s="273"/>
      <c r="AA191" s="273"/>
      <c r="AB191" s="273"/>
      <c r="AC191" s="273"/>
      <c r="AD191" s="273"/>
      <c r="AE191" s="273"/>
      <c r="AF191" s="273"/>
      <c r="AG191" s="273"/>
      <c r="AH191" s="273"/>
      <c r="AI191" s="273"/>
    </row>
    <row r="192" spans="1:35" ht="14.2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4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4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</row>
    <row r="193" spans="1:35" ht="14.2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4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4"/>
      <c r="Y193" s="273"/>
      <c r="Z193" s="273"/>
      <c r="AA193" s="273"/>
      <c r="AB193" s="273"/>
      <c r="AC193" s="273"/>
      <c r="AD193" s="273"/>
      <c r="AE193" s="273"/>
      <c r="AF193" s="273"/>
      <c r="AG193" s="273"/>
      <c r="AH193" s="273"/>
      <c r="AI193" s="273"/>
    </row>
    <row r="194" spans="1:35" ht="14.2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4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4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</row>
    <row r="195" spans="1:35" ht="14.2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4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4"/>
      <c r="Y195" s="273"/>
      <c r="Z195" s="273"/>
      <c r="AA195" s="273"/>
      <c r="AB195" s="273"/>
      <c r="AC195" s="273"/>
      <c r="AD195" s="273"/>
      <c r="AE195" s="273"/>
      <c r="AF195" s="273"/>
      <c r="AG195" s="273"/>
      <c r="AH195" s="273"/>
      <c r="AI195" s="273"/>
    </row>
    <row r="196" spans="1:35" ht="14.2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4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4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</row>
    <row r="197" spans="1:35" ht="14.2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4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4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</row>
    <row r="198" spans="1:35" ht="14.2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4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4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</row>
    <row r="199" spans="1:35" ht="14.2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4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4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</row>
    <row r="200" spans="1:35" ht="14.2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4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4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</row>
    <row r="201" spans="1:35" ht="14.2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4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4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</row>
    <row r="202" spans="1:35" ht="14.2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4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4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</row>
    <row r="203" spans="1:35" ht="14.2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4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4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</row>
    <row r="204" spans="1:35" ht="14.2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4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4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</row>
    <row r="205" spans="1:35" ht="14.2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4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4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</row>
    <row r="206" spans="1:35" ht="14.2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4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4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</row>
    <row r="207" spans="1:35" ht="14.2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4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4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</row>
    <row r="208" spans="1:35" ht="14.2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4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4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</row>
    <row r="209" spans="1:35" ht="14.2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4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4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</row>
    <row r="210" spans="1:35" ht="14.2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4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4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</row>
    <row r="211" spans="1:35" ht="14.2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4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4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</row>
    <row r="212" spans="1:35" ht="14.2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4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4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</row>
    <row r="213" spans="1:35" ht="14.2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4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4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</row>
    <row r="214" spans="1:35" ht="14.2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4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4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</row>
    <row r="215" spans="1:35" ht="14.2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4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4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</row>
    <row r="216" spans="1:35" ht="14.2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4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4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</row>
    <row r="217" spans="1:35" ht="14.2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4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4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</row>
    <row r="218" spans="1:35" ht="14.2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4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4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</row>
    <row r="219" spans="1:35" ht="14.2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4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4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</row>
    <row r="220" spans="1:35" ht="14.2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4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4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</row>
    <row r="221" spans="1:35" ht="14.2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4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4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</row>
    <row r="222" spans="1:35" ht="14.2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4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4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</row>
    <row r="223" spans="1:35" ht="14.2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4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4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</row>
    <row r="224" spans="1:35" ht="14.2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4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4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</row>
    <row r="225" spans="1:35" ht="14.2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4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4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</row>
    <row r="226" spans="1:35" ht="14.2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4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4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</row>
    <row r="227" spans="1:35" ht="14.2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4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4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</row>
    <row r="228" spans="1:35" ht="14.2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4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4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</row>
    <row r="229" spans="1:35" ht="14.2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4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4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</row>
    <row r="230" spans="1:35" ht="14.2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4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4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</row>
    <row r="231" spans="1:35" ht="14.2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4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4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</row>
    <row r="232" spans="1:35" ht="14.2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4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4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</row>
    <row r="233" spans="1:35" ht="14.2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4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4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</row>
    <row r="234" spans="1:35" ht="14.2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4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4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</row>
    <row r="235" spans="1:35" ht="14.2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4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4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</row>
    <row r="236" spans="1:35" ht="14.2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4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4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</row>
    <row r="237" spans="1:35" ht="14.2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4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4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</row>
    <row r="238" spans="1:35" ht="14.2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4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4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</row>
    <row r="239" spans="1:35" ht="14.2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4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4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</row>
    <row r="240" spans="1:35" ht="14.2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4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4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</row>
    <row r="241" spans="1:35" ht="14.2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4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4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</row>
    <row r="242" spans="1:35" ht="14.2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4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4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</row>
    <row r="243" spans="1:35" ht="14.2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4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4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</row>
    <row r="244" spans="1:35" ht="14.2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4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4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</row>
    <row r="245" spans="1:35" ht="14.2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4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4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</row>
    <row r="246" spans="1:35" ht="14.2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4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4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</row>
    <row r="247" spans="1:35" ht="14.2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4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4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</row>
    <row r="248" spans="1:35" ht="14.2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4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4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</row>
    <row r="249" spans="1:35" ht="14.2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4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4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</row>
    <row r="250" spans="1:35" ht="14.2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4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4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</row>
    <row r="251" spans="1:35" ht="14.2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4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4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</row>
    <row r="252" spans="1:35" ht="14.2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4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4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</row>
    <row r="253" spans="1:35" ht="14.2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4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4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</row>
    <row r="254" spans="1:35" ht="14.2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4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4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</row>
    <row r="255" spans="1:35" ht="14.2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4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4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</row>
    <row r="256" spans="1:35" ht="14.2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4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</row>
    <row r="257" spans="1:35" ht="14.2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4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</row>
    <row r="258" spans="1:35" ht="14.2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4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</row>
    <row r="259" spans="1:35" ht="14.2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4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</row>
    <row r="260" spans="1:35" ht="14.25" customHeight="1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4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</row>
    <row r="261" spans="1:35" ht="14.25" customHeight="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4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</row>
    <row r="262" spans="1:35" ht="14.25" customHeight="1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4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4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</row>
    <row r="263" spans="1:35" ht="14.25" customHeight="1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4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4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</row>
    <row r="264" spans="1:35" ht="14.25" customHeight="1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4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4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</row>
    <row r="265" spans="1:35" ht="14.25" customHeight="1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4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4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</row>
    <row r="266" spans="1:35" ht="14.25" customHeight="1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4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4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</row>
    <row r="267" spans="1:35" ht="14.25" customHeight="1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4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4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</row>
    <row r="268" spans="1:35" ht="14.2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4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4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</row>
    <row r="269" spans="1:35" ht="14.25" customHeight="1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4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4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</row>
    <row r="270" spans="1:35" ht="14.25" customHeight="1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4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4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</row>
    <row r="271" spans="1:35" ht="14.25" customHeight="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4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4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</row>
    <row r="272" spans="1:35" ht="14.25" customHeight="1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4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4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</row>
    <row r="273" spans="1:35" ht="14.25" customHeight="1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4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4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</row>
    <row r="274" spans="1:35" ht="14.25" customHeight="1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4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4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</row>
    <row r="275" spans="1:35" ht="14.25" customHeight="1">
      <c r="A275" s="273"/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4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4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</row>
    <row r="276" spans="1:35" ht="14.25" customHeight="1">
      <c r="A276" s="273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4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4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</row>
    <row r="277" spans="1:35" ht="14.25" customHeight="1">
      <c r="A277" s="273"/>
      <c r="B277" s="273"/>
      <c r="C277" s="273"/>
      <c r="D277" s="273"/>
      <c r="E277" s="273"/>
      <c r="F277" s="273"/>
      <c r="G277" s="273"/>
      <c r="H277" s="273"/>
      <c r="I277" s="273"/>
      <c r="J277" s="273"/>
      <c r="K277" s="273"/>
      <c r="L277" s="274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4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</row>
    <row r="278" spans="1:35" ht="14.25" customHeight="1">
      <c r="A278" s="273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4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</row>
    <row r="279" spans="1:35" ht="14.25" customHeight="1">
      <c r="A279" s="273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4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</row>
    <row r="280" spans="1:35" ht="14.25" customHeight="1">
      <c r="A280" s="273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4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</row>
    <row r="281" spans="1:35" ht="14.25" customHeight="1">
      <c r="A281" s="273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4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</row>
    <row r="282" spans="1:35" ht="14.25" customHeight="1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4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</row>
    <row r="283" spans="1:35" ht="14.25" customHeight="1">
      <c r="A283" s="273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4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</row>
    <row r="284" spans="1:35" ht="14.25" customHeight="1">
      <c r="A284" s="273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4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</row>
    <row r="285" spans="1:35" ht="14.25" customHeight="1">
      <c r="A285" s="273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4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</row>
    <row r="286" spans="1:35" ht="14.25" customHeight="1">
      <c r="A286" s="273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4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</row>
    <row r="287" spans="1:35" ht="14.25" customHeight="1">
      <c r="A287" s="273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4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</row>
    <row r="288" spans="1:35" ht="14.25" customHeight="1">
      <c r="A288" s="273"/>
      <c r="B288" s="273"/>
      <c r="C288" s="273"/>
      <c r="D288" s="273"/>
      <c r="E288" s="273"/>
      <c r="F288" s="273"/>
      <c r="G288" s="273"/>
      <c r="H288" s="273"/>
      <c r="I288" s="273"/>
      <c r="J288" s="273"/>
      <c r="K288" s="273"/>
      <c r="L288" s="274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4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</row>
    <row r="289" spans="1:35" ht="14.25" customHeight="1">
      <c r="A289" s="273"/>
      <c r="B289" s="273"/>
      <c r="C289" s="273"/>
      <c r="D289" s="273"/>
      <c r="E289" s="273"/>
      <c r="F289" s="273"/>
      <c r="G289" s="273"/>
      <c r="H289" s="273"/>
      <c r="I289" s="273"/>
      <c r="J289" s="273"/>
      <c r="K289" s="273"/>
      <c r="L289" s="274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4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</row>
    <row r="290" spans="1:35" ht="14.25" customHeight="1">
      <c r="A290" s="273"/>
      <c r="B290" s="273"/>
      <c r="C290" s="273"/>
      <c r="D290" s="273"/>
      <c r="E290" s="273"/>
      <c r="F290" s="273"/>
      <c r="G290" s="273"/>
      <c r="H290" s="273"/>
      <c r="I290" s="273"/>
      <c r="J290" s="273"/>
      <c r="K290" s="273"/>
      <c r="L290" s="274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4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</row>
    <row r="291" spans="1:35" ht="14.25" customHeight="1">
      <c r="A291" s="273"/>
      <c r="B291" s="273"/>
      <c r="C291" s="273"/>
      <c r="D291" s="273"/>
      <c r="E291" s="273"/>
      <c r="F291" s="273"/>
      <c r="G291" s="273"/>
      <c r="H291" s="273"/>
      <c r="I291" s="273"/>
      <c r="J291" s="273"/>
      <c r="K291" s="273"/>
      <c r="L291" s="274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4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</row>
    <row r="292" spans="1:35" ht="14.25" customHeight="1">
      <c r="A292" s="273"/>
      <c r="B292" s="273"/>
      <c r="C292" s="273"/>
      <c r="D292" s="273"/>
      <c r="E292" s="273"/>
      <c r="F292" s="273"/>
      <c r="G292" s="273"/>
      <c r="H292" s="273"/>
      <c r="I292" s="273"/>
      <c r="J292" s="273"/>
      <c r="K292" s="273"/>
      <c r="L292" s="274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4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</row>
    <row r="293" spans="1:35" ht="14.25" customHeight="1">
      <c r="A293" s="273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4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</row>
    <row r="294" spans="1:35" ht="14.25" customHeight="1">
      <c r="A294" s="273"/>
      <c r="B294" s="273"/>
      <c r="C294" s="273"/>
      <c r="D294" s="273"/>
      <c r="E294" s="273"/>
      <c r="F294" s="273"/>
      <c r="G294" s="273"/>
      <c r="H294" s="273"/>
      <c r="I294" s="273"/>
      <c r="J294" s="273"/>
      <c r="K294" s="273"/>
      <c r="L294" s="274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4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</row>
    <row r="295" spans="1:35" ht="14.25" customHeight="1">
      <c r="A295" s="273"/>
      <c r="B295" s="273"/>
      <c r="C295" s="273"/>
      <c r="D295" s="273"/>
      <c r="E295" s="273"/>
      <c r="F295" s="273"/>
      <c r="G295" s="273"/>
      <c r="H295" s="273"/>
      <c r="I295" s="273"/>
      <c r="J295" s="273"/>
      <c r="K295" s="273"/>
      <c r="L295" s="274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4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</row>
    <row r="296" spans="1:35" ht="14.25" customHeight="1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4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4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</row>
    <row r="297" spans="1:35" ht="14.25" customHeight="1">
      <c r="A297" s="273"/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4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4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</row>
    <row r="298" spans="1:35" ht="14.25" customHeight="1">
      <c r="A298" s="273"/>
      <c r="B298" s="273"/>
      <c r="C298" s="273"/>
      <c r="D298" s="273"/>
      <c r="E298" s="273"/>
      <c r="F298" s="273"/>
      <c r="G298" s="273"/>
      <c r="H298" s="273"/>
      <c r="I298" s="273"/>
      <c r="J298" s="273"/>
      <c r="K298" s="273"/>
      <c r="L298" s="274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4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</row>
    <row r="299" spans="1:35" ht="14.25" customHeight="1">
      <c r="A299" s="273"/>
      <c r="B299" s="273"/>
      <c r="C299" s="273"/>
      <c r="D299" s="273"/>
      <c r="E299" s="273"/>
      <c r="F299" s="273"/>
      <c r="G299" s="273"/>
      <c r="H299" s="273"/>
      <c r="I299" s="273"/>
      <c r="J299" s="273"/>
      <c r="K299" s="273"/>
      <c r="L299" s="274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4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</row>
    <row r="300" spans="1:35" ht="14.25" customHeight="1">
      <c r="A300" s="273"/>
      <c r="B300" s="273"/>
      <c r="C300" s="273"/>
      <c r="D300" s="273"/>
      <c r="E300" s="273"/>
      <c r="F300" s="273"/>
      <c r="G300" s="273"/>
      <c r="H300" s="273"/>
      <c r="I300" s="273"/>
      <c r="J300" s="273"/>
      <c r="K300" s="273"/>
      <c r="L300" s="274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4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</row>
    <row r="301" spans="1:35" ht="14.25" customHeight="1">
      <c r="A301" s="273"/>
      <c r="B301" s="273"/>
      <c r="C301" s="273"/>
      <c r="D301" s="273"/>
      <c r="E301" s="273"/>
      <c r="F301" s="273"/>
      <c r="G301" s="273"/>
      <c r="H301" s="273"/>
      <c r="I301" s="273"/>
      <c r="J301" s="273"/>
      <c r="K301" s="273"/>
      <c r="L301" s="274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4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</row>
    <row r="302" spans="1:35" ht="14.25" customHeight="1">
      <c r="A302" s="273"/>
      <c r="B302" s="273"/>
      <c r="C302" s="273"/>
      <c r="D302" s="273"/>
      <c r="E302" s="273"/>
      <c r="F302" s="273"/>
      <c r="G302" s="273"/>
      <c r="H302" s="273"/>
      <c r="I302" s="273"/>
      <c r="J302" s="273"/>
      <c r="K302" s="273"/>
      <c r="L302" s="274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4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</row>
    <row r="303" spans="1:35" ht="14.25" customHeight="1">
      <c r="A303" s="273"/>
      <c r="B303" s="273"/>
      <c r="C303" s="273"/>
      <c r="D303" s="273"/>
      <c r="E303" s="273"/>
      <c r="F303" s="273"/>
      <c r="G303" s="273"/>
      <c r="H303" s="273"/>
      <c r="I303" s="273"/>
      <c r="J303" s="273"/>
      <c r="K303" s="273"/>
      <c r="L303" s="274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4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</row>
    <row r="304" spans="1:35" ht="14.25" customHeight="1">
      <c r="A304" s="273"/>
      <c r="B304" s="273"/>
      <c r="C304" s="273"/>
      <c r="D304" s="273"/>
      <c r="E304" s="273"/>
      <c r="F304" s="273"/>
      <c r="G304" s="273"/>
      <c r="H304" s="273"/>
      <c r="I304" s="273"/>
      <c r="J304" s="273"/>
      <c r="K304" s="273"/>
      <c r="L304" s="274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4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</row>
    <row r="305" spans="1:35" ht="14.25" customHeight="1">
      <c r="A305" s="273"/>
      <c r="B305" s="273"/>
      <c r="C305" s="273"/>
      <c r="D305" s="273"/>
      <c r="E305" s="273"/>
      <c r="F305" s="273"/>
      <c r="G305" s="273"/>
      <c r="H305" s="273"/>
      <c r="I305" s="273"/>
      <c r="J305" s="273"/>
      <c r="K305" s="273"/>
      <c r="L305" s="274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4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</row>
    <row r="306" spans="1:35" ht="14.25" customHeight="1">
      <c r="A306" s="273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4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</row>
    <row r="307" spans="1:35" ht="14.25" customHeight="1">
      <c r="A307" s="273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4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</row>
    <row r="308" spans="1:35" ht="14.25" customHeight="1">
      <c r="A308" s="273"/>
      <c r="B308" s="273"/>
      <c r="C308" s="273"/>
      <c r="D308" s="273"/>
      <c r="E308" s="273"/>
      <c r="F308" s="273"/>
      <c r="G308" s="273"/>
      <c r="H308" s="273"/>
      <c r="I308" s="273"/>
      <c r="J308" s="273"/>
      <c r="K308" s="273"/>
      <c r="L308" s="274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4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</row>
    <row r="309" spans="1:35" ht="14.25" customHeight="1">
      <c r="A309" s="273"/>
      <c r="B309" s="273"/>
      <c r="C309" s="273"/>
      <c r="D309" s="273"/>
      <c r="E309" s="273"/>
      <c r="F309" s="273"/>
      <c r="G309" s="273"/>
      <c r="H309" s="273"/>
      <c r="I309" s="273"/>
      <c r="J309" s="273"/>
      <c r="K309" s="273"/>
      <c r="L309" s="274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4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</row>
    <row r="310" spans="1:35" ht="14.25" customHeight="1">
      <c r="A310" s="273"/>
      <c r="B310" s="273"/>
      <c r="C310" s="273"/>
      <c r="D310" s="273"/>
      <c r="E310" s="273"/>
      <c r="F310" s="273"/>
      <c r="G310" s="273"/>
      <c r="H310" s="273"/>
      <c r="I310" s="273"/>
      <c r="J310" s="273"/>
      <c r="K310" s="273"/>
      <c r="L310" s="274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4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</row>
    <row r="311" spans="1:35" ht="14.25" customHeight="1">
      <c r="A311" s="273"/>
      <c r="B311" s="273"/>
      <c r="C311" s="273"/>
      <c r="D311" s="273"/>
      <c r="E311" s="273"/>
      <c r="F311" s="273"/>
      <c r="G311" s="273"/>
      <c r="H311" s="273"/>
      <c r="I311" s="273"/>
      <c r="J311" s="273"/>
      <c r="K311" s="273"/>
      <c r="L311" s="274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4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</row>
    <row r="312" spans="1:35" ht="14.25" customHeight="1">
      <c r="A312" s="273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4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</row>
    <row r="313" spans="1:35" ht="14.25" customHeight="1">
      <c r="A313" s="273"/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4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</row>
    <row r="314" spans="1:35" ht="14.25" customHeight="1">
      <c r="A314" s="273"/>
      <c r="B314" s="273"/>
      <c r="C314" s="273"/>
      <c r="D314" s="273"/>
      <c r="E314" s="273"/>
      <c r="F314" s="273"/>
      <c r="G314" s="273"/>
      <c r="H314" s="273"/>
      <c r="I314" s="273"/>
      <c r="J314" s="273"/>
      <c r="K314" s="273"/>
      <c r="L314" s="274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4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</row>
    <row r="315" spans="1:35" ht="14.25" customHeight="1">
      <c r="A315" s="273"/>
      <c r="B315" s="273"/>
      <c r="C315" s="273"/>
      <c r="D315" s="273"/>
      <c r="E315" s="273"/>
      <c r="F315" s="273"/>
      <c r="G315" s="273"/>
      <c r="H315" s="273"/>
      <c r="I315" s="273"/>
      <c r="J315" s="273"/>
      <c r="K315" s="273"/>
      <c r="L315" s="274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4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</row>
    <row r="316" spans="1:35" ht="14.25" customHeight="1">
      <c r="A316" s="273"/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4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4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</row>
    <row r="317" spans="1:35" ht="14.25" customHeight="1">
      <c r="A317" s="273"/>
      <c r="B317" s="273"/>
      <c r="C317" s="273"/>
      <c r="D317" s="273"/>
      <c r="E317" s="273"/>
      <c r="F317" s="273"/>
      <c r="G317" s="273"/>
      <c r="H317" s="273"/>
      <c r="I317" s="273"/>
      <c r="J317" s="273"/>
      <c r="K317" s="273"/>
      <c r="L317" s="274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4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</row>
    <row r="318" spans="1:35" ht="14.25" customHeight="1">
      <c r="A318" s="273"/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4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4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</row>
    <row r="319" spans="1:35" ht="14.25" customHeight="1">
      <c r="A319" s="273"/>
      <c r="B319" s="273"/>
      <c r="C319" s="273"/>
      <c r="D319" s="273"/>
      <c r="E319" s="273"/>
      <c r="F319" s="273"/>
      <c r="G319" s="273"/>
      <c r="H319" s="273"/>
      <c r="I319" s="273"/>
      <c r="J319" s="273"/>
      <c r="K319" s="273"/>
      <c r="L319" s="274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4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</row>
    <row r="320" spans="1:35" ht="14.25" customHeight="1">
      <c r="A320" s="273"/>
      <c r="B320" s="273"/>
      <c r="C320" s="273"/>
      <c r="D320" s="273"/>
      <c r="E320" s="273"/>
      <c r="F320" s="273"/>
      <c r="G320" s="273"/>
      <c r="H320" s="273"/>
      <c r="I320" s="273"/>
      <c r="J320" s="273"/>
      <c r="K320" s="273"/>
      <c r="L320" s="274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4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</row>
    <row r="321" spans="1:35" ht="14.25" customHeight="1">
      <c r="A321" s="273"/>
      <c r="B321" s="273"/>
      <c r="C321" s="273"/>
      <c r="D321" s="273"/>
      <c r="E321" s="273"/>
      <c r="F321" s="273"/>
      <c r="G321" s="273"/>
      <c r="H321" s="273"/>
      <c r="I321" s="273"/>
      <c r="J321" s="273"/>
      <c r="K321" s="273"/>
      <c r="L321" s="274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4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</row>
    <row r="322" spans="1:35" ht="14.25" customHeight="1">
      <c r="A322" s="273"/>
      <c r="B322" s="273"/>
      <c r="C322" s="273"/>
      <c r="D322" s="273"/>
      <c r="E322" s="273"/>
      <c r="F322" s="273"/>
      <c r="G322" s="273"/>
      <c r="H322" s="273"/>
      <c r="I322" s="273"/>
      <c r="J322" s="273"/>
      <c r="K322" s="273"/>
      <c r="L322" s="274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4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</row>
    <row r="323" spans="1:35" ht="14.25" customHeight="1">
      <c r="A323" s="273"/>
      <c r="B323" s="273"/>
      <c r="C323" s="273"/>
      <c r="D323" s="273"/>
      <c r="E323" s="273"/>
      <c r="F323" s="273"/>
      <c r="G323" s="273"/>
      <c r="H323" s="273"/>
      <c r="I323" s="273"/>
      <c r="J323" s="273"/>
      <c r="K323" s="273"/>
      <c r="L323" s="274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4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</row>
    <row r="324" spans="1:35" ht="14.25" customHeight="1">
      <c r="A324" s="273"/>
      <c r="B324" s="273"/>
      <c r="C324" s="273"/>
      <c r="D324" s="273"/>
      <c r="E324" s="273"/>
      <c r="F324" s="273"/>
      <c r="G324" s="273"/>
      <c r="H324" s="273"/>
      <c r="I324" s="273"/>
      <c r="J324" s="273"/>
      <c r="K324" s="273"/>
      <c r="L324" s="274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4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</row>
    <row r="325" spans="1:35" ht="14.25" customHeight="1">
      <c r="A325" s="273"/>
      <c r="B325" s="273"/>
      <c r="C325" s="273"/>
      <c r="D325" s="273"/>
      <c r="E325" s="273"/>
      <c r="F325" s="273"/>
      <c r="G325" s="273"/>
      <c r="H325" s="273"/>
      <c r="I325" s="273"/>
      <c r="J325" s="273"/>
      <c r="K325" s="273"/>
      <c r="L325" s="274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4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</row>
    <row r="326" spans="1:35" ht="14.25" customHeight="1">
      <c r="A326" s="273"/>
      <c r="B326" s="273"/>
      <c r="C326" s="273"/>
      <c r="D326" s="273"/>
      <c r="E326" s="273"/>
      <c r="F326" s="273"/>
      <c r="G326" s="273"/>
      <c r="H326" s="273"/>
      <c r="I326" s="273"/>
      <c r="J326" s="273"/>
      <c r="K326" s="273"/>
      <c r="L326" s="274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4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</row>
    <row r="327" spans="1:35" ht="14.25" customHeight="1">
      <c r="A327" s="273"/>
      <c r="B327" s="273"/>
      <c r="C327" s="273"/>
      <c r="D327" s="273"/>
      <c r="E327" s="273"/>
      <c r="F327" s="273"/>
      <c r="G327" s="273"/>
      <c r="H327" s="273"/>
      <c r="I327" s="273"/>
      <c r="J327" s="273"/>
      <c r="K327" s="273"/>
      <c r="L327" s="274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4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</row>
    <row r="328" spans="1:35" ht="14.25" customHeight="1">
      <c r="A328" s="273"/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4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4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</row>
    <row r="329" spans="1:35" ht="14.25" customHeight="1">
      <c r="A329" s="273"/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4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4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</row>
    <row r="330" spans="1:35" ht="14.25" customHeight="1">
      <c r="A330" s="273"/>
      <c r="B330" s="273"/>
      <c r="C330" s="273"/>
      <c r="D330" s="273"/>
      <c r="E330" s="273"/>
      <c r="F330" s="273"/>
      <c r="G330" s="273"/>
      <c r="H330" s="273"/>
      <c r="I330" s="273"/>
      <c r="J330" s="273"/>
      <c r="K330" s="273"/>
      <c r="L330" s="274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4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</row>
    <row r="331" spans="1:35" ht="14.25" customHeight="1">
      <c r="A331" s="273"/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4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4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</row>
    <row r="332" spans="1:35" ht="14.25" customHeight="1">
      <c r="A332" s="273"/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4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4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</row>
    <row r="333" spans="1:35" ht="14.25" customHeight="1">
      <c r="A333" s="273"/>
      <c r="B333" s="273"/>
      <c r="C333" s="273"/>
      <c r="D333" s="273"/>
      <c r="E333" s="273"/>
      <c r="F333" s="273"/>
      <c r="G333" s="273"/>
      <c r="H333" s="273"/>
      <c r="I333" s="273"/>
      <c r="J333" s="273"/>
      <c r="K333" s="273"/>
      <c r="L333" s="274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4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</row>
    <row r="334" spans="1:35" ht="14.25" customHeight="1">
      <c r="A334" s="273"/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4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4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</row>
    <row r="335" spans="1:35" ht="14.25" customHeight="1">
      <c r="A335" s="273"/>
      <c r="B335" s="273"/>
      <c r="C335" s="273"/>
      <c r="D335" s="273"/>
      <c r="E335" s="273"/>
      <c r="F335" s="273"/>
      <c r="G335" s="273"/>
      <c r="H335" s="273"/>
      <c r="I335" s="273"/>
      <c r="J335" s="273"/>
      <c r="K335" s="273"/>
      <c r="L335" s="274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4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</row>
    <row r="336" spans="1:35" ht="14.25" customHeight="1">
      <c r="A336" s="273"/>
      <c r="B336" s="273"/>
      <c r="C336" s="273"/>
      <c r="D336" s="273"/>
      <c r="E336" s="273"/>
      <c r="F336" s="273"/>
      <c r="G336" s="273"/>
      <c r="H336" s="273"/>
      <c r="I336" s="273"/>
      <c r="J336" s="273"/>
      <c r="K336" s="273"/>
      <c r="L336" s="274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4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</row>
    <row r="337" spans="1:35" ht="14.25" customHeight="1">
      <c r="A337" s="273"/>
      <c r="B337" s="273"/>
      <c r="C337" s="273"/>
      <c r="D337" s="273"/>
      <c r="E337" s="273"/>
      <c r="F337" s="273"/>
      <c r="G337" s="273"/>
      <c r="H337" s="273"/>
      <c r="I337" s="273"/>
      <c r="J337" s="273"/>
      <c r="K337" s="273"/>
      <c r="L337" s="274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4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</row>
    <row r="338" spans="1:35" ht="14.25" customHeight="1">
      <c r="A338" s="273"/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4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4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</row>
    <row r="339" spans="1:35" ht="14.25" customHeight="1">
      <c r="A339" s="273"/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4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4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</row>
    <row r="340" spans="1:35" ht="14.25" customHeight="1">
      <c r="A340" s="273"/>
      <c r="B340" s="273"/>
      <c r="C340" s="273"/>
      <c r="D340" s="273"/>
      <c r="E340" s="273"/>
      <c r="F340" s="273"/>
      <c r="G340" s="273"/>
      <c r="H340" s="273"/>
      <c r="I340" s="273"/>
      <c r="J340" s="273"/>
      <c r="K340" s="273"/>
      <c r="L340" s="274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4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</row>
    <row r="341" spans="1:35" ht="14.25" customHeight="1">
      <c r="A341" s="273"/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4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4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</row>
    <row r="342" spans="1:35" ht="14.25" customHeight="1">
      <c r="A342" s="273"/>
      <c r="B342" s="273"/>
      <c r="C342" s="273"/>
      <c r="D342" s="273"/>
      <c r="E342" s="273"/>
      <c r="F342" s="273"/>
      <c r="G342" s="273"/>
      <c r="H342" s="273"/>
      <c r="I342" s="273"/>
      <c r="J342" s="273"/>
      <c r="K342" s="273"/>
      <c r="L342" s="274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4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</row>
    <row r="343" spans="1:35" ht="14.25" customHeight="1">
      <c r="A343" s="273"/>
      <c r="B343" s="273"/>
      <c r="C343" s="273"/>
      <c r="D343" s="273"/>
      <c r="E343" s="273"/>
      <c r="F343" s="273"/>
      <c r="G343" s="273"/>
      <c r="H343" s="273"/>
      <c r="I343" s="273"/>
      <c r="J343" s="273"/>
      <c r="K343" s="273"/>
      <c r="L343" s="274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4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</row>
    <row r="344" spans="1:35" ht="14.25" customHeight="1">
      <c r="A344" s="273"/>
      <c r="B344" s="273"/>
      <c r="C344" s="273"/>
      <c r="D344" s="273"/>
      <c r="E344" s="273"/>
      <c r="F344" s="273"/>
      <c r="G344" s="273"/>
      <c r="H344" s="273"/>
      <c r="I344" s="273"/>
      <c r="J344" s="273"/>
      <c r="K344" s="273"/>
      <c r="L344" s="274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4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</row>
    <row r="345" spans="1:35" ht="14.25" customHeight="1">
      <c r="A345" s="273"/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4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4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</row>
    <row r="346" spans="1:35" ht="14.25" customHeight="1">
      <c r="A346" s="273"/>
      <c r="B346" s="273"/>
      <c r="C346" s="273"/>
      <c r="D346" s="273"/>
      <c r="E346" s="273"/>
      <c r="F346" s="273"/>
      <c r="G346" s="273"/>
      <c r="H346" s="273"/>
      <c r="I346" s="273"/>
      <c r="J346" s="273"/>
      <c r="K346" s="273"/>
      <c r="L346" s="274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4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</row>
    <row r="347" spans="1:35" ht="14.25" customHeight="1">
      <c r="A347" s="273"/>
      <c r="B347" s="273"/>
      <c r="C347" s="273"/>
      <c r="D347" s="273"/>
      <c r="E347" s="273"/>
      <c r="F347" s="273"/>
      <c r="G347" s="273"/>
      <c r="H347" s="273"/>
      <c r="I347" s="273"/>
      <c r="J347" s="273"/>
      <c r="K347" s="273"/>
      <c r="L347" s="274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4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</row>
    <row r="348" spans="1:35" ht="14.25" customHeight="1">
      <c r="A348" s="273"/>
      <c r="B348" s="273"/>
      <c r="C348" s="273"/>
      <c r="D348" s="273"/>
      <c r="E348" s="273"/>
      <c r="F348" s="273"/>
      <c r="G348" s="273"/>
      <c r="H348" s="273"/>
      <c r="I348" s="273"/>
      <c r="J348" s="273"/>
      <c r="K348" s="273"/>
      <c r="L348" s="274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4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</row>
    <row r="349" spans="1:35" ht="14.25" customHeight="1">
      <c r="A349" s="273"/>
      <c r="B349" s="273"/>
      <c r="C349" s="273"/>
      <c r="D349" s="273"/>
      <c r="E349" s="273"/>
      <c r="F349" s="273"/>
      <c r="G349" s="273"/>
      <c r="H349" s="273"/>
      <c r="I349" s="273"/>
      <c r="J349" s="273"/>
      <c r="K349" s="273"/>
      <c r="L349" s="274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4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</row>
    <row r="350" spans="1:35" ht="14.25" customHeight="1">
      <c r="A350" s="273"/>
      <c r="B350" s="273"/>
      <c r="C350" s="273"/>
      <c r="D350" s="273"/>
      <c r="E350" s="273"/>
      <c r="F350" s="273"/>
      <c r="G350" s="273"/>
      <c r="H350" s="273"/>
      <c r="I350" s="273"/>
      <c r="J350" s="273"/>
      <c r="K350" s="273"/>
      <c r="L350" s="274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4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</row>
    <row r="351" spans="1:35" ht="14.25" customHeight="1">
      <c r="A351" s="273"/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4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4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</row>
    <row r="352" spans="1:35" ht="14.25" customHeight="1">
      <c r="A352" s="273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4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4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</row>
    <row r="353" spans="1:35" ht="14.25" customHeight="1">
      <c r="A353" s="273"/>
      <c r="B353" s="273"/>
      <c r="C353" s="273"/>
      <c r="D353" s="273"/>
      <c r="E353" s="273"/>
      <c r="F353" s="273"/>
      <c r="G353" s="273"/>
      <c r="H353" s="273"/>
      <c r="I353" s="273"/>
      <c r="J353" s="273"/>
      <c r="K353" s="273"/>
      <c r="L353" s="274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4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</row>
    <row r="354" spans="1:35" ht="14.25" customHeight="1">
      <c r="A354" s="273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4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4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</row>
    <row r="355" spans="1:35" ht="14.25" customHeight="1">
      <c r="A355" s="273"/>
      <c r="B355" s="273"/>
      <c r="C355" s="273"/>
      <c r="D355" s="273"/>
      <c r="E355" s="273"/>
      <c r="F355" s="273"/>
      <c r="G355" s="273"/>
      <c r="H355" s="273"/>
      <c r="I355" s="273"/>
      <c r="J355" s="273"/>
      <c r="K355" s="273"/>
      <c r="L355" s="274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4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</row>
    <row r="356" spans="1:35" ht="14.25" customHeight="1">
      <c r="A356" s="273"/>
      <c r="B356" s="273"/>
      <c r="C356" s="273"/>
      <c r="D356" s="273"/>
      <c r="E356" s="273"/>
      <c r="F356" s="273"/>
      <c r="G356" s="273"/>
      <c r="H356" s="273"/>
      <c r="I356" s="273"/>
      <c r="J356" s="273"/>
      <c r="K356" s="273"/>
      <c r="L356" s="274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4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</row>
    <row r="357" spans="1:35" ht="14.25" customHeight="1">
      <c r="A357" s="273"/>
      <c r="B357" s="273"/>
      <c r="C357" s="273"/>
      <c r="D357" s="273"/>
      <c r="E357" s="273"/>
      <c r="F357" s="273"/>
      <c r="G357" s="273"/>
      <c r="H357" s="273"/>
      <c r="I357" s="273"/>
      <c r="J357" s="273"/>
      <c r="K357" s="273"/>
      <c r="L357" s="274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4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</row>
    <row r="358" spans="1:35" ht="14.25" customHeight="1">
      <c r="A358" s="273"/>
      <c r="B358" s="273"/>
      <c r="C358" s="273"/>
      <c r="D358" s="273"/>
      <c r="E358" s="273"/>
      <c r="F358" s="273"/>
      <c r="G358" s="273"/>
      <c r="H358" s="273"/>
      <c r="I358" s="273"/>
      <c r="J358" s="273"/>
      <c r="K358" s="273"/>
      <c r="L358" s="274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4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</row>
    <row r="359" spans="1:35" ht="14.25" customHeight="1">
      <c r="A359" s="273"/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4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4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</row>
    <row r="360" spans="1:35" ht="14.25" customHeight="1">
      <c r="A360" s="273"/>
      <c r="B360" s="273"/>
      <c r="C360" s="273"/>
      <c r="D360" s="273"/>
      <c r="E360" s="273"/>
      <c r="F360" s="273"/>
      <c r="G360" s="273"/>
      <c r="H360" s="273"/>
      <c r="I360" s="273"/>
      <c r="J360" s="273"/>
      <c r="K360" s="273"/>
      <c r="L360" s="274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4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</row>
    <row r="361" spans="1:35" ht="14.25" customHeight="1">
      <c r="A361" s="273"/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4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4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</row>
    <row r="362" spans="1:35" ht="14.25" customHeight="1">
      <c r="A362" s="273"/>
      <c r="B362" s="273"/>
      <c r="C362" s="273"/>
      <c r="D362" s="273"/>
      <c r="E362" s="273"/>
      <c r="F362" s="273"/>
      <c r="G362" s="273"/>
      <c r="H362" s="273"/>
      <c r="I362" s="273"/>
      <c r="J362" s="273"/>
      <c r="K362" s="273"/>
      <c r="L362" s="274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4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</row>
    <row r="363" spans="1:35" ht="14.25" customHeight="1">
      <c r="A363" s="273"/>
      <c r="B363" s="273"/>
      <c r="C363" s="273"/>
      <c r="D363" s="273"/>
      <c r="E363" s="273"/>
      <c r="F363" s="273"/>
      <c r="G363" s="273"/>
      <c r="H363" s="273"/>
      <c r="I363" s="273"/>
      <c r="J363" s="273"/>
      <c r="K363" s="273"/>
      <c r="L363" s="274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4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</row>
    <row r="364" spans="1:35" ht="14.25" customHeight="1">
      <c r="A364" s="273"/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4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4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</row>
    <row r="365" spans="1:35" ht="14.25" customHeight="1">
      <c r="A365" s="273"/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4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4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</row>
    <row r="366" spans="1:35" ht="14.25" customHeight="1">
      <c r="A366" s="273"/>
      <c r="B366" s="273"/>
      <c r="C366" s="273"/>
      <c r="D366" s="273"/>
      <c r="E366" s="273"/>
      <c r="F366" s="273"/>
      <c r="G366" s="273"/>
      <c r="H366" s="273"/>
      <c r="I366" s="273"/>
      <c r="J366" s="273"/>
      <c r="K366" s="273"/>
      <c r="L366" s="274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4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</row>
    <row r="367" spans="1:35" ht="14.25" customHeight="1">
      <c r="A367" s="273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4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4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</row>
    <row r="368" spans="1:35" ht="14.25" customHeight="1">
      <c r="A368" s="273"/>
      <c r="B368" s="273"/>
      <c r="C368" s="273"/>
      <c r="D368" s="273"/>
      <c r="E368" s="273"/>
      <c r="F368" s="273"/>
      <c r="G368" s="273"/>
      <c r="H368" s="273"/>
      <c r="I368" s="273"/>
      <c r="J368" s="273"/>
      <c r="K368" s="273"/>
      <c r="L368" s="274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4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</row>
    <row r="369" spans="1:35" ht="14.25" customHeight="1">
      <c r="A369" s="273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4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4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</row>
    <row r="370" spans="1:35" ht="14.25" customHeight="1">
      <c r="A370" s="273"/>
      <c r="B370" s="273"/>
      <c r="C370" s="273"/>
      <c r="D370" s="273"/>
      <c r="E370" s="273"/>
      <c r="F370" s="273"/>
      <c r="G370" s="273"/>
      <c r="H370" s="273"/>
      <c r="I370" s="273"/>
      <c r="J370" s="273"/>
      <c r="K370" s="273"/>
      <c r="L370" s="274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4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</row>
    <row r="371" spans="1:35" ht="14.25" customHeight="1">
      <c r="A371" s="273"/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4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4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</row>
    <row r="372" spans="1:35" ht="14.25" customHeight="1">
      <c r="A372" s="273"/>
      <c r="B372" s="273"/>
      <c r="C372" s="273"/>
      <c r="D372" s="273"/>
      <c r="E372" s="273"/>
      <c r="F372" s="273"/>
      <c r="G372" s="273"/>
      <c r="H372" s="273"/>
      <c r="I372" s="273"/>
      <c r="J372" s="273"/>
      <c r="K372" s="273"/>
      <c r="L372" s="274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4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</row>
    <row r="373" spans="1:35" ht="14.25" customHeight="1">
      <c r="A373" s="273"/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4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4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</row>
    <row r="374" spans="1:35" ht="14.25" customHeight="1">
      <c r="A374" s="273"/>
      <c r="B374" s="273"/>
      <c r="C374" s="273"/>
      <c r="D374" s="273"/>
      <c r="E374" s="273"/>
      <c r="F374" s="273"/>
      <c r="G374" s="273"/>
      <c r="H374" s="273"/>
      <c r="I374" s="273"/>
      <c r="J374" s="273"/>
      <c r="K374" s="273"/>
      <c r="L374" s="274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4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</row>
    <row r="375" spans="1:35" ht="14.25" customHeight="1">
      <c r="A375" s="273"/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4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4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</row>
    <row r="376" spans="1:35" ht="14.25" customHeight="1">
      <c r="A376" s="273"/>
      <c r="B376" s="273"/>
      <c r="C376" s="273"/>
      <c r="D376" s="273"/>
      <c r="E376" s="273"/>
      <c r="F376" s="273"/>
      <c r="G376" s="273"/>
      <c r="H376" s="273"/>
      <c r="I376" s="273"/>
      <c r="J376" s="273"/>
      <c r="K376" s="273"/>
      <c r="L376" s="274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4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</row>
    <row r="377" spans="1:35" ht="14.25" customHeight="1">
      <c r="A377" s="273"/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4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4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</row>
    <row r="378" spans="1:35" ht="14.25" customHeight="1">
      <c r="A378" s="273"/>
      <c r="B378" s="273"/>
      <c r="C378" s="273"/>
      <c r="D378" s="273"/>
      <c r="E378" s="273"/>
      <c r="F378" s="273"/>
      <c r="G378" s="273"/>
      <c r="H378" s="273"/>
      <c r="I378" s="273"/>
      <c r="J378" s="273"/>
      <c r="K378" s="273"/>
      <c r="L378" s="274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4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</row>
    <row r="379" spans="1:35" ht="14.25" customHeight="1">
      <c r="A379" s="273"/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4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4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</row>
    <row r="380" spans="1:35" ht="14.25" customHeight="1">
      <c r="A380" s="273"/>
      <c r="B380" s="273"/>
      <c r="C380" s="273"/>
      <c r="D380" s="273"/>
      <c r="E380" s="273"/>
      <c r="F380" s="273"/>
      <c r="G380" s="273"/>
      <c r="H380" s="273"/>
      <c r="I380" s="273"/>
      <c r="J380" s="273"/>
      <c r="K380" s="273"/>
      <c r="L380" s="274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4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</row>
    <row r="381" spans="1:35" ht="14.25" customHeight="1">
      <c r="A381" s="273"/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4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4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</row>
    <row r="382" spans="1:35" ht="14.25" customHeight="1">
      <c r="A382" s="273"/>
      <c r="B382" s="273"/>
      <c r="C382" s="273"/>
      <c r="D382" s="273"/>
      <c r="E382" s="273"/>
      <c r="F382" s="273"/>
      <c r="G382" s="273"/>
      <c r="H382" s="273"/>
      <c r="I382" s="273"/>
      <c r="J382" s="273"/>
      <c r="K382" s="273"/>
      <c r="L382" s="274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4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</row>
    <row r="383" spans="1:35" ht="14.25" customHeight="1">
      <c r="A383" s="273"/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4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4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</row>
    <row r="384" spans="1:35" ht="14.25" customHeight="1">
      <c r="A384" s="273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4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</row>
    <row r="385" spans="1:35" ht="14.25" customHeight="1">
      <c r="A385" s="273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4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</row>
    <row r="386" spans="1:35" ht="14.25" customHeight="1">
      <c r="A386" s="273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4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</row>
    <row r="387" spans="1:35" ht="14.25" customHeight="1">
      <c r="A387" s="273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4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</row>
    <row r="388" spans="1:35" ht="14.25" customHeight="1">
      <c r="A388" s="273"/>
      <c r="B388" s="273"/>
      <c r="C388" s="273"/>
      <c r="D388" s="273"/>
      <c r="E388" s="273"/>
      <c r="F388" s="273"/>
      <c r="G388" s="273"/>
      <c r="H388" s="273"/>
      <c r="I388" s="273"/>
      <c r="J388" s="273"/>
      <c r="K388" s="273"/>
      <c r="L388" s="274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4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</row>
    <row r="389" spans="1:35" ht="14.25" customHeight="1">
      <c r="A389" s="273"/>
      <c r="B389" s="273"/>
      <c r="C389" s="273"/>
      <c r="D389" s="273"/>
      <c r="E389" s="273"/>
      <c r="F389" s="273"/>
      <c r="G389" s="273"/>
      <c r="H389" s="273"/>
      <c r="I389" s="273"/>
      <c r="J389" s="273"/>
      <c r="K389" s="273"/>
      <c r="L389" s="274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4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</row>
    <row r="390" spans="1:35" ht="14.25" customHeight="1">
      <c r="A390" s="273"/>
      <c r="B390" s="273"/>
      <c r="C390" s="273"/>
      <c r="D390" s="273"/>
      <c r="E390" s="273"/>
      <c r="F390" s="273"/>
      <c r="G390" s="273"/>
      <c r="H390" s="273"/>
      <c r="I390" s="273"/>
      <c r="J390" s="273"/>
      <c r="K390" s="273"/>
      <c r="L390" s="274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4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</row>
    <row r="391" spans="1:35" ht="14.25" customHeight="1">
      <c r="A391" s="273"/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4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4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</row>
    <row r="392" spans="1:35" ht="14.25" customHeight="1">
      <c r="A392" s="273"/>
      <c r="B392" s="273"/>
      <c r="C392" s="273"/>
      <c r="D392" s="273"/>
      <c r="E392" s="273"/>
      <c r="F392" s="273"/>
      <c r="G392" s="273"/>
      <c r="H392" s="273"/>
      <c r="I392" s="273"/>
      <c r="J392" s="273"/>
      <c r="K392" s="273"/>
      <c r="L392" s="274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4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</row>
    <row r="393" spans="1:35" ht="14.25" customHeight="1">
      <c r="A393" s="273"/>
      <c r="B393" s="273"/>
      <c r="C393" s="273"/>
      <c r="D393" s="273"/>
      <c r="E393" s="273"/>
      <c r="F393" s="273"/>
      <c r="G393" s="273"/>
      <c r="H393" s="273"/>
      <c r="I393" s="273"/>
      <c r="J393" s="273"/>
      <c r="K393" s="273"/>
      <c r="L393" s="274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4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</row>
    <row r="394" spans="1:35" ht="14.25" customHeight="1">
      <c r="A394" s="273"/>
      <c r="B394" s="273"/>
      <c r="C394" s="273"/>
      <c r="D394" s="273"/>
      <c r="E394" s="273"/>
      <c r="F394" s="273"/>
      <c r="G394" s="273"/>
      <c r="H394" s="273"/>
      <c r="I394" s="273"/>
      <c r="J394" s="273"/>
      <c r="K394" s="273"/>
      <c r="L394" s="274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4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</row>
    <row r="395" spans="1:35" ht="14.25" customHeight="1">
      <c r="A395" s="273"/>
      <c r="B395" s="273"/>
      <c r="C395" s="273"/>
      <c r="D395" s="273"/>
      <c r="E395" s="273"/>
      <c r="F395" s="273"/>
      <c r="G395" s="273"/>
      <c r="H395" s="273"/>
      <c r="I395" s="273"/>
      <c r="J395" s="273"/>
      <c r="K395" s="273"/>
      <c r="L395" s="274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4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</row>
    <row r="396" spans="1:35" ht="14.25" customHeight="1">
      <c r="A396" s="273"/>
      <c r="B396" s="273"/>
      <c r="C396" s="273"/>
      <c r="D396" s="273"/>
      <c r="E396" s="273"/>
      <c r="F396" s="273"/>
      <c r="G396" s="273"/>
      <c r="H396" s="273"/>
      <c r="I396" s="273"/>
      <c r="J396" s="273"/>
      <c r="K396" s="273"/>
      <c r="L396" s="274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4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</row>
    <row r="397" spans="1:35" ht="14.25" customHeight="1">
      <c r="A397" s="273"/>
      <c r="B397" s="273"/>
      <c r="C397" s="273"/>
      <c r="D397" s="273"/>
      <c r="E397" s="273"/>
      <c r="F397" s="273"/>
      <c r="G397" s="273"/>
      <c r="H397" s="273"/>
      <c r="I397" s="273"/>
      <c r="J397" s="273"/>
      <c r="K397" s="273"/>
      <c r="L397" s="274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4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</row>
    <row r="398" spans="1:35" ht="14.25" customHeight="1">
      <c r="A398" s="273"/>
      <c r="B398" s="273"/>
      <c r="C398" s="273"/>
      <c r="D398" s="273"/>
      <c r="E398" s="273"/>
      <c r="F398" s="273"/>
      <c r="G398" s="273"/>
      <c r="H398" s="273"/>
      <c r="I398" s="273"/>
      <c r="J398" s="273"/>
      <c r="K398" s="273"/>
      <c r="L398" s="274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4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</row>
    <row r="399" spans="1:35" ht="14.25" customHeight="1">
      <c r="A399" s="273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4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</row>
    <row r="400" spans="1:35" ht="14.25" customHeight="1">
      <c r="A400" s="273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4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</row>
    <row r="401" spans="1:35" ht="14.25" customHeight="1">
      <c r="A401" s="273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4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</row>
    <row r="402" spans="1:35" ht="14.25" customHeight="1">
      <c r="A402" s="273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4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</row>
    <row r="403" spans="1:35" ht="14.25" customHeight="1">
      <c r="A403" s="273"/>
      <c r="B403" s="273"/>
      <c r="C403" s="273"/>
      <c r="D403" s="273"/>
      <c r="E403" s="273"/>
      <c r="F403" s="273"/>
      <c r="G403" s="273"/>
      <c r="H403" s="273"/>
      <c r="I403" s="273"/>
      <c r="J403" s="273"/>
      <c r="K403" s="273"/>
      <c r="L403" s="274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4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</row>
    <row r="404" spans="1:35" ht="14.25" customHeight="1">
      <c r="A404" s="273"/>
      <c r="B404" s="273"/>
      <c r="C404" s="273"/>
      <c r="D404" s="273"/>
      <c r="E404" s="273"/>
      <c r="F404" s="273"/>
      <c r="G404" s="273"/>
      <c r="H404" s="273"/>
      <c r="I404" s="273"/>
      <c r="J404" s="273"/>
      <c r="K404" s="273"/>
      <c r="L404" s="274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4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</row>
    <row r="405" spans="1:35" ht="14.25" customHeight="1">
      <c r="A405" s="273"/>
      <c r="B405" s="273"/>
      <c r="C405" s="273"/>
      <c r="D405" s="273"/>
      <c r="E405" s="273"/>
      <c r="F405" s="273"/>
      <c r="G405" s="273"/>
      <c r="H405" s="273"/>
      <c r="I405" s="273"/>
      <c r="J405" s="273"/>
      <c r="K405" s="273"/>
      <c r="L405" s="274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4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</row>
    <row r="406" spans="1:35" ht="14.25" customHeight="1">
      <c r="A406" s="273"/>
      <c r="B406" s="273"/>
      <c r="C406" s="273"/>
      <c r="D406" s="273"/>
      <c r="E406" s="273"/>
      <c r="F406" s="273"/>
      <c r="G406" s="273"/>
      <c r="H406" s="273"/>
      <c r="I406" s="273"/>
      <c r="J406" s="273"/>
      <c r="K406" s="273"/>
      <c r="L406" s="274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4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</row>
    <row r="407" spans="1:35" ht="14.25" customHeight="1">
      <c r="A407" s="273"/>
      <c r="B407" s="273"/>
      <c r="C407" s="273"/>
      <c r="D407" s="273"/>
      <c r="E407" s="273"/>
      <c r="F407" s="273"/>
      <c r="G407" s="273"/>
      <c r="H407" s="273"/>
      <c r="I407" s="273"/>
      <c r="J407" s="273"/>
      <c r="K407" s="273"/>
      <c r="L407" s="274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4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</row>
    <row r="408" spans="1:35" ht="14.25" customHeight="1">
      <c r="A408" s="273"/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4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4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</row>
    <row r="409" spans="1:35" ht="14.25" customHeight="1">
      <c r="A409" s="273"/>
      <c r="B409" s="273"/>
      <c r="C409" s="273"/>
      <c r="D409" s="273"/>
      <c r="E409" s="273"/>
      <c r="F409" s="273"/>
      <c r="G409" s="273"/>
      <c r="H409" s="273"/>
      <c r="I409" s="273"/>
      <c r="J409" s="273"/>
      <c r="K409" s="273"/>
      <c r="L409" s="274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4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</row>
    <row r="410" spans="1:35" ht="14.25" customHeight="1">
      <c r="A410" s="273"/>
      <c r="B410" s="273"/>
      <c r="C410" s="273"/>
      <c r="D410" s="273"/>
      <c r="E410" s="273"/>
      <c r="F410" s="273"/>
      <c r="G410" s="273"/>
      <c r="H410" s="273"/>
      <c r="I410" s="273"/>
      <c r="J410" s="273"/>
      <c r="K410" s="273"/>
      <c r="L410" s="274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4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</row>
    <row r="411" spans="1:35" ht="14.25" customHeight="1">
      <c r="A411" s="273"/>
      <c r="B411" s="273"/>
      <c r="C411" s="273"/>
      <c r="D411" s="273"/>
      <c r="E411" s="273"/>
      <c r="F411" s="273"/>
      <c r="G411" s="273"/>
      <c r="H411" s="273"/>
      <c r="I411" s="273"/>
      <c r="J411" s="273"/>
      <c r="K411" s="273"/>
      <c r="L411" s="274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4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</row>
    <row r="412" spans="1:35" ht="14.25" customHeight="1">
      <c r="A412" s="273"/>
      <c r="B412" s="273"/>
      <c r="C412" s="273"/>
      <c r="D412" s="273"/>
      <c r="E412" s="273"/>
      <c r="F412" s="273"/>
      <c r="G412" s="273"/>
      <c r="H412" s="273"/>
      <c r="I412" s="273"/>
      <c r="J412" s="273"/>
      <c r="K412" s="273"/>
      <c r="L412" s="274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4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</row>
    <row r="413" spans="1:35" ht="14.25" customHeight="1">
      <c r="A413" s="273"/>
      <c r="B413" s="273"/>
      <c r="C413" s="273"/>
      <c r="D413" s="273"/>
      <c r="E413" s="273"/>
      <c r="F413" s="273"/>
      <c r="G413" s="273"/>
      <c r="H413" s="273"/>
      <c r="I413" s="273"/>
      <c r="J413" s="273"/>
      <c r="K413" s="273"/>
      <c r="L413" s="274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4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</row>
    <row r="414" spans="1:35" ht="14.25" customHeight="1">
      <c r="A414" s="273"/>
      <c r="B414" s="273"/>
      <c r="C414" s="273"/>
      <c r="D414" s="273"/>
      <c r="E414" s="273"/>
      <c r="F414" s="273"/>
      <c r="G414" s="273"/>
      <c r="H414" s="273"/>
      <c r="I414" s="273"/>
      <c r="J414" s="273"/>
      <c r="K414" s="273"/>
      <c r="L414" s="274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4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</row>
    <row r="415" spans="1:35" ht="14.25" customHeight="1">
      <c r="A415" s="273"/>
      <c r="B415" s="273"/>
      <c r="C415" s="273"/>
      <c r="D415" s="273"/>
      <c r="E415" s="273"/>
      <c r="F415" s="273"/>
      <c r="G415" s="273"/>
      <c r="H415" s="273"/>
      <c r="I415" s="273"/>
      <c r="J415" s="273"/>
      <c r="K415" s="273"/>
      <c r="L415" s="274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4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</row>
    <row r="416" spans="1:35" ht="14.25" customHeight="1">
      <c r="A416" s="273"/>
      <c r="B416" s="273"/>
      <c r="C416" s="273"/>
      <c r="D416" s="273"/>
      <c r="E416" s="273"/>
      <c r="F416" s="273"/>
      <c r="G416" s="273"/>
      <c r="H416" s="273"/>
      <c r="I416" s="273"/>
      <c r="J416" s="273"/>
      <c r="K416" s="273"/>
      <c r="L416" s="274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4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</row>
    <row r="417" spans="1:35" ht="14.25" customHeight="1">
      <c r="A417" s="273"/>
      <c r="B417" s="273"/>
      <c r="C417" s="273"/>
      <c r="D417" s="273"/>
      <c r="E417" s="273"/>
      <c r="F417" s="273"/>
      <c r="G417" s="273"/>
      <c r="H417" s="273"/>
      <c r="I417" s="273"/>
      <c r="J417" s="273"/>
      <c r="K417" s="273"/>
      <c r="L417" s="274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4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</row>
    <row r="418" spans="1:35" ht="14.25" customHeight="1">
      <c r="A418" s="273"/>
      <c r="B418" s="273"/>
      <c r="C418" s="273"/>
      <c r="D418" s="273"/>
      <c r="E418" s="273"/>
      <c r="F418" s="273"/>
      <c r="G418" s="273"/>
      <c r="H418" s="273"/>
      <c r="I418" s="273"/>
      <c r="J418" s="273"/>
      <c r="K418" s="273"/>
      <c r="L418" s="274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4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</row>
    <row r="419" spans="1:35" ht="14.25" customHeight="1">
      <c r="A419" s="273"/>
      <c r="B419" s="273"/>
      <c r="C419" s="273"/>
      <c r="D419" s="273"/>
      <c r="E419" s="273"/>
      <c r="F419" s="273"/>
      <c r="G419" s="273"/>
      <c r="H419" s="273"/>
      <c r="I419" s="273"/>
      <c r="J419" s="273"/>
      <c r="K419" s="273"/>
      <c r="L419" s="274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4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</row>
    <row r="420" spans="1:35" ht="14.25" customHeight="1">
      <c r="A420" s="273"/>
      <c r="B420" s="273"/>
      <c r="C420" s="273"/>
      <c r="D420" s="273"/>
      <c r="E420" s="273"/>
      <c r="F420" s="273"/>
      <c r="G420" s="273"/>
      <c r="H420" s="273"/>
      <c r="I420" s="273"/>
      <c r="J420" s="273"/>
      <c r="K420" s="273"/>
      <c r="L420" s="274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4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</row>
    <row r="421" spans="1:35" ht="14.25" customHeight="1">
      <c r="A421" s="273"/>
      <c r="B421" s="273"/>
      <c r="C421" s="273"/>
      <c r="D421" s="273"/>
      <c r="E421" s="273"/>
      <c r="F421" s="273"/>
      <c r="G421" s="273"/>
      <c r="H421" s="273"/>
      <c r="I421" s="273"/>
      <c r="J421" s="273"/>
      <c r="K421" s="273"/>
      <c r="L421" s="274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4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</row>
    <row r="422" spans="1:35" ht="14.25" customHeight="1">
      <c r="A422" s="273"/>
      <c r="B422" s="273"/>
      <c r="C422" s="273"/>
      <c r="D422" s="273"/>
      <c r="E422" s="273"/>
      <c r="F422" s="273"/>
      <c r="G422" s="273"/>
      <c r="H422" s="273"/>
      <c r="I422" s="273"/>
      <c r="J422" s="273"/>
      <c r="K422" s="273"/>
      <c r="L422" s="274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4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</row>
    <row r="423" spans="1:35" ht="14.25" customHeight="1">
      <c r="A423" s="273"/>
      <c r="B423" s="273"/>
      <c r="C423" s="273"/>
      <c r="D423" s="273"/>
      <c r="E423" s="273"/>
      <c r="F423" s="273"/>
      <c r="G423" s="273"/>
      <c r="H423" s="273"/>
      <c r="I423" s="273"/>
      <c r="J423" s="273"/>
      <c r="K423" s="273"/>
      <c r="L423" s="274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4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</row>
    <row r="424" spans="1:35" ht="14.25" customHeight="1">
      <c r="A424" s="273"/>
      <c r="B424" s="273"/>
      <c r="C424" s="273"/>
      <c r="D424" s="273"/>
      <c r="E424" s="273"/>
      <c r="F424" s="273"/>
      <c r="G424" s="273"/>
      <c r="H424" s="273"/>
      <c r="I424" s="273"/>
      <c r="J424" s="273"/>
      <c r="K424" s="273"/>
      <c r="L424" s="274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4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</row>
    <row r="425" spans="1:35" ht="14.25" customHeight="1">
      <c r="A425" s="273"/>
      <c r="B425" s="273"/>
      <c r="C425" s="273"/>
      <c r="D425" s="273"/>
      <c r="E425" s="273"/>
      <c r="F425" s="273"/>
      <c r="G425" s="273"/>
      <c r="H425" s="273"/>
      <c r="I425" s="273"/>
      <c r="J425" s="273"/>
      <c r="K425" s="273"/>
      <c r="L425" s="274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4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</row>
    <row r="426" spans="1:35" ht="14.25" customHeight="1">
      <c r="A426" s="273"/>
      <c r="B426" s="273"/>
      <c r="C426" s="273"/>
      <c r="D426" s="273"/>
      <c r="E426" s="273"/>
      <c r="F426" s="273"/>
      <c r="G426" s="273"/>
      <c r="H426" s="273"/>
      <c r="I426" s="273"/>
      <c r="J426" s="273"/>
      <c r="K426" s="273"/>
      <c r="L426" s="274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4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</row>
    <row r="427" spans="1:35" ht="14.25" customHeight="1">
      <c r="A427" s="273"/>
      <c r="B427" s="273"/>
      <c r="C427" s="273"/>
      <c r="D427" s="273"/>
      <c r="E427" s="273"/>
      <c r="F427" s="273"/>
      <c r="G427" s="273"/>
      <c r="H427" s="273"/>
      <c r="I427" s="273"/>
      <c r="J427" s="273"/>
      <c r="K427" s="273"/>
      <c r="L427" s="274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4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</row>
    <row r="428" spans="1:35" ht="14.25" customHeight="1">
      <c r="A428" s="273"/>
      <c r="B428" s="273"/>
      <c r="C428" s="273"/>
      <c r="D428" s="273"/>
      <c r="E428" s="273"/>
      <c r="F428" s="273"/>
      <c r="G428" s="273"/>
      <c r="H428" s="273"/>
      <c r="I428" s="273"/>
      <c r="J428" s="273"/>
      <c r="K428" s="273"/>
      <c r="L428" s="274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4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</row>
    <row r="429" spans="1:35" ht="14.25" customHeight="1">
      <c r="A429" s="273"/>
      <c r="B429" s="273"/>
      <c r="C429" s="273"/>
      <c r="D429" s="273"/>
      <c r="E429" s="273"/>
      <c r="F429" s="273"/>
      <c r="G429" s="273"/>
      <c r="H429" s="273"/>
      <c r="I429" s="273"/>
      <c r="J429" s="273"/>
      <c r="K429" s="273"/>
      <c r="L429" s="274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4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</row>
    <row r="430" spans="1:35" ht="14.25" customHeight="1">
      <c r="A430" s="273"/>
      <c r="B430" s="273"/>
      <c r="C430" s="273"/>
      <c r="D430" s="273"/>
      <c r="E430" s="273"/>
      <c r="F430" s="273"/>
      <c r="G430" s="273"/>
      <c r="H430" s="273"/>
      <c r="I430" s="273"/>
      <c r="J430" s="273"/>
      <c r="K430" s="273"/>
      <c r="L430" s="274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4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</row>
    <row r="431" spans="1:35" ht="14.25" customHeight="1">
      <c r="A431" s="273"/>
      <c r="B431" s="273"/>
      <c r="C431" s="273"/>
      <c r="D431" s="273"/>
      <c r="E431" s="273"/>
      <c r="F431" s="273"/>
      <c r="G431" s="273"/>
      <c r="H431" s="273"/>
      <c r="I431" s="273"/>
      <c r="J431" s="273"/>
      <c r="K431" s="273"/>
      <c r="L431" s="274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4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</row>
    <row r="432" spans="1:35" ht="14.25" customHeight="1">
      <c r="A432" s="273"/>
      <c r="B432" s="273"/>
      <c r="C432" s="273"/>
      <c r="D432" s="273"/>
      <c r="E432" s="273"/>
      <c r="F432" s="273"/>
      <c r="G432" s="273"/>
      <c r="H432" s="273"/>
      <c r="I432" s="273"/>
      <c r="J432" s="273"/>
      <c r="K432" s="273"/>
      <c r="L432" s="274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4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</row>
    <row r="433" spans="1:35" ht="14.25" customHeight="1">
      <c r="A433" s="273"/>
      <c r="B433" s="273"/>
      <c r="C433" s="273"/>
      <c r="D433" s="273"/>
      <c r="E433" s="273"/>
      <c r="F433" s="273"/>
      <c r="G433" s="273"/>
      <c r="H433" s="273"/>
      <c r="I433" s="273"/>
      <c r="J433" s="273"/>
      <c r="K433" s="273"/>
      <c r="L433" s="274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4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</row>
    <row r="434" spans="1:35" ht="14.25" customHeight="1">
      <c r="A434" s="273"/>
      <c r="B434" s="273"/>
      <c r="C434" s="273"/>
      <c r="D434" s="273"/>
      <c r="E434" s="273"/>
      <c r="F434" s="273"/>
      <c r="G434" s="273"/>
      <c r="H434" s="273"/>
      <c r="I434" s="273"/>
      <c r="J434" s="273"/>
      <c r="K434" s="273"/>
      <c r="L434" s="274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4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</row>
    <row r="435" spans="1:35" ht="14.25" customHeight="1">
      <c r="A435" s="273"/>
      <c r="B435" s="273"/>
      <c r="C435" s="273"/>
      <c r="D435" s="273"/>
      <c r="E435" s="273"/>
      <c r="F435" s="273"/>
      <c r="G435" s="273"/>
      <c r="H435" s="273"/>
      <c r="I435" s="273"/>
      <c r="J435" s="273"/>
      <c r="K435" s="273"/>
      <c r="L435" s="274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4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</row>
    <row r="436" spans="1:35" ht="14.25" customHeight="1">
      <c r="A436" s="273"/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4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4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</row>
    <row r="437" spans="1:35" ht="14.25" customHeight="1">
      <c r="A437" s="273"/>
      <c r="B437" s="273"/>
      <c r="C437" s="273"/>
      <c r="D437" s="273"/>
      <c r="E437" s="273"/>
      <c r="F437" s="273"/>
      <c r="G437" s="273"/>
      <c r="H437" s="273"/>
      <c r="I437" s="273"/>
      <c r="J437" s="273"/>
      <c r="K437" s="273"/>
      <c r="L437" s="274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4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</row>
    <row r="438" spans="1:35" ht="14.25" customHeight="1">
      <c r="A438" s="273"/>
      <c r="B438" s="273"/>
      <c r="C438" s="273"/>
      <c r="D438" s="273"/>
      <c r="E438" s="273"/>
      <c r="F438" s="273"/>
      <c r="G438" s="273"/>
      <c r="H438" s="273"/>
      <c r="I438" s="273"/>
      <c r="J438" s="273"/>
      <c r="K438" s="273"/>
      <c r="L438" s="274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4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</row>
    <row r="439" spans="1:35" ht="14.25" customHeight="1">
      <c r="A439" s="273"/>
      <c r="B439" s="273"/>
      <c r="C439" s="273"/>
      <c r="D439" s="273"/>
      <c r="E439" s="273"/>
      <c r="F439" s="273"/>
      <c r="G439" s="273"/>
      <c r="H439" s="273"/>
      <c r="I439" s="273"/>
      <c r="J439" s="273"/>
      <c r="K439" s="273"/>
      <c r="L439" s="274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4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</row>
    <row r="440" spans="1:35" ht="14.25" customHeight="1">
      <c r="A440" s="273"/>
      <c r="B440" s="273"/>
      <c r="C440" s="273"/>
      <c r="D440" s="273"/>
      <c r="E440" s="273"/>
      <c r="F440" s="273"/>
      <c r="G440" s="273"/>
      <c r="H440" s="273"/>
      <c r="I440" s="273"/>
      <c r="J440" s="273"/>
      <c r="K440" s="273"/>
      <c r="L440" s="274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4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</row>
    <row r="441" spans="1:35" ht="14.25" customHeight="1">
      <c r="A441" s="273"/>
      <c r="B441" s="273"/>
      <c r="C441" s="273"/>
      <c r="D441" s="273"/>
      <c r="E441" s="273"/>
      <c r="F441" s="273"/>
      <c r="G441" s="273"/>
      <c r="H441" s="273"/>
      <c r="I441" s="273"/>
      <c r="J441" s="273"/>
      <c r="K441" s="273"/>
      <c r="L441" s="274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4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</row>
    <row r="442" spans="1:35" ht="14.25" customHeight="1">
      <c r="A442" s="273"/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4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4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</row>
    <row r="443" spans="1:35" ht="14.25" customHeight="1">
      <c r="A443" s="273"/>
      <c r="B443" s="273"/>
      <c r="C443" s="273"/>
      <c r="D443" s="273"/>
      <c r="E443" s="273"/>
      <c r="F443" s="273"/>
      <c r="G443" s="273"/>
      <c r="H443" s="273"/>
      <c r="I443" s="273"/>
      <c r="J443" s="273"/>
      <c r="K443" s="273"/>
      <c r="L443" s="274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4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</row>
    <row r="444" spans="1:35" ht="14.25" customHeight="1">
      <c r="A444" s="273"/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4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4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</row>
    <row r="445" spans="1:35" ht="14.25" customHeight="1">
      <c r="A445" s="273"/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4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4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</row>
    <row r="446" spans="1:35" ht="14.25" customHeight="1">
      <c r="A446" s="273"/>
      <c r="B446" s="273"/>
      <c r="C446" s="273"/>
      <c r="D446" s="273"/>
      <c r="E446" s="273"/>
      <c r="F446" s="273"/>
      <c r="G446" s="273"/>
      <c r="H446" s="273"/>
      <c r="I446" s="273"/>
      <c r="J446" s="273"/>
      <c r="K446" s="273"/>
      <c r="L446" s="274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4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</row>
    <row r="447" spans="1:35" ht="14.25" customHeight="1">
      <c r="A447" s="273"/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4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4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</row>
    <row r="448" spans="1:35" ht="14.25" customHeight="1">
      <c r="A448" s="273"/>
      <c r="B448" s="273"/>
      <c r="C448" s="273"/>
      <c r="D448" s="273"/>
      <c r="E448" s="273"/>
      <c r="F448" s="273"/>
      <c r="G448" s="273"/>
      <c r="H448" s="273"/>
      <c r="I448" s="273"/>
      <c r="J448" s="273"/>
      <c r="K448" s="273"/>
      <c r="L448" s="274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4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</row>
    <row r="449" spans="1:35" ht="14.25" customHeight="1">
      <c r="A449" s="273"/>
      <c r="B449" s="273"/>
      <c r="C449" s="273"/>
      <c r="D449" s="273"/>
      <c r="E449" s="273"/>
      <c r="F449" s="273"/>
      <c r="G449" s="273"/>
      <c r="H449" s="273"/>
      <c r="I449" s="273"/>
      <c r="J449" s="273"/>
      <c r="K449" s="273"/>
      <c r="L449" s="274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4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</row>
    <row r="450" spans="1:35" ht="14.25" customHeight="1">
      <c r="A450" s="273"/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4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4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</row>
    <row r="451" spans="1:35" ht="14.25" customHeight="1">
      <c r="A451" s="273"/>
      <c r="B451" s="273"/>
      <c r="C451" s="273"/>
      <c r="D451" s="273"/>
      <c r="E451" s="273"/>
      <c r="F451" s="273"/>
      <c r="G451" s="273"/>
      <c r="H451" s="273"/>
      <c r="I451" s="273"/>
      <c r="J451" s="273"/>
      <c r="K451" s="273"/>
      <c r="L451" s="274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4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</row>
    <row r="452" spans="1:35" ht="14.25" customHeight="1">
      <c r="A452" s="273"/>
      <c r="B452" s="273"/>
      <c r="C452" s="273"/>
      <c r="D452" s="273"/>
      <c r="E452" s="273"/>
      <c r="F452" s="273"/>
      <c r="G452" s="273"/>
      <c r="H452" s="273"/>
      <c r="I452" s="273"/>
      <c r="J452" s="273"/>
      <c r="K452" s="273"/>
      <c r="L452" s="274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4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</row>
    <row r="453" spans="1:35" ht="14.25" customHeight="1">
      <c r="A453" s="273"/>
      <c r="B453" s="273"/>
      <c r="C453" s="273"/>
      <c r="D453" s="273"/>
      <c r="E453" s="273"/>
      <c r="F453" s="273"/>
      <c r="G453" s="273"/>
      <c r="H453" s="273"/>
      <c r="I453" s="273"/>
      <c r="J453" s="273"/>
      <c r="K453" s="273"/>
      <c r="L453" s="274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4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</row>
    <row r="454" spans="1:35" ht="14.25" customHeight="1">
      <c r="A454" s="273"/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4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4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</row>
    <row r="455" spans="1:35" ht="14.25" customHeight="1">
      <c r="A455" s="273"/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4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4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</row>
    <row r="456" spans="1:35" ht="14.25" customHeight="1">
      <c r="A456" s="273"/>
      <c r="B456" s="273"/>
      <c r="C456" s="273"/>
      <c r="D456" s="273"/>
      <c r="E456" s="273"/>
      <c r="F456" s="273"/>
      <c r="G456" s="273"/>
      <c r="H456" s="273"/>
      <c r="I456" s="273"/>
      <c r="J456" s="273"/>
      <c r="K456" s="273"/>
      <c r="L456" s="274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4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</row>
    <row r="457" spans="1:35" ht="14.25" customHeight="1">
      <c r="A457" s="273"/>
      <c r="B457" s="273"/>
      <c r="C457" s="273"/>
      <c r="D457" s="273"/>
      <c r="E457" s="273"/>
      <c r="F457" s="273"/>
      <c r="G457" s="273"/>
      <c r="H457" s="273"/>
      <c r="I457" s="273"/>
      <c r="J457" s="273"/>
      <c r="K457" s="273"/>
      <c r="L457" s="274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4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</row>
    <row r="458" spans="1:35" ht="14.25" customHeight="1">
      <c r="A458" s="273"/>
      <c r="B458" s="273"/>
      <c r="C458" s="273"/>
      <c r="D458" s="273"/>
      <c r="E458" s="273"/>
      <c r="F458" s="273"/>
      <c r="G458" s="273"/>
      <c r="H458" s="273"/>
      <c r="I458" s="273"/>
      <c r="J458" s="273"/>
      <c r="K458" s="273"/>
      <c r="L458" s="274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4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</row>
    <row r="459" spans="1:35" ht="14.25" customHeight="1">
      <c r="A459" s="273"/>
      <c r="B459" s="273"/>
      <c r="C459" s="273"/>
      <c r="D459" s="273"/>
      <c r="E459" s="273"/>
      <c r="F459" s="273"/>
      <c r="G459" s="273"/>
      <c r="H459" s="273"/>
      <c r="I459" s="273"/>
      <c r="J459" s="273"/>
      <c r="K459" s="273"/>
      <c r="L459" s="274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4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</row>
    <row r="460" spans="1:35" ht="14.25" customHeight="1">
      <c r="A460" s="273"/>
      <c r="B460" s="273"/>
      <c r="C460" s="273"/>
      <c r="D460" s="273"/>
      <c r="E460" s="273"/>
      <c r="F460" s="273"/>
      <c r="G460" s="273"/>
      <c r="H460" s="273"/>
      <c r="I460" s="273"/>
      <c r="J460" s="273"/>
      <c r="K460" s="273"/>
      <c r="L460" s="274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4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</row>
    <row r="461" spans="1:35" ht="14.25" customHeight="1">
      <c r="A461" s="273"/>
      <c r="B461" s="273"/>
      <c r="C461" s="273"/>
      <c r="D461" s="273"/>
      <c r="E461" s="273"/>
      <c r="F461" s="273"/>
      <c r="G461" s="273"/>
      <c r="H461" s="273"/>
      <c r="I461" s="273"/>
      <c r="J461" s="273"/>
      <c r="K461" s="273"/>
      <c r="L461" s="274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4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</row>
    <row r="462" spans="1:35" ht="14.25" customHeight="1">
      <c r="A462" s="273"/>
      <c r="B462" s="273"/>
      <c r="C462" s="273"/>
      <c r="D462" s="273"/>
      <c r="E462" s="273"/>
      <c r="F462" s="273"/>
      <c r="G462" s="273"/>
      <c r="H462" s="273"/>
      <c r="I462" s="273"/>
      <c r="J462" s="273"/>
      <c r="K462" s="273"/>
      <c r="L462" s="274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4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</row>
    <row r="463" spans="1:35" ht="14.25" customHeight="1">
      <c r="A463" s="273"/>
      <c r="B463" s="273"/>
      <c r="C463" s="273"/>
      <c r="D463" s="273"/>
      <c r="E463" s="273"/>
      <c r="F463" s="273"/>
      <c r="G463" s="273"/>
      <c r="H463" s="273"/>
      <c r="I463" s="273"/>
      <c r="J463" s="273"/>
      <c r="K463" s="273"/>
      <c r="L463" s="274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4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</row>
    <row r="464" spans="1:35" ht="14.25" customHeight="1">
      <c r="A464" s="273"/>
      <c r="B464" s="273"/>
      <c r="C464" s="273"/>
      <c r="D464" s="273"/>
      <c r="E464" s="273"/>
      <c r="F464" s="273"/>
      <c r="G464" s="273"/>
      <c r="H464" s="273"/>
      <c r="I464" s="273"/>
      <c r="J464" s="273"/>
      <c r="K464" s="273"/>
      <c r="L464" s="274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4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</row>
    <row r="465" spans="1:35" ht="14.25" customHeight="1">
      <c r="A465" s="273"/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4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4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</row>
    <row r="466" spans="1:35" ht="14.25" customHeight="1">
      <c r="A466" s="273"/>
      <c r="B466" s="273"/>
      <c r="C466" s="273"/>
      <c r="D466" s="273"/>
      <c r="E466" s="273"/>
      <c r="F466" s="273"/>
      <c r="G466" s="273"/>
      <c r="H466" s="273"/>
      <c r="I466" s="273"/>
      <c r="J466" s="273"/>
      <c r="K466" s="273"/>
      <c r="L466" s="274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4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</row>
    <row r="467" spans="1:35" ht="14.25" customHeight="1">
      <c r="A467" s="273"/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4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4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</row>
    <row r="468" spans="1:35" ht="14.25" customHeight="1">
      <c r="A468" s="273"/>
      <c r="B468" s="273"/>
      <c r="C468" s="273"/>
      <c r="D468" s="273"/>
      <c r="E468" s="273"/>
      <c r="F468" s="273"/>
      <c r="G468" s="273"/>
      <c r="H468" s="273"/>
      <c r="I468" s="273"/>
      <c r="J468" s="273"/>
      <c r="K468" s="273"/>
      <c r="L468" s="274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4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</row>
    <row r="469" spans="1:35" ht="14.25" customHeight="1">
      <c r="A469" s="273"/>
      <c r="B469" s="273"/>
      <c r="C469" s="273"/>
      <c r="D469" s="273"/>
      <c r="E469" s="273"/>
      <c r="F469" s="273"/>
      <c r="G469" s="273"/>
      <c r="H469" s="273"/>
      <c r="I469" s="273"/>
      <c r="J469" s="273"/>
      <c r="K469" s="273"/>
      <c r="L469" s="274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4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</row>
    <row r="470" spans="1:35" ht="14.25" customHeight="1">
      <c r="A470" s="273"/>
      <c r="B470" s="273"/>
      <c r="C470" s="273"/>
      <c r="D470" s="273"/>
      <c r="E470" s="273"/>
      <c r="F470" s="273"/>
      <c r="G470" s="273"/>
      <c r="H470" s="273"/>
      <c r="I470" s="273"/>
      <c r="J470" s="273"/>
      <c r="K470" s="273"/>
      <c r="L470" s="274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4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</row>
    <row r="471" spans="1:35" ht="14.25" customHeight="1">
      <c r="A471" s="273"/>
      <c r="B471" s="273"/>
      <c r="C471" s="273"/>
      <c r="D471" s="273"/>
      <c r="E471" s="273"/>
      <c r="F471" s="273"/>
      <c r="G471" s="273"/>
      <c r="H471" s="273"/>
      <c r="I471" s="273"/>
      <c r="J471" s="273"/>
      <c r="K471" s="273"/>
      <c r="L471" s="274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4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</row>
    <row r="472" spans="1:35" ht="14.25" customHeight="1">
      <c r="A472" s="273"/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4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4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</row>
    <row r="473" spans="1:35" ht="14.25" customHeight="1">
      <c r="A473" s="273"/>
      <c r="B473" s="273"/>
      <c r="C473" s="273"/>
      <c r="D473" s="273"/>
      <c r="E473" s="273"/>
      <c r="F473" s="273"/>
      <c r="G473" s="273"/>
      <c r="H473" s="273"/>
      <c r="I473" s="273"/>
      <c r="J473" s="273"/>
      <c r="K473" s="273"/>
      <c r="L473" s="274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4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</row>
    <row r="474" spans="1:35" ht="14.25" customHeight="1">
      <c r="A474" s="273"/>
      <c r="B474" s="273"/>
      <c r="C474" s="273"/>
      <c r="D474" s="273"/>
      <c r="E474" s="273"/>
      <c r="F474" s="273"/>
      <c r="G474" s="273"/>
      <c r="H474" s="273"/>
      <c r="I474" s="273"/>
      <c r="J474" s="273"/>
      <c r="K474" s="273"/>
      <c r="L474" s="274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4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</row>
    <row r="475" spans="1:35" ht="14.25" customHeight="1">
      <c r="A475" s="273"/>
      <c r="B475" s="273"/>
      <c r="C475" s="273"/>
      <c r="D475" s="273"/>
      <c r="E475" s="273"/>
      <c r="F475" s="273"/>
      <c r="G475" s="273"/>
      <c r="H475" s="273"/>
      <c r="I475" s="273"/>
      <c r="J475" s="273"/>
      <c r="K475" s="273"/>
      <c r="L475" s="274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4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</row>
    <row r="476" spans="1:35" ht="14.25" customHeight="1">
      <c r="A476" s="273"/>
      <c r="B476" s="273"/>
      <c r="C476" s="273"/>
      <c r="D476" s="273"/>
      <c r="E476" s="273"/>
      <c r="F476" s="273"/>
      <c r="G476" s="273"/>
      <c r="H476" s="273"/>
      <c r="I476" s="273"/>
      <c r="J476" s="273"/>
      <c r="K476" s="273"/>
      <c r="L476" s="274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4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</row>
    <row r="477" spans="1:35" ht="14.25" customHeight="1">
      <c r="A477" s="273"/>
      <c r="B477" s="273"/>
      <c r="C477" s="273"/>
      <c r="D477" s="273"/>
      <c r="E477" s="273"/>
      <c r="F477" s="273"/>
      <c r="G477" s="273"/>
      <c r="H477" s="273"/>
      <c r="I477" s="273"/>
      <c r="J477" s="273"/>
      <c r="K477" s="273"/>
      <c r="L477" s="274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4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</row>
    <row r="478" spans="1:35" ht="14.25" customHeight="1">
      <c r="A478" s="273"/>
      <c r="B478" s="273"/>
      <c r="C478" s="273"/>
      <c r="D478" s="273"/>
      <c r="E478" s="273"/>
      <c r="F478" s="273"/>
      <c r="G478" s="273"/>
      <c r="H478" s="273"/>
      <c r="I478" s="273"/>
      <c r="J478" s="273"/>
      <c r="K478" s="273"/>
      <c r="L478" s="274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4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</row>
    <row r="479" spans="1:35" ht="14.25" customHeight="1">
      <c r="A479" s="273"/>
      <c r="B479" s="273"/>
      <c r="C479" s="273"/>
      <c r="D479" s="273"/>
      <c r="E479" s="273"/>
      <c r="F479" s="273"/>
      <c r="G479" s="273"/>
      <c r="H479" s="273"/>
      <c r="I479" s="273"/>
      <c r="J479" s="273"/>
      <c r="K479" s="273"/>
      <c r="L479" s="274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4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</row>
    <row r="480" spans="1:35" ht="14.25" customHeight="1">
      <c r="A480" s="273"/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4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4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</row>
    <row r="481" spans="1:35" ht="14.25" customHeight="1">
      <c r="A481" s="273"/>
      <c r="B481" s="273"/>
      <c r="C481" s="273"/>
      <c r="D481" s="273"/>
      <c r="E481" s="273"/>
      <c r="F481" s="273"/>
      <c r="G481" s="273"/>
      <c r="H481" s="273"/>
      <c r="I481" s="273"/>
      <c r="J481" s="273"/>
      <c r="K481" s="273"/>
      <c r="L481" s="274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4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</row>
    <row r="482" spans="1:35" ht="14.25" customHeight="1">
      <c r="A482" s="273"/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4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4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</row>
    <row r="483" spans="1:35" ht="14.25" customHeight="1">
      <c r="A483" s="273"/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4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4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</row>
    <row r="484" spans="1:35" ht="14.25" customHeight="1">
      <c r="A484" s="273"/>
      <c r="B484" s="273"/>
      <c r="C484" s="273"/>
      <c r="D484" s="273"/>
      <c r="E484" s="273"/>
      <c r="F484" s="273"/>
      <c r="G484" s="273"/>
      <c r="H484" s="273"/>
      <c r="I484" s="273"/>
      <c r="J484" s="273"/>
      <c r="K484" s="273"/>
      <c r="L484" s="274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4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</row>
    <row r="485" spans="1:35" ht="14.25" customHeight="1">
      <c r="A485" s="273"/>
      <c r="B485" s="273"/>
      <c r="C485" s="273"/>
      <c r="D485" s="273"/>
      <c r="E485" s="273"/>
      <c r="F485" s="273"/>
      <c r="G485" s="273"/>
      <c r="H485" s="273"/>
      <c r="I485" s="273"/>
      <c r="J485" s="273"/>
      <c r="K485" s="273"/>
      <c r="L485" s="274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4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</row>
    <row r="486" spans="1:35" ht="14.25" customHeight="1">
      <c r="A486" s="273"/>
      <c r="B486" s="273"/>
      <c r="C486" s="273"/>
      <c r="D486" s="273"/>
      <c r="E486" s="273"/>
      <c r="F486" s="273"/>
      <c r="G486" s="273"/>
      <c r="H486" s="273"/>
      <c r="I486" s="273"/>
      <c r="J486" s="273"/>
      <c r="K486" s="273"/>
      <c r="L486" s="274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4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</row>
    <row r="487" spans="1:35" ht="14.25" customHeight="1">
      <c r="A487" s="273"/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4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4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</row>
    <row r="488" spans="1:35" ht="14.25" customHeight="1">
      <c r="A488" s="273"/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4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4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</row>
    <row r="489" spans="1:35" ht="14.25" customHeight="1">
      <c r="A489" s="273"/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4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4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</row>
    <row r="490" spans="1:35" ht="14.25" customHeight="1">
      <c r="A490" s="273"/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4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4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</row>
    <row r="491" spans="1:35" ht="14.25" customHeight="1">
      <c r="A491" s="273"/>
      <c r="B491" s="273"/>
      <c r="C491" s="273"/>
      <c r="D491" s="273"/>
      <c r="E491" s="273"/>
      <c r="F491" s="273"/>
      <c r="G491" s="273"/>
      <c r="H491" s="273"/>
      <c r="I491" s="273"/>
      <c r="J491" s="273"/>
      <c r="K491" s="273"/>
      <c r="L491" s="274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4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</row>
    <row r="492" spans="1:35" ht="14.25" customHeight="1">
      <c r="A492" s="273"/>
      <c r="B492" s="273"/>
      <c r="C492" s="273"/>
      <c r="D492" s="273"/>
      <c r="E492" s="273"/>
      <c r="F492" s="273"/>
      <c r="G492" s="273"/>
      <c r="H492" s="273"/>
      <c r="I492" s="273"/>
      <c r="J492" s="273"/>
      <c r="K492" s="273"/>
      <c r="L492" s="274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4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</row>
    <row r="493" spans="1:35" ht="14.25" customHeight="1">
      <c r="A493" s="273"/>
      <c r="B493" s="273"/>
      <c r="C493" s="273"/>
      <c r="D493" s="273"/>
      <c r="E493" s="273"/>
      <c r="F493" s="273"/>
      <c r="G493" s="273"/>
      <c r="H493" s="273"/>
      <c r="I493" s="273"/>
      <c r="J493" s="273"/>
      <c r="K493" s="273"/>
      <c r="L493" s="274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4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</row>
    <row r="494" spans="1:35" ht="14.25" customHeight="1">
      <c r="A494" s="273"/>
      <c r="B494" s="273"/>
      <c r="C494" s="273"/>
      <c r="D494" s="273"/>
      <c r="E494" s="273"/>
      <c r="F494" s="273"/>
      <c r="G494" s="273"/>
      <c r="H494" s="273"/>
      <c r="I494" s="273"/>
      <c r="J494" s="273"/>
      <c r="K494" s="273"/>
      <c r="L494" s="274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4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</row>
    <row r="495" spans="1:35" ht="14.25" customHeight="1">
      <c r="A495" s="273"/>
      <c r="B495" s="273"/>
      <c r="C495" s="273"/>
      <c r="D495" s="273"/>
      <c r="E495" s="273"/>
      <c r="F495" s="273"/>
      <c r="G495" s="273"/>
      <c r="H495" s="273"/>
      <c r="I495" s="273"/>
      <c r="J495" s="273"/>
      <c r="K495" s="273"/>
      <c r="L495" s="274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4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</row>
    <row r="496" spans="1:35" ht="14.25" customHeight="1">
      <c r="A496" s="273"/>
      <c r="B496" s="273"/>
      <c r="C496" s="273"/>
      <c r="D496" s="273"/>
      <c r="E496" s="273"/>
      <c r="F496" s="273"/>
      <c r="G496" s="273"/>
      <c r="H496" s="273"/>
      <c r="I496" s="273"/>
      <c r="J496" s="273"/>
      <c r="K496" s="273"/>
      <c r="L496" s="274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4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</row>
    <row r="497" spans="1:35" ht="14.25" customHeight="1">
      <c r="A497" s="273"/>
      <c r="B497" s="273"/>
      <c r="C497" s="273"/>
      <c r="D497" s="273"/>
      <c r="E497" s="273"/>
      <c r="F497" s="273"/>
      <c r="G497" s="273"/>
      <c r="H497" s="273"/>
      <c r="I497" s="273"/>
      <c r="J497" s="273"/>
      <c r="K497" s="273"/>
      <c r="L497" s="274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4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</row>
    <row r="498" spans="1:35" ht="14.25" customHeight="1">
      <c r="A498" s="273"/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4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4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</row>
    <row r="499" spans="1:35" ht="14.25" customHeight="1">
      <c r="A499" s="273"/>
      <c r="B499" s="273"/>
      <c r="C499" s="273"/>
      <c r="D499" s="273"/>
      <c r="E499" s="273"/>
      <c r="F499" s="273"/>
      <c r="G499" s="273"/>
      <c r="H499" s="273"/>
      <c r="I499" s="273"/>
      <c r="J499" s="273"/>
      <c r="K499" s="273"/>
      <c r="L499" s="274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4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</row>
    <row r="500" spans="1:35" ht="14.25" customHeight="1">
      <c r="A500" s="273"/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4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4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</row>
    <row r="501" spans="1:35" ht="14.25" customHeight="1">
      <c r="A501" s="273"/>
      <c r="B501" s="273"/>
      <c r="C501" s="273"/>
      <c r="D501" s="273"/>
      <c r="E501" s="273"/>
      <c r="F501" s="273"/>
      <c r="G501" s="273"/>
      <c r="H501" s="273"/>
      <c r="I501" s="273"/>
      <c r="J501" s="273"/>
      <c r="K501" s="273"/>
      <c r="L501" s="274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4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</row>
    <row r="502" spans="1:35" ht="14.25" customHeight="1">
      <c r="A502" s="273"/>
      <c r="B502" s="273"/>
      <c r="C502" s="273"/>
      <c r="D502" s="273"/>
      <c r="E502" s="273"/>
      <c r="F502" s="273"/>
      <c r="G502" s="273"/>
      <c r="H502" s="273"/>
      <c r="I502" s="273"/>
      <c r="J502" s="273"/>
      <c r="K502" s="273"/>
      <c r="L502" s="274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4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</row>
    <row r="503" spans="1:35" ht="14.25" customHeight="1">
      <c r="A503" s="273"/>
      <c r="B503" s="273"/>
      <c r="C503" s="273"/>
      <c r="D503" s="273"/>
      <c r="E503" s="273"/>
      <c r="F503" s="273"/>
      <c r="G503" s="273"/>
      <c r="H503" s="273"/>
      <c r="I503" s="273"/>
      <c r="J503" s="273"/>
      <c r="K503" s="273"/>
      <c r="L503" s="274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4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</row>
    <row r="504" spans="1:35" ht="14.25" customHeight="1">
      <c r="A504" s="273"/>
      <c r="B504" s="273"/>
      <c r="C504" s="273"/>
      <c r="D504" s="273"/>
      <c r="E504" s="273"/>
      <c r="F504" s="273"/>
      <c r="G504" s="273"/>
      <c r="H504" s="273"/>
      <c r="I504" s="273"/>
      <c r="J504" s="273"/>
      <c r="K504" s="273"/>
      <c r="L504" s="274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4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</row>
    <row r="505" spans="1:35" ht="14.25" customHeight="1">
      <c r="A505" s="273"/>
      <c r="B505" s="273"/>
      <c r="C505" s="273"/>
      <c r="D505" s="273"/>
      <c r="E505" s="273"/>
      <c r="F505" s="273"/>
      <c r="G505" s="273"/>
      <c r="H505" s="273"/>
      <c r="I505" s="273"/>
      <c r="J505" s="273"/>
      <c r="K505" s="273"/>
      <c r="L505" s="274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4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</row>
    <row r="506" spans="1:35" ht="14.25" customHeight="1">
      <c r="A506" s="273"/>
      <c r="B506" s="273"/>
      <c r="C506" s="273"/>
      <c r="D506" s="273"/>
      <c r="E506" s="273"/>
      <c r="F506" s="273"/>
      <c r="G506" s="273"/>
      <c r="H506" s="273"/>
      <c r="I506" s="273"/>
      <c r="J506" s="273"/>
      <c r="K506" s="273"/>
      <c r="L506" s="274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4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</row>
    <row r="507" spans="1:35" ht="14.25" customHeight="1">
      <c r="A507" s="273"/>
      <c r="B507" s="273"/>
      <c r="C507" s="273"/>
      <c r="D507" s="273"/>
      <c r="E507" s="273"/>
      <c r="F507" s="273"/>
      <c r="G507" s="273"/>
      <c r="H507" s="273"/>
      <c r="I507" s="273"/>
      <c r="J507" s="273"/>
      <c r="K507" s="273"/>
      <c r="L507" s="274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4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</row>
    <row r="508" spans="1:35" ht="14.25" customHeight="1">
      <c r="A508" s="273"/>
      <c r="B508" s="273"/>
      <c r="C508" s="273"/>
      <c r="D508" s="273"/>
      <c r="E508" s="273"/>
      <c r="F508" s="273"/>
      <c r="G508" s="273"/>
      <c r="H508" s="273"/>
      <c r="I508" s="273"/>
      <c r="J508" s="273"/>
      <c r="K508" s="273"/>
      <c r="L508" s="274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4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</row>
    <row r="509" spans="1:35" ht="14.25" customHeight="1">
      <c r="A509" s="273"/>
      <c r="B509" s="273"/>
      <c r="C509" s="273"/>
      <c r="D509" s="273"/>
      <c r="E509" s="273"/>
      <c r="F509" s="273"/>
      <c r="G509" s="273"/>
      <c r="H509" s="273"/>
      <c r="I509" s="273"/>
      <c r="J509" s="273"/>
      <c r="K509" s="273"/>
      <c r="L509" s="274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4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</row>
    <row r="510" spans="1:35" ht="14.25" customHeight="1">
      <c r="A510" s="273"/>
      <c r="B510" s="273"/>
      <c r="C510" s="273"/>
      <c r="D510" s="273"/>
      <c r="E510" s="273"/>
      <c r="F510" s="273"/>
      <c r="G510" s="273"/>
      <c r="H510" s="273"/>
      <c r="I510" s="273"/>
      <c r="J510" s="273"/>
      <c r="K510" s="273"/>
      <c r="L510" s="274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4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</row>
    <row r="511" spans="1:35" ht="14.25" customHeight="1">
      <c r="A511" s="273"/>
      <c r="B511" s="273"/>
      <c r="C511" s="273"/>
      <c r="D511" s="273"/>
      <c r="E511" s="273"/>
      <c r="F511" s="273"/>
      <c r="G511" s="273"/>
      <c r="H511" s="273"/>
      <c r="I511" s="273"/>
      <c r="J511" s="273"/>
      <c r="K511" s="273"/>
      <c r="L511" s="274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4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</row>
    <row r="512" spans="1:35" ht="14.25" customHeight="1">
      <c r="A512" s="273"/>
      <c r="B512" s="273"/>
      <c r="C512" s="273"/>
      <c r="D512" s="273"/>
      <c r="E512" s="273"/>
      <c r="F512" s="273"/>
      <c r="G512" s="273"/>
      <c r="H512" s="273"/>
      <c r="I512" s="273"/>
      <c r="J512" s="273"/>
      <c r="K512" s="273"/>
      <c r="L512" s="274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4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</row>
    <row r="513" spans="1:35" ht="14.25" customHeight="1">
      <c r="A513" s="273"/>
      <c r="B513" s="273"/>
      <c r="C513" s="273"/>
      <c r="D513" s="273"/>
      <c r="E513" s="273"/>
      <c r="F513" s="273"/>
      <c r="G513" s="273"/>
      <c r="H513" s="273"/>
      <c r="I513" s="273"/>
      <c r="J513" s="273"/>
      <c r="K513" s="273"/>
      <c r="L513" s="274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4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</row>
    <row r="514" spans="1:35" ht="14.25" customHeight="1">
      <c r="A514" s="273"/>
      <c r="B514" s="273"/>
      <c r="C514" s="273"/>
      <c r="D514" s="273"/>
      <c r="E514" s="273"/>
      <c r="F514" s="273"/>
      <c r="G514" s="273"/>
      <c r="H514" s="273"/>
      <c r="I514" s="273"/>
      <c r="J514" s="273"/>
      <c r="K514" s="273"/>
      <c r="L514" s="274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4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</row>
    <row r="515" spans="1:35" ht="14.25" customHeight="1">
      <c r="A515" s="273"/>
      <c r="B515" s="273"/>
      <c r="C515" s="273"/>
      <c r="D515" s="273"/>
      <c r="E515" s="273"/>
      <c r="F515" s="273"/>
      <c r="G515" s="273"/>
      <c r="H515" s="273"/>
      <c r="I515" s="273"/>
      <c r="J515" s="273"/>
      <c r="K515" s="273"/>
      <c r="L515" s="274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4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</row>
    <row r="516" spans="1:35" ht="14.25" customHeight="1">
      <c r="A516" s="273"/>
      <c r="B516" s="273"/>
      <c r="C516" s="273"/>
      <c r="D516" s="273"/>
      <c r="E516" s="273"/>
      <c r="F516" s="273"/>
      <c r="G516" s="273"/>
      <c r="H516" s="273"/>
      <c r="I516" s="273"/>
      <c r="J516" s="273"/>
      <c r="K516" s="273"/>
      <c r="L516" s="274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4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</row>
    <row r="517" spans="1:35" ht="14.25" customHeight="1">
      <c r="A517" s="273"/>
      <c r="B517" s="273"/>
      <c r="C517" s="273"/>
      <c r="D517" s="273"/>
      <c r="E517" s="273"/>
      <c r="F517" s="273"/>
      <c r="G517" s="273"/>
      <c r="H517" s="273"/>
      <c r="I517" s="273"/>
      <c r="J517" s="273"/>
      <c r="K517" s="273"/>
      <c r="L517" s="274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4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</row>
    <row r="518" spans="1:35" ht="14.25" customHeight="1">
      <c r="A518" s="273"/>
      <c r="B518" s="273"/>
      <c r="C518" s="273"/>
      <c r="D518" s="273"/>
      <c r="E518" s="273"/>
      <c r="F518" s="273"/>
      <c r="G518" s="273"/>
      <c r="H518" s="273"/>
      <c r="I518" s="273"/>
      <c r="J518" s="273"/>
      <c r="K518" s="273"/>
      <c r="L518" s="274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4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</row>
    <row r="519" spans="1:35" ht="14.25" customHeight="1">
      <c r="A519" s="273"/>
      <c r="B519" s="273"/>
      <c r="C519" s="273"/>
      <c r="D519" s="273"/>
      <c r="E519" s="273"/>
      <c r="F519" s="273"/>
      <c r="G519" s="273"/>
      <c r="H519" s="273"/>
      <c r="I519" s="273"/>
      <c r="J519" s="273"/>
      <c r="K519" s="273"/>
      <c r="L519" s="274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4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</row>
    <row r="520" spans="1:35" ht="14.25" customHeight="1">
      <c r="A520" s="273"/>
      <c r="B520" s="273"/>
      <c r="C520" s="273"/>
      <c r="D520" s="273"/>
      <c r="E520" s="273"/>
      <c r="F520" s="273"/>
      <c r="G520" s="273"/>
      <c r="H520" s="273"/>
      <c r="I520" s="273"/>
      <c r="J520" s="273"/>
      <c r="K520" s="273"/>
      <c r="L520" s="274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4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</row>
    <row r="521" spans="1:35" ht="14.25" customHeight="1">
      <c r="A521" s="273"/>
      <c r="B521" s="273"/>
      <c r="C521" s="273"/>
      <c r="D521" s="273"/>
      <c r="E521" s="273"/>
      <c r="F521" s="273"/>
      <c r="G521" s="273"/>
      <c r="H521" s="273"/>
      <c r="I521" s="273"/>
      <c r="J521" s="273"/>
      <c r="K521" s="273"/>
      <c r="L521" s="274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4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</row>
    <row r="522" spans="1:35" ht="14.25" customHeight="1">
      <c r="A522" s="273"/>
      <c r="B522" s="273"/>
      <c r="C522" s="273"/>
      <c r="D522" s="273"/>
      <c r="E522" s="273"/>
      <c r="F522" s="273"/>
      <c r="G522" s="273"/>
      <c r="H522" s="273"/>
      <c r="I522" s="273"/>
      <c r="J522" s="273"/>
      <c r="K522" s="273"/>
      <c r="L522" s="274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4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</row>
    <row r="523" spans="1:35" ht="14.25" customHeight="1">
      <c r="A523" s="273"/>
      <c r="B523" s="273"/>
      <c r="C523" s="273"/>
      <c r="D523" s="273"/>
      <c r="E523" s="273"/>
      <c r="F523" s="273"/>
      <c r="G523" s="273"/>
      <c r="H523" s="273"/>
      <c r="I523" s="273"/>
      <c r="J523" s="273"/>
      <c r="K523" s="273"/>
      <c r="L523" s="274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4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</row>
    <row r="524" spans="1:35" ht="14.25" customHeight="1">
      <c r="A524" s="273"/>
      <c r="B524" s="273"/>
      <c r="C524" s="273"/>
      <c r="D524" s="273"/>
      <c r="E524" s="273"/>
      <c r="F524" s="273"/>
      <c r="G524" s="273"/>
      <c r="H524" s="273"/>
      <c r="I524" s="273"/>
      <c r="J524" s="273"/>
      <c r="K524" s="273"/>
      <c r="L524" s="274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4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</row>
    <row r="525" spans="1:35" ht="14.25" customHeight="1">
      <c r="A525" s="273"/>
      <c r="B525" s="273"/>
      <c r="C525" s="273"/>
      <c r="D525" s="273"/>
      <c r="E525" s="273"/>
      <c r="F525" s="273"/>
      <c r="G525" s="273"/>
      <c r="H525" s="273"/>
      <c r="I525" s="273"/>
      <c r="J525" s="273"/>
      <c r="K525" s="273"/>
      <c r="L525" s="274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4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</row>
    <row r="526" spans="1:35" ht="14.25" customHeight="1">
      <c r="A526" s="273"/>
      <c r="B526" s="273"/>
      <c r="C526" s="273"/>
      <c r="D526" s="273"/>
      <c r="E526" s="273"/>
      <c r="F526" s="273"/>
      <c r="G526" s="273"/>
      <c r="H526" s="273"/>
      <c r="I526" s="273"/>
      <c r="J526" s="273"/>
      <c r="K526" s="273"/>
      <c r="L526" s="274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4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</row>
    <row r="527" spans="1:35" ht="14.25" customHeight="1">
      <c r="A527" s="273"/>
      <c r="B527" s="273"/>
      <c r="C527" s="273"/>
      <c r="D527" s="273"/>
      <c r="E527" s="273"/>
      <c r="F527" s="273"/>
      <c r="G527" s="273"/>
      <c r="H527" s="273"/>
      <c r="I527" s="273"/>
      <c r="J527" s="273"/>
      <c r="K527" s="273"/>
      <c r="L527" s="274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4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</row>
    <row r="528" spans="1:35" ht="14.25" customHeight="1">
      <c r="A528" s="273"/>
      <c r="B528" s="273"/>
      <c r="C528" s="273"/>
      <c r="D528" s="273"/>
      <c r="E528" s="273"/>
      <c r="F528" s="273"/>
      <c r="G528" s="273"/>
      <c r="H528" s="273"/>
      <c r="I528" s="273"/>
      <c r="J528" s="273"/>
      <c r="K528" s="273"/>
      <c r="L528" s="274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4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</row>
    <row r="529" spans="1:35" ht="14.25" customHeight="1">
      <c r="A529" s="273"/>
      <c r="B529" s="273"/>
      <c r="C529" s="273"/>
      <c r="D529" s="273"/>
      <c r="E529" s="273"/>
      <c r="F529" s="273"/>
      <c r="G529" s="273"/>
      <c r="H529" s="273"/>
      <c r="I529" s="273"/>
      <c r="J529" s="273"/>
      <c r="K529" s="273"/>
      <c r="L529" s="274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4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</row>
    <row r="530" spans="1:35" ht="14.25" customHeight="1">
      <c r="A530" s="273"/>
      <c r="B530" s="273"/>
      <c r="C530" s="273"/>
      <c r="D530" s="273"/>
      <c r="E530" s="273"/>
      <c r="F530" s="273"/>
      <c r="G530" s="273"/>
      <c r="H530" s="273"/>
      <c r="I530" s="273"/>
      <c r="J530" s="273"/>
      <c r="K530" s="273"/>
      <c r="L530" s="274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4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</row>
    <row r="531" spans="1:35" ht="14.25" customHeight="1">
      <c r="A531" s="273"/>
      <c r="B531" s="273"/>
      <c r="C531" s="273"/>
      <c r="D531" s="273"/>
      <c r="E531" s="273"/>
      <c r="F531" s="273"/>
      <c r="G531" s="273"/>
      <c r="H531" s="273"/>
      <c r="I531" s="273"/>
      <c r="J531" s="273"/>
      <c r="K531" s="273"/>
      <c r="L531" s="274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4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</row>
    <row r="532" spans="1:35" ht="14.25" customHeight="1">
      <c r="A532" s="273"/>
      <c r="B532" s="273"/>
      <c r="C532" s="273"/>
      <c r="D532" s="273"/>
      <c r="E532" s="273"/>
      <c r="F532" s="273"/>
      <c r="G532" s="273"/>
      <c r="H532" s="273"/>
      <c r="I532" s="273"/>
      <c r="J532" s="273"/>
      <c r="K532" s="273"/>
      <c r="L532" s="274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4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</row>
    <row r="533" spans="1:35" ht="14.25" customHeight="1">
      <c r="A533" s="273"/>
      <c r="B533" s="273"/>
      <c r="C533" s="273"/>
      <c r="D533" s="273"/>
      <c r="E533" s="273"/>
      <c r="F533" s="273"/>
      <c r="G533" s="273"/>
      <c r="H533" s="273"/>
      <c r="I533" s="273"/>
      <c r="J533" s="273"/>
      <c r="K533" s="273"/>
      <c r="L533" s="274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4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</row>
    <row r="534" spans="1:35" ht="14.25" customHeight="1">
      <c r="A534" s="273"/>
      <c r="B534" s="273"/>
      <c r="C534" s="273"/>
      <c r="D534" s="273"/>
      <c r="E534" s="273"/>
      <c r="F534" s="273"/>
      <c r="G534" s="273"/>
      <c r="H534" s="273"/>
      <c r="I534" s="273"/>
      <c r="J534" s="273"/>
      <c r="K534" s="273"/>
      <c r="L534" s="274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4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</row>
    <row r="535" spans="1:35" ht="14.25" customHeight="1">
      <c r="A535" s="273"/>
      <c r="B535" s="273"/>
      <c r="C535" s="273"/>
      <c r="D535" s="273"/>
      <c r="E535" s="273"/>
      <c r="F535" s="273"/>
      <c r="G535" s="273"/>
      <c r="H535" s="273"/>
      <c r="I535" s="273"/>
      <c r="J535" s="273"/>
      <c r="K535" s="273"/>
      <c r="L535" s="274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4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</row>
    <row r="536" spans="1:35" ht="14.25" customHeight="1">
      <c r="A536" s="273"/>
      <c r="B536" s="273"/>
      <c r="C536" s="273"/>
      <c r="D536" s="273"/>
      <c r="E536" s="273"/>
      <c r="F536" s="273"/>
      <c r="G536" s="273"/>
      <c r="H536" s="273"/>
      <c r="I536" s="273"/>
      <c r="J536" s="273"/>
      <c r="K536" s="273"/>
      <c r="L536" s="274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4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</row>
    <row r="537" spans="1:35" ht="14.25" customHeight="1">
      <c r="A537" s="273"/>
      <c r="B537" s="273"/>
      <c r="C537" s="273"/>
      <c r="D537" s="273"/>
      <c r="E537" s="273"/>
      <c r="F537" s="273"/>
      <c r="G537" s="273"/>
      <c r="H537" s="273"/>
      <c r="I537" s="273"/>
      <c r="J537" s="273"/>
      <c r="K537" s="273"/>
      <c r="L537" s="274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4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</row>
    <row r="538" spans="1:35" ht="14.25" customHeight="1">
      <c r="A538" s="273"/>
      <c r="B538" s="273"/>
      <c r="C538" s="273"/>
      <c r="D538" s="273"/>
      <c r="E538" s="273"/>
      <c r="F538" s="273"/>
      <c r="G538" s="273"/>
      <c r="H538" s="273"/>
      <c r="I538" s="273"/>
      <c r="J538" s="273"/>
      <c r="K538" s="273"/>
      <c r="L538" s="274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4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</row>
    <row r="539" spans="1:35" ht="14.25" customHeight="1">
      <c r="A539" s="273"/>
      <c r="B539" s="273"/>
      <c r="C539" s="273"/>
      <c r="D539" s="273"/>
      <c r="E539" s="273"/>
      <c r="F539" s="273"/>
      <c r="G539" s="273"/>
      <c r="H539" s="273"/>
      <c r="I539" s="273"/>
      <c r="J539" s="273"/>
      <c r="K539" s="273"/>
      <c r="L539" s="274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4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</row>
    <row r="540" spans="1:35" ht="14.25" customHeight="1">
      <c r="A540" s="273"/>
      <c r="B540" s="273"/>
      <c r="C540" s="273"/>
      <c r="D540" s="273"/>
      <c r="E540" s="273"/>
      <c r="F540" s="273"/>
      <c r="G540" s="273"/>
      <c r="H540" s="273"/>
      <c r="I540" s="273"/>
      <c r="J540" s="273"/>
      <c r="K540" s="273"/>
      <c r="L540" s="274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4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</row>
    <row r="541" spans="1:35" ht="14.25" customHeight="1">
      <c r="A541" s="273"/>
      <c r="B541" s="273"/>
      <c r="C541" s="273"/>
      <c r="D541" s="273"/>
      <c r="E541" s="273"/>
      <c r="F541" s="273"/>
      <c r="G541" s="273"/>
      <c r="H541" s="273"/>
      <c r="I541" s="273"/>
      <c r="J541" s="273"/>
      <c r="K541" s="273"/>
      <c r="L541" s="274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4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</row>
    <row r="542" spans="1:35" ht="14.25" customHeight="1">
      <c r="A542" s="273"/>
      <c r="B542" s="273"/>
      <c r="C542" s="273"/>
      <c r="D542" s="273"/>
      <c r="E542" s="273"/>
      <c r="F542" s="273"/>
      <c r="G542" s="273"/>
      <c r="H542" s="273"/>
      <c r="I542" s="273"/>
      <c r="J542" s="273"/>
      <c r="K542" s="273"/>
      <c r="L542" s="274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4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</row>
    <row r="543" spans="1:35" ht="14.25" customHeight="1">
      <c r="A543" s="273"/>
      <c r="B543" s="273"/>
      <c r="C543" s="273"/>
      <c r="D543" s="273"/>
      <c r="E543" s="273"/>
      <c r="F543" s="273"/>
      <c r="G543" s="273"/>
      <c r="H543" s="273"/>
      <c r="I543" s="273"/>
      <c r="J543" s="273"/>
      <c r="K543" s="273"/>
      <c r="L543" s="274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4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</row>
    <row r="544" spans="1:35" ht="14.25" customHeight="1">
      <c r="A544" s="273"/>
      <c r="B544" s="273"/>
      <c r="C544" s="273"/>
      <c r="D544" s="273"/>
      <c r="E544" s="273"/>
      <c r="F544" s="273"/>
      <c r="G544" s="273"/>
      <c r="H544" s="273"/>
      <c r="I544" s="273"/>
      <c r="J544" s="273"/>
      <c r="K544" s="273"/>
      <c r="L544" s="274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4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</row>
    <row r="545" spans="1:35" ht="14.25" customHeight="1">
      <c r="A545" s="273"/>
      <c r="B545" s="273"/>
      <c r="C545" s="273"/>
      <c r="D545" s="273"/>
      <c r="E545" s="273"/>
      <c r="F545" s="273"/>
      <c r="G545" s="273"/>
      <c r="H545" s="273"/>
      <c r="I545" s="273"/>
      <c r="J545" s="273"/>
      <c r="K545" s="273"/>
      <c r="L545" s="274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4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</row>
    <row r="546" spans="1:35" ht="14.25" customHeight="1">
      <c r="A546" s="273"/>
      <c r="B546" s="273"/>
      <c r="C546" s="273"/>
      <c r="D546" s="273"/>
      <c r="E546" s="273"/>
      <c r="F546" s="273"/>
      <c r="G546" s="273"/>
      <c r="H546" s="273"/>
      <c r="I546" s="273"/>
      <c r="J546" s="273"/>
      <c r="K546" s="273"/>
      <c r="L546" s="274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4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</row>
    <row r="547" spans="1:35" ht="14.25" customHeight="1">
      <c r="A547" s="273"/>
      <c r="B547" s="273"/>
      <c r="C547" s="273"/>
      <c r="D547" s="273"/>
      <c r="E547" s="273"/>
      <c r="F547" s="273"/>
      <c r="G547" s="273"/>
      <c r="H547" s="273"/>
      <c r="I547" s="273"/>
      <c r="J547" s="273"/>
      <c r="K547" s="273"/>
      <c r="L547" s="274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4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</row>
    <row r="548" spans="1:35" ht="14.25" customHeight="1">
      <c r="A548" s="273"/>
      <c r="B548" s="273"/>
      <c r="C548" s="273"/>
      <c r="D548" s="273"/>
      <c r="E548" s="273"/>
      <c r="F548" s="273"/>
      <c r="G548" s="273"/>
      <c r="H548" s="273"/>
      <c r="I548" s="273"/>
      <c r="J548" s="273"/>
      <c r="K548" s="273"/>
      <c r="L548" s="274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4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</row>
    <row r="549" spans="1:35" ht="14.25" customHeight="1">
      <c r="A549" s="273"/>
      <c r="B549" s="273"/>
      <c r="C549" s="273"/>
      <c r="D549" s="273"/>
      <c r="E549" s="273"/>
      <c r="F549" s="273"/>
      <c r="G549" s="273"/>
      <c r="H549" s="273"/>
      <c r="I549" s="273"/>
      <c r="J549" s="273"/>
      <c r="K549" s="273"/>
      <c r="L549" s="274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4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</row>
    <row r="550" spans="1:35" ht="14.25" customHeight="1">
      <c r="A550" s="273"/>
      <c r="B550" s="273"/>
      <c r="C550" s="273"/>
      <c r="D550" s="273"/>
      <c r="E550" s="273"/>
      <c r="F550" s="273"/>
      <c r="G550" s="273"/>
      <c r="H550" s="273"/>
      <c r="I550" s="273"/>
      <c r="J550" s="273"/>
      <c r="K550" s="273"/>
      <c r="L550" s="274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4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</row>
    <row r="551" spans="1:35" ht="14.25" customHeight="1">
      <c r="A551" s="273"/>
      <c r="B551" s="273"/>
      <c r="C551" s="273"/>
      <c r="D551" s="273"/>
      <c r="E551" s="273"/>
      <c r="F551" s="273"/>
      <c r="G551" s="273"/>
      <c r="H551" s="273"/>
      <c r="I551" s="273"/>
      <c r="J551" s="273"/>
      <c r="K551" s="273"/>
      <c r="L551" s="274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4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</row>
    <row r="552" spans="1:35" ht="14.25" customHeight="1">
      <c r="A552" s="273"/>
      <c r="B552" s="273"/>
      <c r="C552" s="273"/>
      <c r="D552" s="273"/>
      <c r="E552" s="273"/>
      <c r="F552" s="273"/>
      <c r="G552" s="273"/>
      <c r="H552" s="273"/>
      <c r="I552" s="273"/>
      <c r="J552" s="273"/>
      <c r="K552" s="273"/>
      <c r="L552" s="274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4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</row>
    <row r="553" spans="1:35" ht="14.25" customHeight="1">
      <c r="A553" s="273"/>
      <c r="B553" s="273"/>
      <c r="C553" s="273"/>
      <c r="D553" s="273"/>
      <c r="E553" s="273"/>
      <c r="F553" s="273"/>
      <c r="G553" s="273"/>
      <c r="H553" s="273"/>
      <c r="I553" s="273"/>
      <c r="J553" s="273"/>
      <c r="K553" s="273"/>
      <c r="L553" s="274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4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</row>
    <row r="554" spans="1:35" ht="14.25" customHeight="1">
      <c r="A554" s="273"/>
      <c r="B554" s="273"/>
      <c r="C554" s="273"/>
      <c r="D554" s="273"/>
      <c r="E554" s="273"/>
      <c r="F554" s="273"/>
      <c r="G554" s="273"/>
      <c r="H554" s="273"/>
      <c r="I554" s="273"/>
      <c r="J554" s="273"/>
      <c r="K554" s="273"/>
      <c r="L554" s="274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4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</row>
    <row r="555" spans="1:35" ht="14.25" customHeight="1">
      <c r="A555" s="273"/>
      <c r="B555" s="273"/>
      <c r="C555" s="273"/>
      <c r="D555" s="273"/>
      <c r="E555" s="273"/>
      <c r="F555" s="273"/>
      <c r="G555" s="273"/>
      <c r="H555" s="273"/>
      <c r="I555" s="273"/>
      <c r="J555" s="273"/>
      <c r="K555" s="273"/>
      <c r="L555" s="274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4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</row>
    <row r="556" spans="1:35" ht="14.25" customHeight="1">
      <c r="A556" s="273"/>
      <c r="B556" s="273"/>
      <c r="C556" s="273"/>
      <c r="D556" s="273"/>
      <c r="E556" s="273"/>
      <c r="F556" s="273"/>
      <c r="G556" s="273"/>
      <c r="H556" s="273"/>
      <c r="I556" s="273"/>
      <c r="J556" s="273"/>
      <c r="K556" s="273"/>
      <c r="L556" s="274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4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</row>
    <row r="557" spans="1:35" ht="14.25" customHeight="1">
      <c r="A557" s="273"/>
      <c r="B557" s="273"/>
      <c r="C557" s="273"/>
      <c r="D557" s="273"/>
      <c r="E557" s="273"/>
      <c r="F557" s="273"/>
      <c r="G557" s="273"/>
      <c r="H557" s="273"/>
      <c r="I557" s="273"/>
      <c r="J557" s="273"/>
      <c r="K557" s="273"/>
      <c r="L557" s="274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4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</row>
    <row r="558" spans="1:35" ht="14.25" customHeight="1">
      <c r="A558" s="273"/>
      <c r="B558" s="273"/>
      <c r="C558" s="273"/>
      <c r="D558" s="273"/>
      <c r="E558" s="273"/>
      <c r="F558" s="273"/>
      <c r="G558" s="273"/>
      <c r="H558" s="273"/>
      <c r="I558" s="273"/>
      <c r="J558" s="273"/>
      <c r="K558" s="273"/>
      <c r="L558" s="274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4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</row>
    <row r="559" spans="1:35" ht="14.25" customHeight="1">
      <c r="A559" s="273"/>
      <c r="B559" s="273"/>
      <c r="C559" s="273"/>
      <c r="D559" s="273"/>
      <c r="E559" s="273"/>
      <c r="F559" s="273"/>
      <c r="G559" s="273"/>
      <c r="H559" s="273"/>
      <c r="I559" s="273"/>
      <c r="J559" s="273"/>
      <c r="K559" s="273"/>
      <c r="L559" s="274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4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</row>
    <row r="560" spans="1:35" ht="14.25" customHeight="1">
      <c r="A560" s="273"/>
      <c r="B560" s="273"/>
      <c r="C560" s="273"/>
      <c r="D560" s="273"/>
      <c r="E560" s="273"/>
      <c r="F560" s="273"/>
      <c r="G560" s="273"/>
      <c r="H560" s="273"/>
      <c r="I560" s="273"/>
      <c r="J560" s="273"/>
      <c r="K560" s="273"/>
      <c r="L560" s="274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4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</row>
    <row r="561" spans="1:35" ht="14.25" customHeight="1">
      <c r="A561" s="273"/>
      <c r="B561" s="273"/>
      <c r="C561" s="273"/>
      <c r="D561" s="273"/>
      <c r="E561" s="273"/>
      <c r="F561" s="273"/>
      <c r="G561" s="273"/>
      <c r="H561" s="273"/>
      <c r="I561" s="273"/>
      <c r="J561" s="273"/>
      <c r="K561" s="273"/>
      <c r="L561" s="274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4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</row>
    <row r="562" spans="1:35" ht="14.25" customHeight="1">
      <c r="A562" s="273"/>
      <c r="B562" s="273"/>
      <c r="C562" s="273"/>
      <c r="D562" s="273"/>
      <c r="E562" s="273"/>
      <c r="F562" s="273"/>
      <c r="G562" s="273"/>
      <c r="H562" s="273"/>
      <c r="I562" s="273"/>
      <c r="J562" s="273"/>
      <c r="K562" s="273"/>
      <c r="L562" s="274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4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</row>
    <row r="563" spans="1:35" ht="14.25" customHeight="1">
      <c r="A563" s="273"/>
      <c r="B563" s="273"/>
      <c r="C563" s="273"/>
      <c r="D563" s="273"/>
      <c r="E563" s="273"/>
      <c r="F563" s="273"/>
      <c r="G563" s="273"/>
      <c r="H563" s="273"/>
      <c r="I563" s="273"/>
      <c r="J563" s="273"/>
      <c r="K563" s="273"/>
      <c r="L563" s="274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4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</row>
    <row r="564" spans="1:35" ht="14.25" customHeight="1">
      <c r="A564" s="273"/>
      <c r="B564" s="273"/>
      <c r="C564" s="273"/>
      <c r="D564" s="273"/>
      <c r="E564" s="273"/>
      <c r="F564" s="273"/>
      <c r="G564" s="273"/>
      <c r="H564" s="273"/>
      <c r="I564" s="273"/>
      <c r="J564" s="273"/>
      <c r="K564" s="273"/>
      <c r="L564" s="274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4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</row>
    <row r="565" spans="1:35" ht="14.25" customHeight="1">
      <c r="A565" s="273"/>
      <c r="B565" s="273"/>
      <c r="C565" s="273"/>
      <c r="D565" s="273"/>
      <c r="E565" s="273"/>
      <c r="F565" s="273"/>
      <c r="G565" s="273"/>
      <c r="H565" s="273"/>
      <c r="I565" s="273"/>
      <c r="J565" s="273"/>
      <c r="K565" s="273"/>
      <c r="L565" s="274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4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</row>
    <row r="566" spans="1:35" ht="14.25" customHeight="1">
      <c r="A566" s="273"/>
      <c r="B566" s="273"/>
      <c r="C566" s="273"/>
      <c r="D566" s="273"/>
      <c r="E566" s="273"/>
      <c r="F566" s="273"/>
      <c r="G566" s="273"/>
      <c r="H566" s="273"/>
      <c r="I566" s="273"/>
      <c r="J566" s="273"/>
      <c r="K566" s="273"/>
      <c r="L566" s="274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4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</row>
    <row r="567" spans="1:35" ht="14.25" customHeight="1">
      <c r="A567" s="273"/>
      <c r="B567" s="273"/>
      <c r="C567" s="273"/>
      <c r="D567" s="273"/>
      <c r="E567" s="273"/>
      <c r="F567" s="273"/>
      <c r="G567" s="273"/>
      <c r="H567" s="273"/>
      <c r="I567" s="273"/>
      <c r="J567" s="273"/>
      <c r="K567" s="273"/>
      <c r="L567" s="274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4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</row>
    <row r="568" spans="1:35" ht="14.25" customHeight="1">
      <c r="A568" s="273"/>
      <c r="B568" s="273"/>
      <c r="C568" s="273"/>
      <c r="D568" s="273"/>
      <c r="E568" s="273"/>
      <c r="F568" s="273"/>
      <c r="G568" s="273"/>
      <c r="H568" s="273"/>
      <c r="I568" s="273"/>
      <c r="J568" s="273"/>
      <c r="K568" s="273"/>
      <c r="L568" s="274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4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</row>
    <row r="569" spans="1:35" ht="14.25" customHeight="1">
      <c r="A569" s="273"/>
      <c r="B569" s="273"/>
      <c r="C569" s="273"/>
      <c r="D569" s="273"/>
      <c r="E569" s="273"/>
      <c r="F569" s="273"/>
      <c r="G569" s="273"/>
      <c r="H569" s="273"/>
      <c r="I569" s="273"/>
      <c r="J569" s="273"/>
      <c r="K569" s="273"/>
      <c r="L569" s="274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4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</row>
    <row r="570" spans="1:35" ht="14.25" customHeight="1">
      <c r="A570" s="273"/>
      <c r="B570" s="273"/>
      <c r="C570" s="273"/>
      <c r="D570" s="273"/>
      <c r="E570" s="273"/>
      <c r="F570" s="273"/>
      <c r="G570" s="273"/>
      <c r="H570" s="273"/>
      <c r="I570" s="273"/>
      <c r="J570" s="273"/>
      <c r="K570" s="273"/>
      <c r="L570" s="274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4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</row>
    <row r="571" spans="1:35" ht="14.25" customHeight="1">
      <c r="A571" s="273"/>
      <c r="B571" s="273"/>
      <c r="C571" s="273"/>
      <c r="D571" s="273"/>
      <c r="E571" s="273"/>
      <c r="F571" s="273"/>
      <c r="G571" s="273"/>
      <c r="H571" s="273"/>
      <c r="I571" s="273"/>
      <c r="J571" s="273"/>
      <c r="K571" s="273"/>
      <c r="L571" s="274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4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</row>
    <row r="572" spans="1:35" ht="14.25" customHeight="1">
      <c r="A572" s="273"/>
      <c r="B572" s="273"/>
      <c r="C572" s="273"/>
      <c r="D572" s="273"/>
      <c r="E572" s="273"/>
      <c r="F572" s="273"/>
      <c r="G572" s="273"/>
      <c r="H572" s="273"/>
      <c r="I572" s="273"/>
      <c r="J572" s="273"/>
      <c r="K572" s="273"/>
      <c r="L572" s="274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4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</row>
    <row r="573" spans="1:35" ht="14.25" customHeight="1">
      <c r="A573" s="273"/>
      <c r="B573" s="273"/>
      <c r="C573" s="273"/>
      <c r="D573" s="273"/>
      <c r="E573" s="273"/>
      <c r="F573" s="273"/>
      <c r="G573" s="273"/>
      <c r="H573" s="273"/>
      <c r="I573" s="273"/>
      <c r="J573" s="273"/>
      <c r="K573" s="273"/>
      <c r="L573" s="274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4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</row>
    <row r="574" spans="1:35" ht="14.25" customHeight="1">
      <c r="A574" s="273"/>
      <c r="B574" s="273"/>
      <c r="C574" s="273"/>
      <c r="D574" s="273"/>
      <c r="E574" s="273"/>
      <c r="F574" s="273"/>
      <c r="G574" s="273"/>
      <c r="H574" s="273"/>
      <c r="I574" s="273"/>
      <c r="J574" s="273"/>
      <c r="K574" s="273"/>
      <c r="L574" s="274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4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</row>
    <row r="575" spans="1:35" ht="14.25" customHeight="1">
      <c r="A575" s="273"/>
      <c r="B575" s="273"/>
      <c r="C575" s="273"/>
      <c r="D575" s="273"/>
      <c r="E575" s="273"/>
      <c r="F575" s="273"/>
      <c r="G575" s="273"/>
      <c r="H575" s="273"/>
      <c r="I575" s="273"/>
      <c r="J575" s="273"/>
      <c r="K575" s="273"/>
      <c r="L575" s="274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4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</row>
    <row r="576" spans="1:35" ht="14.25" customHeight="1">
      <c r="A576" s="273"/>
      <c r="B576" s="273"/>
      <c r="C576" s="273"/>
      <c r="D576" s="273"/>
      <c r="E576" s="273"/>
      <c r="F576" s="273"/>
      <c r="G576" s="273"/>
      <c r="H576" s="273"/>
      <c r="I576" s="273"/>
      <c r="J576" s="273"/>
      <c r="K576" s="273"/>
      <c r="L576" s="274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4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</row>
    <row r="577" spans="1:35" ht="14.25" customHeight="1">
      <c r="A577" s="273"/>
      <c r="B577" s="273"/>
      <c r="C577" s="273"/>
      <c r="D577" s="273"/>
      <c r="E577" s="273"/>
      <c r="F577" s="273"/>
      <c r="G577" s="273"/>
      <c r="H577" s="273"/>
      <c r="I577" s="273"/>
      <c r="J577" s="273"/>
      <c r="K577" s="273"/>
      <c r="L577" s="274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4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</row>
    <row r="578" spans="1:35" ht="14.25" customHeight="1">
      <c r="A578" s="273"/>
      <c r="B578" s="273"/>
      <c r="C578" s="273"/>
      <c r="D578" s="273"/>
      <c r="E578" s="273"/>
      <c r="F578" s="273"/>
      <c r="G578" s="273"/>
      <c r="H578" s="273"/>
      <c r="I578" s="273"/>
      <c r="J578" s="273"/>
      <c r="K578" s="273"/>
      <c r="L578" s="274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4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</row>
    <row r="579" spans="1:35" ht="14.25" customHeight="1">
      <c r="A579" s="273"/>
      <c r="B579" s="273"/>
      <c r="C579" s="273"/>
      <c r="D579" s="273"/>
      <c r="E579" s="273"/>
      <c r="F579" s="273"/>
      <c r="G579" s="273"/>
      <c r="H579" s="273"/>
      <c r="I579" s="273"/>
      <c r="J579" s="273"/>
      <c r="K579" s="273"/>
      <c r="L579" s="274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4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</row>
    <row r="580" spans="1:35" ht="14.25" customHeight="1">
      <c r="A580" s="273"/>
      <c r="B580" s="273"/>
      <c r="C580" s="273"/>
      <c r="D580" s="273"/>
      <c r="E580" s="273"/>
      <c r="F580" s="273"/>
      <c r="G580" s="273"/>
      <c r="H580" s="273"/>
      <c r="I580" s="273"/>
      <c r="J580" s="273"/>
      <c r="K580" s="273"/>
      <c r="L580" s="274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4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</row>
    <row r="581" spans="1:35" ht="14.25" customHeight="1">
      <c r="A581" s="273"/>
      <c r="B581" s="273"/>
      <c r="C581" s="273"/>
      <c r="D581" s="273"/>
      <c r="E581" s="273"/>
      <c r="F581" s="273"/>
      <c r="G581" s="273"/>
      <c r="H581" s="273"/>
      <c r="I581" s="273"/>
      <c r="J581" s="273"/>
      <c r="K581" s="273"/>
      <c r="L581" s="274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4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</row>
    <row r="582" spans="1:35" ht="14.25" customHeight="1">
      <c r="A582" s="273"/>
      <c r="B582" s="273"/>
      <c r="C582" s="273"/>
      <c r="D582" s="273"/>
      <c r="E582" s="273"/>
      <c r="F582" s="273"/>
      <c r="G582" s="273"/>
      <c r="H582" s="273"/>
      <c r="I582" s="273"/>
      <c r="J582" s="273"/>
      <c r="K582" s="273"/>
      <c r="L582" s="274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4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</row>
    <row r="583" spans="1:35" ht="14.25" customHeight="1">
      <c r="A583" s="273"/>
      <c r="B583" s="273"/>
      <c r="C583" s="273"/>
      <c r="D583" s="273"/>
      <c r="E583" s="273"/>
      <c r="F583" s="273"/>
      <c r="G583" s="273"/>
      <c r="H583" s="273"/>
      <c r="I583" s="273"/>
      <c r="J583" s="273"/>
      <c r="K583" s="273"/>
      <c r="L583" s="274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4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</row>
    <row r="584" spans="1:35" ht="14.25" customHeight="1">
      <c r="A584" s="273"/>
      <c r="B584" s="273"/>
      <c r="C584" s="273"/>
      <c r="D584" s="273"/>
      <c r="E584" s="273"/>
      <c r="F584" s="273"/>
      <c r="G584" s="273"/>
      <c r="H584" s="273"/>
      <c r="I584" s="273"/>
      <c r="J584" s="273"/>
      <c r="K584" s="273"/>
      <c r="L584" s="274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4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</row>
    <row r="585" spans="1:35" ht="14.25" customHeight="1">
      <c r="A585" s="273"/>
      <c r="B585" s="273"/>
      <c r="C585" s="273"/>
      <c r="D585" s="273"/>
      <c r="E585" s="273"/>
      <c r="F585" s="273"/>
      <c r="G585" s="273"/>
      <c r="H585" s="273"/>
      <c r="I585" s="273"/>
      <c r="J585" s="273"/>
      <c r="K585" s="273"/>
      <c r="L585" s="274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4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</row>
    <row r="586" spans="1:35" ht="14.25" customHeight="1">
      <c r="A586" s="273"/>
      <c r="B586" s="273"/>
      <c r="C586" s="273"/>
      <c r="D586" s="273"/>
      <c r="E586" s="273"/>
      <c r="F586" s="273"/>
      <c r="G586" s="273"/>
      <c r="H586" s="273"/>
      <c r="I586" s="273"/>
      <c r="J586" s="273"/>
      <c r="K586" s="273"/>
      <c r="L586" s="274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4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</row>
    <row r="587" spans="1:35" ht="14.25" customHeight="1">
      <c r="A587" s="273"/>
      <c r="B587" s="273"/>
      <c r="C587" s="273"/>
      <c r="D587" s="273"/>
      <c r="E587" s="273"/>
      <c r="F587" s="273"/>
      <c r="G587" s="273"/>
      <c r="H587" s="273"/>
      <c r="I587" s="273"/>
      <c r="J587" s="273"/>
      <c r="K587" s="273"/>
      <c r="L587" s="274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4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</row>
    <row r="588" spans="1:35" ht="14.25" customHeight="1">
      <c r="A588" s="273"/>
      <c r="B588" s="273"/>
      <c r="C588" s="273"/>
      <c r="D588" s="273"/>
      <c r="E588" s="273"/>
      <c r="F588" s="273"/>
      <c r="G588" s="273"/>
      <c r="H588" s="273"/>
      <c r="I588" s="273"/>
      <c r="J588" s="273"/>
      <c r="K588" s="273"/>
      <c r="L588" s="274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4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</row>
    <row r="589" spans="1:35" ht="14.25" customHeight="1">
      <c r="A589" s="273"/>
      <c r="B589" s="273"/>
      <c r="C589" s="273"/>
      <c r="D589" s="273"/>
      <c r="E589" s="273"/>
      <c r="F589" s="273"/>
      <c r="G589" s="273"/>
      <c r="H589" s="273"/>
      <c r="I589" s="273"/>
      <c r="J589" s="273"/>
      <c r="K589" s="273"/>
      <c r="L589" s="274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4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</row>
    <row r="590" spans="1:35" ht="14.25" customHeight="1">
      <c r="A590" s="273"/>
      <c r="B590" s="273"/>
      <c r="C590" s="273"/>
      <c r="D590" s="273"/>
      <c r="E590" s="273"/>
      <c r="F590" s="273"/>
      <c r="G590" s="273"/>
      <c r="H590" s="273"/>
      <c r="I590" s="273"/>
      <c r="J590" s="273"/>
      <c r="K590" s="273"/>
      <c r="L590" s="274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4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</row>
    <row r="591" spans="1:35" ht="14.25" customHeight="1">
      <c r="A591" s="273"/>
      <c r="B591" s="273"/>
      <c r="C591" s="273"/>
      <c r="D591" s="273"/>
      <c r="E591" s="273"/>
      <c r="F591" s="273"/>
      <c r="G591" s="273"/>
      <c r="H591" s="273"/>
      <c r="I591" s="273"/>
      <c r="J591" s="273"/>
      <c r="K591" s="273"/>
      <c r="L591" s="274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4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</row>
    <row r="592" spans="1:35" ht="14.25" customHeight="1">
      <c r="A592" s="273"/>
      <c r="B592" s="273"/>
      <c r="C592" s="273"/>
      <c r="D592" s="273"/>
      <c r="E592" s="273"/>
      <c r="F592" s="273"/>
      <c r="G592" s="273"/>
      <c r="H592" s="273"/>
      <c r="I592" s="273"/>
      <c r="J592" s="273"/>
      <c r="K592" s="273"/>
      <c r="L592" s="274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4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</row>
    <row r="593" spans="1:35" ht="14.25" customHeight="1">
      <c r="A593" s="273"/>
      <c r="B593" s="273"/>
      <c r="C593" s="273"/>
      <c r="D593" s="273"/>
      <c r="E593" s="273"/>
      <c r="F593" s="273"/>
      <c r="G593" s="273"/>
      <c r="H593" s="273"/>
      <c r="I593" s="273"/>
      <c r="J593" s="273"/>
      <c r="K593" s="273"/>
      <c r="L593" s="274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4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</row>
    <row r="594" spans="1:35" ht="14.25" customHeight="1">
      <c r="A594" s="273"/>
      <c r="B594" s="273"/>
      <c r="C594" s="273"/>
      <c r="D594" s="273"/>
      <c r="E594" s="273"/>
      <c r="F594" s="273"/>
      <c r="G594" s="273"/>
      <c r="H594" s="273"/>
      <c r="I594" s="273"/>
      <c r="J594" s="273"/>
      <c r="K594" s="273"/>
      <c r="L594" s="274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4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</row>
    <row r="595" spans="1:35" ht="14.25" customHeight="1">
      <c r="A595" s="273"/>
      <c r="B595" s="273"/>
      <c r="C595" s="273"/>
      <c r="D595" s="273"/>
      <c r="E595" s="273"/>
      <c r="F595" s="273"/>
      <c r="G595" s="273"/>
      <c r="H595" s="273"/>
      <c r="I595" s="273"/>
      <c r="J595" s="273"/>
      <c r="K595" s="273"/>
      <c r="L595" s="274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4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</row>
    <row r="596" spans="1:35" ht="14.25" customHeight="1">
      <c r="A596" s="273"/>
      <c r="B596" s="273"/>
      <c r="C596" s="273"/>
      <c r="D596" s="273"/>
      <c r="E596" s="273"/>
      <c r="F596" s="273"/>
      <c r="G596" s="273"/>
      <c r="H596" s="273"/>
      <c r="I596" s="273"/>
      <c r="J596" s="273"/>
      <c r="K596" s="273"/>
      <c r="L596" s="274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4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</row>
    <row r="597" spans="1:35" ht="14.25" customHeight="1">
      <c r="A597" s="273"/>
      <c r="B597" s="273"/>
      <c r="C597" s="273"/>
      <c r="D597" s="273"/>
      <c r="E597" s="273"/>
      <c r="F597" s="273"/>
      <c r="G597" s="273"/>
      <c r="H597" s="273"/>
      <c r="I597" s="273"/>
      <c r="J597" s="273"/>
      <c r="K597" s="273"/>
      <c r="L597" s="274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4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</row>
    <row r="598" spans="1:35" ht="14.25" customHeight="1">
      <c r="A598" s="273"/>
      <c r="B598" s="273"/>
      <c r="C598" s="273"/>
      <c r="D598" s="273"/>
      <c r="E598" s="273"/>
      <c r="F598" s="273"/>
      <c r="G598" s="273"/>
      <c r="H598" s="273"/>
      <c r="I598" s="273"/>
      <c r="J598" s="273"/>
      <c r="K598" s="273"/>
      <c r="L598" s="274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4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</row>
    <row r="599" spans="1:35" ht="14.25" customHeight="1">
      <c r="A599" s="273"/>
      <c r="B599" s="273"/>
      <c r="C599" s="273"/>
      <c r="D599" s="273"/>
      <c r="E599" s="273"/>
      <c r="F599" s="273"/>
      <c r="G599" s="273"/>
      <c r="H599" s="273"/>
      <c r="I599" s="273"/>
      <c r="J599" s="273"/>
      <c r="K599" s="273"/>
      <c r="L599" s="274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4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</row>
    <row r="600" spans="1:35" ht="14.25" customHeight="1">
      <c r="A600" s="273"/>
      <c r="B600" s="273"/>
      <c r="C600" s="273"/>
      <c r="D600" s="273"/>
      <c r="E600" s="273"/>
      <c r="F600" s="273"/>
      <c r="G600" s="273"/>
      <c r="H600" s="273"/>
      <c r="I600" s="273"/>
      <c r="J600" s="273"/>
      <c r="K600" s="273"/>
      <c r="L600" s="274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4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</row>
    <row r="601" spans="1:35" ht="14.25" customHeight="1">
      <c r="A601" s="273"/>
      <c r="B601" s="273"/>
      <c r="C601" s="273"/>
      <c r="D601" s="273"/>
      <c r="E601" s="273"/>
      <c r="F601" s="273"/>
      <c r="G601" s="273"/>
      <c r="H601" s="273"/>
      <c r="I601" s="273"/>
      <c r="J601" s="273"/>
      <c r="K601" s="273"/>
      <c r="L601" s="274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4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</row>
    <row r="602" spans="1:35" ht="14.25" customHeight="1">
      <c r="A602" s="273"/>
      <c r="B602" s="273"/>
      <c r="C602" s="273"/>
      <c r="D602" s="273"/>
      <c r="E602" s="273"/>
      <c r="F602" s="273"/>
      <c r="G602" s="273"/>
      <c r="H602" s="273"/>
      <c r="I602" s="273"/>
      <c r="J602" s="273"/>
      <c r="K602" s="273"/>
      <c r="L602" s="274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4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</row>
    <row r="603" spans="1:35" ht="14.25" customHeight="1">
      <c r="A603" s="273"/>
      <c r="B603" s="273"/>
      <c r="C603" s="273"/>
      <c r="D603" s="273"/>
      <c r="E603" s="273"/>
      <c r="F603" s="273"/>
      <c r="G603" s="273"/>
      <c r="H603" s="273"/>
      <c r="I603" s="273"/>
      <c r="J603" s="273"/>
      <c r="K603" s="273"/>
      <c r="L603" s="274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4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</row>
    <row r="604" spans="1:35" ht="14.25" customHeight="1">
      <c r="A604" s="273"/>
      <c r="B604" s="273"/>
      <c r="C604" s="273"/>
      <c r="D604" s="273"/>
      <c r="E604" s="273"/>
      <c r="F604" s="273"/>
      <c r="G604" s="273"/>
      <c r="H604" s="273"/>
      <c r="I604" s="273"/>
      <c r="J604" s="273"/>
      <c r="K604" s="273"/>
      <c r="L604" s="274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4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</row>
    <row r="605" spans="1:35" ht="14.25" customHeight="1">
      <c r="A605" s="273"/>
      <c r="B605" s="273"/>
      <c r="C605" s="273"/>
      <c r="D605" s="273"/>
      <c r="E605" s="273"/>
      <c r="F605" s="273"/>
      <c r="G605" s="273"/>
      <c r="H605" s="273"/>
      <c r="I605" s="273"/>
      <c r="J605" s="273"/>
      <c r="K605" s="273"/>
      <c r="L605" s="274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4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</row>
    <row r="606" spans="1:35" ht="14.25" customHeight="1">
      <c r="A606" s="273"/>
      <c r="B606" s="273"/>
      <c r="C606" s="273"/>
      <c r="D606" s="273"/>
      <c r="E606" s="273"/>
      <c r="F606" s="273"/>
      <c r="G606" s="273"/>
      <c r="H606" s="273"/>
      <c r="I606" s="273"/>
      <c r="J606" s="273"/>
      <c r="K606" s="273"/>
      <c r="L606" s="274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4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</row>
    <row r="607" spans="1:35" ht="14.25" customHeight="1">
      <c r="A607" s="273"/>
      <c r="B607" s="273"/>
      <c r="C607" s="273"/>
      <c r="D607" s="273"/>
      <c r="E607" s="273"/>
      <c r="F607" s="273"/>
      <c r="G607" s="273"/>
      <c r="H607" s="273"/>
      <c r="I607" s="273"/>
      <c r="J607" s="273"/>
      <c r="K607" s="273"/>
      <c r="L607" s="274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4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</row>
    <row r="608" spans="1:35" ht="14.25" customHeight="1">
      <c r="A608" s="273"/>
      <c r="B608" s="273"/>
      <c r="C608" s="273"/>
      <c r="D608" s="273"/>
      <c r="E608" s="273"/>
      <c r="F608" s="273"/>
      <c r="G608" s="273"/>
      <c r="H608" s="273"/>
      <c r="I608" s="273"/>
      <c r="J608" s="273"/>
      <c r="K608" s="273"/>
      <c r="L608" s="274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4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</row>
    <row r="609" spans="1:35" ht="14.25" customHeight="1">
      <c r="A609" s="273"/>
      <c r="B609" s="273"/>
      <c r="C609" s="273"/>
      <c r="D609" s="273"/>
      <c r="E609" s="273"/>
      <c r="F609" s="273"/>
      <c r="G609" s="273"/>
      <c r="H609" s="273"/>
      <c r="I609" s="273"/>
      <c r="J609" s="273"/>
      <c r="K609" s="273"/>
      <c r="L609" s="274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4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</row>
    <row r="610" spans="1:35" ht="14.25" customHeight="1">
      <c r="A610" s="273"/>
      <c r="B610" s="273"/>
      <c r="C610" s="273"/>
      <c r="D610" s="273"/>
      <c r="E610" s="273"/>
      <c r="F610" s="273"/>
      <c r="G610" s="273"/>
      <c r="H610" s="273"/>
      <c r="I610" s="273"/>
      <c r="J610" s="273"/>
      <c r="K610" s="273"/>
      <c r="L610" s="274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4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</row>
    <row r="611" spans="1:35" ht="14.25" customHeight="1">
      <c r="A611" s="273"/>
      <c r="B611" s="273"/>
      <c r="C611" s="273"/>
      <c r="D611" s="273"/>
      <c r="E611" s="273"/>
      <c r="F611" s="273"/>
      <c r="G611" s="273"/>
      <c r="H611" s="273"/>
      <c r="I611" s="273"/>
      <c r="J611" s="273"/>
      <c r="K611" s="273"/>
      <c r="L611" s="274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4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</row>
    <row r="612" spans="1:35" ht="14.25" customHeight="1">
      <c r="A612" s="273"/>
      <c r="B612" s="273"/>
      <c r="C612" s="273"/>
      <c r="D612" s="273"/>
      <c r="E612" s="273"/>
      <c r="F612" s="273"/>
      <c r="G612" s="273"/>
      <c r="H612" s="273"/>
      <c r="I612" s="273"/>
      <c r="J612" s="273"/>
      <c r="K612" s="273"/>
      <c r="L612" s="274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4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</row>
    <row r="613" spans="1:35" ht="14.25" customHeight="1">
      <c r="A613" s="273"/>
      <c r="B613" s="273"/>
      <c r="C613" s="273"/>
      <c r="D613" s="273"/>
      <c r="E613" s="273"/>
      <c r="F613" s="273"/>
      <c r="G613" s="273"/>
      <c r="H613" s="273"/>
      <c r="I613" s="273"/>
      <c r="J613" s="273"/>
      <c r="K613" s="273"/>
      <c r="L613" s="274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4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</row>
    <row r="614" spans="1:35" ht="14.25" customHeight="1">
      <c r="A614" s="273"/>
      <c r="B614" s="273"/>
      <c r="C614" s="273"/>
      <c r="D614" s="273"/>
      <c r="E614" s="273"/>
      <c r="F614" s="273"/>
      <c r="G614" s="273"/>
      <c r="H614" s="273"/>
      <c r="I614" s="273"/>
      <c r="J614" s="273"/>
      <c r="K614" s="273"/>
      <c r="L614" s="274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4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</row>
    <row r="615" spans="1:35" ht="14.25" customHeight="1">
      <c r="A615" s="273"/>
      <c r="B615" s="273"/>
      <c r="C615" s="273"/>
      <c r="D615" s="273"/>
      <c r="E615" s="273"/>
      <c r="F615" s="273"/>
      <c r="G615" s="273"/>
      <c r="H615" s="273"/>
      <c r="I615" s="273"/>
      <c r="J615" s="273"/>
      <c r="K615" s="273"/>
      <c r="L615" s="274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4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</row>
    <row r="616" spans="1:35" ht="14.25" customHeight="1">
      <c r="A616" s="273"/>
      <c r="B616" s="273"/>
      <c r="C616" s="273"/>
      <c r="D616" s="273"/>
      <c r="E616" s="273"/>
      <c r="F616" s="273"/>
      <c r="G616" s="273"/>
      <c r="H616" s="273"/>
      <c r="I616" s="273"/>
      <c r="J616" s="273"/>
      <c r="K616" s="273"/>
      <c r="L616" s="274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4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</row>
    <row r="617" spans="1:35" ht="14.25" customHeight="1">
      <c r="A617" s="273"/>
      <c r="B617" s="273"/>
      <c r="C617" s="273"/>
      <c r="D617" s="273"/>
      <c r="E617" s="273"/>
      <c r="F617" s="273"/>
      <c r="G617" s="273"/>
      <c r="H617" s="273"/>
      <c r="I617" s="273"/>
      <c r="J617" s="273"/>
      <c r="K617" s="273"/>
      <c r="L617" s="274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4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</row>
    <row r="618" spans="1:35" ht="14.25" customHeight="1">
      <c r="A618" s="273"/>
      <c r="B618" s="273"/>
      <c r="C618" s="273"/>
      <c r="D618" s="273"/>
      <c r="E618" s="273"/>
      <c r="F618" s="273"/>
      <c r="G618" s="273"/>
      <c r="H618" s="273"/>
      <c r="I618" s="273"/>
      <c r="J618" s="273"/>
      <c r="K618" s="273"/>
      <c r="L618" s="274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4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</row>
    <row r="619" spans="1:35" ht="14.25" customHeight="1">
      <c r="A619" s="273"/>
      <c r="B619" s="273"/>
      <c r="C619" s="273"/>
      <c r="D619" s="273"/>
      <c r="E619" s="273"/>
      <c r="F619" s="273"/>
      <c r="G619" s="273"/>
      <c r="H619" s="273"/>
      <c r="I619" s="273"/>
      <c r="J619" s="273"/>
      <c r="K619" s="273"/>
      <c r="L619" s="274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4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</row>
    <row r="620" spans="1:35" ht="14.25" customHeight="1">
      <c r="A620" s="273"/>
      <c r="B620" s="273"/>
      <c r="C620" s="273"/>
      <c r="D620" s="273"/>
      <c r="E620" s="273"/>
      <c r="F620" s="273"/>
      <c r="G620" s="273"/>
      <c r="H620" s="273"/>
      <c r="I620" s="273"/>
      <c r="J620" s="273"/>
      <c r="K620" s="273"/>
      <c r="L620" s="274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4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</row>
    <row r="621" spans="1:35" ht="14.25" customHeight="1">
      <c r="A621" s="273"/>
      <c r="B621" s="273"/>
      <c r="C621" s="273"/>
      <c r="D621" s="273"/>
      <c r="E621" s="273"/>
      <c r="F621" s="273"/>
      <c r="G621" s="273"/>
      <c r="H621" s="273"/>
      <c r="I621" s="273"/>
      <c r="J621" s="273"/>
      <c r="K621" s="273"/>
      <c r="L621" s="274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4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</row>
    <row r="622" spans="1:35" ht="14.25" customHeight="1">
      <c r="A622" s="273"/>
      <c r="B622" s="273"/>
      <c r="C622" s="273"/>
      <c r="D622" s="273"/>
      <c r="E622" s="273"/>
      <c r="F622" s="273"/>
      <c r="G622" s="273"/>
      <c r="H622" s="273"/>
      <c r="I622" s="273"/>
      <c r="J622" s="273"/>
      <c r="K622" s="273"/>
      <c r="L622" s="274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4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</row>
    <row r="623" spans="1:35" ht="14.25" customHeight="1">
      <c r="A623" s="273"/>
      <c r="B623" s="273"/>
      <c r="C623" s="273"/>
      <c r="D623" s="273"/>
      <c r="E623" s="273"/>
      <c r="F623" s="273"/>
      <c r="G623" s="273"/>
      <c r="H623" s="273"/>
      <c r="I623" s="273"/>
      <c r="J623" s="273"/>
      <c r="K623" s="273"/>
      <c r="L623" s="274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4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</row>
    <row r="624" spans="1:35" ht="14.25" customHeight="1">
      <c r="A624" s="273"/>
      <c r="B624" s="273"/>
      <c r="C624" s="273"/>
      <c r="D624" s="273"/>
      <c r="E624" s="273"/>
      <c r="F624" s="273"/>
      <c r="G624" s="273"/>
      <c r="H624" s="273"/>
      <c r="I624" s="273"/>
      <c r="J624" s="273"/>
      <c r="K624" s="273"/>
      <c r="L624" s="274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4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</row>
    <row r="625" spans="1:35" ht="14.25" customHeight="1">
      <c r="A625" s="273"/>
      <c r="B625" s="273"/>
      <c r="C625" s="273"/>
      <c r="D625" s="273"/>
      <c r="E625" s="273"/>
      <c r="F625" s="273"/>
      <c r="G625" s="273"/>
      <c r="H625" s="273"/>
      <c r="I625" s="273"/>
      <c r="J625" s="273"/>
      <c r="K625" s="273"/>
      <c r="L625" s="274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4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</row>
    <row r="626" spans="1:35" ht="14.25" customHeight="1">
      <c r="A626" s="273"/>
      <c r="B626" s="273"/>
      <c r="C626" s="273"/>
      <c r="D626" s="273"/>
      <c r="E626" s="273"/>
      <c r="F626" s="273"/>
      <c r="G626" s="273"/>
      <c r="H626" s="273"/>
      <c r="I626" s="273"/>
      <c r="J626" s="273"/>
      <c r="K626" s="273"/>
      <c r="L626" s="274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4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</row>
    <row r="627" spans="1:35" ht="14.25" customHeight="1">
      <c r="A627" s="273"/>
      <c r="B627" s="273"/>
      <c r="C627" s="273"/>
      <c r="D627" s="273"/>
      <c r="E627" s="273"/>
      <c r="F627" s="273"/>
      <c r="G627" s="273"/>
      <c r="H627" s="273"/>
      <c r="I627" s="273"/>
      <c r="J627" s="273"/>
      <c r="K627" s="273"/>
      <c r="L627" s="274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4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</row>
    <row r="628" spans="1:35" ht="14.25" customHeight="1">
      <c r="A628" s="273"/>
      <c r="B628" s="273"/>
      <c r="C628" s="273"/>
      <c r="D628" s="273"/>
      <c r="E628" s="273"/>
      <c r="F628" s="273"/>
      <c r="G628" s="273"/>
      <c r="H628" s="273"/>
      <c r="I628" s="273"/>
      <c r="J628" s="273"/>
      <c r="K628" s="273"/>
      <c r="L628" s="274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4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</row>
    <row r="629" spans="1:35" ht="14.25" customHeight="1">
      <c r="A629" s="273"/>
      <c r="B629" s="273"/>
      <c r="C629" s="273"/>
      <c r="D629" s="273"/>
      <c r="E629" s="273"/>
      <c r="F629" s="273"/>
      <c r="G629" s="273"/>
      <c r="H629" s="273"/>
      <c r="I629" s="273"/>
      <c r="J629" s="273"/>
      <c r="K629" s="273"/>
      <c r="L629" s="274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4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</row>
    <row r="630" spans="1:35" ht="14.25" customHeight="1">
      <c r="A630" s="273"/>
      <c r="B630" s="273"/>
      <c r="C630" s="273"/>
      <c r="D630" s="273"/>
      <c r="E630" s="273"/>
      <c r="F630" s="273"/>
      <c r="G630" s="273"/>
      <c r="H630" s="273"/>
      <c r="I630" s="273"/>
      <c r="J630" s="273"/>
      <c r="K630" s="273"/>
      <c r="L630" s="274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4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</row>
    <row r="631" spans="1:35" ht="14.25" customHeight="1">
      <c r="A631" s="273"/>
      <c r="B631" s="273"/>
      <c r="C631" s="273"/>
      <c r="D631" s="273"/>
      <c r="E631" s="273"/>
      <c r="F631" s="273"/>
      <c r="G631" s="273"/>
      <c r="H631" s="273"/>
      <c r="I631" s="273"/>
      <c r="J631" s="273"/>
      <c r="K631" s="273"/>
      <c r="L631" s="274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4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</row>
    <row r="632" spans="1:35" ht="14.25" customHeight="1">
      <c r="A632" s="273"/>
      <c r="B632" s="273"/>
      <c r="C632" s="273"/>
      <c r="D632" s="273"/>
      <c r="E632" s="273"/>
      <c r="F632" s="273"/>
      <c r="G632" s="273"/>
      <c r="H632" s="273"/>
      <c r="I632" s="273"/>
      <c r="J632" s="273"/>
      <c r="K632" s="273"/>
      <c r="L632" s="274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4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</row>
    <row r="633" spans="1:35" ht="14.25" customHeight="1">
      <c r="A633" s="273"/>
      <c r="B633" s="273"/>
      <c r="C633" s="273"/>
      <c r="D633" s="273"/>
      <c r="E633" s="273"/>
      <c r="F633" s="273"/>
      <c r="G633" s="273"/>
      <c r="H633" s="273"/>
      <c r="I633" s="273"/>
      <c r="J633" s="273"/>
      <c r="K633" s="273"/>
      <c r="L633" s="274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4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</row>
    <row r="634" spans="1:35" ht="14.25" customHeight="1">
      <c r="A634" s="273"/>
      <c r="B634" s="273"/>
      <c r="C634" s="273"/>
      <c r="D634" s="273"/>
      <c r="E634" s="273"/>
      <c r="F634" s="273"/>
      <c r="G634" s="273"/>
      <c r="H634" s="273"/>
      <c r="I634" s="273"/>
      <c r="J634" s="273"/>
      <c r="K634" s="273"/>
      <c r="L634" s="274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4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</row>
    <row r="635" spans="1:35" ht="14.25" customHeight="1">
      <c r="A635" s="273"/>
      <c r="B635" s="273"/>
      <c r="C635" s="273"/>
      <c r="D635" s="273"/>
      <c r="E635" s="273"/>
      <c r="F635" s="273"/>
      <c r="G635" s="273"/>
      <c r="H635" s="273"/>
      <c r="I635" s="273"/>
      <c r="J635" s="273"/>
      <c r="K635" s="273"/>
      <c r="L635" s="274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4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</row>
    <row r="636" spans="1:35" ht="14.25" customHeight="1">
      <c r="A636" s="273"/>
      <c r="B636" s="273"/>
      <c r="C636" s="273"/>
      <c r="D636" s="273"/>
      <c r="E636" s="273"/>
      <c r="F636" s="273"/>
      <c r="G636" s="273"/>
      <c r="H636" s="273"/>
      <c r="I636" s="273"/>
      <c r="J636" s="273"/>
      <c r="K636" s="273"/>
      <c r="L636" s="274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4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</row>
    <row r="637" spans="1:35" ht="14.25" customHeight="1">
      <c r="A637" s="273"/>
      <c r="B637" s="273"/>
      <c r="C637" s="273"/>
      <c r="D637" s="273"/>
      <c r="E637" s="273"/>
      <c r="F637" s="273"/>
      <c r="G637" s="273"/>
      <c r="H637" s="273"/>
      <c r="I637" s="273"/>
      <c r="J637" s="273"/>
      <c r="K637" s="273"/>
      <c r="L637" s="274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4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</row>
    <row r="638" spans="1:35" ht="14.25" customHeight="1">
      <c r="A638" s="273"/>
      <c r="B638" s="273"/>
      <c r="C638" s="273"/>
      <c r="D638" s="273"/>
      <c r="E638" s="273"/>
      <c r="F638" s="273"/>
      <c r="G638" s="273"/>
      <c r="H638" s="273"/>
      <c r="I638" s="273"/>
      <c r="J638" s="273"/>
      <c r="K638" s="273"/>
      <c r="L638" s="274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4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</row>
    <row r="639" spans="1:35" ht="14.25" customHeight="1">
      <c r="A639" s="273"/>
      <c r="B639" s="273"/>
      <c r="C639" s="273"/>
      <c r="D639" s="273"/>
      <c r="E639" s="273"/>
      <c r="F639" s="273"/>
      <c r="G639" s="273"/>
      <c r="H639" s="273"/>
      <c r="I639" s="273"/>
      <c r="J639" s="273"/>
      <c r="K639" s="273"/>
      <c r="L639" s="274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4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</row>
    <row r="640" spans="1:35" ht="14.25" customHeight="1">
      <c r="A640" s="273"/>
      <c r="B640" s="273"/>
      <c r="C640" s="273"/>
      <c r="D640" s="273"/>
      <c r="E640" s="273"/>
      <c r="F640" s="273"/>
      <c r="G640" s="273"/>
      <c r="H640" s="273"/>
      <c r="I640" s="273"/>
      <c r="J640" s="273"/>
      <c r="K640" s="273"/>
      <c r="L640" s="274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4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</row>
    <row r="641" spans="1:35" ht="14.25" customHeight="1">
      <c r="A641" s="273"/>
      <c r="B641" s="273"/>
      <c r="C641" s="273"/>
      <c r="D641" s="273"/>
      <c r="E641" s="273"/>
      <c r="F641" s="273"/>
      <c r="G641" s="273"/>
      <c r="H641" s="273"/>
      <c r="I641" s="273"/>
      <c r="J641" s="273"/>
      <c r="K641" s="273"/>
      <c r="L641" s="274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4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</row>
    <row r="642" spans="1:35" ht="14.25" customHeight="1">
      <c r="A642" s="273"/>
      <c r="B642" s="273"/>
      <c r="C642" s="273"/>
      <c r="D642" s="273"/>
      <c r="E642" s="273"/>
      <c r="F642" s="273"/>
      <c r="G642" s="273"/>
      <c r="H642" s="273"/>
      <c r="I642" s="273"/>
      <c r="J642" s="273"/>
      <c r="K642" s="273"/>
      <c r="L642" s="274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4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</row>
    <row r="643" spans="1:35" ht="14.25" customHeight="1">
      <c r="A643" s="273"/>
      <c r="B643" s="273"/>
      <c r="C643" s="273"/>
      <c r="D643" s="273"/>
      <c r="E643" s="273"/>
      <c r="F643" s="273"/>
      <c r="G643" s="273"/>
      <c r="H643" s="273"/>
      <c r="I643" s="273"/>
      <c r="J643" s="273"/>
      <c r="K643" s="273"/>
      <c r="L643" s="274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4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</row>
    <row r="644" spans="1:35" ht="14.25" customHeight="1">
      <c r="A644" s="273"/>
      <c r="B644" s="273"/>
      <c r="C644" s="273"/>
      <c r="D644" s="273"/>
      <c r="E644" s="273"/>
      <c r="F644" s="273"/>
      <c r="G644" s="273"/>
      <c r="H644" s="273"/>
      <c r="I644" s="273"/>
      <c r="J644" s="273"/>
      <c r="K644" s="273"/>
      <c r="L644" s="274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4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</row>
    <row r="645" spans="1:35" ht="14.25" customHeight="1">
      <c r="A645" s="273"/>
      <c r="B645" s="273"/>
      <c r="C645" s="273"/>
      <c r="D645" s="273"/>
      <c r="E645" s="273"/>
      <c r="F645" s="273"/>
      <c r="G645" s="273"/>
      <c r="H645" s="273"/>
      <c r="I645" s="273"/>
      <c r="J645" s="273"/>
      <c r="K645" s="273"/>
      <c r="L645" s="274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4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</row>
    <row r="646" spans="1:35" ht="14.25" customHeight="1">
      <c r="A646" s="273"/>
      <c r="B646" s="273"/>
      <c r="C646" s="273"/>
      <c r="D646" s="273"/>
      <c r="E646" s="273"/>
      <c r="F646" s="273"/>
      <c r="G646" s="273"/>
      <c r="H646" s="273"/>
      <c r="I646" s="273"/>
      <c r="J646" s="273"/>
      <c r="K646" s="273"/>
      <c r="L646" s="274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4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</row>
    <row r="647" spans="1:35" ht="14.25" customHeight="1">
      <c r="A647" s="273"/>
      <c r="B647" s="273"/>
      <c r="C647" s="273"/>
      <c r="D647" s="273"/>
      <c r="E647" s="273"/>
      <c r="F647" s="273"/>
      <c r="G647" s="273"/>
      <c r="H647" s="273"/>
      <c r="I647" s="273"/>
      <c r="J647" s="273"/>
      <c r="K647" s="273"/>
      <c r="L647" s="274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4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</row>
    <row r="648" spans="1:35" ht="14.25" customHeight="1">
      <c r="A648" s="273"/>
      <c r="B648" s="273"/>
      <c r="C648" s="273"/>
      <c r="D648" s="273"/>
      <c r="E648" s="273"/>
      <c r="F648" s="273"/>
      <c r="G648" s="273"/>
      <c r="H648" s="273"/>
      <c r="I648" s="273"/>
      <c r="J648" s="273"/>
      <c r="K648" s="273"/>
      <c r="L648" s="274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4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</row>
    <row r="649" spans="1:35" ht="14.25" customHeight="1">
      <c r="A649" s="273"/>
      <c r="B649" s="273"/>
      <c r="C649" s="273"/>
      <c r="D649" s="273"/>
      <c r="E649" s="273"/>
      <c r="F649" s="273"/>
      <c r="G649" s="273"/>
      <c r="H649" s="273"/>
      <c r="I649" s="273"/>
      <c r="J649" s="273"/>
      <c r="K649" s="273"/>
      <c r="L649" s="274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4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</row>
    <row r="650" spans="1:35" ht="14.25" customHeight="1">
      <c r="A650" s="273"/>
      <c r="B650" s="273"/>
      <c r="C650" s="273"/>
      <c r="D650" s="273"/>
      <c r="E650" s="273"/>
      <c r="F650" s="273"/>
      <c r="G650" s="273"/>
      <c r="H650" s="273"/>
      <c r="I650" s="273"/>
      <c r="J650" s="273"/>
      <c r="K650" s="273"/>
      <c r="L650" s="274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4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</row>
    <row r="651" spans="1:35" ht="14.25" customHeight="1">
      <c r="A651" s="273"/>
      <c r="B651" s="273"/>
      <c r="C651" s="273"/>
      <c r="D651" s="273"/>
      <c r="E651" s="273"/>
      <c r="F651" s="273"/>
      <c r="G651" s="273"/>
      <c r="H651" s="273"/>
      <c r="I651" s="273"/>
      <c r="J651" s="273"/>
      <c r="K651" s="273"/>
      <c r="L651" s="274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4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</row>
    <row r="652" spans="1:35" ht="14.25" customHeight="1">
      <c r="A652" s="273"/>
      <c r="B652" s="273"/>
      <c r="C652" s="273"/>
      <c r="D652" s="273"/>
      <c r="E652" s="273"/>
      <c r="F652" s="273"/>
      <c r="G652" s="273"/>
      <c r="H652" s="273"/>
      <c r="I652" s="273"/>
      <c r="J652" s="273"/>
      <c r="K652" s="273"/>
      <c r="L652" s="274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4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</row>
    <row r="653" spans="1:35" ht="14.25" customHeight="1">
      <c r="A653" s="273"/>
      <c r="B653" s="273"/>
      <c r="C653" s="273"/>
      <c r="D653" s="273"/>
      <c r="E653" s="273"/>
      <c r="F653" s="273"/>
      <c r="G653" s="273"/>
      <c r="H653" s="273"/>
      <c r="I653" s="273"/>
      <c r="J653" s="273"/>
      <c r="K653" s="273"/>
      <c r="L653" s="274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4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</row>
    <row r="654" spans="1:35" ht="14.25" customHeight="1">
      <c r="A654" s="273"/>
      <c r="B654" s="273"/>
      <c r="C654" s="273"/>
      <c r="D654" s="273"/>
      <c r="E654" s="273"/>
      <c r="F654" s="273"/>
      <c r="G654" s="273"/>
      <c r="H654" s="273"/>
      <c r="I654" s="273"/>
      <c r="J654" s="273"/>
      <c r="K654" s="273"/>
      <c r="L654" s="274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4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</row>
    <row r="655" spans="1:35" ht="14.25" customHeight="1">
      <c r="A655" s="273"/>
      <c r="B655" s="273"/>
      <c r="C655" s="273"/>
      <c r="D655" s="273"/>
      <c r="E655" s="273"/>
      <c r="F655" s="273"/>
      <c r="G655" s="273"/>
      <c r="H655" s="273"/>
      <c r="I655" s="273"/>
      <c r="J655" s="273"/>
      <c r="K655" s="273"/>
      <c r="L655" s="274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4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</row>
    <row r="656" spans="1:35" ht="14.25" customHeight="1">
      <c r="A656" s="273"/>
      <c r="B656" s="273"/>
      <c r="C656" s="273"/>
      <c r="D656" s="273"/>
      <c r="E656" s="273"/>
      <c r="F656" s="273"/>
      <c r="G656" s="273"/>
      <c r="H656" s="273"/>
      <c r="I656" s="273"/>
      <c r="J656" s="273"/>
      <c r="K656" s="273"/>
      <c r="L656" s="274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4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</row>
    <row r="657" spans="1:35" ht="14.25" customHeight="1">
      <c r="A657" s="273"/>
      <c r="B657" s="273"/>
      <c r="C657" s="273"/>
      <c r="D657" s="273"/>
      <c r="E657" s="273"/>
      <c r="F657" s="273"/>
      <c r="G657" s="273"/>
      <c r="H657" s="273"/>
      <c r="I657" s="273"/>
      <c r="J657" s="273"/>
      <c r="K657" s="273"/>
      <c r="L657" s="274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4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</row>
    <row r="658" spans="1:35" ht="14.25" customHeight="1">
      <c r="A658" s="273"/>
      <c r="B658" s="273"/>
      <c r="C658" s="273"/>
      <c r="D658" s="273"/>
      <c r="E658" s="273"/>
      <c r="F658" s="273"/>
      <c r="G658" s="273"/>
      <c r="H658" s="273"/>
      <c r="I658" s="273"/>
      <c r="J658" s="273"/>
      <c r="K658" s="273"/>
      <c r="L658" s="274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4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</row>
    <row r="659" spans="1:35" ht="14.25" customHeight="1">
      <c r="A659" s="273"/>
      <c r="B659" s="273"/>
      <c r="C659" s="273"/>
      <c r="D659" s="273"/>
      <c r="E659" s="273"/>
      <c r="F659" s="273"/>
      <c r="G659" s="273"/>
      <c r="H659" s="273"/>
      <c r="I659" s="273"/>
      <c r="J659" s="273"/>
      <c r="K659" s="273"/>
      <c r="L659" s="274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4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</row>
    <row r="660" spans="1:35" ht="14.25" customHeight="1">
      <c r="A660" s="273"/>
      <c r="B660" s="273"/>
      <c r="C660" s="273"/>
      <c r="D660" s="273"/>
      <c r="E660" s="273"/>
      <c r="F660" s="273"/>
      <c r="G660" s="273"/>
      <c r="H660" s="273"/>
      <c r="I660" s="273"/>
      <c r="J660" s="273"/>
      <c r="K660" s="273"/>
      <c r="L660" s="274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4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</row>
    <row r="661" spans="1:35" ht="14.25" customHeight="1">
      <c r="A661" s="273"/>
      <c r="B661" s="273"/>
      <c r="C661" s="273"/>
      <c r="D661" s="273"/>
      <c r="E661" s="273"/>
      <c r="F661" s="273"/>
      <c r="G661" s="273"/>
      <c r="H661" s="273"/>
      <c r="I661" s="273"/>
      <c r="J661" s="273"/>
      <c r="K661" s="273"/>
      <c r="L661" s="274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4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</row>
    <row r="662" spans="1:35" ht="14.25" customHeight="1">
      <c r="A662" s="273"/>
      <c r="B662" s="273"/>
      <c r="C662" s="273"/>
      <c r="D662" s="273"/>
      <c r="E662" s="273"/>
      <c r="F662" s="273"/>
      <c r="G662" s="273"/>
      <c r="H662" s="273"/>
      <c r="I662" s="273"/>
      <c r="J662" s="273"/>
      <c r="K662" s="273"/>
      <c r="L662" s="274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4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</row>
    <row r="663" spans="1:35" ht="14.25" customHeight="1">
      <c r="A663" s="273"/>
      <c r="B663" s="273"/>
      <c r="C663" s="273"/>
      <c r="D663" s="273"/>
      <c r="E663" s="273"/>
      <c r="F663" s="273"/>
      <c r="G663" s="273"/>
      <c r="H663" s="273"/>
      <c r="I663" s="273"/>
      <c r="J663" s="273"/>
      <c r="K663" s="273"/>
      <c r="L663" s="274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4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</row>
    <row r="664" spans="1:35" ht="14.25" customHeight="1">
      <c r="A664" s="273"/>
      <c r="B664" s="273"/>
      <c r="C664" s="273"/>
      <c r="D664" s="273"/>
      <c r="E664" s="273"/>
      <c r="F664" s="273"/>
      <c r="G664" s="273"/>
      <c r="H664" s="273"/>
      <c r="I664" s="273"/>
      <c r="J664" s="273"/>
      <c r="K664" s="273"/>
      <c r="L664" s="274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4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</row>
    <row r="665" spans="1:35" ht="14.25" customHeight="1">
      <c r="A665" s="273"/>
      <c r="B665" s="273"/>
      <c r="C665" s="273"/>
      <c r="D665" s="273"/>
      <c r="E665" s="273"/>
      <c r="F665" s="273"/>
      <c r="G665" s="273"/>
      <c r="H665" s="273"/>
      <c r="I665" s="273"/>
      <c r="J665" s="273"/>
      <c r="K665" s="273"/>
      <c r="L665" s="274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4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</row>
    <row r="666" spans="1:35" ht="14.25" customHeight="1">
      <c r="A666" s="273"/>
      <c r="B666" s="273"/>
      <c r="C666" s="273"/>
      <c r="D666" s="273"/>
      <c r="E666" s="273"/>
      <c r="F666" s="273"/>
      <c r="G666" s="273"/>
      <c r="H666" s="273"/>
      <c r="I666" s="273"/>
      <c r="J666" s="273"/>
      <c r="K666" s="273"/>
      <c r="L666" s="274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4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</row>
    <row r="667" spans="1:35" ht="14.25" customHeight="1">
      <c r="A667" s="273"/>
      <c r="B667" s="273"/>
      <c r="C667" s="273"/>
      <c r="D667" s="273"/>
      <c r="E667" s="273"/>
      <c r="F667" s="273"/>
      <c r="G667" s="273"/>
      <c r="H667" s="273"/>
      <c r="I667" s="273"/>
      <c r="J667" s="273"/>
      <c r="K667" s="273"/>
      <c r="L667" s="274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4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</row>
    <row r="668" spans="1:35" ht="14.25" customHeight="1">
      <c r="A668" s="273"/>
      <c r="B668" s="273"/>
      <c r="C668" s="273"/>
      <c r="D668" s="273"/>
      <c r="E668" s="273"/>
      <c r="F668" s="273"/>
      <c r="G668" s="273"/>
      <c r="H668" s="273"/>
      <c r="I668" s="273"/>
      <c r="J668" s="273"/>
      <c r="K668" s="273"/>
      <c r="L668" s="274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4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</row>
    <row r="669" spans="1:35" ht="14.25" customHeight="1">
      <c r="A669" s="273"/>
      <c r="B669" s="273"/>
      <c r="C669" s="273"/>
      <c r="D669" s="273"/>
      <c r="E669" s="273"/>
      <c r="F669" s="273"/>
      <c r="G669" s="273"/>
      <c r="H669" s="273"/>
      <c r="I669" s="273"/>
      <c r="J669" s="273"/>
      <c r="K669" s="273"/>
      <c r="L669" s="274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4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</row>
    <row r="670" spans="1:35" ht="14.25" customHeight="1">
      <c r="A670" s="273"/>
      <c r="B670" s="273"/>
      <c r="C670" s="273"/>
      <c r="D670" s="273"/>
      <c r="E670" s="273"/>
      <c r="F670" s="273"/>
      <c r="G670" s="273"/>
      <c r="H670" s="273"/>
      <c r="I670" s="273"/>
      <c r="J670" s="273"/>
      <c r="K670" s="273"/>
      <c r="L670" s="274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4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</row>
    <row r="671" spans="1:35" ht="14.25" customHeight="1">
      <c r="A671" s="273"/>
      <c r="B671" s="273"/>
      <c r="C671" s="273"/>
      <c r="D671" s="273"/>
      <c r="E671" s="273"/>
      <c r="F671" s="273"/>
      <c r="G671" s="273"/>
      <c r="H671" s="273"/>
      <c r="I671" s="273"/>
      <c r="J671" s="273"/>
      <c r="K671" s="273"/>
      <c r="L671" s="274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4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</row>
    <row r="672" spans="1:35" ht="14.25" customHeight="1">
      <c r="A672" s="273"/>
      <c r="B672" s="273"/>
      <c r="C672" s="273"/>
      <c r="D672" s="273"/>
      <c r="E672" s="273"/>
      <c r="F672" s="273"/>
      <c r="G672" s="273"/>
      <c r="H672" s="273"/>
      <c r="I672" s="273"/>
      <c r="J672" s="273"/>
      <c r="K672" s="273"/>
      <c r="L672" s="274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4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</row>
    <row r="673" spans="1:35" ht="14.25" customHeight="1">
      <c r="A673" s="273"/>
      <c r="B673" s="273"/>
      <c r="C673" s="273"/>
      <c r="D673" s="273"/>
      <c r="E673" s="273"/>
      <c r="F673" s="273"/>
      <c r="G673" s="273"/>
      <c r="H673" s="273"/>
      <c r="I673" s="273"/>
      <c r="J673" s="273"/>
      <c r="K673" s="273"/>
      <c r="L673" s="274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4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</row>
    <row r="674" spans="1:35" ht="14.25" customHeight="1">
      <c r="A674" s="273"/>
      <c r="B674" s="273"/>
      <c r="C674" s="273"/>
      <c r="D674" s="273"/>
      <c r="E674" s="273"/>
      <c r="F674" s="273"/>
      <c r="G674" s="273"/>
      <c r="H674" s="273"/>
      <c r="I674" s="273"/>
      <c r="J674" s="273"/>
      <c r="K674" s="273"/>
      <c r="L674" s="274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4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</row>
    <row r="675" spans="1:35" ht="14.25" customHeight="1">
      <c r="A675" s="273"/>
      <c r="B675" s="273"/>
      <c r="C675" s="273"/>
      <c r="D675" s="273"/>
      <c r="E675" s="273"/>
      <c r="F675" s="273"/>
      <c r="G675" s="273"/>
      <c r="H675" s="273"/>
      <c r="I675" s="273"/>
      <c r="J675" s="273"/>
      <c r="K675" s="273"/>
      <c r="L675" s="274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4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</row>
    <row r="676" spans="1:35" ht="14.25" customHeight="1">
      <c r="A676" s="273"/>
      <c r="B676" s="273"/>
      <c r="C676" s="273"/>
      <c r="D676" s="273"/>
      <c r="E676" s="273"/>
      <c r="F676" s="273"/>
      <c r="G676" s="273"/>
      <c r="H676" s="273"/>
      <c r="I676" s="273"/>
      <c r="J676" s="273"/>
      <c r="K676" s="273"/>
      <c r="L676" s="274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4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</row>
    <row r="677" spans="1:35" ht="14.25" customHeight="1">
      <c r="A677" s="273"/>
      <c r="B677" s="273"/>
      <c r="C677" s="273"/>
      <c r="D677" s="273"/>
      <c r="E677" s="273"/>
      <c r="F677" s="273"/>
      <c r="G677" s="273"/>
      <c r="H677" s="273"/>
      <c r="I677" s="273"/>
      <c r="J677" s="273"/>
      <c r="K677" s="273"/>
      <c r="L677" s="274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4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</row>
    <row r="678" spans="1:35" ht="14.25" customHeight="1">
      <c r="A678" s="273"/>
      <c r="B678" s="273"/>
      <c r="C678" s="273"/>
      <c r="D678" s="273"/>
      <c r="E678" s="273"/>
      <c r="F678" s="273"/>
      <c r="G678" s="273"/>
      <c r="H678" s="273"/>
      <c r="I678" s="273"/>
      <c r="J678" s="273"/>
      <c r="K678" s="273"/>
      <c r="L678" s="274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4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</row>
    <row r="679" spans="1:35" ht="14.25" customHeight="1">
      <c r="A679" s="273"/>
      <c r="B679" s="273"/>
      <c r="C679" s="273"/>
      <c r="D679" s="273"/>
      <c r="E679" s="273"/>
      <c r="F679" s="273"/>
      <c r="G679" s="273"/>
      <c r="H679" s="273"/>
      <c r="I679" s="273"/>
      <c r="J679" s="273"/>
      <c r="K679" s="273"/>
      <c r="L679" s="274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4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</row>
    <row r="680" spans="1:35" ht="14.25" customHeight="1">
      <c r="A680" s="273"/>
      <c r="B680" s="273"/>
      <c r="C680" s="273"/>
      <c r="D680" s="273"/>
      <c r="E680" s="273"/>
      <c r="F680" s="273"/>
      <c r="G680" s="273"/>
      <c r="H680" s="273"/>
      <c r="I680" s="273"/>
      <c r="J680" s="273"/>
      <c r="K680" s="273"/>
      <c r="L680" s="274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4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</row>
    <row r="681" spans="1:35" ht="14.25" customHeight="1">
      <c r="A681" s="273"/>
      <c r="B681" s="273"/>
      <c r="C681" s="273"/>
      <c r="D681" s="273"/>
      <c r="E681" s="273"/>
      <c r="F681" s="273"/>
      <c r="G681" s="273"/>
      <c r="H681" s="273"/>
      <c r="I681" s="273"/>
      <c r="J681" s="273"/>
      <c r="K681" s="273"/>
      <c r="L681" s="274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4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</row>
    <row r="682" spans="1:35" ht="14.25" customHeight="1">
      <c r="A682" s="273"/>
      <c r="B682" s="273"/>
      <c r="C682" s="273"/>
      <c r="D682" s="273"/>
      <c r="E682" s="273"/>
      <c r="F682" s="273"/>
      <c r="G682" s="273"/>
      <c r="H682" s="273"/>
      <c r="I682" s="273"/>
      <c r="J682" s="273"/>
      <c r="K682" s="273"/>
      <c r="L682" s="274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4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</row>
    <row r="683" spans="1:35" ht="14.25" customHeight="1">
      <c r="A683" s="273"/>
      <c r="B683" s="273"/>
      <c r="C683" s="273"/>
      <c r="D683" s="273"/>
      <c r="E683" s="273"/>
      <c r="F683" s="273"/>
      <c r="G683" s="273"/>
      <c r="H683" s="273"/>
      <c r="I683" s="273"/>
      <c r="J683" s="273"/>
      <c r="K683" s="273"/>
      <c r="L683" s="274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4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</row>
    <row r="684" spans="1:35" ht="14.25" customHeight="1">
      <c r="A684" s="273"/>
      <c r="B684" s="273"/>
      <c r="C684" s="273"/>
      <c r="D684" s="273"/>
      <c r="E684" s="273"/>
      <c r="F684" s="273"/>
      <c r="G684" s="273"/>
      <c r="H684" s="273"/>
      <c r="I684" s="273"/>
      <c r="J684" s="273"/>
      <c r="K684" s="273"/>
      <c r="L684" s="274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4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</row>
    <row r="685" spans="1:35" ht="14.25" customHeight="1">
      <c r="A685" s="273"/>
      <c r="B685" s="273"/>
      <c r="C685" s="273"/>
      <c r="D685" s="273"/>
      <c r="E685" s="273"/>
      <c r="F685" s="273"/>
      <c r="G685" s="273"/>
      <c r="H685" s="273"/>
      <c r="I685" s="273"/>
      <c r="J685" s="273"/>
      <c r="K685" s="273"/>
      <c r="L685" s="274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4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</row>
    <row r="686" spans="1:35" ht="14.25" customHeight="1">
      <c r="A686" s="273"/>
      <c r="B686" s="273"/>
      <c r="C686" s="273"/>
      <c r="D686" s="273"/>
      <c r="E686" s="273"/>
      <c r="F686" s="273"/>
      <c r="G686" s="273"/>
      <c r="H686" s="273"/>
      <c r="I686" s="273"/>
      <c r="J686" s="273"/>
      <c r="K686" s="273"/>
      <c r="L686" s="274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4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</row>
    <row r="687" spans="1:35" ht="14.25" customHeight="1">
      <c r="A687" s="273"/>
      <c r="B687" s="273"/>
      <c r="C687" s="273"/>
      <c r="D687" s="273"/>
      <c r="E687" s="273"/>
      <c r="F687" s="273"/>
      <c r="G687" s="273"/>
      <c r="H687" s="273"/>
      <c r="I687" s="273"/>
      <c r="J687" s="273"/>
      <c r="K687" s="273"/>
      <c r="L687" s="274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4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</row>
    <row r="688" spans="1:35" ht="14.25" customHeight="1">
      <c r="A688" s="273"/>
      <c r="B688" s="273"/>
      <c r="C688" s="273"/>
      <c r="D688" s="273"/>
      <c r="E688" s="273"/>
      <c r="F688" s="273"/>
      <c r="G688" s="273"/>
      <c r="H688" s="273"/>
      <c r="I688" s="273"/>
      <c r="J688" s="273"/>
      <c r="K688" s="273"/>
      <c r="L688" s="274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4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</row>
    <row r="689" spans="1:35" ht="14.25" customHeight="1">
      <c r="A689" s="273"/>
      <c r="B689" s="273"/>
      <c r="C689" s="273"/>
      <c r="D689" s="273"/>
      <c r="E689" s="273"/>
      <c r="F689" s="273"/>
      <c r="G689" s="273"/>
      <c r="H689" s="273"/>
      <c r="I689" s="273"/>
      <c r="J689" s="273"/>
      <c r="K689" s="273"/>
      <c r="L689" s="274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4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</row>
    <row r="690" spans="1:35" ht="14.25" customHeight="1">
      <c r="A690" s="273"/>
      <c r="B690" s="273"/>
      <c r="C690" s="273"/>
      <c r="D690" s="273"/>
      <c r="E690" s="273"/>
      <c r="F690" s="273"/>
      <c r="G690" s="273"/>
      <c r="H690" s="273"/>
      <c r="I690" s="273"/>
      <c r="J690" s="273"/>
      <c r="K690" s="273"/>
      <c r="L690" s="274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4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</row>
    <row r="691" spans="1:35" ht="14.25" customHeight="1">
      <c r="A691" s="273"/>
      <c r="B691" s="273"/>
      <c r="C691" s="273"/>
      <c r="D691" s="273"/>
      <c r="E691" s="273"/>
      <c r="F691" s="273"/>
      <c r="G691" s="273"/>
      <c r="H691" s="273"/>
      <c r="I691" s="273"/>
      <c r="J691" s="273"/>
      <c r="K691" s="273"/>
      <c r="L691" s="274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4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</row>
    <row r="692" spans="1:35" ht="14.25" customHeight="1">
      <c r="A692" s="273"/>
      <c r="B692" s="273"/>
      <c r="C692" s="273"/>
      <c r="D692" s="273"/>
      <c r="E692" s="273"/>
      <c r="F692" s="273"/>
      <c r="G692" s="273"/>
      <c r="H692" s="273"/>
      <c r="I692" s="273"/>
      <c r="J692" s="273"/>
      <c r="K692" s="273"/>
      <c r="L692" s="274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4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</row>
    <row r="693" spans="1:35" ht="14.25" customHeight="1">
      <c r="A693" s="273"/>
      <c r="B693" s="273"/>
      <c r="C693" s="273"/>
      <c r="D693" s="273"/>
      <c r="E693" s="273"/>
      <c r="F693" s="273"/>
      <c r="G693" s="273"/>
      <c r="H693" s="273"/>
      <c r="I693" s="273"/>
      <c r="J693" s="273"/>
      <c r="K693" s="273"/>
      <c r="L693" s="274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4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</row>
    <row r="694" spans="1:35" ht="14.25" customHeight="1">
      <c r="A694" s="273"/>
      <c r="B694" s="273"/>
      <c r="C694" s="273"/>
      <c r="D694" s="273"/>
      <c r="E694" s="273"/>
      <c r="F694" s="273"/>
      <c r="G694" s="273"/>
      <c r="H694" s="273"/>
      <c r="I694" s="273"/>
      <c r="J694" s="273"/>
      <c r="K694" s="273"/>
      <c r="L694" s="274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4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</row>
    <row r="695" spans="1:35" ht="14.25" customHeight="1">
      <c r="A695" s="273"/>
      <c r="B695" s="273"/>
      <c r="C695" s="273"/>
      <c r="D695" s="273"/>
      <c r="E695" s="273"/>
      <c r="F695" s="273"/>
      <c r="G695" s="273"/>
      <c r="H695" s="273"/>
      <c r="I695" s="273"/>
      <c r="J695" s="273"/>
      <c r="K695" s="273"/>
      <c r="L695" s="274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4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</row>
    <row r="696" spans="1:35" ht="14.25" customHeight="1">
      <c r="A696" s="273"/>
      <c r="B696" s="273"/>
      <c r="C696" s="273"/>
      <c r="D696" s="273"/>
      <c r="E696" s="273"/>
      <c r="F696" s="273"/>
      <c r="G696" s="273"/>
      <c r="H696" s="273"/>
      <c r="I696" s="273"/>
      <c r="J696" s="273"/>
      <c r="K696" s="273"/>
      <c r="L696" s="274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4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</row>
    <row r="697" spans="1:35" ht="14.25" customHeight="1">
      <c r="A697" s="273"/>
      <c r="B697" s="273"/>
      <c r="C697" s="273"/>
      <c r="D697" s="273"/>
      <c r="E697" s="273"/>
      <c r="F697" s="273"/>
      <c r="G697" s="273"/>
      <c r="H697" s="273"/>
      <c r="I697" s="273"/>
      <c r="J697" s="273"/>
      <c r="K697" s="273"/>
      <c r="L697" s="274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4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</row>
    <row r="698" spans="1:35" ht="14.25" customHeight="1">
      <c r="A698" s="273"/>
      <c r="B698" s="273"/>
      <c r="C698" s="273"/>
      <c r="D698" s="273"/>
      <c r="E698" s="273"/>
      <c r="F698" s="273"/>
      <c r="G698" s="273"/>
      <c r="H698" s="273"/>
      <c r="I698" s="273"/>
      <c r="J698" s="273"/>
      <c r="K698" s="273"/>
      <c r="L698" s="274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4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</row>
    <row r="699" spans="1:35" ht="14.25" customHeight="1">
      <c r="A699" s="273"/>
      <c r="B699" s="273"/>
      <c r="C699" s="273"/>
      <c r="D699" s="273"/>
      <c r="E699" s="273"/>
      <c r="F699" s="273"/>
      <c r="G699" s="273"/>
      <c r="H699" s="273"/>
      <c r="I699" s="273"/>
      <c r="J699" s="273"/>
      <c r="K699" s="273"/>
      <c r="L699" s="274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4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</row>
    <row r="700" spans="1:35" ht="14.25" customHeight="1">
      <c r="A700" s="273"/>
      <c r="B700" s="273"/>
      <c r="C700" s="273"/>
      <c r="D700" s="273"/>
      <c r="E700" s="273"/>
      <c r="F700" s="273"/>
      <c r="G700" s="273"/>
      <c r="H700" s="273"/>
      <c r="I700" s="273"/>
      <c r="J700" s="273"/>
      <c r="K700" s="273"/>
      <c r="L700" s="274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4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</row>
    <row r="701" spans="1:35" ht="14.25" customHeight="1">
      <c r="A701" s="273"/>
      <c r="B701" s="273"/>
      <c r="C701" s="273"/>
      <c r="D701" s="273"/>
      <c r="E701" s="273"/>
      <c r="F701" s="273"/>
      <c r="G701" s="273"/>
      <c r="H701" s="273"/>
      <c r="I701" s="273"/>
      <c r="J701" s="273"/>
      <c r="K701" s="273"/>
      <c r="L701" s="274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4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</row>
    <row r="702" spans="1:35" ht="14.25" customHeight="1">
      <c r="A702" s="273"/>
      <c r="B702" s="273"/>
      <c r="C702" s="273"/>
      <c r="D702" s="273"/>
      <c r="E702" s="273"/>
      <c r="F702" s="273"/>
      <c r="G702" s="273"/>
      <c r="H702" s="273"/>
      <c r="I702" s="273"/>
      <c r="J702" s="273"/>
      <c r="K702" s="273"/>
      <c r="L702" s="274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4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</row>
    <row r="703" spans="1:35" ht="14.25" customHeight="1">
      <c r="A703" s="273"/>
      <c r="B703" s="273"/>
      <c r="C703" s="273"/>
      <c r="D703" s="273"/>
      <c r="E703" s="273"/>
      <c r="F703" s="273"/>
      <c r="G703" s="273"/>
      <c r="H703" s="273"/>
      <c r="I703" s="273"/>
      <c r="J703" s="273"/>
      <c r="K703" s="273"/>
      <c r="L703" s="274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4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</row>
    <row r="704" spans="1:35" ht="14.25" customHeight="1">
      <c r="A704" s="273"/>
      <c r="B704" s="273"/>
      <c r="C704" s="273"/>
      <c r="D704" s="273"/>
      <c r="E704" s="273"/>
      <c r="F704" s="273"/>
      <c r="G704" s="273"/>
      <c r="H704" s="273"/>
      <c r="I704" s="273"/>
      <c r="J704" s="273"/>
      <c r="K704" s="273"/>
      <c r="L704" s="274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4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</row>
    <row r="705" spans="1:35" ht="14.25" customHeight="1">
      <c r="A705" s="273"/>
      <c r="B705" s="273"/>
      <c r="C705" s="273"/>
      <c r="D705" s="273"/>
      <c r="E705" s="273"/>
      <c r="F705" s="273"/>
      <c r="G705" s="273"/>
      <c r="H705" s="273"/>
      <c r="I705" s="273"/>
      <c r="J705" s="273"/>
      <c r="K705" s="273"/>
      <c r="L705" s="274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4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</row>
    <row r="706" spans="1:35" ht="14.25" customHeight="1">
      <c r="A706" s="273"/>
      <c r="B706" s="273"/>
      <c r="C706" s="273"/>
      <c r="D706" s="273"/>
      <c r="E706" s="273"/>
      <c r="F706" s="273"/>
      <c r="G706" s="273"/>
      <c r="H706" s="273"/>
      <c r="I706" s="273"/>
      <c r="J706" s="273"/>
      <c r="K706" s="273"/>
      <c r="L706" s="274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4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</row>
    <row r="707" spans="1:35" ht="14.25" customHeight="1">
      <c r="A707" s="273"/>
      <c r="B707" s="273"/>
      <c r="C707" s="273"/>
      <c r="D707" s="273"/>
      <c r="E707" s="273"/>
      <c r="F707" s="273"/>
      <c r="G707" s="273"/>
      <c r="H707" s="273"/>
      <c r="I707" s="273"/>
      <c r="J707" s="273"/>
      <c r="K707" s="273"/>
      <c r="L707" s="274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4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</row>
    <row r="708" spans="1:35" ht="14.25" customHeight="1">
      <c r="A708" s="273"/>
      <c r="B708" s="273"/>
      <c r="C708" s="273"/>
      <c r="D708" s="273"/>
      <c r="E708" s="273"/>
      <c r="F708" s="273"/>
      <c r="G708" s="273"/>
      <c r="H708" s="273"/>
      <c r="I708" s="273"/>
      <c r="J708" s="273"/>
      <c r="K708" s="273"/>
      <c r="L708" s="274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4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</row>
    <row r="709" spans="1:35" ht="14.25" customHeight="1">
      <c r="A709" s="273"/>
      <c r="B709" s="273"/>
      <c r="C709" s="273"/>
      <c r="D709" s="273"/>
      <c r="E709" s="273"/>
      <c r="F709" s="273"/>
      <c r="G709" s="273"/>
      <c r="H709" s="273"/>
      <c r="I709" s="273"/>
      <c r="J709" s="273"/>
      <c r="K709" s="273"/>
      <c r="L709" s="274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4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</row>
    <row r="710" spans="1:35" ht="14.25" customHeight="1">
      <c r="A710" s="273"/>
      <c r="B710" s="273"/>
      <c r="C710" s="273"/>
      <c r="D710" s="273"/>
      <c r="E710" s="273"/>
      <c r="F710" s="273"/>
      <c r="G710" s="273"/>
      <c r="H710" s="273"/>
      <c r="I710" s="273"/>
      <c r="J710" s="273"/>
      <c r="K710" s="273"/>
      <c r="L710" s="274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4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</row>
    <row r="711" spans="1:35" ht="14.25" customHeight="1">
      <c r="A711" s="273"/>
      <c r="B711" s="273"/>
      <c r="C711" s="273"/>
      <c r="D711" s="273"/>
      <c r="E711" s="273"/>
      <c r="F711" s="273"/>
      <c r="G711" s="273"/>
      <c r="H711" s="273"/>
      <c r="I711" s="273"/>
      <c r="J711" s="273"/>
      <c r="K711" s="273"/>
      <c r="L711" s="274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4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</row>
    <row r="712" spans="1:35" ht="14.25" customHeight="1">
      <c r="A712" s="273"/>
      <c r="B712" s="273"/>
      <c r="C712" s="273"/>
      <c r="D712" s="273"/>
      <c r="E712" s="273"/>
      <c r="F712" s="273"/>
      <c r="G712" s="273"/>
      <c r="H712" s="273"/>
      <c r="I712" s="273"/>
      <c r="J712" s="273"/>
      <c r="K712" s="273"/>
      <c r="L712" s="274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4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</row>
    <row r="713" spans="1:35" ht="14.25" customHeight="1">
      <c r="A713" s="273"/>
      <c r="B713" s="273"/>
      <c r="C713" s="273"/>
      <c r="D713" s="273"/>
      <c r="E713" s="273"/>
      <c r="F713" s="273"/>
      <c r="G713" s="273"/>
      <c r="H713" s="273"/>
      <c r="I713" s="273"/>
      <c r="J713" s="273"/>
      <c r="K713" s="273"/>
      <c r="L713" s="274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4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</row>
    <row r="714" spans="1:35" ht="14.25" customHeight="1">
      <c r="A714" s="273"/>
      <c r="B714" s="273"/>
      <c r="C714" s="273"/>
      <c r="D714" s="273"/>
      <c r="E714" s="273"/>
      <c r="F714" s="273"/>
      <c r="G714" s="273"/>
      <c r="H714" s="273"/>
      <c r="I714" s="273"/>
      <c r="J714" s="273"/>
      <c r="K714" s="273"/>
      <c r="L714" s="274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4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</row>
    <row r="715" spans="1:35" ht="14.25" customHeight="1">
      <c r="A715" s="273"/>
      <c r="B715" s="273"/>
      <c r="C715" s="273"/>
      <c r="D715" s="273"/>
      <c r="E715" s="273"/>
      <c r="F715" s="273"/>
      <c r="G715" s="273"/>
      <c r="H715" s="273"/>
      <c r="I715" s="273"/>
      <c r="J715" s="273"/>
      <c r="K715" s="273"/>
      <c r="L715" s="274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4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</row>
    <row r="716" spans="1:35" ht="14.25" customHeight="1">
      <c r="A716" s="273"/>
      <c r="B716" s="273"/>
      <c r="C716" s="273"/>
      <c r="D716" s="273"/>
      <c r="E716" s="273"/>
      <c r="F716" s="273"/>
      <c r="G716" s="273"/>
      <c r="H716" s="273"/>
      <c r="I716" s="273"/>
      <c r="J716" s="273"/>
      <c r="K716" s="273"/>
      <c r="L716" s="274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4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</row>
    <row r="717" spans="1:35" ht="14.25" customHeight="1">
      <c r="A717" s="273"/>
      <c r="B717" s="273"/>
      <c r="C717" s="273"/>
      <c r="D717" s="273"/>
      <c r="E717" s="273"/>
      <c r="F717" s="273"/>
      <c r="G717" s="273"/>
      <c r="H717" s="273"/>
      <c r="I717" s="273"/>
      <c r="J717" s="273"/>
      <c r="K717" s="273"/>
      <c r="L717" s="274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4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</row>
    <row r="718" spans="1:35" ht="14.25" customHeight="1">
      <c r="A718" s="273"/>
      <c r="B718" s="273"/>
      <c r="C718" s="273"/>
      <c r="D718" s="273"/>
      <c r="E718" s="273"/>
      <c r="F718" s="273"/>
      <c r="G718" s="273"/>
      <c r="H718" s="273"/>
      <c r="I718" s="273"/>
      <c r="J718" s="273"/>
      <c r="K718" s="273"/>
      <c r="L718" s="274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4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</row>
    <row r="719" spans="1:35" ht="14.25" customHeight="1">
      <c r="A719" s="273"/>
      <c r="B719" s="273"/>
      <c r="C719" s="273"/>
      <c r="D719" s="273"/>
      <c r="E719" s="273"/>
      <c r="F719" s="273"/>
      <c r="G719" s="273"/>
      <c r="H719" s="273"/>
      <c r="I719" s="273"/>
      <c r="J719" s="273"/>
      <c r="K719" s="273"/>
      <c r="L719" s="274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4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</row>
    <row r="720" spans="1:35" ht="14.25" customHeight="1">
      <c r="A720" s="273"/>
      <c r="B720" s="273"/>
      <c r="C720" s="273"/>
      <c r="D720" s="273"/>
      <c r="E720" s="273"/>
      <c r="F720" s="273"/>
      <c r="G720" s="273"/>
      <c r="H720" s="273"/>
      <c r="I720" s="273"/>
      <c r="J720" s="273"/>
      <c r="K720" s="273"/>
      <c r="L720" s="274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4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</row>
    <row r="721" spans="1:35" ht="14.25" customHeight="1">
      <c r="A721" s="273"/>
      <c r="B721" s="273"/>
      <c r="C721" s="273"/>
      <c r="D721" s="273"/>
      <c r="E721" s="273"/>
      <c r="F721" s="273"/>
      <c r="G721" s="273"/>
      <c r="H721" s="273"/>
      <c r="I721" s="273"/>
      <c r="J721" s="273"/>
      <c r="K721" s="273"/>
      <c r="L721" s="274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4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</row>
    <row r="722" spans="1:35" ht="14.25" customHeight="1">
      <c r="A722" s="273"/>
      <c r="B722" s="273"/>
      <c r="C722" s="273"/>
      <c r="D722" s="273"/>
      <c r="E722" s="273"/>
      <c r="F722" s="273"/>
      <c r="G722" s="273"/>
      <c r="H722" s="273"/>
      <c r="I722" s="273"/>
      <c r="J722" s="273"/>
      <c r="K722" s="273"/>
      <c r="L722" s="274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4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</row>
    <row r="723" spans="1:35" ht="14.25" customHeight="1">
      <c r="A723" s="273"/>
      <c r="B723" s="273"/>
      <c r="C723" s="273"/>
      <c r="D723" s="273"/>
      <c r="E723" s="273"/>
      <c r="F723" s="273"/>
      <c r="G723" s="273"/>
      <c r="H723" s="273"/>
      <c r="I723" s="273"/>
      <c r="J723" s="273"/>
      <c r="K723" s="273"/>
      <c r="L723" s="274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4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</row>
    <row r="724" spans="1:35" ht="14.25" customHeight="1">
      <c r="A724" s="273"/>
      <c r="B724" s="273"/>
      <c r="C724" s="273"/>
      <c r="D724" s="273"/>
      <c r="E724" s="273"/>
      <c r="F724" s="273"/>
      <c r="G724" s="273"/>
      <c r="H724" s="273"/>
      <c r="I724" s="273"/>
      <c r="J724" s="273"/>
      <c r="K724" s="273"/>
      <c r="L724" s="274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4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</row>
    <row r="725" spans="1:35" ht="14.25" customHeight="1">
      <c r="A725" s="273"/>
      <c r="B725" s="273"/>
      <c r="C725" s="273"/>
      <c r="D725" s="273"/>
      <c r="E725" s="273"/>
      <c r="F725" s="273"/>
      <c r="G725" s="273"/>
      <c r="H725" s="273"/>
      <c r="I725" s="273"/>
      <c r="J725" s="273"/>
      <c r="K725" s="273"/>
      <c r="L725" s="274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4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</row>
    <row r="726" spans="1:35" ht="14.25" customHeight="1">
      <c r="A726" s="273"/>
      <c r="B726" s="273"/>
      <c r="C726" s="273"/>
      <c r="D726" s="273"/>
      <c r="E726" s="273"/>
      <c r="F726" s="273"/>
      <c r="G726" s="273"/>
      <c r="H726" s="273"/>
      <c r="I726" s="273"/>
      <c r="J726" s="273"/>
      <c r="K726" s="273"/>
      <c r="L726" s="274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4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</row>
    <row r="727" spans="1:35" ht="14.25" customHeight="1">
      <c r="A727" s="273"/>
      <c r="B727" s="273"/>
      <c r="C727" s="273"/>
      <c r="D727" s="273"/>
      <c r="E727" s="273"/>
      <c r="F727" s="273"/>
      <c r="G727" s="273"/>
      <c r="H727" s="273"/>
      <c r="I727" s="273"/>
      <c r="J727" s="273"/>
      <c r="K727" s="273"/>
      <c r="L727" s="274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4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</row>
    <row r="728" spans="1:35" ht="14.25" customHeight="1">
      <c r="A728" s="273"/>
      <c r="B728" s="273"/>
      <c r="C728" s="273"/>
      <c r="D728" s="273"/>
      <c r="E728" s="273"/>
      <c r="F728" s="273"/>
      <c r="G728" s="273"/>
      <c r="H728" s="273"/>
      <c r="I728" s="273"/>
      <c r="J728" s="273"/>
      <c r="K728" s="273"/>
      <c r="L728" s="274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4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</row>
    <row r="729" spans="1:35" ht="14.25" customHeight="1">
      <c r="A729" s="273"/>
      <c r="B729" s="273"/>
      <c r="C729" s="273"/>
      <c r="D729" s="273"/>
      <c r="E729" s="273"/>
      <c r="F729" s="273"/>
      <c r="G729" s="273"/>
      <c r="H729" s="273"/>
      <c r="I729" s="273"/>
      <c r="J729" s="273"/>
      <c r="K729" s="273"/>
      <c r="L729" s="274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4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</row>
    <row r="730" spans="1:35" ht="14.25" customHeight="1">
      <c r="A730" s="273"/>
      <c r="B730" s="273"/>
      <c r="C730" s="273"/>
      <c r="D730" s="273"/>
      <c r="E730" s="273"/>
      <c r="F730" s="273"/>
      <c r="G730" s="273"/>
      <c r="H730" s="273"/>
      <c r="I730" s="273"/>
      <c r="J730" s="273"/>
      <c r="K730" s="273"/>
      <c r="L730" s="274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4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</row>
    <row r="731" spans="1:35" ht="14.25" customHeight="1">
      <c r="A731" s="273"/>
      <c r="B731" s="273"/>
      <c r="C731" s="273"/>
      <c r="D731" s="273"/>
      <c r="E731" s="273"/>
      <c r="F731" s="273"/>
      <c r="G731" s="273"/>
      <c r="H731" s="273"/>
      <c r="I731" s="273"/>
      <c r="J731" s="273"/>
      <c r="K731" s="273"/>
      <c r="L731" s="274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4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</row>
    <row r="732" spans="1:35" ht="14.25" customHeight="1">
      <c r="A732" s="273"/>
      <c r="B732" s="273"/>
      <c r="C732" s="273"/>
      <c r="D732" s="273"/>
      <c r="E732" s="273"/>
      <c r="F732" s="273"/>
      <c r="G732" s="273"/>
      <c r="H732" s="273"/>
      <c r="I732" s="273"/>
      <c r="J732" s="273"/>
      <c r="K732" s="273"/>
      <c r="L732" s="274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4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</row>
    <row r="733" spans="1:35" ht="14.25" customHeight="1">
      <c r="A733" s="273"/>
      <c r="B733" s="273"/>
      <c r="C733" s="273"/>
      <c r="D733" s="273"/>
      <c r="E733" s="273"/>
      <c r="F733" s="273"/>
      <c r="G733" s="273"/>
      <c r="H733" s="273"/>
      <c r="I733" s="273"/>
      <c r="J733" s="273"/>
      <c r="K733" s="273"/>
      <c r="L733" s="274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4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</row>
    <row r="734" spans="1:35" ht="14.25" customHeight="1">
      <c r="A734" s="273"/>
      <c r="B734" s="273"/>
      <c r="C734" s="273"/>
      <c r="D734" s="273"/>
      <c r="E734" s="273"/>
      <c r="F734" s="273"/>
      <c r="G734" s="273"/>
      <c r="H734" s="273"/>
      <c r="I734" s="273"/>
      <c r="J734" s="273"/>
      <c r="K734" s="273"/>
      <c r="L734" s="274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4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</row>
    <row r="735" spans="1:35" ht="14.25" customHeight="1">
      <c r="A735" s="273"/>
      <c r="B735" s="273"/>
      <c r="C735" s="273"/>
      <c r="D735" s="273"/>
      <c r="E735" s="273"/>
      <c r="F735" s="273"/>
      <c r="G735" s="273"/>
      <c r="H735" s="273"/>
      <c r="I735" s="273"/>
      <c r="J735" s="273"/>
      <c r="K735" s="273"/>
      <c r="L735" s="274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4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</row>
    <row r="736" spans="1:35" ht="14.25" customHeight="1">
      <c r="A736" s="273"/>
      <c r="B736" s="273"/>
      <c r="C736" s="273"/>
      <c r="D736" s="273"/>
      <c r="E736" s="273"/>
      <c r="F736" s="273"/>
      <c r="G736" s="273"/>
      <c r="H736" s="273"/>
      <c r="I736" s="273"/>
      <c r="J736" s="273"/>
      <c r="K736" s="273"/>
      <c r="L736" s="274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4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</row>
    <row r="737" spans="1:35" ht="14.25" customHeight="1">
      <c r="A737" s="273"/>
      <c r="B737" s="273"/>
      <c r="C737" s="273"/>
      <c r="D737" s="273"/>
      <c r="E737" s="273"/>
      <c r="F737" s="273"/>
      <c r="G737" s="273"/>
      <c r="H737" s="273"/>
      <c r="I737" s="273"/>
      <c r="J737" s="273"/>
      <c r="K737" s="273"/>
      <c r="L737" s="274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4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</row>
    <row r="738" spans="1:35" ht="14.25" customHeight="1">
      <c r="A738" s="273"/>
      <c r="B738" s="273"/>
      <c r="C738" s="273"/>
      <c r="D738" s="273"/>
      <c r="E738" s="273"/>
      <c r="F738" s="273"/>
      <c r="G738" s="273"/>
      <c r="H738" s="273"/>
      <c r="I738" s="273"/>
      <c r="J738" s="273"/>
      <c r="K738" s="273"/>
      <c r="L738" s="274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4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</row>
    <row r="739" spans="1:35" ht="14.25" customHeight="1">
      <c r="A739" s="273"/>
      <c r="B739" s="273"/>
      <c r="C739" s="273"/>
      <c r="D739" s="273"/>
      <c r="E739" s="273"/>
      <c r="F739" s="273"/>
      <c r="G739" s="273"/>
      <c r="H739" s="273"/>
      <c r="I739" s="273"/>
      <c r="J739" s="273"/>
      <c r="K739" s="273"/>
      <c r="L739" s="274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4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</row>
    <row r="740" spans="1:35" ht="14.25" customHeight="1">
      <c r="A740" s="273"/>
      <c r="B740" s="273"/>
      <c r="C740" s="273"/>
      <c r="D740" s="273"/>
      <c r="E740" s="273"/>
      <c r="F740" s="273"/>
      <c r="G740" s="273"/>
      <c r="H740" s="273"/>
      <c r="I740" s="273"/>
      <c r="J740" s="273"/>
      <c r="K740" s="273"/>
      <c r="L740" s="274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4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</row>
    <row r="741" spans="1:35" ht="14.25" customHeight="1">
      <c r="A741" s="273"/>
      <c r="B741" s="273"/>
      <c r="C741" s="273"/>
      <c r="D741" s="273"/>
      <c r="E741" s="273"/>
      <c r="F741" s="273"/>
      <c r="G741" s="273"/>
      <c r="H741" s="273"/>
      <c r="I741" s="273"/>
      <c r="J741" s="273"/>
      <c r="K741" s="273"/>
      <c r="L741" s="274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4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</row>
    <row r="742" spans="1:35" ht="14.25" customHeight="1">
      <c r="A742" s="273"/>
      <c r="B742" s="273"/>
      <c r="C742" s="273"/>
      <c r="D742" s="273"/>
      <c r="E742" s="273"/>
      <c r="F742" s="273"/>
      <c r="G742" s="273"/>
      <c r="H742" s="273"/>
      <c r="I742" s="273"/>
      <c r="J742" s="273"/>
      <c r="K742" s="273"/>
      <c r="L742" s="274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4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</row>
    <row r="743" spans="1:35" ht="14.25" customHeight="1">
      <c r="A743" s="273"/>
      <c r="B743" s="273"/>
      <c r="C743" s="273"/>
      <c r="D743" s="273"/>
      <c r="E743" s="273"/>
      <c r="F743" s="273"/>
      <c r="G743" s="273"/>
      <c r="H743" s="273"/>
      <c r="I743" s="273"/>
      <c r="J743" s="273"/>
      <c r="K743" s="273"/>
      <c r="L743" s="274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4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</row>
    <row r="744" spans="1:35" ht="14.25" customHeight="1">
      <c r="A744" s="273"/>
      <c r="B744" s="273"/>
      <c r="C744" s="273"/>
      <c r="D744" s="273"/>
      <c r="E744" s="273"/>
      <c r="F744" s="273"/>
      <c r="G744" s="273"/>
      <c r="H744" s="273"/>
      <c r="I744" s="273"/>
      <c r="J744" s="273"/>
      <c r="K744" s="273"/>
      <c r="L744" s="274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4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</row>
    <row r="745" spans="1:35" ht="14.25" customHeight="1">
      <c r="A745" s="273"/>
      <c r="B745" s="273"/>
      <c r="C745" s="273"/>
      <c r="D745" s="273"/>
      <c r="E745" s="273"/>
      <c r="F745" s="273"/>
      <c r="G745" s="273"/>
      <c r="H745" s="273"/>
      <c r="I745" s="273"/>
      <c r="J745" s="273"/>
      <c r="K745" s="273"/>
      <c r="L745" s="274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4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</row>
    <row r="746" spans="1:35" ht="14.25" customHeight="1">
      <c r="A746" s="273"/>
      <c r="B746" s="273"/>
      <c r="C746" s="273"/>
      <c r="D746" s="273"/>
      <c r="E746" s="273"/>
      <c r="F746" s="273"/>
      <c r="G746" s="273"/>
      <c r="H746" s="273"/>
      <c r="I746" s="273"/>
      <c r="J746" s="273"/>
      <c r="K746" s="273"/>
      <c r="L746" s="274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4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</row>
    <row r="747" spans="1:35" ht="14.25" customHeight="1">
      <c r="A747" s="273"/>
      <c r="B747" s="273"/>
      <c r="C747" s="273"/>
      <c r="D747" s="273"/>
      <c r="E747" s="273"/>
      <c r="F747" s="273"/>
      <c r="G747" s="273"/>
      <c r="H747" s="273"/>
      <c r="I747" s="273"/>
      <c r="J747" s="273"/>
      <c r="K747" s="273"/>
      <c r="L747" s="274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4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</row>
    <row r="748" spans="1:35" ht="14.25" customHeight="1">
      <c r="A748" s="273"/>
      <c r="B748" s="273"/>
      <c r="C748" s="273"/>
      <c r="D748" s="273"/>
      <c r="E748" s="273"/>
      <c r="F748" s="273"/>
      <c r="G748" s="273"/>
      <c r="H748" s="273"/>
      <c r="I748" s="273"/>
      <c r="J748" s="273"/>
      <c r="K748" s="273"/>
      <c r="L748" s="274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4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</row>
    <row r="749" spans="1:35" ht="14.25" customHeight="1">
      <c r="A749" s="273"/>
      <c r="B749" s="273"/>
      <c r="C749" s="273"/>
      <c r="D749" s="273"/>
      <c r="E749" s="273"/>
      <c r="F749" s="273"/>
      <c r="G749" s="273"/>
      <c r="H749" s="273"/>
      <c r="I749" s="273"/>
      <c r="J749" s="273"/>
      <c r="K749" s="273"/>
      <c r="L749" s="274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4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</row>
    <row r="750" spans="1:35" ht="14.25" customHeight="1">
      <c r="A750" s="273"/>
      <c r="B750" s="273"/>
      <c r="C750" s="273"/>
      <c r="D750" s="273"/>
      <c r="E750" s="273"/>
      <c r="F750" s="273"/>
      <c r="G750" s="273"/>
      <c r="H750" s="273"/>
      <c r="I750" s="273"/>
      <c r="J750" s="273"/>
      <c r="K750" s="273"/>
      <c r="L750" s="274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4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</row>
    <row r="751" spans="1:35" ht="14.25" customHeight="1">
      <c r="A751" s="273"/>
      <c r="B751" s="273"/>
      <c r="C751" s="273"/>
      <c r="D751" s="273"/>
      <c r="E751" s="273"/>
      <c r="F751" s="273"/>
      <c r="G751" s="273"/>
      <c r="H751" s="273"/>
      <c r="I751" s="273"/>
      <c r="J751" s="273"/>
      <c r="K751" s="273"/>
      <c r="L751" s="274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4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</row>
    <row r="752" spans="1:35" ht="14.25" customHeight="1">
      <c r="A752" s="273"/>
      <c r="B752" s="273"/>
      <c r="C752" s="273"/>
      <c r="D752" s="273"/>
      <c r="E752" s="273"/>
      <c r="F752" s="273"/>
      <c r="G752" s="273"/>
      <c r="H752" s="273"/>
      <c r="I752" s="273"/>
      <c r="J752" s="273"/>
      <c r="K752" s="273"/>
      <c r="L752" s="274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4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</row>
    <row r="753" spans="1:35" ht="14.25" customHeight="1">
      <c r="A753" s="273"/>
      <c r="B753" s="273"/>
      <c r="C753" s="273"/>
      <c r="D753" s="273"/>
      <c r="E753" s="273"/>
      <c r="F753" s="273"/>
      <c r="G753" s="273"/>
      <c r="H753" s="273"/>
      <c r="I753" s="273"/>
      <c r="J753" s="273"/>
      <c r="K753" s="273"/>
      <c r="L753" s="274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4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</row>
    <row r="754" spans="1:35" ht="14.25" customHeight="1">
      <c r="A754" s="273"/>
      <c r="B754" s="273"/>
      <c r="C754" s="273"/>
      <c r="D754" s="273"/>
      <c r="E754" s="273"/>
      <c r="F754" s="273"/>
      <c r="G754" s="273"/>
      <c r="H754" s="273"/>
      <c r="I754" s="273"/>
      <c r="J754" s="273"/>
      <c r="K754" s="273"/>
      <c r="L754" s="274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4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</row>
    <row r="755" spans="1:35" ht="14.25" customHeight="1">
      <c r="A755" s="273"/>
      <c r="B755" s="273"/>
      <c r="C755" s="273"/>
      <c r="D755" s="273"/>
      <c r="E755" s="273"/>
      <c r="F755" s="273"/>
      <c r="G755" s="273"/>
      <c r="H755" s="273"/>
      <c r="I755" s="273"/>
      <c r="J755" s="273"/>
      <c r="K755" s="273"/>
      <c r="L755" s="274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4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</row>
    <row r="756" spans="1:35" ht="14.25" customHeight="1">
      <c r="A756" s="273"/>
      <c r="B756" s="273"/>
      <c r="C756" s="273"/>
      <c r="D756" s="273"/>
      <c r="E756" s="273"/>
      <c r="F756" s="273"/>
      <c r="G756" s="273"/>
      <c r="H756" s="273"/>
      <c r="I756" s="273"/>
      <c r="J756" s="273"/>
      <c r="K756" s="273"/>
      <c r="L756" s="274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4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</row>
    <row r="757" spans="1:35" ht="14.25" customHeight="1">
      <c r="A757" s="273"/>
      <c r="B757" s="273"/>
      <c r="C757" s="273"/>
      <c r="D757" s="273"/>
      <c r="E757" s="273"/>
      <c r="F757" s="273"/>
      <c r="G757" s="273"/>
      <c r="H757" s="273"/>
      <c r="I757" s="273"/>
      <c r="J757" s="273"/>
      <c r="K757" s="273"/>
      <c r="L757" s="274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4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</row>
    <row r="758" spans="1:35" ht="14.25" customHeight="1">
      <c r="A758" s="273"/>
      <c r="B758" s="273"/>
      <c r="C758" s="273"/>
      <c r="D758" s="273"/>
      <c r="E758" s="273"/>
      <c r="F758" s="273"/>
      <c r="G758" s="273"/>
      <c r="H758" s="273"/>
      <c r="I758" s="273"/>
      <c r="J758" s="273"/>
      <c r="K758" s="273"/>
      <c r="L758" s="274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4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</row>
    <row r="759" spans="1:35" ht="14.25" customHeight="1">
      <c r="A759" s="273"/>
      <c r="B759" s="273"/>
      <c r="C759" s="273"/>
      <c r="D759" s="273"/>
      <c r="E759" s="273"/>
      <c r="F759" s="273"/>
      <c r="G759" s="273"/>
      <c r="H759" s="273"/>
      <c r="I759" s="273"/>
      <c r="J759" s="273"/>
      <c r="K759" s="273"/>
      <c r="L759" s="274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4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</row>
    <row r="760" spans="1:35" ht="14.25" customHeight="1">
      <c r="A760" s="273"/>
      <c r="B760" s="273"/>
      <c r="C760" s="273"/>
      <c r="D760" s="273"/>
      <c r="E760" s="273"/>
      <c r="F760" s="273"/>
      <c r="G760" s="273"/>
      <c r="H760" s="273"/>
      <c r="I760" s="273"/>
      <c r="J760" s="273"/>
      <c r="K760" s="273"/>
      <c r="L760" s="274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4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</row>
    <row r="761" spans="1:35" ht="14.25" customHeight="1">
      <c r="A761" s="273"/>
      <c r="B761" s="273"/>
      <c r="C761" s="273"/>
      <c r="D761" s="273"/>
      <c r="E761" s="273"/>
      <c r="F761" s="273"/>
      <c r="G761" s="273"/>
      <c r="H761" s="273"/>
      <c r="I761" s="273"/>
      <c r="J761" s="273"/>
      <c r="K761" s="273"/>
      <c r="L761" s="274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4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</row>
    <row r="762" spans="1:35" ht="14.25" customHeight="1">
      <c r="A762" s="273"/>
      <c r="B762" s="273"/>
      <c r="C762" s="273"/>
      <c r="D762" s="273"/>
      <c r="E762" s="273"/>
      <c r="F762" s="273"/>
      <c r="G762" s="273"/>
      <c r="H762" s="273"/>
      <c r="I762" s="273"/>
      <c r="J762" s="273"/>
      <c r="K762" s="273"/>
      <c r="L762" s="274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4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</row>
    <row r="763" spans="1:35" ht="14.25" customHeight="1">
      <c r="A763" s="273"/>
      <c r="B763" s="273"/>
      <c r="C763" s="273"/>
      <c r="D763" s="273"/>
      <c r="E763" s="273"/>
      <c r="F763" s="273"/>
      <c r="G763" s="273"/>
      <c r="H763" s="273"/>
      <c r="I763" s="273"/>
      <c r="J763" s="273"/>
      <c r="K763" s="273"/>
      <c r="L763" s="274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4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</row>
    <row r="764" spans="1:35" ht="14.25" customHeight="1">
      <c r="A764" s="273"/>
      <c r="B764" s="273"/>
      <c r="C764" s="273"/>
      <c r="D764" s="273"/>
      <c r="E764" s="273"/>
      <c r="F764" s="273"/>
      <c r="G764" s="273"/>
      <c r="H764" s="273"/>
      <c r="I764" s="273"/>
      <c r="J764" s="273"/>
      <c r="K764" s="273"/>
      <c r="L764" s="274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4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</row>
    <row r="765" spans="1:35" ht="14.25" customHeight="1">
      <c r="A765" s="273"/>
      <c r="B765" s="273"/>
      <c r="C765" s="273"/>
      <c r="D765" s="273"/>
      <c r="E765" s="273"/>
      <c r="F765" s="273"/>
      <c r="G765" s="273"/>
      <c r="H765" s="273"/>
      <c r="I765" s="273"/>
      <c r="J765" s="273"/>
      <c r="K765" s="273"/>
      <c r="L765" s="274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4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</row>
    <row r="766" spans="1:35" ht="14.25" customHeight="1">
      <c r="A766" s="273"/>
      <c r="B766" s="273"/>
      <c r="C766" s="273"/>
      <c r="D766" s="273"/>
      <c r="E766" s="273"/>
      <c r="F766" s="273"/>
      <c r="G766" s="273"/>
      <c r="H766" s="273"/>
      <c r="I766" s="273"/>
      <c r="J766" s="273"/>
      <c r="K766" s="273"/>
      <c r="L766" s="274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4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</row>
    <row r="767" spans="1:35" ht="14.25" customHeight="1">
      <c r="A767" s="273"/>
      <c r="B767" s="273"/>
      <c r="C767" s="273"/>
      <c r="D767" s="273"/>
      <c r="E767" s="273"/>
      <c r="F767" s="273"/>
      <c r="G767" s="273"/>
      <c r="H767" s="273"/>
      <c r="I767" s="273"/>
      <c r="J767" s="273"/>
      <c r="K767" s="273"/>
      <c r="L767" s="274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4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</row>
    <row r="768" spans="1:35" ht="14.25" customHeight="1">
      <c r="A768" s="273"/>
      <c r="B768" s="273"/>
      <c r="C768" s="273"/>
      <c r="D768" s="273"/>
      <c r="E768" s="273"/>
      <c r="F768" s="273"/>
      <c r="G768" s="273"/>
      <c r="H768" s="273"/>
      <c r="I768" s="273"/>
      <c r="J768" s="273"/>
      <c r="K768" s="273"/>
      <c r="L768" s="274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4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</row>
    <row r="769" spans="1:35" ht="14.25" customHeight="1">
      <c r="A769" s="273"/>
      <c r="B769" s="273"/>
      <c r="C769" s="273"/>
      <c r="D769" s="273"/>
      <c r="E769" s="273"/>
      <c r="F769" s="273"/>
      <c r="G769" s="273"/>
      <c r="H769" s="273"/>
      <c r="I769" s="273"/>
      <c r="J769" s="273"/>
      <c r="K769" s="273"/>
      <c r="L769" s="274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4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</row>
    <row r="770" spans="1:35" ht="14.25" customHeight="1">
      <c r="A770" s="273"/>
      <c r="B770" s="273"/>
      <c r="C770" s="273"/>
      <c r="D770" s="273"/>
      <c r="E770" s="273"/>
      <c r="F770" s="273"/>
      <c r="G770" s="273"/>
      <c r="H770" s="273"/>
      <c r="I770" s="273"/>
      <c r="J770" s="273"/>
      <c r="K770" s="273"/>
      <c r="L770" s="274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4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</row>
    <row r="771" spans="1:35" ht="14.25" customHeight="1">
      <c r="A771" s="273"/>
      <c r="B771" s="273"/>
      <c r="C771" s="273"/>
      <c r="D771" s="273"/>
      <c r="E771" s="273"/>
      <c r="F771" s="273"/>
      <c r="G771" s="273"/>
      <c r="H771" s="273"/>
      <c r="I771" s="273"/>
      <c r="J771" s="273"/>
      <c r="K771" s="273"/>
      <c r="L771" s="274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4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</row>
    <row r="772" spans="1:35" ht="14.25" customHeight="1">
      <c r="A772" s="273"/>
      <c r="B772" s="273"/>
      <c r="C772" s="273"/>
      <c r="D772" s="273"/>
      <c r="E772" s="273"/>
      <c r="F772" s="273"/>
      <c r="G772" s="273"/>
      <c r="H772" s="273"/>
      <c r="I772" s="273"/>
      <c r="J772" s="273"/>
      <c r="K772" s="273"/>
      <c r="L772" s="274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4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</row>
    <row r="773" spans="1:35" ht="14.25" customHeight="1">
      <c r="A773" s="273"/>
      <c r="B773" s="273"/>
      <c r="C773" s="273"/>
      <c r="D773" s="273"/>
      <c r="E773" s="273"/>
      <c r="F773" s="273"/>
      <c r="G773" s="273"/>
      <c r="H773" s="273"/>
      <c r="I773" s="273"/>
      <c r="J773" s="273"/>
      <c r="K773" s="273"/>
      <c r="L773" s="274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4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</row>
    <row r="774" spans="1:35" ht="14.25" customHeight="1">
      <c r="A774" s="273"/>
      <c r="B774" s="273"/>
      <c r="C774" s="273"/>
      <c r="D774" s="273"/>
      <c r="E774" s="273"/>
      <c r="F774" s="273"/>
      <c r="G774" s="273"/>
      <c r="H774" s="273"/>
      <c r="I774" s="273"/>
      <c r="J774" s="273"/>
      <c r="K774" s="273"/>
      <c r="L774" s="274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4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</row>
    <row r="775" spans="1:35" ht="14.25" customHeight="1">
      <c r="A775" s="273"/>
      <c r="B775" s="273"/>
      <c r="C775" s="273"/>
      <c r="D775" s="273"/>
      <c r="E775" s="273"/>
      <c r="F775" s="273"/>
      <c r="G775" s="273"/>
      <c r="H775" s="273"/>
      <c r="I775" s="273"/>
      <c r="J775" s="273"/>
      <c r="K775" s="273"/>
      <c r="L775" s="274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4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</row>
    <row r="776" spans="1:35" ht="14.25" customHeight="1">
      <c r="A776" s="273"/>
      <c r="B776" s="273"/>
      <c r="C776" s="273"/>
      <c r="D776" s="273"/>
      <c r="E776" s="273"/>
      <c r="F776" s="273"/>
      <c r="G776" s="273"/>
      <c r="H776" s="273"/>
      <c r="I776" s="273"/>
      <c r="J776" s="273"/>
      <c r="K776" s="273"/>
      <c r="L776" s="274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4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</row>
    <row r="777" spans="1:35" ht="14.25" customHeight="1">
      <c r="A777" s="273"/>
      <c r="B777" s="273"/>
      <c r="C777" s="273"/>
      <c r="D777" s="273"/>
      <c r="E777" s="273"/>
      <c r="F777" s="273"/>
      <c r="G777" s="273"/>
      <c r="H777" s="273"/>
      <c r="I777" s="273"/>
      <c r="J777" s="273"/>
      <c r="K777" s="273"/>
      <c r="L777" s="274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4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</row>
    <row r="778" spans="1:35" ht="14.25" customHeight="1">
      <c r="A778" s="273"/>
      <c r="B778" s="273"/>
      <c r="C778" s="273"/>
      <c r="D778" s="273"/>
      <c r="E778" s="273"/>
      <c r="F778" s="273"/>
      <c r="G778" s="273"/>
      <c r="H778" s="273"/>
      <c r="I778" s="273"/>
      <c r="J778" s="273"/>
      <c r="K778" s="273"/>
      <c r="L778" s="274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4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</row>
    <row r="779" spans="1:35" ht="14.25" customHeight="1">
      <c r="A779" s="273"/>
      <c r="B779" s="273"/>
      <c r="C779" s="273"/>
      <c r="D779" s="273"/>
      <c r="E779" s="273"/>
      <c r="F779" s="273"/>
      <c r="G779" s="273"/>
      <c r="H779" s="273"/>
      <c r="I779" s="273"/>
      <c r="J779" s="273"/>
      <c r="K779" s="273"/>
      <c r="L779" s="274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4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</row>
    <row r="780" spans="1:35" ht="14.25" customHeight="1">
      <c r="A780" s="273"/>
      <c r="B780" s="273"/>
      <c r="C780" s="273"/>
      <c r="D780" s="273"/>
      <c r="E780" s="273"/>
      <c r="F780" s="273"/>
      <c r="G780" s="273"/>
      <c r="H780" s="273"/>
      <c r="I780" s="273"/>
      <c r="J780" s="273"/>
      <c r="K780" s="273"/>
      <c r="L780" s="274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4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</row>
    <row r="781" spans="1:35" ht="14.25" customHeight="1">
      <c r="A781" s="273"/>
      <c r="B781" s="273"/>
      <c r="C781" s="273"/>
      <c r="D781" s="273"/>
      <c r="E781" s="273"/>
      <c r="F781" s="273"/>
      <c r="G781" s="273"/>
      <c r="H781" s="273"/>
      <c r="I781" s="273"/>
      <c r="J781" s="273"/>
      <c r="K781" s="273"/>
      <c r="L781" s="274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4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</row>
    <row r="782" spans="1:35" ht="14.25" customHeight="1">
      <c r="A782" s="273"/>
      <c r="B782" s="273"/>
      <c r="C782" s="273"/>
      <c r="D782" s="273"/>
      <c r="E782" s="273"/>
      <c r="F782" s="273"/>
      <c r="G782" s="273"/>
      <c r="H782" s="273"/>
      <c r="I782" s="273"/>
      <c r="J782" s="273"/>
      <c r="K782" s="273"/>
      <c r="L782" s="274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4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</row>
    <row r="783" spans="1:35" ht="14.25" customHeight="1">
      <c r="A783" s="273"/>
      <c r="B783" s="273"/>
      <c r="C783" s="273"/>
      <c r="D783" s="273"/>
      <c r="E783" s="273"/>
      <c r="F783" s="273"/>
      <c r="G783" s="273"/>
      <c r="H783" s="273"/>
      <c r="I783" s="273"/>
      <c r="J783" s="273"/>
      <c r="K783" s="273"/>
      <c r="L783" s="274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4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</row>
    <row r="784" spans="1:35" ht="14.25" customHeight="1">
      <c r="A784" s="273"/>
      <c r="B784" s="273"/>
      <c r="C784" s="273"/>
      <c r="D784" s="273"/>
      <c r="E784" s="273"/>
      <c r="F784" s="273"/>
      <c r="G784" s="273"/>
      <c r="H784" s="273"/>
      <c r="I784" s="273"/>
      <c r="J784" s="273"/>
      <c r="K784" s="273"/>
      <c r="L784" s="274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4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</row>
    <row r="785" spans="1:35" ht="14.25" customHeight="1">
      <c r="A785" s="273"/>
      <c r="B785" s="273"/>
      <c r="C785" s="273"/>
      <c r="D785" s="273"/>
      <c r="E785" s="273"/>
      <c r="F785" s="273"/>
      <c r="G785" s="273"/>
      <c r="H785" s="273"/>
      <c r="I785" s="273"/>
      <c r="J785" s="273"/>
      <c r="K785" s="273"/>
      <c r="L785" s="274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4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</row>
    <row r="786" spans="1:35" ht="14.25" customHeight="1">
      <c r="A786" s="273"/>
      <c r="B786" s="273"/>
      <c r="C786" s="273"/>
      <c r="D786" s="273"/>
      <c r="E786" s="273"/>
      <c r="F786" s="273"/>
      <c r="G786" s="273"/>
      <c r="H786" s="273"/>
      <c r="I786" s="273"/>
      <c r="J786" s="273"/>
      <c r="K786" s="273"/>
      <c r="L786" s="274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4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</row>
    <row r="787" spans="1:35" ht="14.25" customHeight="1">
      <c r="A787" s="273"/>
      <c r="B787" s="273"/>
      <c r="C787" s="273"/>
      <c r="D787" s="273"/>
      <c r="E787" s="273"/>
      <c r="F787" s="273"/>
      <c r="G787" s="273"/>
      <c r="H787" s="273"/>
      <c r="I787" s="273"/>
      <c r="J787" s="273"/>
      <c r="K787" s="273"/>
      <c r="L787" s="274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4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</row>
    <row r="788" spans="1:35" ht="14.25" customHeight="1">
      <c r="A788" s="273"/>
      <c r="B788" s="273"/>
      <c r="C788" s="273"/>
      <c r="D788" s="273"/>
      <c r="E788" s="273"/>
      <c r="F788" s="273"/>
      <c r="G788" s="273"/>
      <c r="H788" s="273"/>
      <c r="I788" s="273"/>
      <c r="J788" s="273"/>
      <c r="K788" s="273"/>
      <c r="L788" s="274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4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</row>
    <row r="789" spans="1:35" ht="14.25" customHeight="1">
      <c r="A789" s="273"/>
      <c r="B789" s="273"/>
      <c r="C789" s="273"/>
      <c r="D789" s="273"/>
      <c r="E789" s="273"/>
      <c r="F789" s="273"/>
      <c r="G789" s="273"/>
      <c r="H789" s="273"/>
      <c r="I789" s="273"/>
      <c r="J789" s="273"/>
      <c r="K789" s="273"/>
      <c r="L789" s="274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4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</row>
    <row r="790" spans="1:35" ht="14.25" customHeight="1">
      <c r="A790" s="273"/>
      <c r="B790" s="273"/>
      <c r="C790" s="273"/>
      <c r="D790" s="273"/>
      <c r="E790" s="273"/>
      <c r="F790" s="273"/>
      <c r="G790" s="273"/>
      <c r="H790" s="273"/>
      <c r="I790" s="273"/>
      <c r="J790" s="273"/>
      <c r="K790" s="273"/>
      <c r="L790" s="274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4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</row>
    <row r="791" spans="1:35" ht="14.25" customHeight="1">
      <c r="A791" s="273"/>
      <c r="B791" s="273"/>
      <c r="C791" s="273"/>
      <c r="D791" s="273"/>
      <c r="E791" s="273"/>
      <c r="F791" s="273"/>
      <c r="G791" s="273"/>
      <c r="H791" s="273"/>
      <c r="I791" s="273"/>
      <c r="J791" s="273"/>
      <c r="K791" s="273"/>
      <c r="L791" s="274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4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</row>
    <row r="792" spans="1:35" ht="14.25" customHeight="1">
      <c r="A792" s="273"/>
      <c r="B792" s="273"/>
      <c r="C792" s="273"/>
      <c r="D792" s="273"/>
      <c r="E792" s="273"/>
      <c r="F792" s="273"/>
      <c r="G792" s="273"/>
      <c r="H792" s="273"/>
      <c r="I792" s="273"/>
      <c r="J792" s="273"/>
      <c r="K792" s="273"/>
      <c r="L792" s="274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4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</row>
    <row r="793" spans="1:35" ht="14.25" customHeight="1">
      <c r="A793" s="273"/>
      <c r="B793" s="273"/>
      <c r="C793" s="273"/>
      <c r="D793" s="273"/>
      <c r="E793" s="273"/>
      <c r="F793" s="273"/>
      <c r="G793" s="273"/>
      <c r="H793" s="273"/>
      <c r="I793" s="273"/>
      <c r="J793" s="273"/>
      <c r="K793" s="273"/>
      <c r="L793" s="274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4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</row>
    <row r="794" spans="1:35" ht="14.25" customHeight="1">
      <c r="A794" s="273"/>
      <c r="B794" s="273"/>
      <c r="C794" s="273"/>
      <c r="D794" s="273"/>
      <c r="E794" s="273"/>
      <c r="F794" s="273"/>
      <c r="G794" s="273"/>
      <c r="H794" s="273"/>
      <c r="I794" s="273"/>
      <c r="J794" s="273"/>
      <c r="K794" s="273"/>
      <c r="L794" s="274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4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</row>
    <row r="795" spans="1:35" ht="14.25" customHeight="1">
      <c r="A795" s="273"/>
      <c r="B795" s="273"/>
      <c r="C795" s="273"/>
      <c r="D795" s="273"/>
      <c r="E795" s="273"/>
      <c r="F795" s="273"/>
      <c r="G795" s="273"/>
      <c r="H795" s="273"/>
      <c r="I795" s="273"/>
      <c r="J795" s="273"/>
      <c r="K795" s="273"/>
      <c r="L795" s="274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4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</row>
    <row r="796" spans="1:35" ht="14.25" customHeight="1">
      <c r="A796" s="273"/>
      <c r="B796" s="273"/>
      <c r="C796" s="273"/>
      <c r="D796" s="273"/>
      <c r="E796" s="273"/>
      <c r="F796" s="273"/>
      <c r="G796" s="273"/>
      <c r="H796" s="273"/>
      <c r="I796" s="273"/>
      <c r="J796" s="273"/>
      <c r="K796" s="273"/>
      <c r="L796" s="274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4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</row>
    <row r="797" spans="1:35" ht="14.25" customHeight="1">
      <c r="A797" s="273"/>
      <c r="B797" s="273"/>
      <c r="C797" s="273"/>
      <c r="D797" s="273"/>
      <c r="E797" s="273"/>
      <c r="F797" s="273"/>
      <c r="G797" s="273"/>
      <c r="H797" s="273"/>
      <c r="I797" s="273"/>
      <c r="J797" s="273"/>
      <c r="K797" s="273"/>
      <c r="L797" s="274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4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</row>
    <row r="798" spans="1:35" ht="14.25" customHeight="1">
      <c r="A798" s="273"/>
      <c r="B798" s="273"/>
      <c r="C798" s="273"/>
      <c r="D798" s="273"/>
      <c r="E798" s="273"/>
      <c r="F798" s="273"/>
      <c r="G798" s="273"/>
      <c r="H798" s="273"/>
      <c r="I798" s="273"/>
      <c r="J798" s="273"/>
      <c r="K798" s="273"/>
      <c r="L798" s="274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4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</row>
    <row r="799" spans="1:35" ht="14.25" customHeight="1">
      <c r="A799" s="273"/>
      <c r="B799" s="273"/>
      <c r="C799" s="273"/>
      <c r="D799" s="273"/>
      <c r="E799" s="273"/>
      <c r="F799" s="273"/>
      <c r="G799" s="273"/>
      <c r="H799" s="273"/>
      <c r="I799" s="273"/>
      <c r="J799" s="273"/>
      <c r="K799" s="273"/>
      <c r="L799" s="274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4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</row>
    <row r="800" spans="1:35" ht="14.25" customHeight="1">
      <c r="A800" s="273"/>
      <c r="B800" s="273"/>
      <c r="C800" s="273"/>
      <c r="D800" s="273"/>
      <c r="E800" s="273"/>
      <c r="F800" s="273"/>
      <c r="G800" s="273"/>
      <c r="H800" s="273"/>
      <c r="I800" s="273"/>
      <c r="J800" s="273"/>
      <c r="K800" s="273"/>
      <c r="L800" s="274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4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</row>
    <row r="801" spans="1:35" ht="14.25" customHeight="1">
      <c r="A801" s="273"/>
      <c r="B801" s="273"/>
      <c r="C801" s="273"/>
      <c r="D801" s="273"/>
      <c r="E801" s="273"/>
      <c r="F801" s="273"/>
      <c r="G801" s="273"/>
      <c r="H801" s="273"/>
      <c r="I801" s="273"/>
      <c r="J801" s="273"/>
      <c r="K801" s="273"/>
      <c r="L801" s="274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4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</row>
    <row r="802" spans="1:35" ht="14.25" customHeight="1">
      <c r="A802" s="273"/>
      <c r="B802" s="273"/>
      <c r="C802" s="273"/>
      <c r="D802" s="273"/>
      <c r="E802" s="273"/>
      <c r="F802" s="273"/>
      <c r="G802" s="273"/>
      <c r="H802" s="273"/>
      <c r="I802" s="273"/>
      <c r="J802" s="273"/>
      <c r="K802" s="273"/>
      <c r="L802" s="274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4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</row>
    <row r="803" spans="1:35" ht="14.25" customHeight="1">
      <c r="A803" s="273"/>
      <c r="B803" s="273"/>
      <c r="C803" s="273"/>
      <c r="D803" s="273"/>
      <c r="E803" s="273"/>
      <c r="F803" s="273"/>
      <c r="G803" s="273"/>
      <c r="H803" s="273"/>
      <c r="I803" s="273"/>
      <c r="J803" s="273"/>
      <c r="K803" s="273"/>
      <c r="L803" s="274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4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</row>
    <row r="804" spans="1:35" ht="14.25" customHeight="1">
      <c r="A804" s="273"/>
      <c r="B804" s="273"/>
      <c r="C804" s="273"/>
      <c r="D804" s="273"/>
      <c r="E804" s="273"/>
      <c r="F804" s="273"/>
      <c r="G804" s="273"/>
      <c r="H804" s="273"/>
      <c r="I804" s="273"/>
      <c r="J804" s="273"/>
      <c r="K804" s="273"/>
      <c r="L804" s="274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4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</row>
    <row r="805" spans="1:35" ht="14.25" customHeight="1">
      <c r="A805" s="273"/>
      <c r="B805" s="273"/>
      <c r="C805" s="273"/>
      <c r="D805" s="273"/>
      <c r="E805" s="273"/>
      <c r="F805" s="273"/>
      <c r="G805" s="273"/>
      <c r="H805" s="273"/>
      <c r="I805" s="273"/>
      <c r="J805" s="273"/>
      <c r="K805" s="273"/>
      <c r="L805" s="274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4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</row>
    <row r="806" spans="1:35" ht="14.25" customHeight="1">
      <c r="A806" s="273"/>
      <c r="B806" s="273"/>
      <c r="C806" s="273"/>
      <c r="D806" s="273"/>
      <c r="E806" s="273"/>
      <c r="F806" s="273"/>
      <c r="G806" s="273"/>
      <c r="H806" s="273"/>
      <c r="I806" s="273"/>
      <c r="J806" s="273"/>
      <c r="K806" s="273"/>
      <c r="L806" s="274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4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</row>
    <row r="807" spans="1:35" ht="14.25" customHeight="1">
      <c r="A807" s="273"/>
      <c r="B807" s="273"/>
      <c r="C807" s="273"/>
      <c r="D807" s="273"/>
      <c r="E807" s="273"/>
      <c r="F807" s="273"/>
      <c r="G807" s="273"/>
      <c r="H807" s="273"/>
      <c r="I807" s="273"/>
      <c r="J807" s="273"/>
      <c r="K807" s="273"/>
      <c r="L807" s="274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4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</row>
    <row r="808" spans="1:35" ht="14.25" customHeight="1">
      <c r="A808" s="273"/>
      <c r="B808" s="273"/>
      <c r="C808" s="273"/>
      <c r="D808" s="273"/>
      <c r="E808" s="273"/>
      <c r="F808" s="273"/>
      <c r="G808" s="273"/>
      <c r="H808" s="273"/>
      <c r="I808" s="273"/>
      <c r="J808" s="273"/>
      <c r="K808" s="273"/>
      <c r="L808" s="274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4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</row>
    <row r="809" spans="1:35" ht="14.25" customHeight="1">
      <c r="A809" s="273"/>
      <c r="B809" s="273"/>
      <c r="C809" s="273"/>
      <c r="D809" s="273"/>
      <c r="E809" s="273"/>
      <c r="F809" s="273"/>
      <c r="G809" s="273"/>
      <c r="H809" s="273"/>
      <c r="I809" s="273"/>
      <c r="J809" s="273"/>
      <c r="K809" s="273"/>
      <c r="L809" s="274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4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</row>
    <row r="810" spans="1:35" ht="14.25" customHeight="1">
      <c r="A810" s="273"/>
      <c r="B810" s="273"/>
      <c r="C810" s="273"/>
      <c r="D810" s="273"/>
      <c r="E810" s="273"/>
      <c r="F810" s="273"/>
      <c r="G810" s="273"/>
      <c r="H810" s="273"/>
      <c r="I810" s="273"/>
      <c r="J810" s="273"/>
      <c r="K810" s="273"/>
      <c r="L810" s="274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4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</row>
    <row r="811" spans="1:35" ht="14.25" customHeight="1">
      <c r="A811" s="273"/>
      <c r="B811" s="273"/>
      <c r="C811" s="273"/>
      <c r="D811" s="273"/>
      <c r="E811" s="273"/>
      <c r="F811" s="273"/>
      <c r="G811" s="273"/>
      <c r="H811" s="273"/>
      <c r="I811" s="273"/>
      <c r="J811" s="273"/>
      <c r="K811" s="273"/>
      <c r="L811" s="274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4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</row>
    <row r="812" spans="1:35" ht="14.25" customHeight="1">
      <c r="A812" s="273"/>
      <c r="B812" s="273"/>
      <c r="C812" s="273"/>
      <c r="D812" s="273"/>
      <c r="E812" s="273"/>
      <c r="F812" s="273"/>
      <c r="G812" s="273"/>
      <c r="H812" s="273"/>
      <c r="I812" s="273"/>
      <c r="J812" s="273"/>
      <c r="K812" s="273"/>
      <c r="L812" s="274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4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</row>
    <row r="813" spans="1:35" ht="14.25" customHeight="1">
      <c r="A813" s="273"/>
      <c r="B813" s="273"/>
      <c r="C813" s="273"/>
      <c r="D813" s="273"/>
      <c r="E813" s="273"/>
      <c r="F813" s="273"/>
      <c r="G813" s="273"/>
      <c r="H813" s="273"/>
      <c r="I813" s="273"/>
      <c r="J813" s="273"/>
      <c r="K813" s="273"/>
      <c r="L813" s="274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4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</row>
    <row r="814" spans="1:35" ht="14.25" customHeight="1">
      <c r="A814" s="273"/>
      <c r="B814" s="273"/>
      <c r="C814" s="273"/>
      <c r="D814" s="273"/>
      <c r="E814" s="273"/>
      <c r="F814" s="273"/>
      <c r="G814" s="273"/>
      <c r="H814" s="273"/>
      <c r="I814" s="273"/>
      <c r="J814" s="273"/>
      <c r="K814" s="273"/>
      <c r="L814" s="274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4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</row>
    <row r="815" spans="1:35" ht="14.25" customHeight="1">
      <c r="A815" s="273"/>
      <c r="B815" s="273"/>
      <c r="C815" s="273"/>
      <c r="D815" s="273"/>
      <c r="E815" s="273"/>
      <c r="F815" s="273"/>
      <c r="G815" s="273"/>
      <c r="H815" s="273"/>
      <c r="I815" s="273"/>
      <c r="J815" s="273"/>
      <c r="K815" s="273"/>
      <c r="L815" s="274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4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</row>
    <row r="816" spans="1:35" ht="14.25" customHeight="1">
      <c r="A816" s="273"/>
      <c r="B816" s="273"/>
      <c r="C816" s="273"/>
      <c r="D816" s="273"/>
      <c r="E816" s="273"/>
      <c r="F816" s="273"/>
      <c r="G816" s="273"/>
      <c r="H816" s="273"/>
      <c r="I816" s="273"/>
      <c r="J816" s="273"/>
      <c r="K816" s="273"/>
      <c r="L816" s="274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4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</row>
    <row r="817" spans="1:35" ht="14.25" customHeight="1">
      <c r="A817" s="273"/>
      <c r="B817" s="273"/>
      <c r="C817" s="273"/>
      <c r="D817" s="273"/>
      <c r="E817" s="273"/>
      <c r="F817" s="273"/>
      <c r="G817" s="273"/>
      <c r="H817" s="273"/>
      <c r="I817" s="273"/>
      <c r="J817" s="273"/>
      <c r="K817" s="273"/>
      <c r="L817" s="274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4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</row>
    <row r="818" spans="1:35" ht="14.25" customHeight="1">
      <c r="A818" s="273"/>
      <c r="B818" s="273"/>
      <c r="C818" s="273"/>
      <c r="D818" s="273"/>
      <c r="E818" s="273"/>
      <c r="F818" s="273"/>
      <c r="G818" s="273"/>
      <c r="H818" s="273"/>
      <c r="I818" s="273"/>
      <c r="J818" s="273"/>
      <c r="K818" s="273"/>
      <c r="L818" s="274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4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</row>
    <row r="819" spans="1:35" ht="14.25" customHeight="1">
      <c r="A819" s="273"/>
      <c r="B819" s="273"/>
      <c r="C819" s="273"/>
      <c r="D819" s="273"/>
      <c r="E819" s="273"/>
      <c r="F819" s="273"/>
      <c r="G819" s="273"/>
      <c r="H819" s="273"/>
      <c r="I819" s="273"/>
      <c r="J819" s="273"/>
      <c r="K819" s="273"/>
      <c r="L819" s="274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4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</row>
    <row r="820" spans="1:35" ht="14.25" customHeight="1">
      <c r="A820" s="273"/>
      <c r="B820" s="273"/>
      <c r="C820" s="273"/>
      <c r="D820" s="273"/>
      <c r="E820" s="273"/>
      <c r="F820" s="273"/>
      <c r="G820" s="273"/>
      <c r="H820" s="273"/>
      <c r="I820" s="273"/>
      <c r="J820" s="273"/>
      <c r="K820" s="273"/>
      <c r="L820" s="274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4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</row>
    <row r="821" spans="1:35" ht="14.25" customHeight="1">
      <c r="A821" s="273"/>
      <c r="B821" s="273"/>
      <c r="C821" s="273"/>
      <c r="D821" s="273"/>
      <c r="E821" s="273"/>
      <c r="F821" s="273"/>
      <c r="G821" s="273"/>
      <c r="H821" s="273"/>
      <c r="I821" s="273"/>
      <c r="J821" s="273"/>
      <c r="K821" s="273"/>
      <c r="L821" s="274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4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</row>
    <row r="822" spans="1:35" ht="14.25" customHeight="1">
      <c r="A822" s="273"/>
      <c r="B822" s="273"/>
      <c r="C822" s="273"/>
      <c r="D822" s="273"/>
      <c r="E822" s="273"/>
      <c r="F822" s="273"/>
      <c r="G822" s="273"/>
      <c r="H822" s="273"/>
      <c r="I822" s="273"/>
      <c r="J822" s="273"/>
      <c r="K822" s="273"/>
      <c r="L822" s="274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4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</row>
    <row r="823" spans="1:35" ht="14.25" customHeight="1">
      <c r="A823" s="273"/>
      <c r="B823" s="273"/>
      <c r="C823" s="273"/>
      <c r="D823" s="273"/>
      <c r="E823" s="273"/>
      <c r="F823" s="273"/>
      <c r="G823" s="273"/>
      <c r="H823" s="273"/>
      <c r="I823" s="273"/>
      <c r="J823" s="273"/>
      <c r="K823" s="273"/>
      <c r="L823" s="274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4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</row>
    <row r="824" spans="1:35" ht="14.25" customHeight="1">
      <c r="A824" s="273"/>
      <c r="B824" s="273"/>
      <c r="C824" s="273"/>
      <c r="D824" s="273"/>
      <c r="E824" s="273"/>
      <c r="F824" s="273"/>
      <c r="G824" s="273"/>
      <c r="H824" s="273"/>
      <c r="I824" s="273"/>
      <c r="J824" s="273"/>
      <c r="K824" s="273"/>
      <c r="L824" s="274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4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</row>
    <row r="825" spans="1:35" ht="14.25" customHeight="1">
      <c r="A825" s="273"/>
      <c r="B825" s="273"/>
      <c r="C825" s="273"/>
      <c r="D825" s="273"/>
      <c r="E825" s="273"/>
      <c r="F825" s="273"/>
      <c r="G825" s="273"/>
      <c r="H825" s="273"/>
      <c r="I825" s="273"/>
      <c r="J825" s="273"/>
      <c r="K825" s="273"/>
      <c r="L825" s="274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4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</row>
    <row r="826" spans="1:35" ht="14.25" customHeight="1">
      <c r="A826" s="273"/>
      <c r="B826" s="273"/>
      <c r="C826" s="273"/>
      <c r="D826" s="273"/>
      <c r="E826" s="273"/>
      <c r="F826" s="273"/>
      <c r="G826" s="273"/>
      <c r="H826" s="273"/>
      <c r="I826" s="273"/>
      <c r="J826" s="273"/>
      <c r="K826" s="273"/>
      <c r="L826" s="274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4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</row>
    <row r="827" spans="1:35" ht="14.25" customHeight="1">
      <c r="A827" s="273"/>
      <c r="B827" s="273"/>
      <c r="C827" s="273"/>
      <c r="D827" s="273"/>
      <c r="E827" s="273"/>
      <c r="F827" s="273"/>
      <c r="G827" s="273"/>
      <c r="H827" s="273"/>
      <c r="I827" s="273"/>
      <c r="J827" s="273"/>
      <c r="K827" s="273"/>
      <c r="L827" s="274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4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</row>
    <row r="828" spans="1:35" ht="14.25" customHeight="1">
      <c r="A828" s="273"/>
      <c r="B828" s="273"/>
      <c r="C828" s="273"/>
      <c r="D828" s="273"/>
      <c r="E828" s="273"/>
      <c r="F828" s="273"/>
      <c r="G828" s="273"/>
      <c r="H828" s="273"/>
      <c r="I828" s="273"/>
      <c r="J828" s="273"/>
      <c r="K828" s="273"/>
      <c r="L828" s="274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4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</row>
    <row r="829" spans="1:35" ht="14.25" customHeight="1">
      <c r="A829" s="273"/>
      <c r="B829" s="273"/>
      <c r="C829" s="273"/>
      <c r="D829" s="273"/>
      <c r="E829" s="273"/>
      <c r="F829" s="273"/>
      <c r="G829" s="273"/>
      <c r="H829" s="273"/>
      <c r="I829" s="273"/>
      <c r="J829" s="273"/>
      <c r="K829" s="273"/>
      <c r="L829" s="274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4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</row>
    <row r="830" spans="1:35" ht="14.25" customHeight="1">
      <c r="A830" s="273"/>
      <c r="B830" s="273"/>
      <c r="C830" s="273"/>
      <c r="D830" s="273"/>
      <c r="E830" s="273"/>
      <c r="F830" s="273"/>
      <c r="G830" s="273"/>
      <c r="H830" s="273"/>
      <c r="I830" s="273"/>
      <c r="J830" s="273"/>
      <c r="K830" s="273"/>
      <c r="L830" s="274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4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</row>
    <row r="831" spans="1:35" ht="14.25" customHeight="1">
      <c r="A831" s="273"/>
      <c r="B831" s="273"/>
      <c r="C831" s="273"/>
      <c r="D831" s="273"/>
      <c r="E831" s="273"/>
      <c r="F831" s="273"/>
      <c r="G831" s="273"/>
      <c r="H831" s="273"/>
      <c r="I831" s="273"/>
      <c r="J831" s="273"/>
      <c r="K831" s="273"/>
      <c r="L831" s="274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4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</row>
    <row r="832" spans="1:35" ht="14.25" customHeight="1">
      <c r="A832" s="273"/>
      <c r="B832" s="273"/>
      <c r="C832" s="273"/>
      <c r="D832" s="273"/>
      <c r="E832" s="273"/>
      <c r="F832" s="273"/>
      <c r="G832" s="273"/>
      <c r="H832" s="273"/>
      <c r="I832" s="273"/>
      <c r="J832" s="273"/>
      <c r="K832" s="273"/>
      <c r="L832" s="274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4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</row>
    <row r="833" spans="1:35" ht="14.25" customHeight="1">
      <c r="A833" s="273"/>
      <c r="B833" s="273"/>
      <c r="C833" s="273"/>
      <c r="D833" s="273"/>
      <c r="E833" s="273"/>
      <c r="F833" s="273"/>
      <c r="G833" s="273"/>
      <c r="H833" s="273"/>
      <c r="I833" s="273"/>
      <c r="J833" s="273"/>
      <c r="K833" s="273"/>
      <c r="L833" s="274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4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</row>
    <row r="834" spans="1:35" ht="14.25" customHeight="1">
      <c r="A834" s="273"/>
      <c r="B834" s="273"/>
      <c r="C834" s="273"/>
      <c r="D834" s="273"/>
      <c r="E834" s="273"/>
      <c r="F834" s="273"/>
      <c r="G834" s="273"/>
      <c r="H834" s="273"/>
      <c r="I834" s="273"/>
      <c r="J834" s="273"/>
      <c r="K834" s="273"/>
      <c r="L834" s="274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4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</row>
    <row r="835" spans="1:35" ht="14.25" customHeight="1">
      <c r="A835" s="273"/>
      <c r="B835" s="273"/>
      <c r="C835" s="273"/>
      <c r="D835" s="273"/>
      <c r="E835" s="273"/>
      <c r="F835" s="273"/>
      <c r="G835" s="273"/>
      <c r="H835" s="273"/>
      <c r="I835" s="273"/>
      <c r="J835" s="273"/>
      <c r="K835" s="273"/>
      <c r="L835" s="274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4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</row>
    <row r="836" spans="1:35" ht="14.25" customHeight="1">
      <c r="A836" s="273"/>
      <c r="B836" s="273"/>
      <c r="C836" s="273"/>
      <c r="D836" s="273"/>
      <c r="E836" s="273"/>
      <c r="F836" s="273"/>
      <c r="G836" s="273"/>
      <c r="H836" s="273"/>
      <c r="I836" s="273"/>
      <c r="J836" s="273"/>
      <c r="K836" s="273"/>
      <c r="L836" s="274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4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</row>
    <row r="837" spans="1:35" ht="14.25" customHeight="1">
      <c r="A837" s="273"/>
      <c r="B837" s="273"/>
      <c r="C837" s="273"/>
      <c r="D837" s="273"/>
      <c r="E837" s="273"/>
      <c r="F837" s="273"/>
      <c r="G837" s="273"/>
      <c r="H837" s="273"/>
      <c r="I837" s="273"/>
      <c r="J837" s="273"/>
      <c r="K837" s="273"/>
      <c r="L837" s="274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4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</row>
    <row r="838" spans="1:35" ht="14.25" customHeight="1">
      <c r="A838" s="273"/>
      <c r="B838" s="273"/>
      <c r="C838" s="273"/>
      <c r="D838" s="273"/>
      <c r="E838" s="273"/>
      <c r="F838" s="273"/>
      <c r="G838" s="273"/>
      <c r="H838" s="273"/>
      <c r="I838" s="273"/>
      <c r="J838" s="273"/>
      <c r="K838" s="273"/>
      <c r="L838" s="274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4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</row>
    <row r="839" spans="1:35" ht="14.25" customHeight="1">
      <c r="A839" s="273"/>
      <c r="B839" s="273"/>
      <c r="C839" s="273"/>
      <c r="D839" s="273"/>
      <c r="E839" s="273"/>
      <c r="F839" s="273"/>
      <c r="G839" s="273"/>
      <c r="H839" s="273"/>
      <c r="I839" s="273"/>
      <c r="J839" s="273"/>
      <c r="K839" s="273"/>
      <c r="L839" s="274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4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</row>
    <row r="840" spans="1:35" ht="14.25" customHeight="1">
      <c r="A840" s="273"/>
      <c r="B840" s="273"/>
      <c r="C840" s="273"/>
      <c r="D840" s="273"/>
      <c r="E840" s="273"/>
      <c r="F840" s="273"/>
      <c r="G840" s="273"/>
      <c r="H840" s="273"/>
      <c r="I840" s="273"/>
      <c r="J840" s="273"/>
      <c r="K840" s="273"/>
      <c r="L840" s="274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4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</row>
    <row r="841" spans="1:35" ht="14.25" customHeight="1">
      <c r="A841" s="273"/>
      <c r="B841" s="273"/>
      <c r="C841" s="273"/>
      <c r="D841" s="273"/>
      <c r="E841" s="273"/>
      <c r="F841" s="273"/>
      <c r="G841" s="273"/>
      <c r="H841" s="273"/>
      <c r="I841" s="273"/>
      <c r="J841" s="273"/>
      <c r="K841" s="273"/>
      <c r="L841" s="274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4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</row>
    <row r="842" spans="1:35" ht="14.25" customHeight="1">
      <c r="A842" s="273"/>
      <c r="B842" s="273"/>
      <c r="C842" s="273"/>
      <c r="D842" s="273"/>
      <c r="E842" s="273"/>
      <c r="F842" s="273"/>
      <c r="G842" s="273"/>
      <c r="H842" s="273"/>
      <c r="I842" s="273"/>
      <c r="J842" s="273"/>
      <c r="K842" s="273"/>
      <c r="L842" s="274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4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</row>
    <row r="843" spans="1:35" ht="14.25" customHeight="1">
      <c r="A843" s="273"/>
      <c r="B843" s="273"/>
      <c r="C843" s="273"/>
      <c r="D843" s="273"/>
      <c r="E843" s="273"/>
      <c r="F843" s="273"/>
      <c r="G843" s="273"/>
      <c r="H843" s="273"/>
      <c r="I843" s="273"/>
      <c r="J843" s="273"/>
      <c r="K843" s="273"/>
      <c r="L843" s="274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4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</row>
    <row r="844" spans="1:35" ht="14.25" customHeight="1">
      <c r="A844" s="273"/>
      <c r="B844" s="273"/>
      <c r="C844" s="273"/>
      <c r="D844" s="273"/>
      <c r="E844" s="273"/>
      <c r="F844" s="273"/>
      <c r="G844" s="273"/>
      <c r="H844" s="273"/>
      <c r="I844" s="273"/>
      <c r="J844" s="273"/>
      <c r="K844" s="273"/>
      <c r="L844" s="274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4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</row>
    <row r="845" spans="1:35" ht="14.25" customHeight="1">
      <c r="A845" s="273"/>
      <c r="B845" s="273"/>
      <c r="C845" s="273"/>
      <c r="D845" s="273"/>
      <c r="E845" s="273"/>
      <c r="F845" s="273"/>
      <c r="G845" s="273"/>
      <c r="H845" s="273"/>
      <c r="I845" s="273"/>
      <c r="J845" s="273"/>
      <c r="K845" s="273"/>
      <c r="L845" s="274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4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</row>
    <row r="846" spans="1:35" ht="14.25" customHeight="1">
      <c r="A846" s="273"/>
      <c r="B846" s="273"/>
      <c r="C846" s="273"/>
      <c r="D846" s="273"/>
      <c r="E846" s="273"/>
      <c r="F846" s="273"/>
      <c r="G846" s="273"/>
      <c r="H846" s="273"/>
      <c r="I846" s="273"/>
      <c r="J846" s="273"/>
      <c r="K846" s="273"/>
      <c r="L846" s="274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4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</row>
    <row r="847" spans="1:35" ht="14.25" customHeight="1">
      <c r="A847" s="273"/>
      <c r="B847" s="273"/>
      <c r="C847" s="273"/>
      <c r="D847" s="273"/>
      <c r="E847" s="273"/>
      <c r="F847" s="273"/>
      <c r="G847" s="273"/>
      <c r="H847" s="273"/>
      <c r="I847" s="273"/>
      <c r="J847" s="273"/>
      <c r="K847" s="273"/>
      <c r="L847" s="274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4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</row>
    <row r="848" spans="1:35" ht="14.25" customHeight="1">
      <c r="A848" s="273"/>
      <c r="B848" s="273"/>
      <c r="C848" s="273"/>
      <c r="D848" s="273"/>
      <c r="E848" s="273"/>
      <c r="F848" s="273"/>
      <c r="G848" s="273"/>
      <c r="H848" s="273"/>
      <c r="I848" s="273"/>
      <c r="J848" s="273"/>
      <c r="K848" s="273"/>
      <c r="L848" s="274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4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</row>
    <row r="849" spans="1:35" ht="14.25" customHeight="1">
      <c r="A849" s="273"/>
      <c r="B849" s="273"/>
      <c r="C849" s="273"/>
      <c r="D849" s="273"/>
      <c r="E849" s="273"/>
      <c r="F849" s="273"/>
      <c r="G849" s="273"/>
      <c r="H849" s="273"/>
      <c r="I849" s="273"/>
      <c r="J849" s="273"/>
      <c r="K849" s="273"/>
      <c r="L849" s="274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4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</row>
    <row r="850" spans="1:35" ht="14.25" customHeight="1">
      <c r="A850" s="273"/>
      <c r="B850" s="273"/>
      <c r="C850" s="273"/>
      <c r="D850" s="273"/>
      <c r="E850" s="273"/>
      <c r="F850" s="273"/>
      <c r="G850" s="273"/>
      <c r="H850" s="273"/>
      <c r="I850" s="273"/>
      <c r="J850" s="273"/>
      <c r="K850" s="273"/>
      <c r="L850" s="274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4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</row>
    <row r="851" spans="1:35" ht="14.25" customHeight="1">
      <c r="A851" s="273"/>
      <c r="B851" s="273"/>
      <c r="C851" s="273"/>
      <c r="D851" s="273"/>
      <c r="E851" s="273"/>
      <c r="F851" s="273"/>
      <c r="G851" s="273"/>
      <c r="H851" s="273"/>
      <c r="I851" s="273"/>
      <c r="J851" s="273"/>
      <c r="K851" s="273"/>
      <c r="L851" s="274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4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</row>
    <row r="852" spans="1:35" ht="14.25" customHeight="1">
      <c r="A852" s="273"/>
      <c r="B852" s="273"/>
      <c r="C852" s="273"/>
      <c r="D852" s="273"/>
      <c r="E852" s="273"/>
      <c r="F852" s="273"/>
      <c r="G852" s="273"/>
      <c r="H852" s="273"/>
      <c r="I852" s="273"/>
      <c r="J852" s="273"/>
      <c r="K852" s="273"/>
      <c r="L852" s="274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4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</row>
    <row r="853" spans="1:35" ht="14.25" customHeight="1">
      <c r="A853" s="273"/>
      <c r="B853" s="273"/>
      <c r="C853" s="273"/>
      <c r="D853" s="273"/>
      <c r="E853" s="273"/>
      <c r="F853" s="273"/>
      <c r="G853" s="273"/>
      <c r="H853" s="273"/>
      <c r="I853" s="273"/>
      <c r="J853" s="273"/>
      <c r="K853" s="273"/>
      <c r="L853" s="274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4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</row>
    <row r="854" spans="1:35" ht="14.25" customHeight="1">
      <c r="A854" s="273"/>
      <c r="B854" s="273"/>
      <c r="C854" s="273"/>
      <c r="D854" s="273"/>
      <c r="E854" s="273"/>
      <c r="F854" s="273"/>
      <c r="G854" s="273"/>
      <c r="H854" s="273"/>
      <c r="I854" s="273"/>
      <c r="J854" s="273"/>
      <c r="K854" s="273"/>
      <c r="L854" s="274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4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</row>
    <row r="855" spans="1:35" ht="14.25" customHeight="1">
      <c r="A855" s="273"/>
      <c r="B855" s="273"/>
      <c r="C855" s="273"/>
      <c r="D855" s="273"/>
      <c r="E855" s="273"/>
      <c r="F855" s="273"/>
      <c r="G855" s="273"/>
      <c r="H855" s="273"/>
      <c r="I855" s="273"/>
      <c r="J855" s="273"/>
      <c r="K855" s="273"/>
      <c r="L855" s="274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4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</row>
    <row r="856" spans="1:35" ht="14.25" customHeight="1">
      <c r="A856" s="273"/>
      <c r="B856" s="273"/>
      <c r="C856" s="273"/>
      <c r="D856" s="273"/>
      <c r="E856" s="273"/>
      <c r="F856" s="273"/>
      <c r="G856" s="273"/>
      <c r="H856" s="273"/>
      <c r="I856" s="273"/>
      <c r="J856" s="273"/>
      <c r="K856" s="273"/>
      <c r="L856" s="274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4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</row>
    <row r="857" spans="1:35" ht="14.25" customHeight="1">
      <c r="A857" s="273"/>
      <c r="B857" s="273"/>
      <c r="C857" s="273"/>
      <c r="D857" s="273"/>
      <c r="E857" s="273"/>
      <c r="F857" s="273"/>
      <c r="G857" s="273"/>
      <c r="H857" s="273"/>
      <c r="I857" s="273"/>
      <c r="J857" s="273"/>
      <c r="K857" s="273"/>
      <c r="L857" s="274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4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</row>
    <row r="858" spans="1:35" ht="14.25" customHeight="1">
      <c r="A858" s="273"/>
      <c r="B858" s="273"/>
      <c r="C858" s="273"/>
      <c r="D858" s="273"/>
      <c r="E858" s="273"/>
      <c r="F858" s="273"/>
      <c r="G858" s="273"/>
      <c r="H858" s="273"/>
      <c r="I858" s="273"/>
      <c r="J858" s="273"/>
      <c r="K858" s="273"/>
      <c r="L858" s="274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4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</row>
    <row r="859" spans="1:35" ht="14.25" customHeight="1">
      <c r="A859" s="273"/>
      <c r="B859" s="273"/>
      <c r="C859" s="273"/>
      <c r="D859" s="273"/>
      <c r="E859" s="273"/>
      <c r="F859" s="273"/>
      <c r="G859" s="273"/>
      <c r="H859" s="273"/>
      <c r="I859" s="273"/>
      <c r="J859" s="273"/>
      <c r="K859" s="273"/>
      <c r="L859" s="274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4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</row>
    <row r="860" spans="1:35" ht="14.25" customHeight="1">
      <c r="A860" s="273"/>
      <c r="B860" s="273"/>
      <c r="C860" s="273"/>
      <c r="D860" s="273"/>
      <c r="E860" s="273"/>
      <c r="F860" s="273"/>
      <c r="G860" s="273"/>
      <c r="H860" s="273"/>
      <c r="I860" s="273"/>
      <c r="J860" s="273"/>
      <c r="K860" s="273"/>
      <c r="L860" s="274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4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</row>
    <row r="861" spans="1:35" ht="14.25" customHeight="1">
      <c r="A861" s="273"/>
      <c r="B861" s="273"/>
      <c r="C861" s="273"/>
      <c r="D861" s="273"/>
      <c r="E861" s="273"/>
      <c r="F861" s="273"/>
      <c r="G861" s="273"/>
      <c r="H861" s="273"/>
      <c r="I861" s="273"/>
      <c r="J861" s="273"/>
      <c r="K861" s="273"/>
      <c r="L861" s="274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4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</row>
    <row r="862" spans="1:35" ht="14.25" customHeight="1">
      <c r="A862" s="273"/>
      <c r="B862" s="273"/>
      <c r="C862" s="273"/>
      <c r="D862" s="273"/>
      <c r="E862" s="273"/>
      <c r="F862" s="273"/>
      <c r="G862" s="273"/>
      <c r="H862" s="273"/>
      <c r="I862" s="273"/>
      <c r="J862" s="273"/>
      <c r="K862" s="273"/>
      <c r="L862" s="274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4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</row>
    <row r="863" spans="1:35" ht="14.25" customHeight="1">
      <c r="A863" s="273"/>
      <c r="B863" s="273"/>
      <c r="C863" s="273"/>
      <c r="D863" s="273"/>
      <c r="E863" s="273"/>
      <c r="F863" s="273"/>
      <c r="G863" s="273"/>
      <c r="H863" s="273"/>
      <c r="I863" s="273"/>
      <c r="J863" s="273"/>
      <c r="K863" s="273"/>
      <c r="L863" s="274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4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</row>
    <row r="864" spans="1:35" ht="14.25" customHeight="1">
      <c r="A864" s="273"/>
      <c r="B864" s="273"/>
      <c r="C864" s="273"/>
      <c r="D864" s="273"/>
      <c r="E864" s="273"/>
      <c r="F864" s="273"/>
      <c r="G864" s="273"/>
      <c r="H864" s="273"/>
      <c r="I864" s="273"/>
      <c r="J864" s="273"/>
      <c r="K864" s="273"/>
      <c r="L864" s="274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4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</row>
    <row r="865" spans="1:35" ht="14.25" customHeight="1">
      <c r="A865" s="273"/>
      <c r="B865" s="273"/>
      <c r="C865" s="273"/>
      <c r="D865" s="273"/>
      <c r="E865" s="273"/>
      <c r="F865" s="273"/>
      <c r="G865" s="273"/>
      <c r="H865" s="273"/>
      <c r="I865" s="273"/>
      <c r="J865" s="273"/>
      <c r="K865" s="273"/>
      <c r="L865" s="274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4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</row>
    <row r="866" spans="1:35" ht="14.25" customHeight="1">
      <c r="A866" s="273"/>
      <c r="B866" s="273"/>
      <c r="C866" s="273"/>
      <c r="D866" s="273"/>
      <c r="E866" s="273"/>
      <c r="F866" s="273"/>
      <c r="G866" s="273"/>
      <c r="H866" s="273"/>
      <c r="I866" s="273"/>
      <c r="J866" s="273"/>
      <c r="K866" s="273"/>
      <c r="L866" s="274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4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</row>
    <row r="867" spans="1:35" ht="14.25" customHeight="1">
      <c r="A867" s="273"/>
      <c r="B867" s="273"/>
      <c r="C867" s="273"/>
      <c r="D867" s="273"/>
      <c r="E867" s="273"/>
      <c r="F867" s="273"/>
      <c r="G867" s="273"/>
      <c r="H867" s="273"/>
      <c r="I867" s="273"/>
      <c r="J867" s="273"/>
      <c r="K867" s="273"/>
      <c r="L867" s="274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4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</row>
    <row r="868" spans="1:35" ht="14.25" customHeight="1">
      <c r="A868" s="273"/>
      <c r="B868" s="273"/>
      <c r="C868" s="273"/>
      <c r="D868" s="273"/>
      <c r="E868" s="273"/>
      <c r="F868" s="273"/>
      <c r="G868" s="273"/>
      <c r="H868" s="273"/>
      <c r="I868" s="273"/>
      <c r="J868" s="273"/>
      <c r="K868" s="273"/>
      <c r="L868" s="274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4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</row>
    <row r="869" spans="1:35" ht="14.25" customHeight="1">
      <c r="A869" s="273"/>
      <c r="B869" s="273"/>
      <c r="C869" s="273"/>
      <c r="D869" s="273"/>
      <c r="E869" s="273"/>
      <c r="F869" s="273"/>
      <c r="G869" s="273"/>
      <c r="H869" s="273"/>
      <c r="I869" s="273"/>
      <c r="J869" s="273"/>
      <c r="K869" s="273"/>
      <c r="L869" s="274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4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</row>
    <row r="870" spans="1:35" ht="14.25" customHeight="1">
      <c r="A870" s="273"/>
      <c r="B870" s="273"/>
      <c r="C870" s="273"/>
      <c r="D870" s="273"/>
      <c r="E870" s="273"/>
      <c r="F870" s="273"/>
      <c r="G870" s="273"/>
      <c r="H870" s="273"/>
      <c r="I870" s="273"/>
      <c r="J870" s="273"/>
      <c r="K870" s="273"/>
      <c r="L870" s="274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4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</row>
    <row r="871" spans="1:35" ht="14.25" customHeight="1">
      <c r="A871" s="273"/>
      <c r="B871" s="273"/>
      <c r="C871" s="273"/>
      <c r="D871" s="273"/>
      <c r="E871" s="273"/>
      <c r="F871" s="273"/>
      <c r="G871" s="273"/>
      <c r="H871" s="273"/>
      <c r="I871" s="273"/>
      <c r="J871" s="273"/>
      <c r="K871" s="273"/>
      <c r="L871" s="274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4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</row>
    <row r="872" spans="1:35" ht="14.25" customHeight="1">
      <c r="A872" s="273"/>
      <c r="B872" s="273"/>
      <c r="C872" s="273"/>
      <c r="D872" s="273"/>
      <c r="E872" s="273"/>
      <c r="F872" s="273"/>
      <c r="G872" s="273"/>
      <c r="H872" s="273"/>
      <c r="I872" s="273"/>
      <c r="J872" s="273"/>
      <c r="K872" s="273"/>
      <c r="L872" s="274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4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</row>
    <row r="873" spans="1:35" ht="14.25" customHeight="1">
      <c r="A873" s="273"/>
      <c r="B873" s="273"/>
      <c r="C873" s="273"/>
      <c r="D873" s="273"/>
      <c r="E873" s="273"/>
      <c r="F873" s="273"/>
      <c r="G873" s="273"/>
      <c r="H873" s="273"/>
      <c r="I873" s="273"/>
      <c r="J873" s="273"/>
      <c r="K873" s="273"/>
      <c r="L873" s="274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4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</row>
    <row r="874" spans="1:35" ht="14.25" customHeight="1">
      <c r="A874" s="273"/>
      <c r="B874" s="273"/>
      <c r="C874" s="273"/>
      <c r="D874" s="273"/>
      <c r="E874" s="273"/>
      <c r="F874" s="273"/>
      <c r="G874" s="273"/>
      <c r="H874" s="273"/>
      <c r="I874" s="273"/>
      <c r="J874" s="273"/>
      <c r="K874" s="273"/>
      <c r="L874" s="274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4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</row>
    <row r="875" spans="1:35" ht="14.25" customHeight="1">
      <c r="A875" s="273"/>
      <c r="B875" s="273"/>
      <c r="C875" s="273"/>
      <c r="D875" s="273"/>
      <c r="E875" s="273"/>
      <c r="F875" s="273"/>
      <c r="G875" s="273"/>
      <c r="H875" s="273"/>
      <c r="I875" s="273"/>
      <c r="J875" s="273"/>
      <c r="K875" s="273"/>
      <c r="L875" s="274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4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</row>
    <row r="876" spans="1:35" ht="14.25" customHeight="1">
      <c r="A876" s="273"/>
      <c r="B876" s="273"/>
      <c r="C876" s="273"/>
      <c r="D876" s="273"/>
      <c r="E876" s="273"/>
      <c r="F876" s="273"/>
      <c r="G876" s="273"/>
      <c r="H876" s="273"/>
      <c r="I876" s="273"/>
      <c r="J876" s="273"/>
      <c r="K876" s="273"/>
      <c r="L876" s="274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4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</row>
    <row r="877" spans="1:35" ht="14.25" customHeight="1">
      <c r="A877" s="273"/>
      <c r="B877" s="273"/>
      <c r="C877" s="273"/>
      <c r="D877" s="273"/>
      <c r="E877" s="273"/>
      <c r="F877" s="273"/>
      <c r="G877" s="273"/>
      <c r="H877" s="273"/>
      <c r="I877" s="273"/>
      <c r="J877" s="273"/>
      <c r="K877" s="273"/>
      <c r="L877" s="274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4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</row>
    <row r="878" spans="1:35" ht="14.25" customHeight="1">
      <c r="A878" s="273"/>
      <c r="B878" s="273"/>
      <c r="C878" s="273"/>
      <c r="D878" s="273"/>
      <c r="E878" s="273"/>
      <c r="F878" s="273"/>
      <c r="G878" s="273"/>
      <c r="H878" s="273"/>
      <c r="I878" s="273"/>
      <c r="J878" s="273"/>
      <c r="K878" s="273"/>
      <c r="L878" s="274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4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</row>
    <row r="879" spans="1:35" ht="14.25" customHeight="1">
      <c r="A879" s="273"/>
      <c r="B879" s="273"/>
      <c r="C879" s="273"/>
      <c r="D879" s="273"/>
      <c r="E879" s="273"/>
      <c r="F879" s="273"/>
      <c r="G879" s="273"/>
      <c r="H879" s="273"/>
      <c r="I879" s="273"/>
      <c r="J879" s="273"/>
      <c r="K879" s="273"/>
      <c r="L879" s="274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4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</row>
    <row r="880" spans="1:35" ht="14.25" customHeight="1">
      <c r="A880" s="273"/>
      <c r="B880" s="273"/>
      <c r="C880" s="273"/>
      <c r="D880" s="273"/>
      <c r="E880" s="273"/>
      <c r="F880" s="273"/>
      <c r="G880" s="273"/>
      <c r="H880" s="273"/>
      <c r="I880" s="273"/>
      <c r="J880" s="273"/>
      <c r="K880" s="273"/>
      <c r="L880" s="274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4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</row>
    <row r="881" spans="1:35" ht="14.25" customHeight="1">
      <c r="A881" s="273"/>
      <c r="B881" s="273"/>
      <c r="C881" s="273"/>
      <c r="D881" s="273"/>
      <c r="E881" s="273"/>
      <c r="F881" s="273"/>
      <c r="G881" s="273"/>
      <c r="H881" s="273"/>
      <c r="I881" s="273"/>
      <c r="J881" s="273"/>
      <c r="K881" s="273"/>
      <c r="L881" s="274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4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</row>
    <row r="882" spans="1:35" ht="14.25" customHeight="1">
      <c r="A882" s="273"/>
      <c r="B882" s="273"/>
      <c r="C882" s="273"/>
      <c r="D882" s="273"/>
      <c r="E882" s="273"/>
      <c r="F882" s="273"/>
      <c r="G882" s="273"/>
      <c r="H882" s="273"/>
      <c r="I882" s="273"/>
      <c r="J882" s="273"/>
      <c r="K882" s="273"/>
      <c r="L882" s="274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4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</row>
    <row r="883" spans="1:35" ht="14.25" customHeight="1">
      <c r="A883" s="273"/>
      <c r="B883" s="273"/>
      <c r="C883" s="273"/>
      <c r="D883" s="273"/>
      <c r="E883" s="273"/>
      <c r="F883" s="273"/>
      <c r="G883" s="273"/>
      <c r="H883" s="273"/>
      <c r="I883" s="273"/>
      <c r="J883" s="273"/>
      <c r="K883" s="273"/>
      <c r="L883" s="274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4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</row>
    <row r="884" spans="1:35" ht="14.25" customHeight="1">
      <c r="A884" s="273"/>
      <c r="B884" s="273"/>
      <c r="C884" s="273"/>
      <c r="D884" s="273"/>
      <c r="E884" s="273"/>
      <c r="F884" s="273"/>
      <c r="G884" s="273"/>
      <c r="H884" s="273"/>
      <c r="I884" s="273"/>
      <c r="J884" s="273"/>
      <c r="K884" s="273"/>
      <c r="L884" s="274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4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</row>
    <row r="885" spans="1:35" ht="14.25" customHeight="1">
      <c r="A885" s="273"/>
      <c r="B885" s="273"/>
      <c r="C885" s="273"/>
      <c r="D885" s="273"/>
      <c r="E885" s="273"/>
      <c r="F885" s="273"/>
      <c r="G885" s="273"/>
      <c r="H885" s="273"/>
      <c r="I885" s="273"/>
      <c r="J885" s="273"/>
      <c r="K885" s="273"/>
      <c r="L885" s="274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4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</row>
    <row r="886" spans="1:35" ht="14.25" customHeight="1">
      <c r="A886" s="273"/>
      <c r="B886" s="273"/>
      <c r="C886" s="273"/>
      <c r="D886" s="273"/>
      <c r="E886" s="273"/>
      <c r="F886" s="273"/>
      <c r="G886" s="273"/>
      <c r="H886" s="273"/>
      <c r="I886" s="273"/>
      <c r="J886" s="273"/>
      <c r="K886" s="273"/>
      <c r="L886" s="274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4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</row>
    <row r="887" spans="1:35" ht="14.25" customHeight="1">
      <c r="A887" s="273"/>
      <c r="B887" s="273"/>
      <c r="C887" s="273"/>
      <c r="D887" s="273"/>
      <c r="E887" s="273"/>
      <c r="F887" s="273"/>
      <c r="G887" s="273"/>
      <c r="H887" s="273"/>
      <c r="I887" s="273"/>
      <c r="J887" s="273"/>
      <c r="K887" s="273"/>
      <c r="L887" s="274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4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</row>
    <row r="888" spans="1:35" ht="14.25" customHeight="1">
      <c r="A888" s="273"/>
      <c r="B888" s="273"/>
      <c r="C888" s="273"/>
      <c r="D888" s="273"/>
      <c r="E888" s="273"/>
      <c r="F888" s="273"/>
      <c r="G888" s="273"/>
      <c r="H888" s="273"/>
      <c r="I888" s="273"/>
      <c r="J888" s="273"/>
      <c r="K888" s="273"/>
      <c r="L888" s="274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4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</row>
    <row r="889" spans="1:35" ht="14.25" customHeight="1">
      <c r="A889" s="273"/>
      <c r="B889" s="273"/>
      <c r="C889" s="273"/>
      <c r="D889" s="273"/>
      <c r="E889" s="273"/>
      <c r="F889" s="273"/>
      <c r="G889" s="273"/>
      <c r="H889" s="273"/>
      <c r="I889" s="273"/>
      <c r="J889" s="273"/>
      <c r="K889" s="273"/>
      <c r="L889" s="274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4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</row>
    <row r="890" spans="1:35" ht="14.25" customHeight="1">
      <c r="A890" s="273"/>
      <c r="B890" s="273"/>
      <c r="C890" s="273"/>
      <c r="D890" s="273"/>
      <c r="E890" s="273"/>
      <c r="F890" s="273"/>
      <c r="G890" s="273"/>
      <c r="H890" s="273"/>
      <c r="I890" s="273"/>
      <c r="J890" s="273"/>
      <c r="K890" s="273"/>
      <c r="L890" s="274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4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</row>
    <row r="891" spans="1:35" ht="14.25" customHeight="1">
      <c r="A891" s="273"/>
      <c r="B891" s="273"/>
      <c r="C891" s="273"/>
      <c r="D891" s="273"/>
      <c r="E891" s="273"/>
      <c r="F891" s="273"/>
      <c r="G891" s="273"/>
      <c r="H891" s="273"/>
      <c r="I891" s="273"/>
      <c r="J891" s="273"/>
      <c r="K891" s="273"/>
      <c r="L891" s="274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4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</row>
    <row r="892" spans="1:35" ht="14.25" customHeight="1">
      <c r="A892" s="273"/>
      <c r="B892" s="273"/>
      <c r="C892" s="273"/>
      <c r="D892" s="273"/>
      <c r="E892" s="273"/>
      <c r="F892" s="273"/>
      <c r="G892" s="273"/>
      <c r="H892" s="273"/>
      <c r="I892" s="273"/>
      <c r="J892" s="273"/>
      <c r="K892" s="273"/>
      <c r="L892" s="274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4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</row>
    <row r="893" spans="1:35" ht="14.25" customHeight="1">
      <c r="A893" s="273"/>
      <c r="B893" s="273"/>
      <c r="C893" s="273"/>
      <c r="D893" s="273"/>
      <c r="E893" s="273"/>
      <c r="F893" s="273"/>
      <c r="G893" s="273"/>
      <c r="H893" s="273"/>
      <c r="I893" s="273"/>
      <c r="J893" s="273"/>
      <c r="K893" s="273"/>
      <c r="L893" s="274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4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</row>
    <row r="894" spans="1:35" ht="14.25" customHeight="1">
      <c r="A894" s="273"/>
      <c r="B894" s="273"/>
      <c r="C894" s="273"/>
      <c r="D894" s="273"/>
      <c r="E894" s="273"/>
      <c r="F894" s="273"/>
      <c r="G894" s="273"/>
      <c r="H894" s="273"/>
      <c r="I894" s="273"/>
      <c r="J894" s="273"/>
      <c r="K894" s="273"/>
      <c r="L894" s="274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4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</row>
    <row r="895" spans="1:35" ht="14.25" customHeight="1">
      <c r="A895" s="273"/>
      <c r="B895" s="273"/>
      <c r="C895" s="273"/>
      <c r="D895" s="273"/>
      <c r="E895" s="273"/>
      <c r="F895" s="273"/>
      <c r="G895" s="273"/>
      <c r="H895" s="273"/>
      <c r="I895" s="273"/>
      <c r="J895" s="273"/>
      <c r="K895" s="273"/>
      <c r="L895" s="274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4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</row>
    <row r="896" spans="1:35" ht="14.25" customHeight="1">
      <c r="A896" s="273"/>
      <c r="B896" s="273"/>
      <c r="C896" s="273"/>
      <c r="D896" s="273"/>
      <c r="E896" s="273"/>
      <c r="F896" s="273"/>
      <c r="G896" s="273"/>
      <c r="H896" s="273"/>
      <c r="I896" s="273"/>
      <c r="J896" s="273"/>
      <c r="K896" s="273"/>
      <c r="L896" s="274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4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</row>
    <row r="897" spans="1:35" ht="14.25" customHeight="1">
      <c r="A897" s="273"/>
      <c r="B897" s="273"/>
      <c r="C897" s="273"/>
      <c r="D897" s="273"/>
      <c r="E897" s="273"/>
      <c r="F897" s="273"/>
      <c r="G897" s="273"/>
      <c r="H897" s="273"/>
      <c r="I897" s="273"/>
      <c r="J897" s="273"/>
      <c r="K897" s="273"/>
      <c r="L897" s="274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4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</row>
    <row r="898" spans="1:35" ht="14.25" customHeight="1">
      <c r="A898" s="273"/>
      <c r="B898" s="273"/>
      <c r="C898" s="273"/>
      <c r="D898" s="273"/>
      <c r="E898" s="273"/>
      <c r="F898" s="273"/>
      <c r="G898" s="273"/>
      <c r="H898" s="273"/>
      <c r="I898" s="273"/>
      <c r="J898" s="273"/>
      <c r="K898" s="273"/>
      <c r="L898" s="274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4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</row>
    <row r="899" spans="1:35" ht="14.25" customHeight="1">
      <c r="A899" s="273"/>
      <c r="B899" s="273"/>
      <c r="C899" s="273"/>
      <c r="D899" s="273"/>
      <c r="E899" s="273"/>
      <c r="F899" s="273"/>
      <c r="G899" s="273"/>
      <c r="H899" s="273"/>
      <c r="I899" s="273"/>
      <c r="J899" s="273"/>
      <c r="K899" s="273"/>
      <c r="L899" s="274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4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</row>
    <row r="900" spans="1:35" ht="14.25" customHeight="1">
      <c r="A900" s="273"/>
      <c r="B900" s="273"/>
      <c r="C900" s="273"/>
      <c r="D900" s="273"/>
      <c r="E900" s="273"/>
      <c r="F900" s="273"/>
      <c r="G900" s="273"/>
      <c r="H900" s="273"/>
      <c r="I900" s="273"/>
      <c r="J900" s="273"/>
      <c r="K900" s="273"/>
      <c r="L900" s="274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4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</row>
    <row r="901" spans="1:35" ht="14.25" customHeight="1">
      <c r="A901" s="273"/>
      <c r="B901" s="273"/>
      <c r="C901" s="273"/>
      <c r="D901" s="273"/>
      <c r="E901" s="273"/>
      <c r="F901" s="273"/>
      <c r="G901" s="273"/>
      <c r="H901" s="273"/>
      <c r="I901" s="273"/>
      <c r="J901" s="273"/>
      <c r="K901" s="273"/>
      <c r="L901" s="274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4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</row>
    <row r="902" spans="1:35" ht="14.25" customHeight="1">
      <c r="A902" s="273"/>
      <c r="B902" s="273"/>
      <c r="C902" s="273"/>
      <c r="D902" s="273"/>
      <c r="E902" s="273"/>
      <c r="F902" s="273"/>
      <c r="G902" s="273"/>
      <c r="H902" s="273"/>
      <c r="I902" s="273"/>
      <c r="J902" s="273"/>
      <c r="K902" s="273"/>
      <c r="L902" s="274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4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</row>
    <row r="903" spans="1:35" ht="14.25" customHeight="1">
      <c r="A903" s="273"/>
      <c r="B903" s="273"/>
      <c r="C903" s="273"/>
      <c r="D903" s="273"/>
      <c r="E903" s="273"/>
      <c r="F903" s="273"/>
      <c r="G903" s="273"/>
      <c r="H903" s="273"/>
      <c r="I903" s="273"/>
      <c r="J903" s="273"/>
      <c r="K903" s="273"/>
      <c r="L903" s="274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4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</row>
    <row r="904" spans="1:35" ht="14.25" customHeight="1">
      <c r="A904" s="273"/>
      <c r="B904" s="273"/>
      <c r="C904" s="273"/>
      <c r="D904" s="273"/>
      <c r="E904" s="273"/>
      <c r="F904" s="273"/>
      <c r="G904" s="273"/>
      <c r="H904" s="273"/>
      <c r="I904" s="273"/>
      <c r="J904" s="273"/>
      <c r="K904" s="273"/>
      <c r="L904" s="274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4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</row>
    <row r="905" spans="1:35" ht="14.25" customHeight="1">
      <c r="A905" s="273"/>
      <c r="B905" s="273"/>
      <c r="C905" s="273"/>
      <c r="D905" s="273"/>
      <c r="E905" s="273"/>
      <c r="F905" s="273"/>
      <c r="G905" s="273"/>
      <c r="H905" s="273"/>
      <c r="I905" s="273"/>
      <c r="J905" s="273"/>
      <c r="K905" s="273"/>
      <c r="L905" s="274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4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</row>
    <row r="906" spans="1:35" ht="14.25" customHeight="1">
      <c r="A906" s="273"/>
      <c r="B906" s="273"/>
      <c r="C906" s="273"/>
      <c r="D906" s="273"/>
      <c r="E906" s="273"/>
      <c r="F906" s="273"/>
      <c r="G906" s="273"/>
      <c r="H906" s="273"/>
      <c r="I906" s="273"/>
      <c r="J906" s="273"/>
      <c r="K906" s="273"/>
      <c r="L906" s="274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4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</row>
    <row r="907" spans="1:35" ht="14.25" customHeight="1">
      <c r="A907" s="273"/>
      <c r="B907" s="273"/>
      <c r="C907" s="273"/>
      <c r="D907" s="273"/>
      <c r="E907" s="273"/>
      <c r="F907" s="273"/>
      <c r="G907" s="273"/>
      <c r="H907" s="273"/>
      <c r="I907" s="273"/>
      <c r="J907" s="273"/>
      <c r="K907" s="273"/>
      <c r="L907" s="274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4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</row>
    <row r="908" spans="1:35" ht="14.25" customHeight="1">
      <c r="A908" s="273"/>
      <c r="B908" s="273"/>
      <c r="C908" s="273"/>
      <c r="D908" s="273"/>
      <c r="E908" s="273"/>
      <c r="F908" s="273"/>
      <c r="G908" s="273"/>
      <c r="H908" s="273"/>
      <c r="I908" s="273"/>
      <c r="J908" s="273"/>
      <c r="K908" s="273"/>
      <c r="L908" s="274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4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</row>
    <row r="909" spans="1:35" ht="14.25" customHeight="1">
      <c r="A909" s="273"/>
      <c r="B909" s="273"/>
      <c r="C909" s="273"/>
      <c r="D909" s="273"/>
      <c r="E909" s="273"/>
      <c r="F909" s="273"/>
      <c r="G909" s="273"/>
      <c r="H909" s="273"/>
      <c r="I909" s="273"/>
      <c r="J909" s="273"/>
      <c r="K909" s="273"/>
      <c r="L909" s="274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4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</row>
    <row r="910" spans="1:35" ht="14.25" customHeight="1">
      <c r="A910" s="273"/>
      <c r="B910" s="273"/>
      <c r="C910" s="273"/>
      <c r="D910" s="273"/>
      <c r="E910" s="273"/>
      <c r="F910" s="273"/>
      <c r="G910" s="273"/>
      <c r="H910" s="273"/>
      <c r="I910" s="273"/>
      <c r="J910" s="273"/>
      <c r="K910" s="273"/>
      <c r="L910" s="274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4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</row>
    <row r="911" spans="1:35" ht="14.25" customHeight="1">
      <c r="A911" s="273"/>
      <c r="B911" s="273"/>
      <c r="C911" s="273"/>
      <c r="D911" s="273"/>
      <c r="E911" s="273"/>
      <c r="F911" s="273"/>
      <c r="G911" s="273"/>
      <c r="H911" s="273"/>
      <c r="I911" s="273"/>
      <c r="J911" s="273"/>
      <c r="K911" s="273"/>
      <c r="L911" s="274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4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</row>
    <row r="912" spans="1:35" ht="14.25" customHeight="1">
      <c r="A912" s="273"/>
      <c r="B912" s="273"/>
      <c r="C912" s="273"/>
      <c r="D912" s="273"/>
      <c r="E912" s="273"/>
      <c r="F912" s="273"/>
      <c r="G912" s="273"/>
      <c r="H912" s="273"/>
      <c r="I912" s="273"/>
      <c r="J912" s="273"/>
      <c r="K912" s="273"/>
      <c r="L912" s="274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4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</row>
    <row r="913" spans="1:35" ht="14.25" customHeight="1">
      <c r="A913" s="273"/>
      <c r="B913" s="273"/>
      <c r="C913" s="273"/>
      <c r="D913" s="273"/>
      <c r="E913" s="273"/>
      <c r="F913" s="273"/>
      <c r="G913" s="273"/>
      <c r="H913" s="273"/>
      <c r="I913" s="273"/>
      <c r="J913" s="273"/>
      <c r="K913" s="273"/>
      <c r="L913" s="274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4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</row>
    <row r="914" spans="1:35" ht="14.25" customHeight="1">
      <c r="A914" s="273"/>
      <c r="B914" s="273"/>
      <c r="C914" s="273"/>
      <c r="D914" s="273"/>
      <c r="E914" s="273"/>
      <c r="F914" s="273"/>
      <c r="G914" s="273"/>
      <c r="H914" s="273"/>
      <c r="I914" s="273"/>
      <c r="J914" s="273"/>
      <c r="K914" s="273"/>
      <c r="L914" s="274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4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</row>
    <row r="915" spans="1:35" ht="14.25" customHeight="1">
      <c r="A915" s="273"/>
      <c r="B915" s="273"/>
      <c r="C915" s="273"/>
      <c r="D915" s="273"/>
      <c r="E915" s="273"/>
      <c r="F915" s="273"/>
      <c r="G915" s="273"/>
      <c r="H915" s="273"/>
      <c r="I915" s="273"/>
      <c r="J915" s="273"/>
      <c r="K915" s="273"/>
      <c r="L915" s="274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4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</row>
    <row r="916" spans="1:35" ht="14.25" customHeight="1">
      <c r="A916" s="273"/>
      <c r="B916" s="273"/>
      <c r="C916" s="273"/>
      <c r="D916" s="273"/>
      <c r="E916" s="273"/>
      <c r="F916" s="273"/>
      <c r="G916" s="273"/>
      <c r="H916" s="273"/>
      <c r="I916" s="273"/>
      <c r="J916" s="273"/>
      <c r="K916" s="273"/>
      <c r="L916" s="274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4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</row>
    <row r="917" spans="1:35" ht="14.25" customHeight="1">
      <c r="A917" s="273"/>
      <c r="B917" s="273"/>
      <c r="C917" s="273"/>
      <c r="D917" s="273"/>
      <c r="E917" s="273"/>
      <c r="F917" s="273"/>
      <c r="G917" s="273"/>
      <c r="H917" s="273"/>
      <c r="I917" s="273"/>
      <c r="J917" s="273"/>
      <c r="K917" s="273"/>
      <c r="L917" s="274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4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</row>
    <row r="918" spans="1:35" ht="14.25" customHeight="1">
      <c r="A918" s="273"/>
      <c r="B918" s="273"/>
      <c r="C918" s="273"/>
      <c r="D918" s="273"/>
      <c r="E918" s="273"/>
      <c r="F918" s="273"/>
      <c r="G918" s="273"/>
      <c r="H918" s="273"/>
      <c r="I918" s="273"/>
      <c r="J918" s="273"/>
      <c r="K918" s="273"/>
      <c r="L918" s="274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4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</row>
    <row r="919" spans="1:35" ht="14.25" customHeight="1">
      <c r="A919" s="273"/>
      <c r="B919" s="273"/>
      <c r="C919" s="273"/>
      <c r="D919" s="273"/>
      <c r="E919" s="273"/>
      <c r="F919" s="273"/>
      <c r="G919" s="273"/>
      <c r="H919" s="273"/>
      <c r="I919" s="273"/>
      <c r="J919" s="273"/>
      <c r="K919" s="273"/>
      <c r="L919" s="274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4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</row>
    <row r="920" spans="1:35" ht="14.25" customHeight="1">
      <c r="A920" s="273"/>
      <c r="B920" s="273"/>
      <c r="C920" s="273"/>
      <c r="D920" s="273"/>
      <c r="E920" s="273"/>
      <c r="F920" s="273"/>
      <c r="G920" s="273"/>
      <c r="H920" s="273"/>
      <c r="I920" s="273"/>
      <c r="J920" s="273"/>
      <c r="K920" s="273"/>
      <c r="L920" s="274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4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</row>
    <row r="921" spans="1:35" ht="14.25" customHeight="1">
      <c r="A921" s="273"/>
      <c r="B921" s="273"/>
      <c r="C921" s="273"/>
      <c r="D921" s="273"/>
      <c r="E921" s="273"/>
      <c r="F921" s="273"/>
      <c r="G921" s="273"/>
      <c r="H921" s="273"/>
      <c r="I921" s="273"/>
      <c r="J921" s="273"/>
      <c r="K921" s="273"/>
      <c r="L921" s="274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4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</row>
    <row r="922" spans="1:35" ht="14.25" customHeight="1">
      <c r="A922" s="273"/>
      <c r="B922" s="273"/>
      <c r="C922" s="273"/>
      <c r="D922" s="273"/>
      <c r="E922" s="273"/>
      <c r="F922" s="273"/>
      <c r="G922" s="273"/>
      <c r="H922" s="273"/>
      <c r="I922" s="273"/>
      <c r="J922" s="273"/>
      <c r="K922" s="273"/>
      <c r="L922" s="274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4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</row>
    <row r="923" spans="1:35" ht="14.25" customHeight="1">
      <c r="A923" s="273"/>
      <c r="B923" s="273"/>
      <c r="C923" s="273"/>
      <c r="D923" s="273"/>
      <c r="E923" s="273"/>
      <c r="F923" s="273"/>
      <c r="G923" s="273"/>
      <c r="H923" s="273"/>
      <c r="I923" s="273"/>
      <c r="J923" s="273"/>
      <c r="K923" s="273"/>
      <c r="L923" s="274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4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</row>
    <row r="924" spans="1:35" ht="14.25" customHeight="1">
      <c r="A924" s="273"/>
      <c r="B924" s="273"/>
      <c r="C924" s="273"/>
      <c r="D924" s="273"/>
      <c r="E924" s="273"/>
      <c r="F924" s="273"/>
      <c r="G924" s="273"/>
      <c r="H924" s="273"/>
      <c r="I924" s="273"/>
      <c r="J924" s="273"/>
      <c r="K924" s="273"/>
      <c r="L924" s="274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4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</row>
    <row r="925" spans="1:35" ht="14.25" customHeight="1">
      <c r="A925" s="273"/>
      <c r="B925" s="273"/>
      <c r="C925" s="273"/>
      <c r="D925" s="273"/>
      <c r="E925" s="273"/>
      <c r="F925" s="273"/>
      <c r="G925" s="273"/>
      <c r="H925" s="273"/>
      <c r="I925" s="273"/>
      <c r="J925" s="273"/>
      <c r="K925" s="273"/>
      <c r="L925" s="274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4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</row>
    <row r="926" spans="1:35" ht="14.25" customHeight="1">
      <c r="A926" s="273"/>
      <c r="B926" s="273"/>
      <c r="C926" s="273"/>
      <c r="D926" s="273"/>
      <c r="E926" s="273"/>
      <c r="F926" s="273"/>
      <c r="G926" s="273"/>
      <c r="H926" s="273"/>
      <c r="I926" s="273"/>
      <c r="J926" s="273"/>
      <c r="K926" s="273"/>
      <c r="L926" s="274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4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</row>
    <row r="927" spans="1:35" ht="14.25" customHeight="1">
      <c r="A927" s="273"/>
      <c r="B927" s="273"/>
      <c r="C927" s="273"/>
      <c r="D927" s="273"/>
      <c r="E927" s="273"/>
      <c r="F927" s="273"/>
      <c r="G927" s="273"/>
      <c r="H927" s="273"/>
      <c r="I927" s="273"/>
      <c r="J927" s="273"/>
      <c r="K927" s="273"/>
      <c r="L927" s="274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4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</row>
    <row r="928" spans="1:35" ht="14.25" customHeight="1">
      <c r="A928" s="273"/>
      <c r="B928" s="273"/>
      <c r="C928" s="273"/>
      <c r="D928" s="273"/>
      <c r="E928" s="273"/>
      <c r="F928" s="273"/>
      <c r="G928" s="273"/>
      <c r="H928" s="273"/>
      <c r="I928" s="273"/>
      <c r="J928" s="273"/>
      <c r="K928" s="273"/>
      <c r="L928" s="274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4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</row>
    <row r="929" spans="1:35" ht="14.25" customHeight="1">
      <c r="A929" s="273"/>
      <c r="B929" s="273"/>
      <c r="C929" s="273"/>
      <c r="D929" s="273"/>
      <c r="E929" s="273"/>
      <c r="F929" s="273"/>
      <c r="G929" s="273"/>
      <c r="H929" s="273"/>
      <c r="I929" s="273"/>
      <c r="J929" s="273"/>
      <c r="K929" s="273"/>
      <c r="L929" s="274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4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</row>
    <row r="930" spans="1:35" ht="14.25" customHeight="1">
      <c r="A930" s="273"/>
      <c r="B930" s="273"/>
      <c r="C930" s="273"/>
      <c r="D930" s="273"/>
      <c r="E930" s="273"/>
      <c r="F930" s="273"/>
      <c r="G930" s="273"/>
      <c r="H930" s="273"/>
      <c r="I930" s="273"/>
      <c r="J930" s="273"/>
      <c r="K930" s="273"/>
      <c r="L930" s="274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4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</row>
    <row r="931" spans="1:35" ht="14.25" customHeight="1">
      <c r="A931" s="273"/>
      <c r="B931" s="273"/>
      <c r="C931" s="273"/>
      <c r="D931" s="273"/>
      <c r="E931" s="273"/>
      <c r="F931" s="273"/>
      <c r="G931" s="273"/>
      <c r="H931" s="273"/>
      <c r="I931" s="273"/>
      <c r="J931" s="273"/>
      <c r="K931" s="273"/>
      <c r="L931" s="274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4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</row>
    <row r="932" spans="1:35" ht="14.25" customHeight="1">
      <c r="A932" s="273"/>
      <c r="B932" s="273"/>
      <c r="C932" s="273"/>
      <c r="D932" s="273"/>
      <c r="E932" s="273"/>
      <c r="F932" s="273"/>
      <c r="G932" s="273"/>
      <c r="H932" s="273"/>
      <c r="I932" s="273"/>
      <c r="J932" s="273"/>
      <c r="K932" s="273"/>
      <c r="L932" s="274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4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</row>
    <row r="933" spans="1:35" ht="14.25" customHeight="1">
      <c r="A933" s="273"/>
      <c r="B933" s="273"/>
      <c r="C933" s="273"/>
      <c r="D933" s="273"/>
      <c r="E933" s="273"/>
      <c r="F933" s="273"/>
      <c r="G933" s="273"/>
      <c r="H933" s="273"/>
      <c r="I933" s="273"/>
      <c r="J933" s="273"/>
      <c r="K933" s="273"/>
      <c r="L933" s="274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4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</row>
    <row r="934" spans="1:35" ht="14.25" customHeight="1">
      <c r="A934" s="273"/>
      <c r="B934" s="273"/>
      <c r="C934" s="273"/>
      <c r="D934" s="273"/>
      <c r="E934" s="273"/>
      <c r="F934" s="273"/>
      <c r="G934" s="273"/>
      <c r="H934" s="273"/>
      <c r="I934" s="273"/>
      <c r="J934" s="273"/>
      <c r="K934" s="273"/>
      <c r="L934" s="274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4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</row>
    <row r="935" spans="1:35" ht="14.25" customHeight="1">
      <c r="A935" s="273"/>
      <c r="B935" s="273"/>
      <c r="C935" s="273"/>
      <c r="D935" s="273"/>
      <c r="E935" s="273"/>
      <c r="F935" s="273"/>
      <c r="G935" s="273"/>
      <c r="H935" s="273"/>
      <c r="I935" s="273"/>
      <c r="J935" s="273"/>
      <c r="K935" s="273"/>
      <c r="L935" s="274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4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</row>
    <row r="936" spans="1:35" ht="14.25" customHeight="1">
      <c r="A936" s="273"/>
      <c r="B936" s="273"/>
      <c r="C936" s="273"/>
      <c r="D936" s="273"/>
      <c r="E936" s="273"/>
      <c r="F936" s="273"/>
      <c r="G936" s="273"/>
      <c r="H936" s="273"/>
      <c r="I936" s="273"/>
      <c r="J936" s="273"/>
      <c r="K936" s="273"/>
      <c r="L936" s="274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4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</row>
    <row r="937" spans="1:35" ht="14.25" customHeight="1">
      <c r="A937" s="273"/>
      <c r="B937" s="273"/>
      <c r="C937" s="273"/>
      <c r="D937" s="273"/>
      <c r="E937" s="273"/>
      <c r="F937" s="273"/>
      <c r="G937" s="273"/>
      <c r="H937" s="273"/>
      <c r="I937" s="273"/>
      <c r="J937" s="273"/>
      <c r="K937" s="273"/>
      <c r="L937" s="274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4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</row>
    <row r="938" spans="1:35" ht="14.25" customHeight="1">
      <c r="A938" s="273"/>
      <c r="B938" s="273"/>
      <c r="C938" s="273"/>
      <c r="D938" s="273"/>
      <c r="E938" s="273"/>
      <c r="F938" s="273"/>
      <c r="G938" s="273"/>
      <c r="H938" s="273"/>
      <c r="I938" s="273"/>
      <c r="J938" s="273"/>
      <c r="K938" s="273"/>
      <c r="L938" s="274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4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</row>
    <row r="939" spans="1:35" ht="14.25" customHeight="1">
      <c r="A939" s="273"/>
      <c r="B939" s="273"/>
      <c r="C939" s="273"/>
      <c r="D939" s="273"/>
      <c r="E939" s="273"/>
      <c r="F939" s="273"/>
      <c r="G939" s="273"/>
      <c r="H939" s="273"/>
      <c r="I939" s="273"/>
      <c r="J939" s="273"/>
      <c r="K939" s="273"/>
      <c r="L939" s="274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4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</row>
    <row r="940" spans="1:35" ht="14.25" customHeight="1">
      <c r="A940" s="273"/>
      <c r="B940" s="273"/>
      <c r="C940" s="273"/>
      <c r="D940" s="273"/>
      <c r="E940" s="273"/>
      <c r="F940" s="273"/>
      <c r="G940" s="273"/>
      <c r="H940" s="273"/>
      <c r="I940" s="273"/>
      <c r="J940" s="273"/>
      <c r="K940" s="273"/>
      <c r="L940" s="274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4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</row>
    <row r="941" spans="1:35" ht="14.25" customHeight="1">
      <c r="A941" s="273"/>
      <c r="B941" s="273"/>
      <c r="C941" s="273"/>
      <c r="D941" s="273"/>
      <c r="E941" s="273"/>
      <c r="F941" s="273"/>
      <c r="G941" s="273"/>
      <c r="H941" s="273"/>
      <c r="I941" s="273"/>
      <c r="J941" s="273"/>
      <c r="K941" s="273"/>
      <c r="L941" s="274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4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</row>
    <row r="942" spans="1:35" ht="14.25" customHeight="1">
      <c r="A942" s="273"/>
      <c r="B942" s="273"/>
      <c r="C942" s="273"/>
      <c r="D942" s="273"/>
      <c r="E942" s="273"/>
      <c r="F942" s="273"/>
      <c r="G942" s="273"/>
      <c r="H942" s="273"/>
      <c r="I942" s="273"/>
      <c r="J942" s="273"/>
      <c r="K942" s="273"/>
      <c r="L942" s="274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4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</row>
    <row r="943" spans="1:35" ht="14.25" customHeight="1">
      <c r="A943" s="273"/>
      <c r="B943" s="273"/>
      <c r="C943" s="273"/>
      <c r="D943" s="273"/>
      <c r="E943" s="273"/>
      <c r="F943" s="273"/>
      <c r="G943" s="273"/>
      <c r="H943" s="273"/>
      <c r="I943" s="273"/>
      <c r="J943" s="273"/>
      <c r="K943" s="273"/>
      <c r="L943" s="274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4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</row>
    <row r="944" spans="1:35" ht="14.25" customHeight="1">
      <c r="A944" s="273"/>
      <c r="B944" s="273"/>
      <c r="C944" s="273"/>
      <c r="D944" s="273"/>
      <c r="E944" s="273"/>
      <c r="F944" s="273"/>
      <c r="G944" s="273"/>
      <c r="H944" s="273"/>
      <c r="I944" s="273"/>
      <c r="J944" s="273"/>
      <c r="K944" s="273"/>
      <c r="L944" s="274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4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</row>
    <row r="945" spans="1:35" ht="14.25" customHeight="1">
      <c r="A945" s="273"/>
      <c r="B945" s="273"/>
      <c r="C945" s="273"/>
      <c r="D945" s="273"/>
      <c r="E945" s="273"/>
      <c r="F945" s="273"/>
      <c r="G945" s="273"/>
      <c r="H945" s="273"/>
      <c r="I945" s="273"/>
      <c r="J945" s="273"/>
      <c r="K945" s="273"/>
      <c r="L945" s="274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4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</row>
    <row r="946" spans="1:35" ht="14.25" customHeight="1">
      <c r="A946" s="273"/>
      <c r="B946" s="273"/>
      <c r="C946" s="273"/>
      <c r="D946" s="273"/>
      <c r="E946" s="273"/>
      <c r="F946" s="273"/>
      <c r="G946" s="273"/>
      <c r="H946" s="273"/>
      <c r="I946" s="273"/>
      <c r="J946" s="273"/>
      <c r="K946" s="273"/>
      <c r="L946" s="274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4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</row>
    <row r="947" spans="1:35" ht="14.25" customHeight="1">
      <c r="A947" s="273"/>
      <c r="B947" s="273"/>
      <c r="C947" s="273"/>
      <c r="D947" s="273"/>
      <c r="E947" s="273"/>
      <c r="F947" s="273"/>
      <c r="G947" s="273"/>
      <c r="H947" s="273"/>
      <c r="I947" s="273"/>
      <c r="J947" s="273"/>
      <c r="K947" s="273"/>
      <c r="L947" s="274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4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</row>
    <row r="948" spans="1:35" ht="14.25" customHeight="1">
      <c r="A948" s="273"/>
      <c r="B948" s="273"/>
      <c r="C948" s="273"/>
      <c r="D948" s="273"/>
      <c r="E948" s="273"/>
      <c r="F948" s="273"/>
      <c r="G948" s="273"/>
      <c r="H948" s="273"/>
      <c r="I948" s="273"/>
      <c r="J948" s="273"/>
      <c r="K948" s="273"/>
      <c r="L948" s="274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4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</row>
    <row r="949" spans="1:35" ht="14.25" customHeight="1">
      <c r="A949" s="273"/>
      <c r="B949" s="273"/>
      <c r="C949" s="273"/>
      <c r="D949" s="273"/>
      <c r="E949" s="273"/>
      <c r="F949" s="273"/>
      <c r="G949" s="273"/>
      <c r="H949" s="273"/>
      <c r="I949" s="273"/>
      <c r="J949" s="273"/>
      <c r="K949" s="273"/>
      <c r="L949" s="274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4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</row>
    <row r="950" spans="1:35" ht="14.25" customHeight="1">
      <c r="A950" s="273"/>
      <c r="B950" s="273"/>
      <c r="C950" s="273"/>
      <c r="D950" s="273"/>
      <c r="E950" s="273"/>
      <c r="F950" s="273"/>
      <c r="G950" s="273"/>
      <c r="H950" s="273"/>
      <c r="I950" s="273"/>
      <c r="J950" s="273"/>
      <c r="K950" s="273"/>
      <c r="L950" s="274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4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</row>
    <row r="951" spans="1:35" ht="14.25" customHeight="1">
      <c r="A951" s="273"/>
      <c r="B951" s="273"/>
      <c r="C951" s="273"/>
      <c r="D951" s="273"/>
      <c r="E951" s="273"/>
      <c r="F951" s="273"/>
      <c r="G951" s="273"/>
      <c r="H951" s="273"/>
      <c r="I951" s="273"/>
      <c r="J951" s="273"/>
      <c r="K951" s="273"/>
      <c r="L951" s="274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4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</row>
    <row r="952" spans="1:35" ht="14.25" customHeight="1">
      <c r="A952" s="273"/>
      <c r="B952" s="273"/>
      <c r="C952" s="273"/>
      <c r="D952" s="273"/>
      <c r="E952" s="273"/>
      <c r="F952" s="273"/>
      <c r="G952" s="273"/>
      <c r="H952" s="273"/>
      <c r="I952" s="273"/>
      <c r="J952" s="273"/>
      <c r="K952" s="273"/>
      <c r="L952" s="274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4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</row>
    <row r="953" spans="1:35" ht="14.25" customHeight="1">
      <c r="A953" s="273"/>
      <c r="B953" s="273"/>
      <c r="C953" s="273"/>
      <c r="D953" s="273"/>
      <c r="E953" s="273"/>
      <c r="F953" s="273"/>
      <c r="G953" s="273"/>
      <c r="H953" s="273"/>
      <c r="I953" s="273"/>
      <c r="J953" s="273"/>
      <c r="K953" s="273"/>
      <c r="L953" s="274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4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</row>
    <row r="954" spans="1:35" ht="14.25" customHeight="1">
      <c r="A954" s="273"/>
      <c r="B954" s="273"/>
      <c r="C954" s="273"/>
      <c r="D954" s="273"/>
      <c r="E954" s="273"/>
      <c r="F954" s="273"/>
      <c r="G954" s="273"/>
      <c r="H954" s="273"/>
      <c r="I954" s="273"/>
      <c r="J954" s="273"/>
      <c r="K954" s="273"/>
      <c r="L954" s="274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4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</row>
    <row r="955" spans="1:35" ht="14.25" customHeight="1">
      <c r="A955" s="273"/>
      <c r="B955" s="273"/>
      <c r="C955" s="273"/>
      <c r="D955" s="273"/>
      <c r="E955" s="273"/>
      <c r="F955" s="273"/>
      <c r="G955" s="273"/>
      <c r="H955" s="273"/>
      <c r="I955" s="273"/>
      <c r="J955" s="273"/>
      <c r="K955" s="273"/>
      <c r="L955" s="274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4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</row>
    <row r="956" spans="1:35" ht="14.25" customHeight="1">
      <c r="A956" s="273"/>
      <c r="B956" s="273"/>
      <c r="C956" s="273"/>
      <c r="D956" s="273"/>
      <c r="E956" s="273"/>
      <c r="F956" s="273"/>
      <c r="G956" s="273"/>
      <c r="H956" s="273"/>
      <c r="I956" s="273"/>
      <c r="J956" s="273"/>
      <c r="K956" s="273"/>
      <c r="L956" s="274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4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</row>
    <row r="957" spans="1:35" ht="14.25" customHeight="1">
      <c r="A957" s="273"/>
      <c r="B957" s="273"/>
      <c r="C957" s="273"/>
      <c r="D957" s="273"/>
      <c r="E957" s="273"/>
      <c r="F957" s="273"/>
      <c r="G957" s="273"/>
      <c r="H957" s="273"/>
      <c r="I957" s="273"/>
      <c r="J957" s="273"/>
      <c r="K957" s="273"/>
      <c r="L957" s="274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4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</row>
    <row r="958" spans="1:35" ht="14.25" customHeight="1">
      <c r="A958" s="273"/>
      <c r="B958" s="273"/>
      <c r="C958" s="273"/>
      <c r="D958" s="273"/>
      <c r="E958" s="273"/>
      <c r="F958" s="273"/>
      <c r="G958" s="273"/>
      <c r="H958" s="273"/>
      <c r="I958" s="273"/>
      <c r="J958" s="273"/>
      <c r="K958" s="273"/>
      <c r="L958" s="274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4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</row>
    <row r="959" spans="1:35" ht="14.25" customHeight="1">
      <c r="A959" s="273"/>
      <c r="B959" s="273"/>
      <c r="C959" s="273"/>
      <c r="D959" s="273"/>
      <c r="E959" s="273"/>
      <c r="F959" s="273"/>
      <c r="G959" s="273"/>
      <c r="H959" s="273"/>
      <c r="I959" s="273"/>
      <c r="J959" s="273"/>
      <c r="K959" s="273"/>
      <c r="L959" s="274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4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</row>
    <row r="960" spans="1:35" ht="14.25" customHeight="1">
      <c r="A960" s="273"/>
      <c r="B960" s="273"/>
      <c r="C960" s="273"/>
      <c r="D960" s="273"/>
      <c r="E960" s="273"/>
      <c r="F960" s="273"/>
      <c r="G960" s="273"/>
      <c r="H960" s="273"/>
      <c r="I960" s="273"/>
      <c r="J960" s="273"/>
      <c r="K960" s="273"/>
      <c r="L960" s="274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4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</row>
    <row r="961" spans="1:35" ht="14.25" customHeight="1">
      <c r="A961" s="273"/>
      <c r="B961" s="273"/>
      <c r="C961" s="273"/>
      <c r="D961" s="273"/>
      <c r="E961" s="273"/>
      <c r="F961" s="273"/>
      <c r="G961" s="273"/>
      <c r="H961" s="273"/>
      <c r="I961" s="273"/>
      <c r="J961" s="273"/>
      <c r="K961" s="273"/>
      <c r="L961" s="274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4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</row>
    <row r="962" spans="1:35" ht="14.25" customHeight="1">
      <c r="A962" s="273"/>
      <c r="B962" s="273"/>
      <c r="C962" s="273"/>
      <c r="D962" s="273"/>
      <c r="E962" s="273"/>
      <c r="F962" s="273"/>
      <c r="G962" s="273"/>
      <c r="H962" s="273"/>
      <c r="I962" s="273"/>
      <c r="J962" s="273"/>
      <c r="K962" s="273"/>
      <c r="L962" s="274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4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</row>
    <row r="963" spans="1:35" ht="14.25" customHeight="1">
      <c r="A963" s="273"/>
      <c r="B963" s="273"/>
      <c r="C963" s="273"/>
      <c r="D963" s="273"/>
      <c r="E963" s="273"/>
      <c r="F963" s="273"/>
      <c r="G963" s="273"/>
      <c r="H963" s="273"/>
      <c r="I963" s="273"/>
      <c r="J963" s="273"/>
      <c r="K963" s="273"/>
      <c r="L963" s="274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4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</row>
    <row r="964" spans="1:35" ht="14.25" customHeight="1">
      <c r="A964" s="273"/>
      <c r="B964" s="273"/>
      <c r="C964" s="273"/>
      <c r="D964" s="273"/>
      <c r="E964" s="273"/>
      <c r="F964" s="273"/>
      <c r="G964" s="273"/>
      <c r="H964" s="273"/>
      <c r="I964" s="273"/>
      <c r="J964" s="273"/>
      <c r="K964" s="273"/>
      <c r="L964" s="274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4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</row>
    <row r="965" spans="1:35" ht="14.25" customHeight="1">
      <c r="A965" s="273"/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4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4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</row>
    <row r="966" spans="1:35" ht="14.25" customHeight="1">
      <c r="A966" s="273"/>
      <c r="B966" s="273"/>
      <c r="C966" s="273"/>
      <c r="D966" s="273"/>
      <c r="E966" s="273"/>
      <c r="F966" s="273"/>
      <c r="G966" s="273"/>
      <c r="H966" s="273"/>
      <c r="I966" s="273"/>
      <c r="J966" s="273"/>
      <c r="K966" s="273"/>
      <c r="L966" s="274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4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</row>
    <row r="967" spans="1:35" ht="14.25" customHeight="1">
      <c r="A967" s="273"/>
      <c r="B967" s="273"/>
      <c r="C967" s="273"/>
      <c r="D967" s="273"/>
      <c r="E967" s="273"/>
      <c r="F967" s="273"/>
      <c r="G967" s="273"/>
      <c r="H967" s="273"/>
      <c r="I967" s="273"/>
      <c r="J967" s="273"/>
      <c r="K967" s="273"/>
      <c r="L967" s="274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4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</row>
    <row r="968" spans="1:35" ht="14.25" customHeight="1">
      <c r="A968" s="273"/>
      <c r="B968" s="273"/>
      <c r="C968" s="273"/>
      <c r="D968" s="273"/>
      <c r="E968" s="273"/>
      <c r="F968" s="273"/>
      <c r="G968" s="273"/>
      <c r="H968" s="273"/>
      <c r="I968" s="273"/>
      <c r="J968" s="273"/>
      <c r="K968" s="273"/>
      <c r="L968" s="274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4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</row>
    <row r="969" spans="1:35" ht="14.25" customHeight="1">
      <c r="A969" s="273"/>
      <c r="B969" s="273"/>
      <c r="C969" s="273"/>
      <c r="D969" s="273"/>
      <c r="E969" s="273"/>
      <c r="F969" s="273"/>
      <c r="G969" s="273"/>
      <c r="H969" s="273"/>
      <c r="I969" s="273"/>
      <c r="J969" s="273"/>
      <c r="K969" s="273"/>
      <c r="L969" s="274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4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</row>
    <row r="970" spans="1:35" ht="14.25" customHeight="1">
      <c r="A970" s="273"/>
      <c r="B970" s="273"/>
      <c r="C970" s="273"/>
      <c r="D970" s="273"/>
      <c r="E970" s="273"/>
      <c r="F970" s="273"/>
      <c r="G970" s="273"/>
      <c r="H970" s="273"/>
      <c r="I970" s="273"/>
      <c r="J970" s="273"/>
      <c r="K970" s="273"/>
      <c r="L970" s="274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4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</row>
    <row r="971" spans="1:35" ht="14.25" customHeight="1">
      <c r="A971" s="273"/>
      <c r="B971" s="273"/>
      <c r="C971" s="273"/>
      <c r="D971" s="273"/>
      <c r="E971" s="273"/>
      <c r="F971" s="273"/>
      <c r="G971" s="273"/>
      <c r="H971" s="273"/>
      <c r="I971" s="273"/>
      <c r="J971" s="273"/>
      <c r="K971" s="273"/>
      <c r="L971" s="274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4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</row>
    <row r="972" spans="1:35" ht="14.25" customHeight="1">
      <c r="A972" s="273"/>
      <c r="B972" s="273"/>
      <c r="C972" s="273"/>
      <c r="D972" s="273"/>
      <c r="E972" s="273"/>
      <c r="F972" s="273"/>
      <c r="G972" s="273"/>
      <c r="H972" s="273"/>
      <c r="I972" s="273"/>
      <c r="J972" s="273"/>
      <c r="K972" s="273"/>
      <c r="L972" s="274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4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</row>
    <row r="973" spans="1:35" ht="14.25" customHeight="1">
      <c r="A973" s="273"/>
      <c r="B973" s="273"/>
      <c r="C973" s="273"/>
      <c r="D973" s="273"/>
      <c r="E973" s="273"/>
      <c r="F973" s="273"/>
      <c r="G973" s="273"/>
      <c r="H973" s="273"/>
      <c r="I973" s="273"/>
      <c r="J973" s="273"/>
      <c r="K973" s="273"/>
      <c r="L973" s="274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4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</row>
    <row r="974" spans="1:35" ht="14.25" customHeight="1">
      <c r="A974" s="273"/>
      <c r="B974" s="273"/>
      <c r="C974" s="273"/>
      <c r="D974" s="273"/>
      <c r="E974" s="273"/>
      <c r="F974" s="273"/>
      <c r="G974" s="273"/>
      <c r="H974" s="273"/>
      <c r="I974" s="273"/>
      <c r="J974" s="273"/>
      <c r="K974" s="273"/>
      <c r="L974" s="274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4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</row>
    <row r="975" spans="1:35" ht="14.25" customHeight="1">
      <c r="A975" s="273"/>
      <c r="B975" s="273"/>
      <c r="C975" s="273"/>
      <c r="D975" s="273"/>
      <c r="E975" s="273"/>
      <c r="F975" s="273"/>
      <c r="G975" s="273"/>
      <c r="H975" s="273"/>
      <c r="I975" s="273"/>
      <c r="J975" s="273"/>
      <c r="K975" s="273"/>
      <c r="L975" s="274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4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</row>
    <row r="976" spans="1:35" ht="14.25" customHeight="1">
      <c r="A976" s="273"/>
      <c r="B976" s="273"/>
      <c r="C976" s="273"/>
      <c r="D976" s="273"/>
      <c r="E976" s="273"/>
      <c r="F976" s="273"/>
      <c r="G976" s="273"/>
      <c r="H976" s="273"/>
      <c r="I976" s="273"/>
      <c r="J976" s="273"/>
      <c r="K976" s="273"/>
      <c r="L976" s="274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4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</row>
    <row r="977" spans="1:35" ht="14.25" customHeight="1">
      <c r="A977" s="273"/>
      <c r="B977" s="273"/>
      <c r="C977" s="273"/>
      <c r="D977" s="273"/>
      <c r="E977" s="273"/>
      <c r="F977" s="273"/>
      <c r="G977" s="273"/>
      <c r="H977" s="273"/>
      <c r="I977" s="273"/>
      <c r="J977" s="273"/>
      <c r="K977" s="273"/>
      <c r="L977" s="274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4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</row>
    <row r="978" spans="1:35" ht="14.25" customHeight="1">
      <c r="A978" s="273"/>
      <c r="B978" s="273"/>
      <c r="C978" s="273"/>
      <c r="D978" s="273"/>
      <c r="E978" s="273"/>
      <c r="F978" s="273"/>
      <c r="G978" s="273"/>
      <c r="H978" s="273"/>
      <c r="I978" s="273"/>
      <c r="J978" s="273"/>
      <c r="K978" s="273"/>
      <c r="L978" s="274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4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</row>
    <row r="979" spans="1:35" ht="14.25" customHeight="1">
      <c r="A979" s="273"/>
      <c r="B979" s="273"/>
      <c r="C979" s="273"/>
      <c r="D979" s="273"/>
      <c r="E979" s="273"/>
      <c r="F979" s="273"/>
      <c r="G979" s="273"/>
      <c r="H979" s="273"/>
      <c r="I979" s="273"/>
      <c r="J979" s="273"/>
      <c r="K979" s="273"/>
      <c r="L979" s="274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4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</row>
    <row r="980" spans="1:35" ht="14.25" customHeight="1">
      <c r="A980" s="273"/>
      <c r="B980" s="273"/>
      <c r="C980" s="273"/>
      <c r="D980" s="273"/>
      <c r="E980" s="273"/>
      <c r="F980" s="273"/>
      <c r="G980" s="273"/>
      <c r="H980" s="273"/>
      <c r="I980" s="273"/>
      <c r="J980" s="273"/>
      <c r="K980" s="273"/>
      <c r="L980" s="274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4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</row>
    <row r="981" spans="1:35" ht="14.25" customHeight="1">
      <c r="A981" s="273"/>
      <c r="B981" s="273"/>
      <c r="C981" s="273"/>
      <c r="D981" s="273"/>
      <c r="E981" s="273"/>
      <c r="F981" s="273"/>
      <c r="G981" s="273"/>
      <c r="H981" s="273"/>
      <c r="I981" s="273"/>
      <c r="J981" s="273"/>
      <c r="K981" s="273"/>
      <c r="L981" s="274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4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</row>
    <row r="982" spans="1:35" ht="14.25" customHeight="1">
      <c r="A982" s="273"/>
      <c r="B982" s="273"/>
      <c r="C982" s="273"/>
      <c r="D982" s="273"/>
      <c r="E982" s="273"/>
      <c r="F982" s="273"/>
      <c r="G982" s="273"/>
      <c r="H982" s="273"/>
      <c r="I982" s="273"/>
      <c r="J982" s="273"/>
      <c r="K982" s="273"/>
      <c r="L982" s="274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4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</row>
    <row r="983" spans="1:35" ht="14.25" customHeight="1">
      <c r="A983" s="273"/>
      <c r="B983" s="273"/>
      <c r="C983" s="273"/>
      <c r="D983" s="273"/>
      <c r="E983" s="273"/>
      <c r="F983" s="273"/>
      <c r="G983" s="273"/>
      <c r="H983" s="273"/>
      <c r="I983" s="273"/>
      <c r="J983" s="273"/>
      <c r="K983" s="273"/>
      <c r="L983" s="274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4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</row>
    <row r="984" spans="1:35" ht="14.25" customHeight="1">
      <c r="A984" s="273"/>
      <c r="B984" s="273"/>
      <c r="C984" s="273"/>
      <c r="D984" s="273"/>
      <c r="E984" s="273"/>
      <c r="F984" s="273"/>
      <c r="G984" s="273"/>
      <c r="H984" s="273"/>
      <c r="I984" s="273"/>
      <c r="J984" s="273"/>
      <c r="K984" s="273"/>
      <c r="L984" s="274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4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</row>
    <row r="985" spans="1:35" ht="14.25" customHeight="1">
      <c r="A985" s="273"/>
      <c r="B985" s="273"/>
      <c r="C985" s="273"/>
      <c r="D985" s="273"/>
      <c r="E985" s="273"/>
      <c r="F985" s="273"/>
      <c r="G985" s="273"/>
      <c r="H985" s="273"/>
      <c r="I985" s="273"/>
      <c r="J985" s="273"/>
      <c r="K985" s="273"/>
      <c r="L985" s="274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4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</row>
    <row r="986" spans="1:35" ht="14.25" customHeight="1">
      <c r="A986" s="273"/>
      <c r="B986" s="273"/>
      <c r="C986" s="273"/>
      <c r="D986" s="273"/>
      <c r="E986" s="273"/>
      <c r="F986" s="273"/>
      <c r="G986" s="273"/>
      <c r="H986" s="273"/>
      <c r="I986" s="273"/>
      <c r="J986" s="273"/>
      <c r="K986" s="273"/>
      <c r="L986" s="274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4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</row>
    <row r="987" spans="1:35" ht="14.25" customHeight="1">
      <c r="A987" s="273"/>
      <c r="B987" s="273"/>
      <c r="C987" s="273"/>
      <c r="D987" s="273"/>
      <c r="E987" s="273"/>
      <c r="F987" s="273"/>
      <c r="G987" s="273"/>
      <c r="H987" s="273"/>
      <c r="I987" s="273"/>
      <c r="J987" s="273"/>
      <c r="K987" s="273"/>
      <c r="L987" s="274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4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</row>
    <row r="988" spans="1:35" ht="14.25" customHeight="1">
      <c r="A988" s="273"/>
      <c r="B988" s="273"/>
      <c r="C988" s="273"/>
      <c r="D988" s="273"/>
      <c r="E988" s="273"/>
      <c r="F988" s="273"/>
      <c r="G988" s="273"/>
      <c r="H988" s="273"/>
      <c r="I988" s="273"/>
      <c r="J988" s="273"/>
      <c r="K988" s="273"/>
      <c r="L988" s="274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4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</row>
    <row r="989" spans="1:35" ht="14.25" customHeight="1">
      <c r="A989" s="273"/>
      <c r="B989" s="273"/>
      <c r="C989" s="273"/>
      <c r="D989" s="273"/>
      <c r="E989" s="273"/>
      <c r="F989" s="273"/>
      <c r="G989" s="273"/>
      <c r="H989" s="273"/>
      <c r="I989" s="273"/>
      <c r="J989" s="273"/>
      <c r="K989" s="273"/>
      <c r="L989" s="274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4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</row>
    <row r="990" spans="1:35" ht="14.25" customHeight="1">
      <c r="A990" s="273"/>
      <c r="B990" s="273"/>
      <c r="C990" s="273"/>
      <c r="D990" s="273"/>
      <c r="E990" s="273"/>
      <c r="F990" s="273"/>
      <c r="G990" s="273"/>
      <c r="H990" s="273"/>
      <c r="I990" s="273"/>
      <c r="J990" s="273"/>
      <c r="K990" s="273"/>
      <c r="L990" s="274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4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</row>
    <row r="991" spans="1:35" ht="14.25" customHeight="1">
      <c r="A991" s="273"/>
      <c r="B991" s="273"/>
      <c r="C991" s="273"/>
      <c r="D991" s="273"/>
      <c r="E991" s="273"/>
      <c r="F991" s="273"/>
      <c r="G991" s="273"/>
      <c r="H991" s="273"/>
      <c r="I991" s="273"/>
      <c r="J991" s="273"/>
      <c r="K991" s="273"/>
      <c r="L991" s="274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4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</row>
    <row r="992" spans="1:35" ht="14.25" customHeight="1">
      <c r="A992" s="273"/>
      <c r="B992" s="273"/>
      <c r="C992" s="273"/>
      <c r="D992" s="273"/>
      <c r="E992" s="273"/>
      <c r="F992" s="273"/>
      <c r="G992" s="273"/>
      <c r="H992" s="273"/>
      <c r="I992" s="273"/>
      <c r="J992" s="273"/>
      <c r="K992" s="273"/>
      <c r="L992" s="274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4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</row>
    <row r="993" spans="1:35" ht="14.25" customHeight="1">
      <c r="A993" s="273"/>
      <c r="B993" s="273"/>
      <c r="C993" s="273"/>
      <c r="D993" s="273"/>
      <c r="E993" s="273"/>
      <c r="F993" s="273"/>
      <c r="G993" s="273"/>
      <c r="H993" s="273"/>
      <c r="I993" s="273"/>
      <c r="J993" s="273"/>
      <c r="K993" s="273"/>
      <c r="L993" s="274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4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</row>
    <row r="994" spans="1:35" ht="14.25" customHeight="1">
      <c r="A994" s="273"/>
      <c r="B994" s="273"/>
      <c r="C994" s="273"/>
      <c r="D994" s="273"/>
      <c r="E994" s="273"/>
      <c r="F994" s="273"/>
      <c r="G994" s="273"/>
      <c r="H994" s="273"/>
      <c r="I994" s="273"/>
      <c r="J994" s="273"/>
      <c r="K994" s="273"/>
      <c r="L994" s="274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4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</row>
    <row r="995" spans="1:35" ht="14.25" customHeight="1">
      <c r="A995" s="273"/>
      <c r="B995" s="273"/>
      <c r="C995" s="273"/>
      <c r="D995" s="273"/>
      <c r="E995" s="273"/>
      <c r="F995" s="273"/>
      <c r="G995" s="273"/>
      <c r="H995" s="273"/>
      <c r="I995" s="273"/>
      <c r="J995" s="273"/>
      <c r="K995" s="273"/>
      <c r="L995" s="274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4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</row>
    <row r="996" spans="1:35" ht="14.25" customHeight="1">
      <c r="A996" s="273"/>
      <c r="B996" s="273"/>
      <c r="C996" s="273"/>
      <c r="D996" s="273"/>
      <c r="E996" s="273"/>
      <c r="F996" s="273"/>
      <c r="G996" s="273"/>
      <c r="H996" s="273"/>
      <c r="I996" s="273"/>
      <c r="J996" s="273"/>
      <c r="K996" s="273"/>
      <c r="L996" s="274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4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</row>
    <row r="997" spans="1:35" ht="14.25" customHeight="1">
      <c r="A997" s="273"/>
      <c r="B997" s="273"/>
      <c r="C997" s="273"/>
      <c r="D997" s="273"/>
      <c r="E997" s="273"/>
      <c r="F997" s="273"/>
      <c r="G997" s="273"/>
      <c r="H997" s="273"/>
      <c r="I997" s="273"/>
      <c r="J997" s="273"/>
      <c r="K997" s="273"/>
      <c r="L997" s="274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4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</row>
    <row r="998" spans="1:35" ht="14.25" customHeight="1">
      <c r="A998" s="273"/>
      <c r="B998" s="273"/>
      <c r="C998" s="273"/>
      <c r="D998" s="273"/>
      <c r="E998" s="273"/>
      <c r="F998" s="273"/>
      <c r="G998" s="273"/>
      <c r="H998" s="273"/>
      <c r="I998" s="273"/>
      <c r="J998" s="273"/>
      <c r="K998" s="273"/>
      <c r="L998" s="274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4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</row>
    <row r="999" spans="1:35" ht="14.25" customHeight="1">
      <c r="A999" s="273"/>
      <c r="B999" s="273"/>
      <c r="C999" s="273"/>
      <c r="D999" s="273"/>
      <c r="E999" s="273"/>
      <c r="F999" s="273"/>
      <c r="G999" s="273"/>
      <c r="H999" s="273"/>
      <c r="I999" s="273"/>
      <c r="J999" s="273"/>
      <c r="K999" s="273"/>
      <c r="L999" s="274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4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</row>
    <row r="1000" spans="1:35" ht="14.25" customHeight="1">
      <c r="A1000" s="273"/>
      <c r="B1000" s="273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4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4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</row>
    <row r="1001" spans="1:35" ht="14.25" customHeight="1">
      <c r="A1001" s="273"/>
      <c r="B1001" s="273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4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4"/>
      <c r="Y1001" s="273"/>
      <c r="Z1001" s="273"/>
      <c r="AA1001" s="273"/>
      <c r="AB1001" s="273"/>
      <c r="AC1001" s="273"/>
      <c r="AD1001" s="273"/>
      <c r="AE1001" s="273"/>
      <c r="AF1001" s="273"/>
      <c r="AG1001" s="273"/>
      <c r="AH1001" s="273"/>
      <c r="AI1001" s="273"/>
    </row>
    <row r="1002" spans="1:35" ht="14.25" customHeight="1">
      <c r="A1002" s="273"/>
      <c r="B1002" s="273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4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4"/>
      <c r="Y1002" s="273"/>
      <c r="Z1002" s="273"/>
      <c r="AA1002" s="273"/>
      <c r="AB1002" s="273"/>
      <c r="AC1002" s="273"/>
      <c r="AD1002" s="273"/>
      <c r="AE1002" s="273"/>
      <c r="AF1002" s="273"/>
      <c r="AG1002" s="273"/>
      <c r="AH1002" s="273"/>
      <c r="AI1002" s="273"/>
    </row>
    <row r="1003" spans="1:35" ht="14.25" customHeight="1">
      <c r="A1003" s="273"/>
      <c r="B1003" s="273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4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4"/>
      <c r="Y1003" s="273"/>
      <c r="Z1003" s="273"/>
      <c r="AA1003" s="273"/>
      <c r="AB1003" s="273"/>
      <c r="AC1003" s="273"/>
      <c r="AD1003" s="273"/>
      <c r="AE1003" s="273"/>
      <c r="AF1003" s="273"/>
      <c r="AG1003" s="273"/>
      <c r="AH1003" s="273"/>
      <c r="AI1003" s="273"/>
    </row>
    <row r="1004" spans="1:35" ht="14.25" customHeight="1">
      <c r="A1004" s="273"/>
      <c r="B1004" s="273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4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4"/>
      <c r="Y1004" s="273"/>
      <c r="Z1004" s="273"/>
      <c r="AA1004" s="273"/>
      <c r="AB1004" s="273"/>
      <c r="AC1004" s="273"/>
      <c r="AD1004" s="273"/>
      <c r="AE1004" s="273"/>
      <c r="AF1004" s="273"/>
      <c r="AG1004" s="273"/>
      <c r="AH1004" s="273"/>
      <c r="AI1004" s="273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3404"/>
  </sheetPr>
  <dimension ref="A1:AD100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Q29" sqref="Q29"/>
    </sheetView>
  </sheetViews>
  <sheetFormatPr defaultColWidth="14.42578125" defaultRowHeight="15" customHeight="1"/>
  <cols>
    <col min="1" max="1" width="96.140625" customWidth="1"/>
    <col min="2" max="17" width="11.7109375" customWidth="1"/>
    <col min="18" max="18" width="18.28515625" bestFit="1" customWidth="1"/>
    <col min="19" max="19" width="79.5703125" customWidth="1"/>
    <col min="20" max="20" width="24.42578125" customWidth="1"/>
    <col min="21" max="30" width="8.85546875" customWidth="1"/>
  </cols>
  <sheetData>
    <row r="1" spans="1:30">
      <c r="A1" s="450" t="s">
        <v>299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51" t="s">
        <v>300</v>
      </c>
      <c r="B3" s="51">
        <v>2008</v>
      </c>
      <c r="C3" s="51">
        <v>2009</v>
      </c>
      <c r="D3" s="51">
        <v>2010</v>
      </c>
      <c r="E3" s="51">
        <v>2011</v>
      </c>
      <c r="F3" s="51">
        <v>2012</v>
      </c>
      <c r="G3" s="51">
        <v>2013</v>
      </c>
      <c r="H3" s="51">
        <v>2014</v>
      </c>
      <c r="I3" s="51">
        <v>2015</v>
      </c>
      <c r="J3" s="51">
        <v>2016</v>
      </c>
      <c r="K3" s="145">
        <v>2017</v>
      </c>
      <c r="L3" s="145">
        <v>2018</v>
      </c>
      <c r="M3" s="145">
        <v>2019</v>
      </c>
      <c r="N3" s="145">
        <v>2020</v>
      </c>
      <c r="O3" s="145">
        <v>2021</v>
      </c>
      <c r="P3" s="145">
        <v>2022</v>
      </c>
      <c r="Q3" s="145">
        <v>2023</v>
      </c>
      <c r="R3" s="28" t="s">
        <v>301</v>
      </c>
      <c r="S3" s="146" t="s">
        <v>302</v>
      </c>
      <c r="T3" s="79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4" t="s">
        <v>303</v>
      </c>
      <c r="B4" s="36"/>
      <c r="C4" s="36"/>
      <c r="D4" s="36"/>
      <c r="E4" s="36"/>
      <c r="F4" s="36"/>
      <c r="G4" s="36"/>
      <c r="H4" s="36"/>
      <c r="I4" s="36"/>
      <c r="J4" s="36"/>
      <c r="K4" s="147">
        <v>1297</v>
      </c>
      <c r="L4" s="147">
        <v>1550</v>
      </c>
      <c r="M4" s="147">
        <v>2216</v>
      </c>
      <c r="N4" s="147">
        <f>M4+658</f>
        <v>2874</v>
      </c>
      <c r="O4" s="147">
        <f>N4+1357</f>
        <v>4231</v>
      </c>
      <c r="P4" s="147">
        <v>8424</v>
      </c>
      <c r="Q4" s="147">
        <v>9092</v>
      </c>
      <c r="R4" s="87" t="s">
        <v>68</v>
      </c>
      <c r="S4" s="290" t="s">
        <v>513</v>
      </c>
      <c r="T4" s="34" t="s">
        <v>511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305</v>
      </c>
      <c r="B5" s="36"/>
      <c r="C5" s="36"/>
      <c r="D5" s="36"/>
      <c r="E5" s="36"/>
      <c r="F5" s="36"/>
      <c r="G5" s="36"/>
      <c r="H5" s="36"/>
      <c r="I5" s="36"/>
      <c r="J5" s="36"/>
      <c r="K5" s="147">
        <v>53</v>
      </c>
      <c r="L5" s="147">
        <v>46</v>
      </c>
      <c r="M5" s="147">
        <v>58</v>
      </c>
      <c r="N5" s="147">
        <v>52</v>
      </c>
      <c r="O5" s="148"/>
      <c r="P5" s="147">
        <v>238</v>
      </c>
      <c r="Q5" s="147">
        <f>35+18+42+10+12+17+27+41+9+9+6+51</f>
        <v>277</v>
      </c>
      <c r="R5" s="87" t="s">
        <v>68</v>
      </c>
      <c r="S5" s="290" t="s">
        <v>513</v>
      </c>
      <c r="T5" s="34" t="s">
        <v>511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306</v>
      </c>
      <c r="B6" s="36"/>
      <c r="C6" s="36"/>
      <c r="D6" s="36"/>
      <c r="E6" s="36"/>
      <c r="F6" s="36"/>
      <c r="G6" s="36"/>
      <c r="H6" s="36"/>
      <c r="I6" s="36"/>
      <c r="J6" s="36"/>
      <c r="K6" s="147">
        <v>57</v>
      </c>
      <c r="L6" s="147">
        <v>106</v>
      </c>
      <c r="M6" s="147">
        <v>116</v>
      </c>
      <c r="N6" s="147">
        <v>74</v>
      </c>
      <c r="O6" s="148"/>
      <c r="P6" s="147">
        <v>562</v>
      </c>
      <c r="Q6" s="147">
        <f>67+79+28+107+31+41+107+279+9</f>
        <v>748</v>
      </c>
      <c r="R6" s="87" t="s">
        <v>68</v>
      </c>
      <c r="S6" s="290" t="s">
        <v>513</v>
      </c>
      <c r="T6" s="34" t="s">
        <v>511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5" t="s">
        <v>307</v>
      </c>
      <c r="B7" s="36"/>
      <c r="C7" s="36"/>
      <c r="D7" s="36"/>
      <c r="E7" s="36"/>
      <c r="F7" s="36"/>
      <c r="G7" s="36"/>
      <c r="H7" s="36"/>
      <c r="I7" s="36"/>
      <c r="J7" s="36"/>
      <c r="K7" s="147">
        <v>148</v>
      </c>
      <c r="L7" s="147">
        <v>176</v>
      </c>
      <c r="M7" s="147">
        <v>341</v>
      </c>
      <c r="N7" s="147">
        <v>212</v>
      </c>
      <c r="O7" s="148"/>
      <c r="P7" s="147">
        <v>821</v>
      </c>
      <c r="Q7" s="147">
        <v>927</v>
      </c>
      <c r="R7" s="87" t="s">
        <v>68</v>
      </c>
      <c r="S7" s="290" t="s">
        <v>513</v>
      </c>
      <c r="T7" s="34" t="s">
        <v>511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308</v>
      </c>
      <c r="B8" s="36"/>
      <c r="C8" s="36"/>
      <c r="D8" s="36"/>
      <c r="E8" s="36"/>
      <c r="F8" s="36"/>
      <c r="G8" s="36"/>
      <c r="H8" s="36"/>
      <c r="I8" s="36"/>
      <c r="J8" s="36"/>
      <c r="K8" s="147">
        <v>85</v>
      </c>
      <c r="L8" s="147">
        <v>106</v>
      </c>
      <c r="M8" s="147">
        <v>60</v>
      </c>
      <c r="N8" s="147">
        <v>95</v>
      </c>
      <c r="O8" s="148"/>
      <c r="P8" s="147">
        <v>378</v>
      </c>
      <c r="Q8" s="147">
        <f>120+19+219+22+33</f>
        <v>413</v>
      </c>
      <c r="R8" s="87" t="s">
        <v>68</v>
      </c>
      <c r="S8" s="290" t="s">
        <v>513</v>
      </c>
      <c r="T8" s="34" t="s">
        <v>511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309</v>
      </c>
      <c r="B9" s="36"/>
      <c r="C9" s="36"/>
      <c r="D9" s="36"/>
      <c r="E9" s="36"/>
      <c r="F9" s="36"/>
      <c r="G9" s="36"/>
      <c r="H9" s="36"/>
      <c r="I9" s="36"/>
      <c r="J9" s="36"/>
      <c r="K9" s="147">
        <v>68</v>
      </c>
      <c r="L9" s="147">
        <v>88</v>
      </c>
      <c r="M9" s="147">
        <v>138</v>
      </c>
      <c r="N9" s="147">
        <v>351</v>
      </c>
      <c r="O9" s="148"/>
      <c r="P9" s="147">
        <v>601</v>
      </c>
      <c r="Q9" s="147">
        <f>10+42+84+361+185</f>
        <v>682</v>
      </c>
      <c r="R9" s="87" t="s">
        <v>68</v>
      </c>
      <c r="S9" s="290" t="s">
        <v>513</v>
      </c>
      <c r="T9" s="34" t="s">
        <v>511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35" t="s">
        <v>310</v>
      </c>
      <c r="B10" s="36"/>
      <c r="C10" s="36"/>
      <c r="D10" s="36"/>
      <c r="E10" s="36"/>
      <c r="F10" s="36"/>
      <c r="G10" s="36"/>
      <c r="H10" s="36"/>
      <c r="I10" s="36"/>
      <c r="J10" s="36"/>
      <c r="K10" s="147">
        <v>110</v>
      </c>
      <c r="L10" s="147">
        <v>72</v>
      </c>
      <c r="M10" s="147">
        <v>82</v>
      </c>
      <c r="N10" s="147">
        <v>48</v>
      </c>
      <c r="O10" s="148"/>
      <c r="P10" s="147">
        <v>414</v>
      </c>
      <c r="Q10" s="147">
        <f>23+3+28+6+107+29+85+38+26+2+27+64+48</f>
        <v>486</v>
      </c>
      <c r="R10" s="87" t="s">
        <v>68</v>
      </c>
      <c r="S10" s="290" t="s">
        <v>513</v>
      </c>
      <c r="T10" s="34" t="s">
        <v>511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35" t="s">
        <v>311</v>
      </c>
      <c r="B11" s="36"/>
      <c r="C11" s="36"/>
      <c r="D11" s="36"/>
      <c r="E11" s="36"/>
      <c r="F11" s="36"/>
      <c r="G11" s="36"/>
      <c r="H11" s="36"/>
      <c r="I11" s="36"/>
      <c r="J11" s="36"/>
      <c r="K11" s="147">
        <v>218</v>
      </c>
      <c r="L11" s="147">
        <v>207</v>
      </c>
      <c r="M11" s="147">
        <v>404</v>
      </c>
      <c r="N11" s="147">
        <v>375</v>
      </c>
      <c r="O11" s="148"/>
      <c r="P11" s="147">
        <v>1130</v>
      </c>
      <c r="Q11" s="147">
        <f>15+65+7+17+29+42+258+67+83+21+167+498</f>
        <v>1269</v>
      </c>
      <c r="R11" s="87" t="s">
        <v>68</v>
      </c>
      <c r="S11" s="290" t="s">
        <v>513</v>
      </c>
      <c r="T11" s="34" t="s">
        <v>511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312</v>
      </c>
      <c r="B12" s="36"/>
      <c r="C12" s="36"/>
      <c r="D12" s="36"/>
      <c r="E12" s="36"/>
      <c r="F12" s="36"/>
      <c r="G12" s="36"/>
      <c r="H12" s="36"/>
      <c r="I12" s="36"/>
      <c r="J12" s="36"/>
      <c r="K12" s="110">
        <v>157</v>
      </c>
      <c r="L12" s="111">
        <v>373</v>
      </c>
      <c r="M12" s="111">
        <v>345</v>
      </c>
      <c r="N12" s="147">
        <v>330</v>
      </c>
      <c r="O12" s="148"/>
      <c r="P12" s="147">
        <v>2074</v>
      </c>
      <c r="Q12" s="147">
        <f>5+30+613+159+662+214+190+72+263+345+429+15+233</f>
        <v>3230</v>
      </c>
      <c r="R12" s="87" t="s">
        <v>68</v>
      </c>
      <c r="S12" s="290" t="s">
        <v>513</v>
      </c>
      <c r="T12" s="34" t="s">
        <v>511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35" t="s">
        <v>313</v>
      </c>
      <c r="B13" s="36"/>
      <c r="C13" s="36"/>
      <c r="D13" s="36"/>
      <c r="E13" s="36"/>
      <c r="F13" s="36"/>
      <c r="G13" s="36"/>
      <c r="H13" s="36"/>
      <c r="I13" s="36"/>
      <c r="J13" s="36"/>
      <c r="K13" s="110">
        <v>63</v>
      </c>
      <c r="L13" s="111">
        <v>43</v>
      </c>
      <c r="M13" s="111">
        <v>114</v>
      </c>
      <c r="N13" s="147">
        <v>84</v>
      </c>
      <c r="O13" s="148"/>
      <c r="P13" s="147">
        <v>223</v>
      </c>
      <c r="Q13" s="147">
        <f>126+3+27+30+21+3+2+51</f>
        <v>263</v>
      </c>
      <c r="R13" s="87" t="s">
        <v>68</v>
      </c>
      <c r="S13" s="290" t="s">
        <v>513</v>
      </c>
      <c r="T13" s="34" t="s">
        <v>511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35" t="s">
        <v>314</v>
      </c>
      <c r="B14" s="36"/>
      <c r="C14" s="36"/>
      <c r="D14" s="36"/>
      <c r="E14" s="36"/>
      <c r="F14" s="36"/>
      <c r="G14" s="36"/>
      <c r="H14" s="36"/>
      <c r="I14" s="36"/>
      <c r="J14" s="36"/>
      <c r="K14" s="110">
        <v>9</v>
      </c>
      <c r="L14" s="111">
        <v>21</v>
      </c>
      <c r="M14" s="111">
        <v>16</v>
      </c>
      <c r="N14" s="147">
        <v>20</v>
      </c>
      <c r="O14" s="148"/>
      <c r="P14" s="147">
        <v>103</v>
      </c>
      <c r="Q14" s="147">
        <f>4+7+5+2+81+1+13+1</f>
        <v>114</v>
      </c>
      <c r="R14" s="87" t="s">
        <v>68</v>
      </c>
      <c r="S14" s="290" t="s">
        <v>513</v>
      </c>
      <c r="T14" s="34" t="s">
        <v>511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35" t="s">
        <v>315</v>
      </c>
      <c r="B15" s="36"/>
      <c r="C15" s="36"/>
      <c r="D15" s="36"/>
      <c r="E15" s="36"/>
      <c r="F15" s="36"/>
      <c r="G15" s="36"/>
      <c r="H15" s="36"/>
      <c r="I15" s="36"/>
      <c r="J15" s="36"/>
      <c r="K15" s="110">
        <v>164</v>
      </c>
      <c r="L15" s="111">
        <v>121</v>
      </c>
      <c r="M15" s="111">
        <v>113</v>
      </c>
      <c r="N15" s="147">
        <v>62</v>
      </c>
      <c r="O15" s="148"/>
      <c r="P15" s="147">
        <v>783</v>
      </c>
      <c r="Q15" s="147">
        <f>90+34+3+50+8+8+36+2+38+48+55+58+4+22+252+22+74+3+39+6+54+3+17+2</f>
        <v>928</v>
      </c>
      <c r="R15" s="87" t="s">
        <v>68</v>
      </c>
      <c r="S15" s="290" t="s">
        <v>513</v>
      </c>
      <c r="T15" s="34" t="s">
        <v>511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35" t="s">
        <v>316</v>
      </c>
      <c r="B16" s="36"/>
      <c r="C16" s="36"/>
      <c r="D16" s="36"/>
      <c r="E16" s="36"/>
      <c r="F16" s="36"/>
      <c r="G16" s="36"/>
      <c r="H16" s="36"/>
      <c r="I16" s="36"/>
      <c r="J16" s="36"/>
      <c r="K16" s="110">
        <v>160</v>
      </c>
      <c r="L16" s="111">
        <v>186</v>
      </c>
      <c r="M16" s="111">
        <v>423</v>
      </c>
      <c r="N16" s="147">
        <v>209</v>
      </c>
      <c r="O16" s="148"/>
      <c r="P16" s="147">
        <v>1041</v>
      </c>
      <c r="Q16" s="147">
        <f>1035+7</f>
        <v>1042</v>
      </c>
      <c r="R16" s="87" t="s">
        <v>68</v>
      </c>
      <c r="S16" s="290" t="s">
        <v>513</v>
      </c>
      <c r="T16" s="34" t="s">
        <v>511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35" t="s">
        <v>317</v>
      </c>
      <c r="B17" s="36"/>
      <c r="C17" s="36"/>
      <c r="D17" s="36"/>
      <c r="E17" s="36"/>
      <c r="F17" s="36"/>
      <c r="G17" s="36"/>
      <c r="H17" s="36"/>
      <c r="I17" s="36"/>
      <c r="J17" s="36"/>
      <c r="K17" s="110">
        <v>1</v>
      </c>
      <c r="L17" s="111">
        <v>0</v>
      </c>
      <c r="M17" s="111">
        <v>0</v>
      </c>
      <c r="N17" s="147">
        <v>0</v>
      </c>
      <c r="O17" s="148"/>
      <c r="P17" s="147">
        <v>20</v>
      </c>
      <c r="Q17" s="147">
        <f>1+10+20</f>
        <v>31</v>
      </c>
      <c r="R17" s="87" t="s">
        <v>68</v>
      </c>
      <c r="S17" s="290" t="s">
        <v>513</v>
      </c>
      <c r="T17" s="34" t="s">
        <v>511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35" t="s">
        <v>318</v>
      </c>
      <c r="B18" s="36"/>
      <c r="C18" s="36"/>
      <c r="D18" s="36"/>
      <c r="E18" s="36"/>
      <c r="F18" s="36"/>
      <c r="G18" s="36"/>
      <c r="H18" s="36"/>
      <c r="I18" s="36"/>
      <c r="J18" s="36"/>
      <c r="K18" s="110">
        <v>4</v>
      </c>
      <c r="L18" s="111">
        <v>5</v>
      </c>
      <c r="M18" s="111">
        <v>6</v>
      </c>
      <c r="N18" s="147">
        <v>2</v>
      </c>
      <c r="O18" s="148"/>
      <c r="P18" s="147">
        <v>36</v>
      </c>
      <c r="Q18" s="147">
        <f>1+12+6+17+22+1</f>
        <v>59</v>
      </c>
      <c r="R18" s="87" t="s">
        <v>68</v>
      </c>
      <c r="S18" s="290" t="s">
        <v>513</v>
      </c>
      <c r="T18" s="34" t="s">
        <v>511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 t="s">
        <v>319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 t="s">
        <v>320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2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2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2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A00-000000000000}"/>
    <hyperlink ref="S5" r:id="rId2" xr:uid="{FDEA6B65-3EDB-4F68-A90F-B55323C7A454}"/>
    <hyperlink ref="S6" r:id="rId3" xr:uid="{EF8DC561-EBA3-4EDE-A3B2-37CD1CE61043}"/>
    <hyperlink ref="S7" r:id="rId4" xr:uid="{B649C899-D48C-4280-AC8D-D9EB8B8F044B}"/>
    <hyperlink ref="S8" r:id="rId5" xr:uid="{15FB83D3-8A85-4AB4-BDBC-256FAD160950}"/>
    <hyperlink ref="S9" r:id="rId6" xr:uid="{889F7365-EDED-4790-9397-CDFAE33C8749}"/>
    <hyperlink ref="S10" r:id="rId7" xr:uid="{DD0056C1-7418-4B3B-8C3B-1154A6F0F615}"/>
    <hyperlink ref="S11" r:id="rId8" xr:uid="{ED2BC455-F574-44D4-A4F1-5D954ACD13ED}"/>
    <hyperlink ref="S12" r:id="rId9" xr:uid="{72CCC882-4D58-4120-A4A3-F6136E18FA6B}"/>
    <hyperlink ref="S13" r:id="rId10" xr:uid="{2AB6A7CE-F24E-46B8-B026-A59238EF6B54}"/>
    <hyperlink ref="S14" r:id="rId11" xr:uid="{72535477-0628-4354-AEAA-7600BCACEA39}"/>
    <hyperlink ref="S15" r:id="rId12" xr:uid="{75AF9691-4235-46FE-A8E6-688B6090B195}"/>
    <hyperlink ref="S16" r:id="rId13" xr:uid="{10BBBA1E-96BA-4D0C-82F5-1AAA46ABE042}"/>
    <hyperlink ref="S17" r:id="rId14" xr:uid="{30CE71B8-0EB9-4799-AF32-AD4E968D8116}"/>
    <hyperlink ref="S18" r:id="rId15" xr:uid="{717B59BF-94CE-43F2-9EF9-E37EC94C17A0}"/>
  </hyperlinks>
  <pageMargins left="0.7" right="0.7" top="0.75" bottom="0.75" header="0" footer="0"/>
  <pageSetup orientation="portrait"/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3404"/>
  </sheetPr>
  <dimension ref="A1:AE999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P25" sqref="P25"/>
    </sheetView>
  </sheetViews>
  <sheetFormatPr defaultColWidth="14.42578125" defaultRowHeight="15" customHeight="1"/>
  <cols>
    <col min="1" max="1" width="87.5703125" customWidth="1"/>
    <col min="2" max="17" width="11.7109375" customWidth="1"/>
    <col min="18" max="18" width="15.7109375" customWidth="1"/>
    <col min="19" max="19" width="41.42578125" customWidth="1"/>
    <col min="20" max="20" width="140.140625" customWidth="1"/>
    <col min="21" max="21" width="27.28515625" customWidth="1"/>
    <col min="22" max="31" width="8.85546875" customWidth="1"/>
  </cols>
  <sheetData>
    <row r="1" spans="1:31">
      <c r="A1" s="450" t="s">
        <v>321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>
      <c r="A2" s="44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1:31">
      <c r="A3" s="28" t="s">
        <v>322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28">
        <v>2013</v>
      </c>
      <c r="H3" s="28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/>
      <c r="S3" s="28" t="s">
        <v>301</v>
      </c>
      <c r="T3" s="29" t="s">
        <v>302</v>
      </c>
      <c r="U3" s="29" t="s">
        <v>23</v>
      </c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 ht="30">
      <c r="A4" s="35" t="s">
        <v>323</v>
      </c>
      <c r="B4" s="68">
        <v>56</v>
      </c>
      <c r="C4" s="68">
        <v>60.4</v>
      </c>
      <c r="D4" s="68">
        <v>61.8</v>
      </c>
      <c r="E4" s="68">
        <v>62.9</v>
      </c>
      <c r="F4" s="68">
        <v>67.5</v>
      </c>
      <c r="G4" s="68">
        <v>69</v>
      </c>
      <c r="H4" s="68">
        <v>67.099999999999994</v>
      </c>
      <c r="I4" s="68">
        <v>78.3</v>
      </c>
      <c r="J4" s="68">
        <v>79.8</v>
      </c>
      <c r="K4" s="68">
        <v>77.2</v>
      </c>
      <c r="L4" s="68">
        <v>80.8</v>
      </c>
      <c r="M4" s="68">
        <v>84.8</v>
      </c>
      <c r="N4" s="68">
        <v>80.2</v>
      </c>
      <c r="O4" s="68">
        <v>79.099999999999994</v>
      </c>
      <c r="P4" s="68">
        <v>90.4</v>
      </c>
      <c r="Q4" s="68">
        <v>93.65</v>
      </c>
      <c r="R4" s="68"/>
      <c r="S4" s="34" t="s">
        <v>324</v>
      </c>
      <c r="T4" s="149" t="s">
        <v>325</v>
      </c>
      <c r="U4" s="34" t="s">
        <v>511</v>
      </c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>
      <c r="A5" s="35" t="s">
        <v>326</v>
      </c>
      <c r="B5" s="52">
        <v>0.4</v>
      </c>
      <c r="C5" s="52">
        <v>0.4</v>
      </c>
      <c r="D5" s="52">
        <v>0.4</v>
      </c>
      <c r="E5" s="52">
        <v>0.4</v>
      </c>
      <c r="F5" s="52">
        <v>0.4</v>
      </c>
      <c r="G5" s="32">
        <v>0.4</v>
      </c>
      <c r="H5" s="32">
        <v>0.4</v>
      </c>
      <c r="I5" s="32">
        <v>0.4</v>
      </c>
      <c r="J5" s="32">
        <v>0.4</v>
      </c>
      <c r="K5" s="32">
        <v>0.4</v>
      </c>
      <c r="L5" s="32">
        <v>0.4</v>
      </c>
      <c r="M5" s="32">
        <v>0.4</v>
      </c>
      <c r="N5" s="32">
        <v>0.4</v>
      </c>
      <c r="O5" s="59">
        <v>0.32500000000000001</v>
      </c>
      <c r="P5" s="59">
        <v>0.35</v>
      </c>
      <c r="Q5" s="59">
        <v>0.32500000000000001</v>
      </c>
      <c r="R5" s="59"/>
      <c r="S5" s="34" t="s">
        <v>324</v>
      </c>
      <c r="T5" s="55" t="s">
        <v>327</v>
      </c>
      <c r="U5" s="34" t="s">
        <v>511</v>
      </c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>
      <c r="A6" s="35" t="s">
        <v>328</v>
      </c>
      <c r="B6" s="68">
        <v>198.9</v>
      </c>
      <c r="C6" s="68">
        <v>167.8</v>
      </c>
      <c r="D6" s="68">
        <v>186.6</v>
      </c>
      <c r="E6" s="68">
        <v>201</v>
      </c>
      <c r="F6" s="68">
        <v>216.5</v>
      </c>
      <c r="G6" s="68">
        <v>224.5</v>
      </c>
      <c r="H6" s="68">
        <v>231.2</v>
      </c>
      <c r="I6" s="68">
        <v>233.541</v>
      </c>
      <c r="J6" s="68">
        <v>230.78899999999999</v>
      </c>
      <c r="K6" s="68">
        <v>236.375</v>
      </c>
      <c r="L6" s="68">
        <v>250.67400000000001</v>
      </c>
      <c r="M6" s="68">
        <v>245.614</v>
      </c>
      <c r="N6" s="68">
        <v>237.93700000000001</v>
      </c>
      <c r="O6" s="68">
        <v>236.17500000000001</v>
      </c>
      <c r="P6" s="68">
        <v>227.77500000000001</v>
      </c>
      <c r="Q6" s="68">
        <v>298.625</v>
      </c>
      <c r="R6" s="68"/>
      <c r="S6" s="34" t="s">
        <v>324</v>
      </c>
      <c r="T6" s="55" t="s">
        <v>327</v>
      </c>
      <c r="U6" s="34" t="s">
        <v>511</v>
      </c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>
      <c r="A7" s="35" t="s">
        <v>329</v>
      </c>
      <c r="B7" s="68">
        <v>40</v>
      </c>
      <c r="C7" s="68">
        <v>34.5</v>
      </c>
      <c r="D7" s="68">
        <v>36.1</v>
      </c>
      <c r="E7" s="68">
        <v>37.728999999999999</v>
      </c>
      <c r="F7" s="68">
        <v>39</v>
      </c>
      <c r="G7" s="68">
        <v>40</v>
      </c>
      <c r="H7" s="68">
        <v>42.1</v>
      </c>
      <c r="I7" s="68">
        <v>43.6</v>
      </c>
      <c r="J7" s="68">
        <v>44.9</v>
      </c>
      <c r="K7" s="68">
        <v>47.2</v>
      </c>
      <c r="L7" s="68">
        <v>49.308999999999997</v>
      </c>
      <c r="M7" s="68">
        <v>50.633000000000003</v>
      </c>
      <c r="N7" s="68">
        <v>50.572000000000003</v>
      </c>
      <c r="O7" s="68">
        <v>54.512</v>
      </c>
      <c r="P7" s="68">
        <v>58.826000000000001</v>
      </c>
      <c r="Q7" s="67"/>
      <c r="R7" s="67"/>
      <c r="S7" s="34" t="s">
        <v>324</v>
      </c>
      <c r="T7" s="94" t="s">
        <v>330</v>
      </c>
      <c r="U7" s="34" t="s">
        <v>511</v>
      </c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>
      <c r="A8" s="35" t="s">
        <v>331</v>
      </c>
      <c r="B8" s="52">
        <v>1.7</v>
      </c>
      <c r="C8" s="52">
        <v>1.4</v>
      </c>
      <c r="D8" s="52">
        <v>1.4</v>
      </c>
      <c r="E8" s="52">
        <v>1.8</v>
      </c>
      <c r="F8" s="52">
        <v>1.5</v>
      </c>
      <c r="G8" s="52">
        <v>1.9</v>
      </c>
      <c r="H8" s="52">
        <v>1.8</v>
      </c>
      <c r="I8" s="52">
        <v>1.8</v>
      </c>
      <c r="J8" s="52">
        <v>1.7</v>
      </c>
      <c r="K8" s="32">
        <v>2</v>
      </c>
      <c r="L8" s="32">
        <v>2.2000000000000002</v>
      </c>
      <c r="M8" s="32">
        <v>2.4</v>
      </c>
      <c r="N8" s="32">
        <v>-0.4</v>
      </c>
      <c r="O8" s="32">
        <v>1.2</v>
      </c>
      <c r="P8" s="32">
        <v>2.4</v>
      </c>
      <c r="Q8" s="67"/>
      <c r="R8" s="67"/>
      <c r="S8" s="34" t="s">
        <v>324</v>
      </c>
      <c r="T8" s="55" t="s">
        <v>327</v>
      </c>
      <c r="U8" s="34" t="s">
        <v>511</v>
      </c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>
      <c r="A9" s="35" t="s">
        <v>332</v>
      </c>
      <c r="B9" s="68">
        <v>14.4</v>
      </c>
      <c r="C9" s="68">
        <v>24.5</v>
      </c>
      <c r="D9" s="68">
        <v>24.2</v>
      </c>
      <c r="E9" s="68">
        <v>23.4</v>
      </c>
      <c r="F9" s="68">
        <v>26.9</v>
      </c>
      <c r="G9" s="68">
        <v>27.1</v>
      </c>
      <c r="H9" s="68">
        <v>23.2</v>
      </c>
      <c r="I9" s="68">
        <v>32.9</v>
      </c>
      <c r="J9" s="68">
        <v>33.1</v>
      </c>
      <c r="K9" s="32">
        <v>28.1</v>
      </c>
      <c r="L9" s="32">
        <v>29.3</v>
      </c>
      <c r="M9" s="32">
        <v>31.7</v>
      </c>
      <c r="N9" s="32">
        <v>30.1</v>
      </c>
      <c r="O9" s="32">
        <v>23.5</v>
      </c>
      <c r="P9" s="32">
        <v>29.2</v>
      </c>
      <c r="Q9" s="67"/>
      <c r="R9" s="67"/>
      <c r="S9" s="34" t="s">
        <v>324</v>
      </c>
      <c r="T9" s="55" t="s">
        <v>327</v>
      </c>
      <c r="U9" s="34" t="s">
        <v>511</v>
      </c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>
      <c r="A10" s="35" t="s">
        <v>333</v>
      </c>
      <c r="B10" s="68">
        <v>727</v>
      </c>
      <c r="C10" s="68">
        <v>627</v>
      </c>
      <c r="D10" s="68">
        <v>624</v>
      </c>
      <c r="E10" s="68">
        <v>634</v>
      </c>
      <c r="F10" s="68">
        <v>646</v>
      </c>
      <c r="G10" s="68">
        <v>658</v>
      </c>
      <c r="H10" s="68">
        <v>674</v>
      </c>
      <c r="I10" s="68">
        <v>688</v>
      </c>
      <c r="J10" s="68">
        <v>702</v>
      </c>
      <c r="K10" s="68">
        <v>715</v>
      </c>
      <c r="L10" s="68">
        <v>730</v>
      </c>
      <c r="M10" s="150">
        <v>731</v>
      </c>
      <c r="N10" s="150">
        <v>693</v>
      </c>
      <c r="O10" s="150">
        <v>722</v>
      </c>
      <c r="P10" s="150">
        <v>748</v>
      </c>
      <c r="Q10" s="67"/>
      <c r="R10" s="361"/>
      <c r="S10" s="76" t="s">
        <v>324</v>
      </c>
      <c r="T10" s="94" t="s">
        <v>334</v>
      </c>
      <c r="U10" s="34" t="s">
        <v>511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>
      <c r="A11" s="41" t="s">
        <v>335</v>
      </c>
      <c r="B11" s="68">
        <v>245</v>
      </c>
      <c r="C11" s="68">
        <v>250</v>
      </c>
      <c r="D11" s="68">
        <v>265</v>
      </c>
      <c r="E11" s="68">
        <v>279</v>
      </c>
      <c r="F11" s="68">
        <v>288</v>
      </c>
      <c r="G11" s="150">
        <v>299</v>
      </c>
      <c r="H11" s="150">
        <v>311</v>
      </c>
      <c r="I11" s="150">
        <v>322</v>
      </c>
      <c r="J11" s="74">
        <v>335</v>
      </c>
      <c r="K11" s="74">
        <v>348</v>
      </c>
      <c r="L11" s="151">
        <v>365.5</v>
      </c>
      <c r="M11" s="151">
        <v>374.8</v>
      </c>
      <c r="N11" s="151">
        <v>380.4</v>
      </c>
      <c r="O11" s="151">
        <v>394</v>
      </c>
      <c r="P11" s="151">
        <v>400.3</v>
      </c>
      <c r="Q11" s="67"/>
      <c r="R11" s="361"/>
      <c r="S11" s="76" t="s">
        <v>336</v>
      </c>
      <c r="T11" s="152" t="s">
        <v>337</v>
      </c>
      <c r="U11" s="34" t="s">
        <v>511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246"/>
      <c r="R12" s="246"/>
      <c r="S12" s="49"/>
      <c r="T12" s="49"/>
      <c r="U12" s="130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>
      <c r="A13" s="51" t="s">
        <v>338</v>
      </c>
      <c r="B13" s="51">
        <v>2008</v>
      </c>
      <c r="C13" s="51">
        <v>2009</v>
      </c>
      <c r="D13" s="51">
        <v>2010</v>
      </c>
      <c r="E13" s="51">
        <v>2011</v>
      </c>
      <c r="F13" s="51">
        <v>2012</v>
      </c>
      <c r="G13" s="51">
        <v>2013</v>
      </c>
      <c r="H13" s="51">
        <v>2014</v>
      </c>
      <c r="I13" s="51">
        <v>2015</v>
      </c>
      <c r="J13" s="51">
        <v>2016</v>
      </c>
      <c r="K13" s="28">
        <v>2017</v>
      </c>
      <c r="L13" s="28">
        <v>2018</v>
      </c>
      <c r="M13" s="28">
        <v>2019</v>
      </c>
      <c r="N13" s="28">
        <v>2020</v>
      </c>
      <c r="O13" s="28">
        <v>2021</v>
      </c>
      <c r="P13" s="28">
        <v>2022</v>
      </c>
      <c r="Q13" s="28">
        <v>2023</v>
      </c>
      <c r="R13" s="28"/>
      <c r="S13" s="28" t="s">
        <v>301</v>
      </c>
      <c r="T13" s="29" t="s">
        <v>302</v>
      </c>
      <c r="U13" s="29" t="s">
        <v>23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 ht="45">
      <c r="A14" s="153" t="s">
        <v>339</v>
      </c>
      <c r="B14" s="69">
        <v>0.17799999999999999</v>
      </c>
      <c r="C14" s="69">
        <v>0.29499999999999998</v>
      </c>
      <c r="D14" s="69">
        <v>0.34200000000000003</v>
      </c>
      <c r="E14" s="69">
        <v>0.48599999999999999</v>
      </c>
      <c r="F14" s="69">
        <v>0.57099999999999995</v>
      </c>
      <c r="G14" s="69">
        <v>0.59099999999999997</v>
      </c>
      <c r="H14" s="69">
        <v>0.66300000000000003</v>
      </c>
      <c r="I14" s="69">
        <v>0.45900000000000002</v>
      </c>
      <c r="J14" s="69">
        <v>0.86199999999999999</v>
      </c>
      <c r="K14" s="69">
        <v>0.88</v>
      </c>
      <c r="L14" s="69">
        <v>1.077</v>
      </c>
      <c r="M14" s="69">
        <v>1.1739999999999999</v>
      </c>
      <c r="N14" s="154">
        <v>1.2390000000000001</v>
      </c>
      <c r="O14" s="154">
        <v>1.05</v>
      </c>
      <c r="P14" s="154">
        <v>1.1419999999999999</v>
      </c>
      <c r="Q14" s="154">
        <v>1.13578</v>
      </c>
      <c r="R14" s="154"/>
      <c r="S14" s="155" t="s">
        <v>340</v>
      </c>
      <c r="T14" s="156" t="s">
        <v>341</v>
      </c>
      <c r="U14" s="34" t="s">
        <v>511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 ht="45">
      <c r="A15" s="153" t="s">
        <v>342</v>
      </c>
      <c r="B15" s="69">
        <v>6.0000000000000001E-3</v>
      </c>
      <c r="C15" s="69">
        <v>2.3E-2</v>
      </c>
      <c r="D15" s="69">
        <v>0.67400000000000004</v>
      </c>
      <c r="E15" s="69">
        <v>0.67500000000000004</v>
      </c>
      <c r="F15" s="69">
        <v>0.92100000000000004</v>
      </c>
      <c r="G15" s="69">
        <v>0.99</v>
      </c>
      <c r="H15" s="69">
        <v>1.034</v>
      </c>
      <c r="I15" s="69">
        <v>1.177</v>
      </c>
      <c r="J15" s="69">
        <v>1.177</v>
      </c>
      <c r="K15" s="69">
        <v>1.1739999999999999</v>
      </c>
      <c r="L15" s="69">
        <v>0.93400000000000005</v>
      </c>
      <c r="M15" s="69">
        <v>0.94099999999999995</v>
      </c>
      <c r="N15" s="154">
        <v>0.84799999999999998</v>
      </c>
      <c r="O15" s="154">
        <v>0.74199999999999999</v>
      </c>
      <c r="P15" s="154">
        <v>1.075</v>
      </c>
      <c r="Q15" s="154">
        <v>1.0442199999999999</v>
      </c>
      <c r="R15" s="154"/>
      <c r="S15" s="155" t="s">
        <v>340</v>
      </c>
      <c r="T15" s="55" t="s">
        <v>343</v>
      </c>
      <c r="U15" s="34" t="s">
        <v>511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ht="45">
      <c r="A16" s="34" t="s">
        <v>344</v>
      </c>
      <c r="B16" s="69">
        <f t="shared" ref="B16:Q16" si="0">+B15+B14</f>
        <v>0.184</v>
      </c>
      <c r="C16" s="69">
        <f t="shared" si="0"/>
        <v>0.318</v>
      </c>
      <c r="D16" s="69">
        <f t="shared" si="0"/>
        <v>1.016</v>
      </c>
      <c r="E16" s="69">
        <f t="shared" si="0"/>
        <v>1.161</v>
      </c>
      <c r="F16" s="69">
        <f t="shared" si="0"/>
        <v>1.492</v>
      </c>
      <c r="G16" s="69">
        <f t="shared" si="0"/>
        <v>1.581</v>
      </c>
      <c r="H16" s="69">
        <f t="shared" si="0"/>
        <v>1.6970000000000001</v>
      </c>
      <c r="I16" s="69">
        <f t="shared" si="0"/>
        <v>1.6360000000000001</v>
      </c>
      <c r="J16" s="69">
        <f t="shared" si="0"/>
        <v>2.0390000000000001</v>
      </c>
      <c r="K16" s="69">
        <f t="shared" si="0"/>
        <v>2.0539999999999998</v>
      </c>
      <c r="L16" s="69">
        <f t="shared" si="0"/>
        <v>2.0110000000000001</v>
      </c>
      <c r="M16" s="69">
        <f t="shared" si="0"/>
        <v>2.1149999999999998</v>
      </c>
      <c r="N16" s="69">
        <f t="shared" si="0"/>
        <v>2.0870000000000002</v>
      </c>
      <c r="O16" s="316">
        <f t="shared" si="0"/>
        <v>1.792</v>
      </c>
      <c r="P16" s="316">
        <f t="shared" si="0"/>
        <v>2.2169999999999996</v>
      </c>
      <c r="Q16" s="316">
        <f t="shared" si="0"/>
        <v>2.1799999999999997</v>
      </c>
      <c r="R16" s="154"/>
      <c r="S16" s="155" t="s">
        <v>340</v>
      </c>
      <c r="T16" s="190" t="s">
        <v>345</v>
      </c>
      <c r="U16" s="34" t="s">
        <v>511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ht="75">
      <c r="A17" s="325" t="s">
        <v>525</v>
      </c>
      <c r="B17" s="157"/>
      <c r="C17" s="36"/>
      <c r="D17" s="36"/>
      <c r="E17" s="157"/>
      <c r="F17" s="36"/>
      <c r="G17" s="67"/>
      <c r="H17" s="67"/>
      <c r="I17" s="67"/>
      <c r="J17" s="67"/>
      <c r="K17" s="68">
        <v>58</v>
      </c>
      <c r="L17" s="68">
        <v>57.742470950912974</v>
      </c>
      <c r="M17" s="68">
        <v>53</v>
      </c>
      <c r="N17" s="314">
        <v>47.287372660506989</v>
      </c>
      <c r="O17" s="319">
        <v>64.636871508379798</v>
      </c>
      <c r="P17" s="319">
        <v>48.274774774774698</v>
      </c>
      <c r="Q17" s="319">
        <v>42.844000000000001</v>
      </c>
      <c r="R17" s="362"/>
      <c r="S17" s="155" t="s">
        <v>340</v>
      </c>
      <c r="T17" s="77" t="s">
        <v>346</v>
      </c>
      <c r="U17" s="34" t="s">
        <v>511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spans="1:31" ht="75">
      <c r="A18" s="325" t="s">
        <v>526</v>
      </c>
      <c r="B18" s="36"/>
      <c r="C18" s="36"/>
      <c r="D18" s="36"/>
      <c r="E18" s="36"/>
      <c r="F18" s="36"/>
      <c r="G18" s="67"/>
      <c r="H18" s="67"/>
      <c r="I18" s="67"/>
      <c r="J18" s="67"/>
      <c r="K18" s="68">
        <v>11</v>
      </c>
      <c r="L18" s="68">
        <v>11.335072326298317</v>
      </c>
      <c r="M18" s="68">
        <v>11</v>
      </c>
      <c r="N18" s="315">
        <v>11.419095001184553</v>
      </c>
      <c r="O18" s="319">
        <v>13.5754189944134</v>
      </c>
      <c r="P18" s="319">
        <v>14.815315315299999</v>
      </c>
      <c r="Q18" s="319">
        <v>20.71559633</v>
      </c>
      <c r="R18" s="362"/>
      <c r="S18" s="155" t="s">
        <v>340</v>
      </c>
      <c r="T18" s="77" t="s">
        <v>347</v>
      </c>
      <c r="U18" s="34" t="s">
        <v>511</v>
      </c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 ht="75">
      <c r="A19" s="325" t="s">
        <v>527</v>
      </c>
      <c r="B19" s="36"/>
      <c r="C19" s="36"/>
      <c r="D19" s="36"/>
      <c r="E19" s="36"/>
      <c r="F19" s="36"/>
      <c r="G19" s="67"/>
      <c r="H19" s="67"/>
      <c r="I19" s="67"/>
      <c r="J19" s="67"/>
      <c r="K19" s="68">
        <v>7</v>
      </c>
      <c r="L19" s="68">
        <v>6.805786103865306</v>
      </c>
      <c r="M19" s="68">
        <v>8</v>
      </c>
      <c r="N19" s="315">
        <v>12.248282397536128</v>
      </c>
      <c r="O19" s="319">
        <v>15.055865921000001</v>
      </c>
      <c r="P19" s="319">
        <v>14.0720727072</v>
      </c>
      <c r="Q19" s="319">
        <v>13.366974770000001</v>
      </c>
      <c r="R19" s="362"/>
      <c r="S19" s="155" t="s">
        <v>340</v>
      </c>
      <c r="T19" s="77" t="s">
        <v>348</v>
      </c>
      <c r="U19" s="34" t="s">
        <v>511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spans="1:31" ht="75">
      <c r="A20" s="325" t="s">
        <v>528</v>
      </c>
      <c r="B20" s="36"/>
      <c r="C20" s="36"/>
      <c r="D20" s="36"/>
      <c r="E20" s="36"/>
      <c r="F20" s="36"/>
      <c r="G20" s="67"/>
      <c r="H20" s="67"/>
      <c r="I20" s="67"/>
      <c r="J20" s="67"/>
      <c r="K20" s="68">
        <v>5</v>
      </c>
      <c r="L20" s="68">
        <v>5.6675361631491583</v>
      </c>
      <c r="M20" s="68">
        <v>8</v>
      </c>
      <c r="N20" s="315">
        <v>7.7469793887704332</v>
      </c>
      <c r="O20" s="319">
        <v>11.899441340782101</v>
      </c>
      <c r="P20" s="319">
        <v>4.3873873870000004</v>
      </c>
      <c r="Q20" s="319">
        <v>4.5366972477000003</v>
      </c>
      <c r="R20" s="362"/>
      <c r="S20" s="155" t="s">
        <v>340</v>
      </c>
      <c r="T20" s="77" t="s">
        <v>349</v>
      </c>
      <c r="U20" s="34" t="s">
        <v>511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 ht="75">
      <c r="A21" s="325" t="s">
        <v>529</v>
      </c>
      <c r="B21" s="36"/>
      <c r="C21" s="36"/>
      <c r="D21" s="36"/>
      <c r="E21" s="36"/>
      <c r="F21" s="36"/>
      <c r="G21" s="67"/>
      <c r="H21" s="67"/>
      <c r="I21" s="67"/>
      <c r="J21" s="67"/>
      <c r="K21" s="68">
        <v>7</v>
      </c>
      <c r="L21" s="68">
        <v>7.3511975337917947</v>
      </c>
      <c r="M21" s="68">
        <v>7</v>
      </c>
      <c r="N21" s="315">
        <v>5.7332385690594645</v>
      </c>
      <c r="O21" s="319">
        <v>6.5921787709497197</v>
      </c>
      <c r="P21" s="319">
        <v>7.1621621621599996</v>
      </c>
      <c r="Q21" s="319">
        <v>9.7285321099999997</v>
      </c>
      <c r="R21" s="362"/>
      <c r="S21" s="155" t="s">
        <v>340</v>
      </c>
      <c r="T21" s="77" t="s">
        <v>350</v>
      </c>
      <c r="U21" s="34" t="s">
        <v>511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1" ht="75">
      <c r="A22" s="325" t="s">
        <v>530</v>
      </c>
      <c r="B22" s="36"/>
      <c r="C22" s="36"/>
      <c r="D22" s="36"/>
      <c r="E22" s="36"/>
      <c r="F22" s="36"/>
      <c r="G22" s="67"/>
      <c r="H22" s="67"/>
      <c r="I22" s="67"/>
      <c r="J22" s="67"/>
      <c r="K22" s="68">
        <v>4</v>
      </c>
      <c r="L22" s="68">
        <v>3.6281716860327244</v>
      </c>
      <c r="M22" s="68">
        <v>4</v>
      </c>
      <c r="N22" s="314">
        <v>3.5299692016109927</v>
      </c>
      <c r="O22" s="319">
        <v>4.3016759776536304</v>
      </c>
      <c r="P22" s="319">
        <v>0.94144144144099995</v>
      </c>
      <c r="Q22" s="319">
        <v>0.63761467889907997</v>
      </c>
      <c r="R22" s="362"/>
      <c r="S22" s="155" t="s">
        <v>340</v>
      </c>
      <c r="T22" s="364" t="s">
        <v>561</v>
      </c>
      <c r="U22" s="34" t="s">
        <v>511</v>
      </c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ht="75">
      <c r="A23" s="325" t="s">
        <v>531</v>
      </c>
      <c r="B23" s="36"/>
      <c r="C23" s="36"/>
      <c r="D23" s="36"/>
      <c r="E23" s="36"/>
      <c r="F23" s="36"/>
      <c r="G23" s="67"/>
      <c r="H23" s="67"/>
      <c r="I23" s="67"/>
      <c r="J23" s="67"/>
      <c r="K23" s="68">
        <v>2</v>
      </c>
      <c r="L23" s="68">
        <v>1.6125207493478777</v>
      </c>
      <c r="M23" s="68">
        <v>2</v>
      </c>
      <c r="N23" s="314">
        <v>3</v>
      </c>
      <c r="O23" s="319">
        <v>3.5195530726256998</v>
      </c>
      <c r="P23" s="319">
        <v>2.5990990990989999</v>
      </c>
      <c r="Q23" s="319">
        <v>3.53669724770642</v>
      </c>
      <c r="R23" s="362"/>
      <c r="S23" s="155" t="s">
        <v>340</v>
      </c>
      <c r="T23" s="77" t="s">
        <v>351</v>
      </c>
      <c r="U23" s="34" t="s">
        <v>511</v>
      </c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75">
      <c r="A24" s="325" t="s">
        <v>532</v>
      </c>
      <c r="B24" s="36"/>
      <c r="C24" s="36"/>
      <c r="D24" s="36"/>
      <c r="E24" s="36"/>
      <c r="F24" s="36"/>
      <c r="G24" s="67"/>
      <c r="H24" s="67"/>
      <c r="I24" s="67"/>
      <c r="J24" s="67"/>
      <c r="K24" s="68">
        <v>6</v>
      </c>
      <c r="L24" s="68">
        <v>5.8572444866018492</v>
      </c>
      <c r="M24" s="68">
        <v>7</v>
      </c>
      <c r="N24" s="314">
        <v>5</v>
      </c>
      <c r="O24" s="319">
        <v>10.083798882681499</v>
      </c>
      <c r="P24" s="319">
        <v>6.0045045045045002</v>
      </c>
      <c r="Q24" s="319">
        <v>3.4036599999999999</v>
      </c>
      <c r="R24" s="362"/>
      <c r="S24" s="155" t="s">
        <v>340</v>
      </c>
      <c r="T24" s="77" t="s">
        <v>352</v>
      </c>
      <c r="U24" s="34" t="s">
        <v>511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5.75" customHeight="1">
      <c r="A25" s="35" t="s">
        <v>353</v>
      </c>
      <c r="B25" s="158">
        <f t="shared" ref="B25:O25" si="1">+B16/B11*100</f>
        <v>7.5102040816326529E-2</v>
      </c>
      <c r="C25" s="158">
        <f t="shared" si="1"/>
        <v>0.12720000000000001</v>
      </c>
      <c r="D25" s="158">
        <f t="shared" si="1"/>
        <v>0.38339622641509435</v>
      </c>
      <c r="E25" s="158">
        <f t="shared" si="1"/>
        <v>0.41612903225806452</v>
      </c>
      <c r="F25" s="158">
        <f t="shared" si="1"/>
        <v>0.51805555555555549</v>
      </c>
      <c r="G25" s="158">
        <f t="shared" si="1"/>
        <v>0.52876254180602011</v>
      </c>
      <c r="H25" s="158">
        <f t="shared" si="1"/>
        <v>0.54565916398713832</v>
      </c>
      <c r="I25" s="158">
        <f t="shared" si="1"/>
        <v>0.50807453416149073</v>
      </c>
      <c r="J25" s="158">
        <f t="shared" si="1"/>
        <v>0.60865671641791042</v>
      </c>
      <c r="K25" s="158">
        <f t="shared" si="1"/>
        <v>0.5902298850574712</v>
      </c>
      <c r="L25" s="158">
        <f t="shared" si="1"/>
        <v>0.55020519835841319</v>
      </c>
      <c r="M25" s="158">
        <f t="shared" si="1"/>
        <v>0.56430096051227319</v>
      </c>
      <c r="N25" s="158">
        <f t="shared" si="1"/>
        <v>0.54863301787592023</v>
      </c>
      <c r="O25" s="317">
        <f t="shared" si="1"/>
        <v>0.45482233502538072</v>
      </c>
      <c r="P25" s="317">
        <f>+P16/P11*100</f>
        <v>0.55383462403197592</v>
      </c>
      <c r="Q25" s="318"/>
      <c r="R25" s="318"/>
      <c r="S25" s="34" t="s">
        <v>136</v>
      </c>
      <c r="T25" s="34"/>
      <c r="U25" s="34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15.75" customHeight="1">
      <c r="A26" s="35" t="s">
        <v>354</v>
      </c>
      <c r="B26" s="36"/>
      <c r="C26" s="36"/>
      <c r="D26" s="36"/>
      <c r="E26" s="36"/>
      <c r="F26" s="36"/>
      <c r="G26" s="159">
        <v>0.55400000000000005</v>
      </c>
      <c r="H26" s="159">
        <v>0.68300000000000005</v>
      </c>
      <c r="I26" s="159">
        <v>0.749</v>
      </c>
      <c r="J26" s="159">
        <v>0.751</v>
      </c>
      <c r="K26" s="159">
        <v>0.89800000000000002</v>
      </c>
      <c r="L26" s="159">
        <v>0.81</v>
      </c>
      <c r="M26" s="159">
        <v>0.79</v>
      </c>
      <c r="N26" s="67"/>
      <c r="O26" s="67"/>
      <c r="P26" s="67"/>
      <c r="Q26" s="67"/>
      <c r="R26" s="67"/>
      <c r="S26" s="34" t="s">
        <v>355</v>
      </c>
      <c r="T26" s="94" t="s">
        <v>356</v>
      </c>
      <c r="U26" s="34" t="s">
        <v>304</v>
      </c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spans="1:31" ht="15.75" customHeight="1">
      <c r="A27" s="35" t="s">
        <v>357</v>
      </c>
      <c r="B27" s="36"/>
      <c r="C27" s="36"/>
      <c r="D27" s="36"/>
      <c r="E27" s="36"/>
      <c r="F27" s="36"/>
      <c r="G27" s="69">
        <v>3.9571428571428577E-2</v>
      </c>
      <c r="H27" s="69">
        <v>4.8785714285714293E-2</v>
      </c>
      <c r="I27" s="69">
        <v>5.3499999999999999E-2</v>
      </c>
      <c r="J27" s="69">
        <v>5.3642857142857138E-2</v>
      </c>
      <c r="K27" s="69">
        <v>6.414285714285714E-2</v>
      </c>
      <c r="L27" s="69">
        <v>5.7857142857142864E-2</v>
      </c>
      <c r="M27" s="69">
        <v>0.02</v>
      </c>
      <c r="N27" s="67"/>
      <c r="O27" s="67"/>
      <c r="P27" s="67"/>
      <c r="Q27" s="67"/>
      <c r="R27" s="67"/>
      <c r="S27" s="34" t="s">
        <v>355</v>
      </c>
      <c r="T27" s="94" t="s">
        <v>356</v>
      </c>
      <c r="U27" s="34" t="s">
        <v>304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5.75" customHeight="1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160"/>
      <c r="M28" s="160"/>
      <c r="N28" s="160"/>
      <c r="O28" s="160"/>
      <c r="P28" s="160"/>
      <c r="Q28" s="247"/>
      <c r="R28" s="247"/>
      <c r="S28" s="49"/>
      <c r="T28" s="49"/>
      <c r="U28" s="130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5.75" customHeight="1">
      <c r="A29" s="201" t="s">
        <v>358</v>
      </c>
      <c r="B29" s="201">
        <v>2008</v>
      </c>
      <c r="C29" s="201">
        <v>2009</v>
      </c>
      <c r="D29" s="201">
        <v>2010</v>
      </c>
      <c r="E29" s="201">
        <v>2011</v>
      </c>
      <c r="F29" s="201">
        <v>2012</v>
      </c>
      <c r="G29" s="201">
        <v>2013</v>
      </c>
      <c r="H29" s="201">
        <v>2014</v>
      </c>
      <c r="I29" s="201">
        <v>2015</v>
      </c>
      <c r="J29" s="201">
        <v>2016</v>
      </c>
      <c r="K29" s="202">
        <v>2017</v>
      </c>
      <c r="L29" s="202">
        <v>2018</v>
      </c>
      <c r="M29" s="202">
        <v>2019</v>
      </c>
      <c r="N29" s="202">
        <v>2020</v>
      </c>
      <c r="O29" s="202">
        <v>2021</v>
      </c>
      <c r="P29" s="202">
        <v>2022</v>
      </c>
      <c r="Q29" s="202">
        <v>2023</v>
      </c>
      <c r="R29" s="202"/>
      <c r="S29" s="28" t="s">
        <v>301</v>
      </c>
      <c r="T29" s="29" t="s">
        <v>302</v>
      </c>
      <c r="U29" s="29" t="s">
        <v>23</v>
      </c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>
      <c r="A30" s="204" t="s">
        <v>359</v>
      </c>
      <c r="B30" s="261"/>
      <c r="C30" s="261"/>
      <c r="D30" s="261"/>
      <c r="E30" s="261"/>
      <c r="F30" s="261"/>
      <c r="G30" s="261"/>
      <c r="H30" s="213">
        <v>1.7</v>
      </c>
      <c r="I30" s="261"/>
      <c r="J30" s="261"/>
      <c r="K30" s="213">
        <v>2.0499999999999998</v>
      </c>
      <c r="L30" s="213">
        <v>2.0099999999999998</v>
      </c>
      <c r="M30" s="213">
        <v>2.11</v>
      </c>
      <c r="N30" s="321">
        <f t="shared" ref="N30:P30" si="2">N16</f>
        <v>2.0870000000000002</v>
      </c>
      <c r="O30" s="321">
        <f t="shared" si="2"/>
        <v>1.792</v>
      </c>
      <c r="P30" s="321">
        <f t="shared" si="2"/>
        <v>2.2169999999999996</v>
      </c>
      <c r="Q30" s="213">
        <v>2.1800000000000002</v>
      </c>
      <c r="R30" s="363"/>
      <c r="S30" s="155" t="s">
        <v>360</v>
      </c>
      <c r="T30" s="55" t="s">
        <v>514</v>
      </c>
      <c r="U30" s="34" t="s">
        <v>511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>
      <c r="A31" s="204" t="s">
        <v>361</v>
      </c>
      <c r="B31" s="261"/>
      <c r="C31" s="261"/>
      <c r="D31" s="261"/>
      <c r="E31" s="261"/>
      <c r="F31" s="261"/>
      <c r="G31" s="261"/>
      <c r="H31" s="213">
        <v>10</v>
      </c>
      <c r="I31" s="261"/>
      <c r="J31" s="261"/>
      <c r="K31" s="213">
        <v>18.8</v>
      </c>
      <c r="L31" s="213">
        <v>18.2</v>
      </c>
      <c r="M31" s="213">
        <v>21.3</v>
      </c>
      <c r="N31" s="283">
        <v>18.7</v>
      </c>
      <c r="O31" s="213">
        <v>16.399999999999999</v>
      </c>
      <c r="P31" s="213">
        <v>17.899999999999999</v>
      </c>
      <c r="Q31" s="213">
        <v>10.6</v>
      </c>
      <c r="R31" s="363" t="s">
        <v>547</v>
      </c>
      <c r="S31" s="155" t="s">
        <v>360</v>
      </c>
      <c r="T31" s="55" t="s">
        <v>514</v>
      </c>
      <c r="U31" s="34" t="s">
        <v>511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>
      <c r="A32" s="204" t="s">
        <v>362</v>
      </c>
      <c r="B32" s="261"/>
      <c r="C32" s="261"/>
      <c r="D32" s="261"/>
      <c r="E32" s="261"/>
      <c r="F32" s="261"/>
      <c r="G32" s="261"/>
      <c r="H32" s="213">
        <v>12.2</v>
      </c>
      <c r="I32" s="261"/>
      <c r="J32" s="261"/>
      <c r="K32" s="213">
        <v>10.3</v>
      </c>
      <c r="L32" s="213">
        <v>10.3</v>
      </c>
      <c r="M32" s="213">
        <v>13.9</v>
      </c>
      <c r="N32" s="283">
        <v>18.7</v>
      </c>
      <c r="O32" s="213">
        <v>18.899999999999999</v>
      </c>
      <c r="P32" s="213">
        <v>20.7</v>
      </c>
      <c r="Q32" s="213">
        <v>31</v>
      </c>
      <c r="R32" s="363" t="s">
        <v>547</v>
      </c>
      <c r="S32" s="155" t="s">
        <v>360</v>
      </c>
      <c r="T32" s="55" t="s">
        <v>514</v>
      </c>
      <c r="U32" s="34" t="s">
        <v>511</v>
      </c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>
      <c r="A33" s="204" t="s">
        <v>363</v>
      </c>
      <c r="B33" s="261"/>
      <c r="C33" s="261"/>
      <c r="D33" s="261"/>
      <c r="E33" s="261"/>
      <c r="F33" s="261"/>
      <c r="G33" s="261"/>
      <c r="H33" s="213">
        <v>13</v>
      </c>
      <c r="I33" s="261"/>
      <c r="J33" s="261"/>
      <c r="K33" s="213">
        <v>5</v>
      </c>
      <c r="L33" s="213">
        <v>7.2</v>
      </c>
      <c r="M33" s="213">
        <v>13.4</v>
      </c>
      <c r="N33" s="283">
        <v>13.5</v>
      </c>
      <c r="O33" s="213">
        <v>19.2</v>
      </c>
      <c r="P33" s="213">
        <v>4.5</v>
      </c>
      <c r="Q33" s="213">
        <v>4.5999999999999996</v>
      </c>
      <c r="R33" s="363" t="s">
        <v>547</v>
      </c>
      <c r="S33" s="155" t="s">
        <v>360</v>
      </c>
      <c r="T33" s="55" t="s">
        <v>514</v>
      </c>
      <c r="U33" s="34" t="s">
        <v>511</v>
      </c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spans="1:31">
      <c r="A34" s="204" t="s">
        <v>364</v>
      </c>
      <c r="B34" s="261"/>
      <c r="C34" s="261"/>
      <c r="D34" s="261"/>
      <c r="E34" s="261"/>
      <c r="F34" s="261"/>
      <c r="G34" s="261"/>
      <c r="H34" s="213">
        <v>11.8</v>
      </c>
      <c r="I34" s="261"/>
      <c r="J34" s="261"/>
      <c r="K34" s="213">
        <v>9.6999999999999993</v>
      </c>
      <c r="L34" s="213">
        <v>9.5</v>
      </c>
      <c r="M34" s="213">
        <v>11.8</v>
      </c>
      <c r="N34" s="283">
        <v>10.5</v>
      </c>
      <c r="O34" s="213">
        <v>9.5</v>
      </c>
      <c r="P34" s="213">
        <v>14.8</v>
      </c>
      <c r="Q34" s="213">
        <v>12.3</v>
      </c>
      <c r="R34" s="363" t="s">
        <v>548</v>
      </c>
      <c r="S34" s="155" t="s">
        <v>360</v>
      </c>
      <c r="T34" s="55" t="s">
        <v>514</v>
      </c>
      <c r="U34" s="34" t="s">
        <v>511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>
      <c r="A35" s="204" t="s">
        <v>365</v>
      </c>
      <c r="B35" s="261"/>
      <c r="C35" s="261"/>
      <c r="D35" s="261"/>
      <c r="E35" s="261"/>
      <c r="F35" s="261"/>
      <c r="G35" s="261"/>
      <c r="H35" s="213">
        <v>5.5</v>
      </c>
      <c r="I35" s="261"/>
      <c r="J35" s="261"/>
      <c r="K35" s="213">
        <v>11.9</v>
      </c>
      <c r="L35" s="213">
        <v>11.6</v>
      </c>
      <c r="M35" s="213">
        <v>11.6</v>
      </c>
      <c r="N35" s="283">
        <v>11.9</v>
      </c>
      <c r="O35" s="213">
        <v>9.1</v>
      </c>
      <c r="P35" s="213">
        <v>11.1</v>
      </c>
      <c r="Q35" s="213">
        <v>18.3</v>
      </c>
      <c r="R35" s="363" t="s">
        <v>548</v>
      </c>
      <c r="S35" s="155" t="s">
        <v>360</v>
      </c>
      <c r="T35" s="55" t="s">
        <v>514</v>
      </c>
      <c r="U35" s="34" t="s">
        <v>511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>
      <c r="A36" s="204" t="s">
        <v>366</v>
      </c>
      <c r="B36" s="261"/>
      <c r="C36" s="261"/>
      <c r="D36" s="261"/>
      <c r="E36" s="261"/>
      <c r="F36" s="261"/>
      <c r="G36" s="261"/>
      <c r="H36" s="213">
        <v>35.4</v>
      </c>
      <c r="I36" s="261"/>
      <c r="J36" s="261"/>
      <c r="K36" s="213">
        <v>26.3</v>
      </c>
      <c r="L36" s="213">
        <v>26.6</v>
      </c>
      <c r="M36" s="213">
        <v>9.8000000000000007</v>
      </c>
      <c r="N36" s="283">
        <v>7.8</v>
      </c>
      <c r="O36" s="213">
        <v>6.2</v>
      </c>
      <c r="P36" s="213">
        <v>4.2</v>
      </c>
      <c r="Q36" s="213">
        <v>2.2000000000000002</v>
      </c>
      <c r="R36" s="363" t="s">
        <v>548</v>
      </c>
      <c r="S36" s="155" t="s">
        <v>360</v>
      </c>
      <c r="T36" s="55" t="s">
        <v>514</v>
      </c>
      <c r="U36" s="34" t="s">
        <v>511</v>
      </c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>
      <c r="A37" s="204" t="s">
        <v>367</v>
      </c>
      <c r="B37" s="261"/>
      <c r="C37" s="261"/>
      <c r="D37" s="261"/>
      <c r="E37" s="261"/>
      <c r="F37" s="261"/>
      <c r="G37" s="261"/>
      <c r="H37" s="213">
        <v>7.1</v>
      </c>
      <c r="I37" s="261"/>
      <c r="J37" s="261"/>
      <c r="K37" s="261"/>
      <c r="L37" s="213">
        <v>9.1999999999999993</v>
      </c>
      <c r="M37" s="213">
        <v>9.1999999999999993</v>
      </c>
      <c r="N37" s="283">
        <v>9.1999999999999993</v>
      </c>
      <c r="O37" s="213">
        <v>8.1</v>
      </c>
      <c r="P37" s="213">
        <v>13.3</v>
      </c>
      <c r="Q37" s="213">
        <v>13.5</v>
      </c>
      <c r="R37" s="363" t="s">
        <v>548</v>
      </c>
      <c r="S37" s="155" t="s">
        <v>360</v>
      </c>
      <c r="T37" s="55" t="s">
        <v>514</v>
      </c>
      <c r="U37" s="34" t="s">
        <v>511</v>
      </c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>
      <c r="A38" s="204" t="s">
        <v>368</v>
      </c>
      <c r="B38" s="261"/>
      <c r="C38" s="261"/>
      <c r="D38" s="261"/>
      <c r="E38" s="261"/>
      <c r="F38" s="261"/>
      <c r="G38" s="261"/>
      <c r="H38" s="213">
        <v>1.6</v>
      </c>
      <c r="I38" s="261"/>
      <c r="J38" s="261"/>
      <c r="K38" s="213">
        <v>4.9000000000000004</v>
      </c>
      <c r="L38" s="213">
        <v>4.5999999999999996</v>
      </c>
      <c r="M38" s="213">
        <v>4.3</v>
      </c>
      <c r="N38" s="283">
        <v>4.0999999999999996</v>
      </c>
      <c r="O38" s="213">
        <v>3.5</v>
      </c>
      <c r="P38" s="213">
        <v>0.9</v>
      </c>
      <c r="Q38" s="213">
        <v>0.9</v>
      </c>
      <c r="R38" s="363" t="s">
        <v>547</v>
      </c>
      <c r="S38" s="155" t="s">
        <v>360</v>
      </c>
      <c r="T38" s="55" t="s">
        <v>514</v>
      </c>
      <c r="U38" s="34" t="s">
        <v>511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>
      <c r="A39" s="204" t="s">
        <v>369</v>
      </c>
      <c r="B39" s="261"/>
      <c r="C39" s="261"/>
      <c r="D39" s="261"/>
      <c r="E39" s="261"/>
      <c r="F39" s="261"/>
      <c r="G39" s="261"/>
      <c r="H39" s="213">
        <v>1.4</v>
      </c>
      <c r="I39" s="261"/>
      <c r="J39" s="261"/>
      <c r="K39" s="213">
        <v>10.7</v>
      </c>
      <c r="L39" s="213">
        <v>1.4</v>
      </c>
      <c r="M39" s="213">
        <v>2.6</v>
      </c>
      <c r="N39" s="283">
        <v>2.5</v>
      </c>
      <c r="O39" s="213">
        <v>1</v>
      </c>
      <c r="P39" s="213">
        <v>1.1000000000000001</v>
      </c>
      <c r="Q39" s="213">
        <v>1.1000000000000001</v>
      </c>
      <c r="R39" s="363" t="s">
        <v>548</v>
      </c>
      <c r="S39" s="320" t="s">
        <v>360</v>
      </c>
      <c r="T39" s="55" t="s">
        <v>514</v>
      </c>
      <c r="U39" s="34" t="s">
        <v>511</v>
      </c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>
      <c r="A40" s="204" t="s">
        <v>370</v>
      </c>
      <c r="B40" s="261"/>
      <c r="C40" s="261"/>
      <c r="D40" s="261"/>
      <c r="E40" s="261"/>
      <c r="F40" s="261"/>
      <c r="G40" s="261"/>
      <c r="H40" s="213">
        <v>2</v>
      </c>
      <c r="I40" s="261"/>
      <c r="J40" s="261"/>
      <c r="K40" s="213">
        <v>2.4</v>
      </c>
      <c r="L40" s="213">
        <v>1.4</v>
      </c>
      <c r="M40" s="213">
        <v>1.2</v>
      </c>
      <c r="N40" s="283">
        <v>1.7</v>
      </c>
      <c r="O40" s="213">
        <v>1.8</v>
      </c>
      <c r="P40" s="213">
        <v>3.9</v>
      </c>
      <c r="Q40" s="213">
        <v>4.8</v>
      </c>
      <c r="R40" s="363" t="s">
        <v>547</v>
      </c>
      <c r="S40" s="155" t="s">
        <v>360</v>
      </c>
      <c r="T40" s="55" t="s">
        <v>514</v>
      </c>
      <c r="U40" s="34" t="s">
        <v>511</v>
      </c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>
      <c r="A41" s="322" t="s">
        <v>371</v>
      </c>
      <c r="B41" s="323"/>
      <c r="C41" s="323"/>
      <c r="D41" s="323"/>
      <c r="E41" s="323"/>
      <c r="F41" s="261"/>
      <c r="G41" s="261"/>
      <c r="H41" s="213">
        <v>0</v>
      </c>
      <c r="I41" s="323"/>
      <c r="J41" s="261"/>
      <c r="K41" s="213">
        <v>0</v>
      </c>
      <c r="L41" s="213">
        <v>0</v>
      </c>
      <c r="M41" s="213">
        <v>0.9</v>
      </c>
      <c r="N41" s="283">
        <v>1.4</v>
      </c>
      <c r="O41" s="213">
        <v>1.9</v>
      </c>
      <c r="P41" s="213">
        <v>3.9</v>
      </c>
      <c r="Q41" s="213">
        <v>0.5</v>
      </c>
      <c r="R41" s="363" t="s">
        <v>548</v>
      </c>
      <c r="S41" s="320" t="s">
        <v>360</v>
      </c>
      <c r="T41" s="55" t="s">
        <v>514</v>
      </c>
      <c r="U41" s="34" t="s">
        <v>511</v>
      </c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31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>
        <f>SUM(Q31:Q41)</f>
        <v>99.8</v>
      </c>
      <c r="R42" s="30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31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31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63" t="s">
        <v>547</v>
      </c>
      <c r="S46" s="204" t="s">
        <v>549</v>
      </c>
      <c r="T46" s="213">
        <v>10.6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63" t="s">
        <v>547</v>
      </c>
      <c r="S47" s="204" t="s">
        <v>550</v>
      </c>
      <c r="T47" s="213">
        <v>31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31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63" t="s">
        <v>547</v>
      </c>
      <c r="S48" s="204" t="s">
        <v>551</v>
      </c>
      <c r="T48" s="213">
        <v>4.5999999999999996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63" t="s">
        <v>547</v>
      </c>
      <c r="S49" s="204" t="s">
        <v>552</v>
      </c>
      <c r="T49" s="213">
        <v>0.9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63" t="s">
        <v>547</v>
      </c>
      <c r="S50" s="204" t="s">
        <v>553</v>
      </c>
      <c r="T50" s="213">
        <v>4.8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63" t="s">
        <v>548</v>
      </c>
      <c r="S51" s="204" t="s">
        <v>554</v>
      </c>
      <c r="T51" s="213">
        <v>12.3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63" t="s">
        <v>548</v>
      </c>
      <c r="S52" s="204" t="s">
        <v>555</v>
      </c>
      <c r="T52" s="213">
        <v>18.3</v>
      </c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63" t="s">
        <v>548</v>
      </c>
      <c r="S53" s="204" t="s">
        <v>556</v>
      </c>
      <c r="T53" s="213">
        <v>2.2000000000000002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63" t="s">
        <v>548</v>
      </c>
      <c r="S54" s="204" t="s">
        <v>557</v>
      </c>
      <c r="T54" s="213">
        <v>13.5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63" t="s">
        <v>548</v>
      </c>
      <c r="S55" s="204" t="s">
        <v>558</v>
      </c>
      <c r="T55" s="213">
        <v>1.1000000000000001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63" t="s">
        <v>548</v>
      </c>
      <c r="S56" s="322" t="s">
        <v>559</v>
      </c>
      <c r="T56" s="213">
        <v>0.5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spans="1:31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spans="1:31" ht="15.75" customHeight="1">
      <c r="A64" s="26"/>
      <c r="B64" s="30"/>
      <c r="C64" s="324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1:31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spans="1:31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1:31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spans="1:31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spans="1:31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1:31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spans="1:31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spans="1:31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spans="1:31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1:31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spans="1:31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1:31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spans="1:31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1:31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spans="1:31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1:31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spans="1:31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1:31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spans="1:31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1:31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spans="1:31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1:31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spans="1:31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1:31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spans="1:31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1:31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spans="1:31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1:31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spans="1:31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spans="1:31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spans="1:31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spans="1:31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spans="1:31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spans="1:31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spans="1:31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spans="1:31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spans="1:31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spans="1:31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spans="1:31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spans="1:31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1:31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spans="1:31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spans="1:31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spans="1:31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spans="1:31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spans="1:31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spans="1:31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spans="1:31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spans="1:31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spans="1:31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spans="1:31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spans="1:31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spans="1:31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spans="1:31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spans="1:31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spans="1:31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spans="1:31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spans="1:31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spans="1:31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spans="1:31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spans="1:31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spans="1:31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spans="1:31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spans="1:31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1:31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spans="1:31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spans="1:31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spans="1:31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spans="1:31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spans="1:31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spans="1:31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spans="1:31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spans="1:31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spans="1:31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spans="1:31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spans="1:31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spans="1:31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spans="1:31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spans="1:31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spans="1:31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spans="1:31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spans="1:31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spans="1:31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spans="1:31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spans="1:31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spans="1:31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spans="1:31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spans="1:31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spans="1:31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spans="1:31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spans="1:31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spans="1:31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spans="1:31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spans="1:31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spans="1:31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spans="1:31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spans="1:31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spans="1:31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1:31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spans="1:31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spans="1:31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spans="1:31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spans="1:31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spans="1:31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spans="1:31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spans="1:31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spans="1:31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spans="1:31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spans="1:31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spans="1:31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spans="1:31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spans="1:31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spans="1:31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spans="1:31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spans="1:31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 spans="1:31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spans="1:31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 spans="1:31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spans="1:31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 spans="1:31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spans="1:31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 spans="1:31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spans="1:31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 spans="1:31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spans="1:31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 spans="1:31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spans="1:31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 spans="1:31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spans="1:31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 spans="1:31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spans="1:31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 spans="1:31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spans="1:31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 spans="1:31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spans="1:31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 spans="1:31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spans="1:31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 spans="1:31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spans="1:31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 spans="1:31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spans="1:31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 spans="1:31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spans="1:31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 spans="1:31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spans="1:31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spans="1:31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spans="1:31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spans="1:31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spans="1:31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spans="1:31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spans="1:31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spans="1:31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spans="1:31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spans="1:31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spans="1:31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spans="1:31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spans="1:31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spans="1:31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spans="1:31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spans="1:31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spans="1:31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spans="1:31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spans="1:31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spans="1:31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spans="1:31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spans="1:31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spans="1:31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spans="1:31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spans="1:31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spans="1:31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spans="1:31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spans="1:31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spans="1:31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spans="1:31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spans="1:31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spans="1:31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spans="1:31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spans="1:31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spans="1:31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spans="1:31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spans="1:31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spans="1:31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spans="1:31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spans="1:31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spans="1:31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spans="1:31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spans="1:31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spans="1:31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spans="1:31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spans="1:31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spans="1:31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spans="1:31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spans="1:31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spans="1:31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spans="1:31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spans="1:31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spans="1:31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spans="1:31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spans="1:31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spans="1:31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spans="1:31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spans="1:31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spans="1:31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spans="1:31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spans="1:31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spans="1:31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spans="1:31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spans="1:31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spans="1:31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spans="1:31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spans="1:31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spans="1:31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spans="1:31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spans="1:31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spans="1:31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spans="1:31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spans="1:31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spans="1:31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spans="1:31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spans="1:31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spans="1:31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spans="1:31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spans="1:31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spans="1:31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spans="1:31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spans="1:31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spans="1:31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spans="1:31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spans="1:31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 spans="1:31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spans="1:31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 spans="1:31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spans="1:31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 spans="1:31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spans="1:31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 spans="1:31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spans="1:31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 spans="1:31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spans="1:31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 spans="1:31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spans="1:31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 spans="1:31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spans="1:31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 spans="1:31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spans="1:31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 spans="1:31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spans="1:31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 spans="1:31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spans="1:31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 spans="1:31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spans="1:31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 spans="1:31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spans="1:31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 spans="1:31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spans="1:31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 spans="1:31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spans="1:31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 spans="1:31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spans="1:31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 spans="1:31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spans="1:31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 spans="1:31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spans="1:31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 spans="1:31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spans="1:31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 spans="1:31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spans="1:31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 spans="1:31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spans="1:31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 spans="1:31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spans="1:31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 spans="1:31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spans="1:31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 spans="1:31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spans="1:31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 spans="1:31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spans="1:31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 spans="1:31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spans="1:31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 spans="1:31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spans="1:31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 spans="1:31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spans="1:31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 spans="1:31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spans="1:31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 spans="1:31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spans="1:31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 spans="1:31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spans="1:31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 spans="1:31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spans="1:31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 spans="1:31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spans="1:31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 spans="1:31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spans="1:31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 spans="1:31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spans="1:31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 spans="1:31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spans="1:31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 spans="1:31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spans="1:31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 spans="1:31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spans="1:31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 spans="1:31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spans="1:31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 spans="1:31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spans="1:31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 spans="1:31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spans="1:31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 spans="1:31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spans="1:31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 spans="1:31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spans="1:31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 spans="1:31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spans="1:31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 spans="1:31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spans="1:31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 spans="1:31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spans="1:31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 spans="1:31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spans="1:31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 spans="1:31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spans="1:31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 spans="1:31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spans="1:31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 spans="1:31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spans="1:31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 spans="1:31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spans="1:31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 spans="1:31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spans="1:31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 spans="1:31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spans="1:31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 spans="1:31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spans="1:31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 spans="1:31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spans="1:31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 spans="1:31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spans="1:31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 spans="1:31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spans="1:31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 spans="1:31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spans="1:31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 spans="1:31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spans="1:31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 spans="1:31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spans="1:31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 spans="1:31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spans="1:31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 spans="1:31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spans="1:31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 spans="1:31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spans="1:31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 spans="1:31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spans="1:31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 spans="1:31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spans="1:31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 spans="1:31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spans="1:31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 spans="1:31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spans="1:31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 spans="1:31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spans="1:31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 spans="1:31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spans="1:31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 spans="1:31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spans="1:31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 spans="1:31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spans="1:31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 spans="1:31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spans="1:31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 spans="1:31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spans="1:31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 spans="1:31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spans="1:31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 spans="1:31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spans="1:31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 spans="1:31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spans="1:31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 spans="1:31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spans="1:31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 spans="1:31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spans="1:31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 spans="1:31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spans="1:31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 spans="1:31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spans="1:31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 spans="1:31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spans="1:31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 spans="1:31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spans="1:31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 spans="1:31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spans="1:31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 spans="1:31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spans="1:31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 spans="1:31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spans="1:31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 spans="1:31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spans="1:31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 spans="1:31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spans="1:31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 spans="1:31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spans="1:31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 spans="1:31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spans="1:31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 spans="1:31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spans="1:31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 spans="1:31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spans="1:31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 spans="1:31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spans="1:31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 spans="1:31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spans="1:31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 spans="1:31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spans="1:31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 spans="1:31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spans="1:31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 spans="1:31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spans="1:31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 spans="1:31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spans="1:31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 spans="1:31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spans="1:31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spans="1:31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spans="1:31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spans="1:31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spans="1:31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spans="1:31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spans="1:31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spans="1:31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spans="1:31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spans="1:31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spans="1:31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spans="1:31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spans="1:31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spans="1:31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spans="1:31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spans="1:31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spans="1:31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spans="1:31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spans="1:31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spans="1:31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spans="1:31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spans="1:31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spans="1:31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spans="1:31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spans="1:31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spans="1:31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spans="1:31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spans="1:31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spans="1:31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spans="1:31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spans="1:31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spans="1:31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spans="1:31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spans="1:31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spans="1:31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spans="1:31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spans="1:31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spans="1:31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spans="1:31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spans="1:31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spans="1:31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spans="1:31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spans="1:31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spans="1:31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spans="1:31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spans="1:31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spans="1:31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spans="1:31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spans="1:31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spans="1:31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spans="1:31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spans="1:31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spans="1:31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spans="1:31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spans="1:31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spans="1:31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spans="1:31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spans="1:31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spans="1:31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spans="1:31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spans="1:31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spans="1:31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spans="1:31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spans="1:31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spans="1:31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spans="1:31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spans="1:31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spans="1:31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spans="1:31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spans="1:31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spans="1:31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spans="1:31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spans="1:31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spans="1:31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spans="1:31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spans="1:31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spans="1:31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spans="1:31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spans="1:31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spans="1:31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spans="1:31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spans="1:31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spans="1:31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spans="1:31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spans="1:31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spans="1:31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spans="1:31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spans="1:31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spans="1:31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spans="1:31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spans="1:31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 spans="1:31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spans="1:31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 spans="1:31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spans="1:31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 spans="1:31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spans="1:31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 spans="1:31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spans="1:31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 spans="1:31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spans="1:31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 spans="1:31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spans="1:31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 spans="1:31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spans="1:31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 spans="1:31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spans="1:31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 spans="1:31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spans="1:31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 spans="1:31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spans="1:31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 spans="1:31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spans="1:31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 spans="1:31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spans="1:31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 spans="1:31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spans="1:31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 spans="1:31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spans="1:31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 spans="1:31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spans="1:31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 spans="1:31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spans="1:31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 spans="1:31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spans="1:31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 spans="1:31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spans="1:31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 spans="1:31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spans="1:31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 spans="1:31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spans="1:31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 spans="1:31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spans="1:31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 spans="1:31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spans="1:31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 spans="1:31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spans="1:31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 spans="1:31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spans="1:31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 spans="1:31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spans="1:31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 spans="1:31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spans="1:31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 spans="1:31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spans="1:31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 spans="1:31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spans="1:31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 spans="1:31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spans="1:31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 spans="1:31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spans="1:31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 spans="1:31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spans="1:31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 spans="1:31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spans="1:31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 spans="1:31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spans="1:31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 spans="1:31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spans="1:31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 spans="1:31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spans="1:31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 spans="1:31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spans="1:31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 spans="1:31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spans="1:31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 spans="1:31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spans="1:31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 spans="1:31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spans="1:31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 spans="1:31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spans="1:31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 spans="1:31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spans="1:31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 spans="1:31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spans="1:31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 spans="1:31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spans="1:31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 spans="1:31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spans="1:31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 spans="1:31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spans="1:31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 spans="1:31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spans="1:31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 spans="1:31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spans="1:31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 spans="1:31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spans="1:31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 spans="1:31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spans="1:31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 spans="1:31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spans="1:31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 spans="1:31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spans="1:31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 spans="1:31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spans="1:31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 spans="1:31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spans="1:31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 spans="1:31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spans="1:31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 spans="1:31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spans="1:31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 spans="1:31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spans="1:31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 spans="1:31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spans="1:31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 spans="1:31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spans="1:31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 spans="1:31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spans="1:31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 spans="1:31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spans="1:31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 spans="1:31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 spans="1:31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 spans="1:31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 spans="1:31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 spans="1:31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 spans="1:31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 spans="1:31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 spans="1:31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 spans="1:31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 spans="1:31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 spans="1:31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 spans="1:31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 spans="1:31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 spans="1:31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 spans="1:31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 spans="1:31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 spans="1:31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 spans="1:31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 spans="1:31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 spans="1:31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 spans="1:31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 spans="1:31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 spans="1:31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 spans="1:31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 spans="1:31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 spans="1:31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 spans="1:31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 spans="1:31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 spans="1:31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 spans="1:31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 spans="1:31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 spans="1:31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 spans="1:31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 spans="1:31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 spans="1:31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 spans="1:31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 spans="1:31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 spans="1:31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 spans="1:31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 spans="1:31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 spans="1:31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 spans="1:31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 spans="1:31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 spans="1:31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 spans="1:31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 spans="1:31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 spans="1:31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 spans="1:31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 spans="1:31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 spans="1:31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 spans="1:31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 spans="1:31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 spans="1:31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 spans="1:31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 spans="1:31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 spans="1:31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 spans="1:31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 spans="1:31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 spans="1:31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 spans="1:31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 spans="1:31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 spans="1:31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 spans="1:31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 spans="1:31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 spans="1:31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 spans="1:31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 spans="1:31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 spans="1:31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 spans="1:31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 spans="1:31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 spans="1:31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 spans="1:31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 spans="1:31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 spans="1:31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 spans="1:31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 spans="1:31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 spans="1:31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 spans="1:31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 spans="1:31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 spans="1:31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 spans="1:31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 spans="1:31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 spans="1:31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 spans="1:31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 spans="1:31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 spans="1:31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 spans="1:31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 spans="1:31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 spans="1:31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 spans="1:31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 spans="1:31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 spans="1:31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 spans="1:31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 spans="1:31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 spans="1:31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 spans="1:31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 spans="1:31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 spans="1:31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 spans="1:31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 spans="1:31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 spans="1:31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 spans="1:31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 spans="1:31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 spans="1:31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 spans="1:31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 spans="1:31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 spans="1:31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 spans="1:31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 spans="1:31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 spans="1:31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 spans="1:31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 spans="1:31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 spans="1:31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 spans="1:31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 spans="1:31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 spans="1:31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 spans="1:31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 spans="1:31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 spans="1:31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 spans="1:31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 spans="1:31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 spans="1:31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 spans="1:31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 spans="1:31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 spans="1:31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 spans="1:31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 spans="1:31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 spans="1:31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 spans="1:31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 spans="1:31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 spans="1:31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 spans="1:31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 spans="1:31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 spans="1:31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 spans="1:31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 spans="1:31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 spans="1:31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 spans="1:31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 spans="1:31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 spans="1:31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 spans="1:31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 spans="1:31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 spans="1:31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 spans="1:31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 spans="1:31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 spans="1:31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 spans="1:31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 spans="1:31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 spans="1:31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 spans="1:31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 spans="1:31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 spans="1:31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</sheetData>
  <mergeCells count="1">
    <mergeCell ref="A1:A2"/>
  </mergeCells>
  <hyperlinks>
    <hyperlink ref="T4" r:id="rId1" xr:uid="{00000000-0004-0000-0B00-000000000000}"/>
    <hyperlink ref="T5" r:id="rId2" location="reqid=51&amp;step=51&amp;isuri=1&amp;5114=a&amp;5102=5" xr:uid="{00000000-0004-0000-0B00-000001000000}"/>
    <hyperlink ref="T7" r:id="rId3" xr:uid="{00000000-0004-0000-0B00-000002000000}"/>
    <hyperlink ref="T10" r:id="rId4" xr:uid="{00000000-0004-0000-0B00-000003000000}"/>
    <hyperlink ref="T11" r:id="rId5" xr:uid="{00000000-0004-0000-0B00-000004000000}"/>
    <hyperlink ref="T14" r:id="rId6" xr:uid="{00000000-0004-0000-0B00-000005000000}"/>
    <hyperlink ref="T26" r:id="rId7" xr:uid="{00000000-0004-0000-0B00-000006000000}"/>
    <hyperlink ref="T27" r:id="rId8" xr:uid="{00000000-0004-0000-0B00-000007000000}"/>
  </hyperlinks>
  <pageMargins left="0.7" right="0.7" top="0.75" bottom="0.75" header="0" footer="0"/>
  <pageSetup orientation="portrait"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3404"/>
  </sheetPr>
  <dimension ref="A1:AD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4" sqref="E24"/>
    </sheetView>
  </sheetViews>
  <sheetFormatPr defaultColWidth="14.42578125" defaultRowHeight="15" customHeight="1"/>
  <cols>
    <col min="1" max="1" width="41.5703125" customWidth="1"/>
    <col min="2" max="17" width="11.7109375" customWidth="1"/>
    <col min="18" max="18" width="20.140625" customWidth="1"/>
    <col min="19" max="19" width="66.5703125" customWidth="1"/>
    <col min="20" max="20" width="17.7109375" customWidth="1"/>
    <col min="21" max="30" width="8.85546875" customWidth="1"/>
  </cols>
  <sheetData>
    <row r="1" spans="1:30">
      <c r="A1" s="450" t="s">
        <v>372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373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28">
        <v>2013</v>
      </c>
      <c r="H3" s="28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 t="s">
        <v>301</v>
      </c>
      <c r="S3" s="161" t="s">
        <v>302</v>
      </c>
      <c r="T3" s="161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45">
      <c r="A4" s="34" t="s">
        <v>374</v>
      </c>
      <c r="B4" s="52">
        <v>2.93</v>
      </c>
      <c r="C4" s="52">
        <v>3.16</v>
      </c>
      <c r="D4" s="52">
        <v>3.63</v>
      </c>
      <c r="E4" s="52">
        <v>4.03</v>
      </c>
      <c r="F4" s="52">
        <v>4.49</v>
      </c>
      <c r="G4" s="162">
        <v>4.7699999999999996</v>
      </c>
      <c r="H4" s="52">
        <v>4.5999999999999996</v>
      </c>
      <c r="I4" s="52">
        <v>4.9000000000000004</v>
      </c>
      <c r="J4" s="52">
        <v>5</v>
      </c>
      <c r="K4" s="59">
        <v>5.2541000000000002</v>
      </c>
      <c r="L4" s="32">
        <v>5.5</v>
      </c>
      <c r="M4" s="32">
        <v>5.6</v>
      </c>
      <c r="N4" s="32">
        <v>5.93</v>
      </c>
      <c r="O4" s="32">
        <v>6.4</v>
      </c>
      <c r="P4" s="36"/>
      <c r="Q4" s="36"/>
      <c r="R4" s="44" t="s">
        <v>375</v>
      </c>
      <c r="S4" s="163" t="s">
        <v>376</v>
      </c>
      <c r="T4" s="34" t="s">
        <v>304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30">
      <c r="A5" s="35" t="s">
        <v>377</v>
      </c>
      <c r="B5" s="36"/>
      <c r="C5" s="36"/>
      <c r="D5" s="36"/>
      <c r="E5" s="52">
        <v>1.2047999999999999</v>
      </c>
      <c r="F5" s="52">
        <v>1.3472</v>
      </c>
      <c r="G5" s="52">
        <v>1.3472</v>
      </c>
      <c r="H5" s="36"/>
      <c r="I5" s="36"/>
      <c r="J5" s="32">
        <v>1.5</v>
      </c>
      <c r="K5" s="59">
        <v>1.9258999999999999</v>
      </c>
      <c r="L5" s="36"/>
      <c r="M5" s="164"/>
      <c r="N5" s="165"/>
      <c r="O5" s="165"/>
      <c r="P5" s="36"/>
      <c r="Q5" s="36"/>
      <c r="R5" s="44" t="s">
        <v>375</v>
      </c>
      <c r="S5" s="166" t="s">
        <v>378</v>
      </c>
      <c r="T5" s="166" t="s">
        <v>379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30">
      <c r="A6" s="35" t="s">
        <v>380</v>
      </c>
      <c r="B6" s="36"/>
      <c r="C6" s="36"/>
      <c r="D6" s="36"/>
      <c r="E6" s="52">
        <v>1.0028999999999999</v>
      </c>
      <c r="F6" s="52">
        <v>1.1002000000000001</v>
      </c>
      <c r="G6" s="52">
        <v>1.2149000000000001</v>
      </c>
      <c r="H6" s="157"/>
      <c r="I6" s="36"/>
      <c r="J6" s="32">
        <v>1.2</v>
      </c>
      <c r="K6" s="59">
        <v>0.59619999999999995</v>
      </c>
      <c r="L6" s="36"/>
      <c r="M6" s="164"/>
      <c r="N6" s="165"/>
      <c r="O6" s="165"/>
      <c r="P6" s="36"/>
      <c r="Q6" s="36"/>
      <c r="R6" s="44" t="s">
        <v>375</v>
      </c>
      <c r="S6" s="166" t="s">
        <v>378</v>
      </c>
      <c r="T6" s="166" t="s">
        <v>379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30">
      <c r="A7" s="35" t="s">
        <v>381</v>
      </c>
      <c r="B7" s="36"/>
      <c r="C7" s="36"/>
      <c r="D7" s="36"/>
      <c r="E7" s="52">
        <v>0.96839999999999993</v>
      </c>
      <c r="F7" s="52">
        <v>1.1052</v>
      </c>
      <c r="G7" s="52">
        <v>1.1517999999999999</v>
      </c>
      <c r="H7" s="36"/>
      <c r="I7" s="36"/>
      <c r="J7" s="32">
        <v>1.2</v>
      </c>
      <c r="K7" s="167">
        <v>1.2983</v>
      </c>
      <c r="L7" s="36"/>
      <c r="M7" s="164"/>
      <c r="N7" s="165"/>
      <c r="O7" s="165"/>
      <c r="P7" s="36"/>
      <c r="Q7" s="36"/>
      <c r="R7" s="44" t="s">
        <v>375</v>
      </c>
      <c r="S7" s="166" t="s">
        <v>378</v>
      </c>
      <c r="T7" s="166" t="s">
        <v>379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30">
      <c r="A8" s="35" t="s">
        <v>382</v>
      </c>
      <c r="B8" s="36"/>
      <c r="C8" s="36"/>
      <c r="D8" s="36"/>
      <c r="E8" s="36"/>
      <c r="F8" s="36"/>
      <c r="G8" s="36"/>
      <c r="H8" s="36"/>
      <c r="I8" s="36"/>
      <c r="J8" s="36"/>
      <c r="K8" s="167">
        <v>0.71930000000000005</v>
      </c>
      <c r="L8" s="36"/>
      <c r="M8" s="164"/>
      <c r="N8" s="165"/>
      <c r="O8" s="37">
        <v>1.3</v>
      </c>
      <c r="P8" s="36"/>
      <c r="Q8" s="36"/>
      <c r="R8" s="44" t="s">
        <v>375</v>
      </c>
      <c r="S8" s="166" t="s">
        <v>378</v>
      </c>
      <c r="T8" s="166" t="s">
        <v>379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30">
      <c r="A9" s="35" t="s">
        <v>383</v>
      </c>
      <c r="B9" s="36"/>
      <c r="C9" s="36"/>
      <c r="D9" s="36"/>
      <c r="E9" s="36"/>
      <c r="F9" s="36"/>
      <c r="G9" s="36"/>
      <c r="H9" s="36"/>
      <c r="I9" s="36"/>
      <c r="J9" s="36"/>
      <c r="K9" s="167">
        <v>0.71440000000000003</v>
      </c>
      <c r="L9" s="36"/>
      <c r="M9" s="164"/>
      <c r="N9" s="165"/>
      <c r="O9" s="165"/>
      <c r="P9" s="36"/>
      <c r="Q9" s="36"/>
      <c r="R9" s="44" t="s">
        <v>375</v>
      </c>
      <c r="S9" s="166" t="s">
        <v>378</v>
      </c>
      <c r="T9" s="166" t="s">
        <v>379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30">
      <c r="A10" s="35" t="s">
        <v>384</v>
      </c>
      <c r="B10" s="36"/>
      <c r="C10" s="36"/>
      <c r="D10" s="36"/>
      <c r="E10" s="52">
        <v>0.83189999999999997</v>
      </c>
      <c r="F10" s="52">
        <v>0.96689999999999998</v>
      </c>
      <c r="G10" s="52">
        <v>1.0535000000000001</v>
      </c>
      <c r="H10" s="36"/>
      <c r="I10" s="36"/>
      <c r="J10" s="32">
        <v>1.1000000000000001</v>
      </c>
      <c r="K10" s="36"/>
      <c r="L10" s="36"/>
      <c r="M10" s="164"/>
      <c r="N10" s="165"/>
      <c r="O10" s="165"/>
      <c r="P10" s="36"/>
      <c r="Q10" s="36"/>
      <c r="R10" s="44" t="s">
        <v>375</v>
      </c>
      <c r="S10" s="166" t="s">
        <v>378</v>
      </c>
      <c r="T10" s="166" t="s">
        <v>379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6"/>
      <c r="B11" s="30"/>
      <c r="C11" s="30"/>
      <c r="D11" s="30"/>
      <c r="E11" s="30"/>
      <c r="F11" s="30"/>
      <c r="G11" s="30"/>
      <c r="H11" s="30"/>
      <c r="I11" s="30"/>
      <c r="J11" s="30"/>
      <c r="K11" s="26"/>
      <c r="L11" s="30"/>
      <c r="M11" s="30"/>
      <c r="N11" s="30"/>
      <c r="O11" s="30"/>
      <c r="P11" s="30"/>
      <c r="Q11" s="30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2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2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2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2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C00-000000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3404"/>
    <outlinePr summaryBelow="0" summaryRight="0"/>
  </sheetPr>
  <dimension ref="A1:AA996"/>
  <sheetViews>
    <sheetView workbookViewId="0">
      <pane xSplit="1" topLeftCell="L1" activePane="topRight" state="frozen"/>
      <selection pane="topRight" activeCell="A22" sqref="A22:A25"/>
    </sheetView>
  </sheetViews>
  <sheetFormatPr defaultColWidth="14.42578125" defaultRowHeight="15" customHeight="1"/>
  <cols>
    <col min="1" max="1" width="83.42578125" customWidth="1"/>
    <col min="19" max="19" width="44.7109375" customWidth="1"/>
    <col min="20" max="20" width="20.42578125" bestFit="1" customWidth="1"/>
  </cols>
  <sheetData>
    <row r="1" spans="1:27">
      <c r="A1" s="451" t="s">
        <v>385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</row>
    <row r="2" spans="1:27">
      <c r="A2" s="452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</row>
    <row r="3" spans="1:27">
      <c r="A3" s="131" t="s">
        <v>386</v>
      </c>
      <c r="B3" s="170">
        <v>2008</v>
      </c>
      <c r="C3" s="171">
        <v>2009</v>
      </c>
      <c r="D3" s="171">
        <v>2010</v>
      </c>
      <c r="E3" s="171">
        <v>2011</v>
      </c>
      <c r="F3" s="171">
        <v>2012</v>
      </c>
      <c r="G3" s="171">
        <v>2013</v>
      </c>
      <c r="H3" s="171">
        <v>2014</v>
      </c>
      <c r="I3" s="171">
        <v>2015</v>
      </c>
      <c r="J3" s="171">
        <v>2016</v>
      </c>
      <c r="K3" s="171">
        <v>2017</v>
      </c>
      <c r="L3" s="171">
        <v>2018</v>
      </c>
      <c r="M3" s="171">
        <v>2019</v>
      </c>
      <c r="N3" s="171">
        <v>2020</v>
      </c>
      <c r="O3" s="171">
        <v>2021</v>
      </c>
      <c r="P3" s="171">
        <v>2022</v>
      </c>
      <c r="Q3" s="171">
        <v>2023</v>
      </c>
      <c r="R3" s="248" t="s">
        <v>301</v>
      </c>
      <c r="S3" s="250" t="s">
        <v>302</v>
      </c>
      <c r="T3" s="250" t="s">
        <v>23</v>
      </c>
      <c r="U3" s="168"/>
      <c r="V3" s="168"/>
      <c r="W3" s="168"/>
      <c r="X3" s="168"/>
      <c r="Y3" s="168"/>
      <c r="Z3" s="168"/>
      <c r="AA3" s="168"/>
    </row>
    <row r="4" spans="1:27">
      <c r="A4" s="42" t="s">
        <v>387</v>
      </c>
      <c r="B4" s="56">
        <v>17.8</v>
      </c>
      <c r="C4" s="172">
        <v>15.1</v>
      </c>
      <c r="D4" s="172">
        <v>15.6</v>
      </c>
      <c r="E4" s="172">
        <v>15.1</v>
      </c>
      <c r="F4" s="172">
        <v>16</v>
      </c>
      <c r="G4" s="172">
        <v>16.8</v>
      </c>
      <c r="H4" s="172">
        <v>17.8</v>
      </c>
      <c r="I4" s="172">
        <v>17.899999999999999</v>
      </c>
      <c r="J4" s="172">
        <v>18.600000000000001</v>
      </c>
      <c r="K4" s="172">
        <v>17.7</v>
      </c>
      <c r="L4" s="172">
        <v>16.7</v>
      </c>
      <c r="M4" s="172">
        <v>16.8</v>
      </c>
      <c r="N4" s="172">
        <v>15.3</v>
      </c>
      <c r="O4" s="172">
        <v>16.524999999999999</v>
      </c>
      <c r="P4" s="172">
        <v>17.425000000000001</v>
      </c>
      <c r="Q4" s="172">
        <v>17.274999999999999</v>
      </c>
      <c r="R4" s="249" t="s">
        <v>324</v>
      </c>
      <c r="S4" s="251" t="s">
        <v>388</v>
      </c>
      <c r="T4" s="252" t="s">
        <v>389</v>
      </c>
    </row>
    <row r="5" spans="1:27">
      <c r="A5" s="42" t="s">
        <v>390</v>
      </c>
      <c r="B5" s="174">
        <v>0.1</v>
      </c>
      <c r="C5" s="175">
        <v>0.1</v>
      </c>
      <c r="D5" s="175">
        <v>0.1</v>
      </c>
      <c r="E5" s="175">
        <v>0.1</v>
      </c>
      <c r="F5" s="175">
        <v>0.1</v>
      </c>
      <c r="G5" s="175">
        <v>0.1</v>
      </c>
      <c r="H5" s="175">
        <v>0.1</v>
      </c>
      <c r="I5" s="175">
        <v>0.1</v>
      </c>
      <c r="J5" s="111">
        <v>0.1</v>
      </c>
      <c r="K5" s="111">
        <v>0.1</v>
      </c>
      <c r="L5" s="111">
        <v>0.1</v>
      </c>
      <c r="M5" s="111">
        <v>0.1</v>
      </c>
      <c r="N5" s="111">
        <v>0.1</v>
      </c>
      <c r="O5" s="111">
        <v>0.1</v>
      </c>
      <c r="P5" s="111">
        <v>0.1</v>
      </c>
      <c r="Q5" s="111">
        <v>0.1</v>
      </c>
      <c r="R5" s="249" t="s">
        <v>324</v>
      </c>
      <c r="S5" s="251" t="s">
        <v>388</v>
      </c>
      <c r="T5" s="252" t="s">
        <v>389</v>
      </c>
    </row>
    <row r="6" spans="1:27">
      <c r="A6" s="42" t="s">
        <v>391</v>
      </c>
      <c r="B6" s="56">
        <v>56.5</v>
      </c>
      <c r="C6" s="172">
        <v>46.3</v>
      </c>
      <c r="D6" s="172">
        <v>49.8</v>
      </c>
      <c r="E6" s="172">
        <v>52.9</v>
      </c>
      <c r="F6" s="172">
        <v>51.7</v>
      </c>
      <c r="G6" s="172">
        <v>54</v>
      </c>
      <c r="H6" s="172">
        <v>55.8</v>
      </c>
      <c r="I6" s="172">
        <v>53.5</v>
      </c>
      <c r="J6" s="172">
        <v>52.3</v>
      </c>
      <c r="K6" s="172">
        <v>50.2</v>
      </c>
      <c r="L6" s="172">
        <v>50.6</v>
      </c>
      <c r="M6" s="172">
        <v>50.3</v>
      </c>
      <c r="N6" s="172">
        <v>47.5</v>
      </c>
      <c r="O6" s="172">
        <v>50.774999999999999</v>
      </c>
      <c r="P6" s="172">
        <v>52.5</v>
      </c>
      <c r="Q6" s="172">
        <v>49.674999999999997</v>
      </c>
      <c r="R6" s="249" t="s">
        <v>324</v>
      </c>
      <c r="S6" s="251" t="s">
        <v>388</v>
      </c>
      <c r="T6" s="252" t="s">
        <v>389</v>
      </c>
    </row>
    <row r="7" spans="1:27">
      <c r="A7" s="42" t="s">
        <v>392</v>
      </c>
      <c r="B7" s="56">
        <v>13.5</v>
      </c>
      <c r="C7" s="172">
        <v>10.9</v>
      </c>
      <c r="D7" s="172">
        <v>10.9</v>
      </c>
      <c r="E7" s="172">
        <v>11</v>
      </c>
      <c r="F7" s="172">
        <v>11.2</v>
      </c>
      <c r="G7" s="172">
        <v>11.5</v>
      </c>
      <c r="H7" s="172">
        <v>12.1</v>
      </c>
      <c r="I7" s="172">
        <v>12</v>
      </c>
      <c r="J7" s="172">
        <v>12</v>
      </c>
      <c r="K7" s="172">
        <v>12.3</v>
      </c>
      <c r="L7" s="172">
        <v>12.5</v>
      </c>
      <c r="M7" s="172">
        <v>12.4</v>
      </c>
      <c r="N7" s="172">
        <v>11.5</v>
      </c>
      <c r="O7" s="172">
        <v>12.3</v>
      </c>
      <c r="P7" s="172">
        <v>13</v>
      </c>
      <c r="Q7" s="36"/>
      <c r="R7" s="249" t="s">
        <v>324</v>
      </c>
      <c r="S7" s="251" t="s">
        <v>388</v>
      </c>
      <c r="T7" s="252" t="s">
        <v>389</v>
      </c>
    </row>
    <row r="8" spans="1:27">
      <c r="A8" s="42" t="s">
        <v>393</v>
      </c>
      <c r="B8" s="174">
        <v>0.7</v>
      </c>
      <c r="C8" s="175">
        <v>0.7</v>
      </c>
      <c r="D8" s="175">
        <v>0.6</v>
      </c>
      <c r="E8" s="175">
        <v>0.6</v>
      </c>
      <c r="F8" s="175">
        <v>0.6</v>
      </c>
      <c r="G8" s="175">
        <v>0.6</v>
      </c>
      <c r="H8" s="175">
        <v>0.6</v>
      </c>
      <c r="I8" s="175">
        <v>0.6</v>
      </c>
      <c r="J8" s="175">
        <v>0.6</v>
      </c>
      <c r="K8" s="175">
        <v>0.6</v>
      </c>
      <c r="L8" s="175">
        <v>0.6</v>
      </c>
      <c r="M8" s="175">
        <v>0.6</v>
      </c>
      <c r="N8" s="175">
        <v>-0.4</v>
      </c>
      <c r="O8" s="172">
        <v>0.2</v>
      </c>
      <c r="P8" s="172">
        <v>0.7</v>
      </c>
      <c r="Q8" s="36"/>
      <c r="R8" s="249" t="s">
        <v>324</v>
      </c>
      <c r="S8" s="251" t="s">
        <v>388</v>
      </c>
      <c r="T8" s="252" t="s">
        <v>389</v>
      </c>
    </row>
    <row r="9" spans="1:27">
      <c r="A9" s="42" t="s">
        <v>394</v>
      </c>
      <c r="B9" s="98">
        <v>3.7</v>
      </c>
      <c r="C9" s="121">
        <v>3.6</v>
      </c>
      <c r="D9" s="121">
        <v>4</v>
      </c>
      <c r="E9" s="121">
        <v>3.5</v>
      </c>
      <c r="F9" s="121">
        <v>4.2</v>
      </c>
      <c r="G9" s="121">
        <v>4.7</v>
      </c>
      <c r="H9" s="121">
        <v>5.2</v>
      </c>
      <c r="I9" s="121">
        <v>5.4</v>
      </c>
      <c r="J9" s="121">
        <v>6</v>
      </c>
      <c r="K9" s="121">
        <v>4.4000000000000004</v>
      </c>
      <c r="L9" s="121">
        <v>3.4</v>
      </c>
      <c r="M9" s="121">
        <v>3.7</v>
      </c>
      <c r="N9" s="120">
        <v>4.7</v>
      </c>
      <c r="O9" s="172">
        <v>4</v>
      </c>
      <c r="P9" s="172">
        <v>3.7</v>
      </c>
      <c r="Q9" s="36"/>
      <c r="R9" s="249" t="s">
        <v>324</v>
      </c>
      <c r="S9" s="251" t="s">
        <v>388</v>
      </c>
      <c r="T9" s="252" t="s">
        <v>389</v>
      </c>
    </row>
    <row r="10" spans="1:27">
      <c r="A10" s="42" t="s">
        <v>333</v>
      </c>
      <c r="B10" s="56">
        <v>303</v>
      </c>
      <c r="C10" s="172">
        <v>251</v>
      </c>
      <c r="D10" s="172">
        <v>240</v>
      </c>
      <c r="E10" s="172">
        <v>240</v>
      </c>
      <c r="F10" s="172">
        <v>236</v>
      </c>
      <c r="G10" s="172">
        <v>233</v>
      </c>
      <c r="H10" s="172">
        <v>235</v>
      </c>
      <c r="I10" s="172">
        <v>234</v>
      </c>
      <c r="J10" s="172">
        <v>230</v>
      </c>
      <c r="K10" s="172">
        <v>229</v>
      </c>
      <c r="L10" s="172">
        <v>228</v>
      </c>
      <c r="M10" s="172">
        <v>221</v>
      </c>
      <c r="N10" s="172">
        <v>199</v>
      </c>
      <c r="O10" s="172">
        <v>202</v>
      </c>
      <c r="P10" s="172">
        <v>203</v>
      </c>
      <c r="Q10" s="36"/>
      <c r="R10" s="249" t="s">
        <v>324</v>
      </c>
      <c r="S10" s="251" t="s">
        <v>388</v>
      </c>
      <c r="T10" s="252" t="s">
        <v>389</v>
      </c>
    </row>
    <row r="11" spans="1:27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160"/>
      <c r="M11" s="160"/>
      <c r="N11" s="160"/>
      <c r="O11" s="160"/>
      <c r="P11" s="255"/>
      <c r="Q11" s="255"/>
      <c r="R11" s="256"/>
      <c r="S11" s="257"/>
      <c r="T11" s="257"/>
    </row>
    <row r="12" spans="1:27">
      <c r="A12" s="170" t="s">
        <v>395</v>
      </c>
      <c r="B12" s="170">
        <v>2008</v>
      </c>
      <c r="C12" s="171">
        <v>2009</v>
      </c>
      <c r="D12" s="171">
        <v>2010</v>
      </c>
      <c r="E12" s="171">
        <v>2011</v>
      </c>
      <c r="F12" s="171">
        <v>2012</v>
      </c>
      <c r="G12" s="171">
        <v>2013</v>
      </c>
      <c r="H12" s="171">
        <v>2014</v>
      </c>
      <c r="I12" s="171">
        <v>2015</v>
      </c>
      <c r="J12" s="171">
        <v>2016</v>
      </c>
      <c r="K12" s="171">
        <v>2017</v>
      </c>
      <c r="L12" s="171">
        <v>2018</v>
      </c>
      <c r="M12" s="171">
        <v>2019</v>
      </c>
      <c r="N12" s="171">
        <v>2020</v>
      </c>
      <c r="O12" s="248">
        <v>2021</v>
      </c>
      <c r="P12" s="258">
        <v>2022</v>
      </c>
      <c r="Q12" s="258">
        <v>2023</v>
      </c>
      <c r="R12" s="258" t="s">
        <v>301</v>
      </c>
      <c r="S12" s="250" t="s">
        <v>302</v>
      </c>
      <c r="T12" s="250" t="s">
        <v>23</v>
      </c>
    </row>
    <row r="13" spans="1:27">
      <c r="A13" s="42" t="s">
        <v>396</v>
      </c>
      <c r="B13" s="56">
        <v>11.6</v>
      </c>
      <c r="C13" s="172">
        <v>9.9</v>
      </c>
      <c r="D13" s="172">
        <v>10.4</v>
      </c>
      <c r="E13" s="172">
        <v>10.1</v>
      </c>
      <c r="F13" s="172">
        <v>10</v>
      </c>
      <c r="G13" s="172">
        <v>10.199999999999999</v>
      </c>
      <c r="H13" s="172">
        <v>9.9</v>
      </c>
      <c r="I13" s="172">
        <v>9.6999999999999993</v>
      </c>
      <c r="J13" s="172">
        <v>9.6</v>
      </c>
      <c r="K13" s="172">
        <v>9.4</v>
      </c>
      <c r="L13" s="172">
        <v>9.3000000000000007</v>
      </c>
      <c r="M13" s="172">
        <v>9.3000000000000007</v>
      </c>
      <c r="N13" s="172">
        <v>9.8000000000000007</v>
      </c>
      <c r="O13" s="253">
        <v>10</v>
      </c>
      <c r="P13" s="259">
        <v>10.375</v>
      </c>
      <c r="Q13" s="259">
        <v>10.7</v>
      </c>
      <c r="R13" s="260" t="s">
        <v>324</v>
      </c>
      <c r="S13" s="251" t="s">
        <v>388</v>
      </c>
      <c r="T13" s="252" t="s">
        <v>389</v>
      </c>
    </row>
    <row r="14" spans="1:27">
      <c r="A14" s="42" t="s">
        <v>397</v>
      </c>
      <c r="B14" s="110">
        <v>0.1</v>
      </c>
      <c r="C14" s="111">
        <v>0.1</v>
      </c>
      <c r="D14" s="111">
        <v>0.1</v>
      </c>
      <c r="E14" s="111">
        <v>0.1</v>
      </c>
      <c r="F14" s="111">
        <v>0.1</v>
      </c>
      <c r="G14" s="111">
        <v>0.1</v>
      </c>
      <c r="H14" s="111">
        <v>0.1</v>
      </c>
      <c r="I14" s="111">
        <v>0.1</v>
      </c>
      <c r="J14" s="111">
        <v>0.1</v>
      </c>
      <c r="K14" s="111">
        <v>0</v>
      </c>
      <c r="L14" s="111">
        <v>0</v>
      </c>
      <c r="M14" s="111">
        <v>0</v>
      </c>
      <c r="N14" s="111">
        <v>0.2</v>
      </c>
      <c r="O14" s="254">
        <v>0.3</v>
      </c>
      <c r="P14" s="259">
        <v>0</v>
      </c>
      <c r="Q14" s="259">
        <v>0</v>
      </c>
      <c r="R14" s="260" t="s">
        <v>324</v>
      </c>
      <c r="S14" s="251" t="s">
        <v>388</v>
      </c>
      <c r="T14" s="252" t="s">
        <v>389</v>
      </c>
    </row>
    <row r="15" spans="1:27">
      <c r="A15" s="42" t="s">
        <v>398</v>
      </c>
      <c r="B15" s="56">
        <v>26.7</v>
      </c>
      <c r="C15" s="172">
        <v>24.4</v>
      </c>
      <c r="D15" s="172">
        <v>23.3</v>
      </c>
      <c r="E15" s="172">
        <v>24.9</v>
      </c>
      <c r="F15" s="172">
        <v>19.2</v>
      </c>
      <c r="G15" s="172">
        <v>19.600000000000001</v>
      </c>
      <c r="H15" s="172">
        <v>19.100000000000001</v>
      </c>
      <c r="I15" s="172">
        <v>18.600000000000001</v>
      </c>
      <c r="J15" s="172">
        <v>19</v>
      </c>
      <c r="K15" s="172">
        <v>17.899999999999999</v>
      </c>
      <c r="L15" s="172">
        <v>17.399999999999999</v>
      </c>
      <c r="M15" s="172">
        <v>17.2</v>
      </c>
      <c r="N15" s="172">
        <v>17.8</v>
      </c>
      <c r="O15" s="253">
        <v>18.350000000000001</v>
      </c>
      <c r="P15" s="259">
        <v>19.675000000000001</v>
      </c>
      <c r="Q15" s="259">
        <v>19.600000000000001</v>
      </c>
      <c r="R15" s="260" t="s">
        <v>324</v>
      </c>
      <c r="S15" s="251" t="s">
        <v>388</v>
      </c>
      <c r="T15" s="252" t="s">
        <v>389</v>
      </c>
    </row>
    <row r="16" spans="1:27">
      <c r="A16" s="42" t="s">
        <v>399</v>
      </c>
      <c r="B16" s="56">
        <v>10.5</v>
      </c>
      <c r="C16" s="172">
        <v>8.6</v>
      </c>
      <c r="D16" s="172">
        <v>8.4</v>
      </c>
      <c r="E16" s="172">
        <v>8.1</v>
      </c>
      <c r="F16" s="172">
        <v>8.1999999999999993</v>
      </c>
      <c r="G16" s="172">
        <v>8.1999999999999993</v>
      </c>
      <c r="H16" s="172">
        <v>8.4</v>
      </c>
      <c r="I16" s="172">
        <v>8.1999999999999993</v>
      </c>
      <c r="J16" s="172">
        <v>8.1</v>
      </c>
      <c r="K16" s="172">
        <v>7.9</v>
      </c>
      <c r="L16" s="172">
        <v>7.8</v>
      </c>
      <c r="M16" s="172">
        <v>7.7</v>
      </c>
      <c r="N16" s="172">
        <v>6.7</v>
      </c>
      <c r="O16" s="253">
        <v>7.3</v>
      </c>
      <c r="P16" s="259">
        <v>8.1</v>
      </c>
      <c r="Q16" s="323"/>
      <c r="R16" s="260" t="s">
        <v>324</v>
      </c>
      <c r="S16" s="251" t="s">
        <v>388</v>
      </c>
      <c r="T16" s="252" t="s">
        <v>389</v>
      </c>
    </row>
    <row r="17" spans="1:20">
      <c r="A17" s="42" t="s">
        <v>400</v>
      </c>
      <c r="B17" s="174">
        <v>0.3</v>
      </c>
      <c r="C17" s="175">
        <v>0.3</v>
      </c>
      <c r="D17" s="175">
        <v>0.3</v>
      </c>
      <c r="E17" s="175">
        <v>0.3</v>
      </c>
      <c r="F17" s="175">
        <v>0.3</v>
      </c>
      <c r="G17" s="175">
        <v>0.3</v>
      </c>
      <c r="H17" s="175">
        <v>0.3</v>
      </c>
      <c r="I17" s="175">
        <v>0.3</v>
      </c>
      <c r="J17" s="175">
        <v>0.3</v>
      </c>
      <c r="K17" s="175">
        <v>0.3</v>
      </c>
      <c r="L17" s="175">
        <v>0.3</v>
      </c>
      <c r="M17" s="175">
        <v>0.3</v>
      </c>
      <c r="N17" s="175">
        <v>-0.7</v>
      </c>
      <c r="O17" s="253">
        <v>-0.6</v>
      </c>
      <c r="P17" s="259">
        <v>0.4</v>
      </c>
      <c r="Q17" s="261"/>
      <c r="R17" s="260" t="s">
        <v>324</v>
      </c>
      <c r="S17" s="251" t="s">
        <v>388</v>
      </c>
      <c r="T17" s="252" t="s">
        <v>389</v>
      </c>
    </row>
    <row r="18" spans="1:20">
      <c r="A18" s="42" t="s">
        <v>401</v>
      </c>
      <c r="B18" s="174">
        <v>0.8</v>
      </c>
      <c r="C18" s="175">
        <v>1</v>
      </c>
      <c r="D18" s="175">
        <v>1.7</v>
      </c>
      <c r="E18" s="175">
        <v>1.7</v>
      </c>
      <c r="F18" s="175">
        <v>1.6</v>
      </c>
      <c r="G18" s="175">
        <v>1.7</v>
      </c>
      <c r="H18" s="175">
        <v>1.3</v>
      </c>
      <c r="I18" s="175">
        <v>1.2</v>
      </c>
      <c r="J18" s="175">
        <v>1.3</v>
      </c>
      <c r="K18" s="175">
        <v>1.3</v>
      </c>
      <c r="L18" s="175">
        <v>1.3</v>
      </c>
      <c r="M18" s="175">
        <v>1.7</v>
      </c>
      <c r="N18" s="175">
        <v>3.5</v>
      </c>
      <c r="O18" s="253">
        <v>3.3</v>
      </c>
      <c r="P18" s="259">
        <v>1.9</v>
      </c>
      <c r="Q18" s="261"/>
      <c r="R18" s="260" t="s">
        <v>324</v>
      </c>
      <c r="S18" s="251" t="s">
        <v>388</v>
      </c>
      <c r="T18" s="252" t="s">
        <v>389</v>
      </c>
    </row>
    <row r="19" spans="1:20">
      <c r="A19" s="42" t="s">
        <v>333</v>
      </c>
      <c r="B19" s="56">
        <v>233</v>
      </c>
      <c r="C19" s="172">
        <v>198</v>
      </c>
      <c r="D19" s="172">
        <v>187</v>
      </c>
      <c r="E19" s="172">
        <v>181</v>
      </c>
      <c r="F19" s="172">
        <v>178</v>
      </c>
      <c r="G19" s="172">
        <v>174</v>
      </c>
      <c r="H19" s="172">
        <v>170</v>
      </c>
      <c r="I19" s="172">
        <v>166</v>
      </c>
      <c r="J19" s="172">
        <v>159</v>
      </c>
      <c r="K19" s="172">
        <v>149</v>
      </c>
      <c r="L19" s="172">
        <v>142</v>
      </c>
      <c r="M19" s="172">
        <v>137</v>
      </c>
      <c r="N19" s="172">
        <v>114</v>
      </c>
      <c r="O19" s="253">
        <v>117</v>
      </c>
      <c r="P19" s="259">
        <v>119</v>
      </c>
      <c r="Q19" s="261"/>
      <c r="R19" s="260" t="s">
        <v>324</v>
      </c>
      <c r="S19" s="251" t="s">
        <v>388</v>
      </c>
      <c r="T19" s="252" t="s">
        <v>389</v>
      </c>
    </row>
    <row r="20" spans="1:20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160"/>
      <c r="M20" s="160"/>
      <c r="N20" s="160"/>
      <c r="O20" s="160"/>
      <c r="P20" s="255"/>
      <c r="Q20" s="255"/>
      <c r="R20" s="256"/>
      <c r="S20" s="257"/>
      <c r="T20" s="257"/>
    </row>
    <row r="21" spans="1:20">
      <c r="A21" s="328" t="s">
        <v>534</v>
      </c>
      <c r="B21" s="329">
        <v>2008</v>
      </c>
      <c r="C21" s="330">
        <v>2009</v>
      </c>
      <c r="D21" s="330">
        <v>2010</v>
      </c>
      <c r="E21" s="330">
        <v>2011</v>
      </c>
      <c r="F21" s="330">
        <v>2012</v>
      </c>
      <c r="G21" s="330">
        <v>2013</v>
      </c>
      <c r="H21" s="330">
        <v>2014</v>
      </c>
      <c r="I21" s="330">
        <v>2015</v>
      </c>
      <c r="J21" s="330">
        <v>2016</v>
      </c>
      <c r="K21" s="330">
        <v>2017</v>
      </c>
      <c r="L21" s="330">
        <v>2018</v>
      </c>
      <c r="M21" s="330">
        <v>2019</v>
      </c>
      <c r="N21" s="330">
        <v>2020</v>
      </c>
      <c r="O21" s="331">
        <v>2021</v>
      </c>
      <c r="P21" s="332">
        <v>2022</v>
      </c>
      <c r="Q21" s="332">
        <v>2023</v>
      </c>
      <c r="R21" s="332" t="s">
        <v>301</v>
      </c>
      <c r="S21" s="250" t="s">
        <v>302</v>
      </c>
      <c r="T21" s="250" t="s">
        <v>23</v>
      </c>
    </row>
    <row r="22" spans="1:20">
      <c r="A22" s="333" t="s">
        <v>536</v>
      </c>
      <c r="B22" s="334"/>
      <c r="C22" s="259">
        <v>4.0199999999999996</v>
      </c>
      <c r="D22" s="259">
        <v>4.4969999999999999</v>
      </c>
      <c r="E22" s="259">
        <v>5.01</v>
      </c>
      <c r="F22" s="259">
        <v>5.165</v>
      </c>
      <c r="G22" s="259">
        <v>5.4390000000000001</v>
      </c>
      <c r="H22" s="259">
        <v>5.6950000000000003</v>
      </c>
      <c r="I22" s="259">
        <v>5.6970000000000001</v>
      </c>
      <c r="J22" s="259">
        <v>5.3019999999999996</v>
      </c>
      <c r="K22" s="259">
        <v>5.3150000000000004</v>
      </c>
      <c r="L22" s="259">
        <v>5.6580000000000004</v>
      </c>
      <c r="M22" s="259">
        <v>5.5609999999999999</v>
      </c>
      <c r="N22" s="259">
        <v>4.3470000000000004</v>
      </c>
      <c r="O22" s="259">
        <v>5.4489999999999998</v>
      </c>
      <c r="P22" s="259">
        <v>6.4930000000000003</v>
      </c>
      <c r="Q22" s="259">
        <v>6.5739999999999998</v>
      </c>
      <c r="R22" s="335" t="s">
        <v>535</v>
      </c>
      <c r="S22" s="326" t="s">
        <v>515</v>
      </c>
      <c r="T22" s="327" t="s">
        <v>533</v>
      </c>
    </row>
    <row r="23" spans="1:20">
      <c r="A23" s="333" t="s">
        <v>537</v>
      </c>
      <c r="B23" s="334"/>
      <c r="C23" s="259">
        <v>66.884702770999994</v>
      </c>
      <c r="D23" s="259">
        <v>75.644307355999999</v>
      </c>
      <c r="E23" s="259">
        <v>82.247087323000002</v>
      </c>
      <c r="F23" s="259">
        <v>81.259191397999999</v>
      </c>
      <c r="G23" s="259">
        <v>84.386292686000004</v>
      </c>
      <c r="H23" s="259">
        <v>86.609650021999997</v>
      </c>
      <c r="I23" s="259">
        <v>89.893039897999998</v>
      </c>
      <c r="J23" s="259">
        <v>84.738049419999996</v>
      </c>
      <c r="K23" s="259">
        <v>84.343616748999992</v>
      </c>
      <c r="L23" s="259">
        <v>87.436219590999997</v>
      </c>
      <c r="M23" s="259">
        <v>88.035916168</v>
      </c>
      <c r="N23" s="259">
        <v>71.807795998999993</v>
      </c>
      <c r="O23" s="259">
        <v>86.403237399000005</v>
      </c>
      <c r="P23" s="259">
        <v>103.959902203</v>
      </c>
      <c r="Q23" s="259">
        <v>81.606597146999988</v>
      </c>
      <c r="R23" s="335" t="s">
        <v>535</v>
      </c>
      <c r="S23" s="326" t="s">
        <v>515</v>
      </c>
      <c r="T23" s="327" t="s">
        <v>533</v>
      </c>
    </row>
    <row r="24" spans="1:20">
      <c r="A24" s="333" t="s">
        <v>538</v>
      </c>
      <c r="B24" s="334"/>
      <c r="C24" s="259">
        <v>6.6854863309999999</v>
      </c>
      <c r="D24" s="259">
        <v>8.1604995020000004</v>
      </c>
      <c r="E24" s="259">
        <v>9.4658750049999991</v>
      </c>
      <c r="F24" s="259">
        <v>9.3105379500000005</v>
      </c>
      <c r="G24" s="259">
        <v>9.6473533630000006</v>
      </c>
      <c r="H24" s="259">
        <v>10.024617582000001</v>
      </c>
      <c r="I24" s="259">
        <v>9.7622466060000015</v>
      </c>
      <c r="J24" s="259">
        <v>9.115535843</v>
      </c>
      <c r="K24" s="259">
        <v>9.3394036520000014</v>
      </c>
      <c r="L24" s="259">
        <v>9.5646385340000002</v>
      </c>
      <c r="M24" s="259">
        <v>9.2583285190000009</v>
      </c>
      <c r="N24" s="354">
        <v>7.5391897559999999</v>
      </c>
      <c r="O24" s="259">
        <v>8.8510388139999989</v>
      </c>
      <c r="P24" s="259">
        <v>9.4361329129999998</v>
      </c>
      <c r="Q24" s="259">
        <v>8.4388061390000004</v>
      </c>
      <c r="R24" s="335" t="s">
        <v>535</v>
      </c>
      <c r="S24" s="326" t="s">
        <v>515</v>
      </c>
      <c r="T24" s="327" t="s">
        <v>533</v>
      </c>
    </row>
    <row r="25" spans="1:20">
      <c r="A25" s="333" t="s">
        <v>539</v>
      </c>
      <c r="B25" s="334"/>
      <c r="C25" s="259">
        <v>5.2920874639999997</v>
      </c>
      <c r="D25" s="259">
        <v>6.5358656049999997</v>
      </c>
      <c r="E25" s="259">
        <v>7.3309049999999996</v>
      </c>
      <c r="F25" s="259">
        <v>7.7750181270000001</v>
      </c>
      <c r="G25" s="259">
        <v>8.0410699470000004</v>
      </c>
      <c r="H25" s="259">
        <v>8.4601824709999995</v>
      </c>
      <c r="I25" s="259">
        <v>8.6507926550000001</v>
      </c>
      <c r="J25" s="259">
        <v>8.2525302830000005</v>
      </c>
      <c r="K25" s="259">
        <v>8.1829451810000009</v>
      </c>
      <c r="L25" s="259">
        <v>8.7653571200000009</v>
      </c>
      <c r="M25" s="259">
        <v>8.214491099</v>
      </c>
      <c r="N25" s="354">
        <v>8.2874788779999999</v>
      </c>
      <c r="O25" s="259">
        <v>9.8263711709999999</v>
      </c>
      <c r="P25" s="259">
        <v>10.257758298999999</v>
      </c>
      <c r="Q25" s="259">
        <v>8.7231181319999997</v>
      </c>
      <c r="R25" s="335" t="s">
        <v>535</v>
      </c>
      <c r="S25" s="326" t="s">
        <v>515</v>
      </c>
      <c r="T25" s="327" t="s">
        <v>533</v>
      </c>
    </row>
    <row r="26" spans="1:20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</row>
    <row r="27" spans="1:20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</row>
    <row r="28" spans="1:20">
      <c r="A28" s="168"/>
      <c r="B28" s="168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168"/>
    </row>
    <row r="29" spans="1:20">
      <c r="A29" s="168"/>
      <c r="B29" s="168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168"/>
    </row>
    <row r="30" spans="1:20">
      <c r="A30" s="168"/>
      <c r="B30" s="168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168"/>
    </row>
    <row r="31" spans="1:20">
      <c r="A31" s="168"/>
      <c r="B31" s="168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168"/>
    </row>
    <row r="32" spans="1:20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</row>
    <row r="33" spans="1:18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</row>
    <row r="34" spans="1:18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</row>
    <row r="35" spans="1:18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</row>
    <row r="36" spans="1:18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</row>
    <row r="37" spans="1:18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</row>
    <row r="38" spans="1:18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</row>
    <row r="39" spans="1:18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</row>
    <row r="40" spans="1:18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</row>
    <row r="41" spans="1:18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</row>
    <row r="42" spans="1:18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</row>
    <row r="43" spans="1:18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</row>
    <row r="44" spans="1:18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</row>
    <row r="45" spans="1:18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</row>
    <row r="46" spans="1:18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</row>
    <row r="47" spans="1:18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</row>
    <row r="48" spans="1:18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</row>
    <row r="49" spans="1:18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</row>
    <row r="50" spans="1:18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</row>
    <row r="51" spans="1:18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</row>
    <row r="52" spans="1:18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</row>
    <row r="53" spans="1:18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</row>
    <row r="54" spans="1:18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</row>
    <row r="55" spans="1:18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</row>
    <row r="56" spans="1:18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</row>
    <row r="57" spans="1:18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</row>
    <row r="58" spans="1:18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</row>
    <row r="59" spans="1:18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</row>
    <row r="60" spans="1:18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</row>
    <row r="61" spans="1:18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</row>
    <row r="62" spans="1:18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</row>
    <row r="63" spans="1:18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</row>
    <row r="64" spans="1:18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</row>
    <row r="65" spans="1:18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</row>
    <row r="66" spans="1:18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</row>
    <row r="67" spans="1:18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</row>
    <row r="68" spans="1:18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</row>
    <row r="69" spans="1:18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</row>
    <row r="70" spans="1:18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</row>
    <row r="71" spans="1:18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</row>
    <row r="72" spans="1:18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</row>
    <row r="73" spans="1:18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</row>
    <row r="74" spans="1:18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</row>
    <row r="75" spans="1:18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</row>
    <row r="76" spans="1:18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</row>
    <row r="77" spans="1:18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</row>
    <row r="78" spans="1:18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</row>
    <row r="79" spans="1:18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</row>
    <row r="80" spans="1:18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</row>
    <row r="81" spans="1:18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</row>
    <row r="82" spans="1:18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</row>
    <row r="83" spans="1:18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</row>
    <row r="84" spans="1:18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</row>
    <row r="85" spans="1:18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</row>
    <row r="86" spans="1:18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</row>
    <row r="87" spans="1:18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</row>
    <row r="88" spans="1:1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</row>
    <row r="89" spans="1:18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</row>
    <row r="90" spans="1:18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</row>
    <row r="91" spans="1:18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</row>
    <row r="92" spans="1:18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</row>
    <row r="93" spans="1:18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</row>
    <row r="94" spans="1:18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</row>
    <row r="95" spans="1:18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</row>
    <row r="96" spans="1:18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</row>
    <row r="97" spans="1:18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</row>
    <row r="98" spans="1:1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</row>
    <row r="99" spans="1:18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</row>
    <row r="100" spans="1:18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</row>
    <row r="101" spans="1:18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</row>
    <row r="102" spans="1:18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</row>
    <row r="103" spans="1:18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</row>
    <row r="104" spans="1:18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</row>
    <row r="105" spans="1:18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</row>
    <row r="106" spans="1:18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</row>
    <row r="107" spans="1:18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</row>
    <row r="108" spans="1:1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</row>
    <row r="109" spans="1:18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</row>
    <row r="110" spans="1:18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</row>
    <row r="111" spans="1:18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</row>
    <row r="112" spans="1:18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</row>
    <row r="113" spans="1:18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</row>
    <row r="114" spans="1:18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</row>
    <row r="115" spans="1:18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</row>
    <row r="116" spans="1:18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</row>
    <row r="117" spans="1:18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</row>
    <row r="118" spans="1: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</row>
    <row r="119" spans="1:18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</row>
    <row r="120" spans="1:18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</row>
    <row r="121" spans="1:18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</row>
    <row r="122" spans="1:18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</row>
    <row r="123" spans="1:18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</row>
    <row r="124" spans="1:18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</row>
    <row r="125" spans="1:18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</row>
    <row r="126" spans="1:18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</row>
    <row r="127" spans="1:18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</row>
    <row r="128" spans="1:1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</row>
    <row r="129" spans="1:18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</row>
    <row r="130" spans="1:18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</row>
    <row r="131" spans="1:18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</row>
    <row r="132" spans="1:18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</row>
    <row r="133" spans="1:18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</row>
    <row r="134" spans="1:18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</row>
    <row r="135" spans="1:18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</row>
    <row r="136" spans="1:18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</row>
    <row r="137" spans="1:18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</row>
    <row r="138" spans="1:1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</row>
    <row r="139" spans="1:18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</row>
    <row r="140" spans="1:18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</row>
    <row r="141" spans="1:18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</row>
    <row r="142" spans="1:18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</row>
    <row r="143" spans="1:18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</row>
    <row r="144" spans="1:18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</row>
    <row r="145" spans="1:18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</row>
    <row r="146" spans="1:18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</row>
    <row r="147" spans="1:18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</row>
    <row r="148" spans="1:1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</row>
    <row r="149" spans="1:18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</row>
    <row r="150" spans="1:18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</row>
    <row r="151" spans="1:18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</row>
    <row r="152" spans="1:18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</row>
    <row r="153" spans="1:18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</row>
    <row r="154" spans="1:18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</row>
    <row r="155" spans="1:18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</row>
    <row r="156" spans="1:18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</row>
    <row r="157" spans="1:18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</row>
    <row r="158" spans="1:1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</row>
    <row r="159" spans="1:18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</row>
    <row r="160" spans="1:18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</row>
    <row r="161" spans="1:18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</row>
    <row r="162" spans="1:18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</row>
    <row r="163" spans="1:18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</row>
    <row r="164" spans="1:18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</row>
    <row r="165" spans="1:18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</row>
    <row r="166" spans="1:18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</row>
    <row r="167" spans="1:18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</row>
    <row r="168" spans="1:1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</row>
    <row r="169" spans="1:18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</row>
    <row r="170" spans="1:18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</row>
    <row r="171" spans="1:18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</row>
    <row r="172" spans="1:18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</row>
    <row r="173" spans="1:18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</row>
    <row r="174" spans="1:18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</row>
    <row r="175" spans="1:18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</row>
    <row r="176" spans="1:18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</row>
    <row r="177" spans="1:18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</row>
    <row r="178" spans="1:1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</row>
    <row r="179" spans="1:18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</row>
    <row r="180" spans="1:18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</row>
    <row r="181" spans="1:18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</row>
    <row r="182" spans="1:18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</row>
    <row r="183" spans="1:18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</row>
    <row r="184" spans="1:18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</row>
    <row r="185" spans="1:18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</row>
    <row r="186" spans="1:18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</row>
    <row r="187" spans="1:18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</row>
    <row r="188" spans="1:1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</row>
    <row r="189" spans="1:18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</row>
    <row r="190" spans="1:18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</row>
    <row r="191" spans="1:18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</row>
    <row r="192" spans="1:18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</row>
    <row r="193" spans="1:18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</row>
    <row r="194" spans="1:18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</row>
    <row r="195" spans="1:18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</row>
    <row r="196" spans="1:18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</row>
    <row r="197" spans="1:18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</row>
    <row r="198" spans="1:1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</row>
    <row r="199" spans="1:18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</row>
    <row r="200" spans="1:18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</row>
    <row r="201" spans="1:18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</row>
    <row r="202" spans="1:18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</row>
    <row r="203" spans="1:18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</row>
    <row r="204" spans="1:18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</row>
    <row r="205" spans="1:18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</row>
    <row r="206" spans="1:18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</row>
    <row r="207" spans="1:18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</row>
    <row r="208" spans="1:1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</row>
    <row r="209" spans="1:18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</row>
    <row r="210" spans="1:18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</row>
    <row r="211" spans="1:18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</row>
    <row r="212" spans="1:18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</row>
    <row r="213" spans="1:18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</row>
    <row r="214" spans="1:18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</row>
    <row r="215" spans="1:18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</row>
    <row r="216" spans="1:18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</row>
    <row r="217" spans="1:18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</row>
    <row r="218" spans="1: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</row>
    <row r="219" spans="1:18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</row>
    <row r="220" spans="1:18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</row>
    <row r="221" spans="1:18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</row>
    <row r="222" spans="1:18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</row>
    <row r="223" spans="1:18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</row>
    <row r="224" spans="1:18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</row>
    <row r="225" spans="1:18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</row>
    <row r="226" spans="1:18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</row>
    <row r="227" spans="1:18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</row>
    <row r="228" spans="1:1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</row>
    <row r="229" spans="1:18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</row>
    <row r="230" spans="1:18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</row>
    <row r="231" spans="1:18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</row>
    <row r="232" spans="1:18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</row>
    <row r="233" spans="1:18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</row>
    <row r="234" spans="1:18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</row>
    <row r="235" spans="1:18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</row>
    <row r="236" spans="1:18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</row>
    <row r="237" spans="1:18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</row>
    <row r="238" spans="1:1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</row>
    <row r="239" spans="1:18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</row>
    <row r="240" spans="1:18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</row>
    <row r="241" spans="1:18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</row>
    <row r="242" spans="1:18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</row>
    <row r="243" spans="1:18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</row>
    <row r="244" spans="1:18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</row>
    <row r="245" spans="1:18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</row>
    <row r="246" spans="1:18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</row>
    <row r="247" spans="1:18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</row>
    <row r="248" spans="1:1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</row>
    <row r="249" spans="1:18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</row>
    <row r="250" spans="1:18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</row>
    <row r="251" spans="1:18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</row>
    <row r="252" spans="1:18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</row>
    <row r="253" spans="1:18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</row>
    <row r="254" spans="1:18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</row>
    <row r="255" spans="1:18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</row>
    <row r="256" spans="1:18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</row>
    <row r="257" spans="1:18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</row>
    <row r="258" spans="1:1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</row>
    <row r="259" spans="1:18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</row>
    <row r="260" spans="1:18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</row>
    <row r="261" spans="1:18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</row>
    <row r="262" spans="1:18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</row>
    <row r="263" spans="1:18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</row>
    <row r="264" spans="1:18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</row>
    <row r="265" spans="1:18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</row>
    <row r="266" spans="1:18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</row>
    <row r="267" spans="1:18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</row>
    <row r="268" spans="1:1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</row>
    <row r="269" spans="1:18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</row>
    <row r="270" spans="1:18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</row>
    <row r="271" spans="1:18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</row>
    <row r="272" spans="1:18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</row>
    <row r="273" spans="1:18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</row>
    <row r="274" spans="1:18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</row>
    <row r="275" spans="1:18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</row>
    <row r="276" spans="1:18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</row>
    <row r="277" spans="1:18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</row>
    <row r="278" spans="1:1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</row>
    <row r="279" spans="1:18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</row>
    <row r="280" spans="1:18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</row>
    <row r="281" spans="1:18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</row>
    <row r="282" spans="1:18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</row>
    <row r="283" spans="1:18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</row>
    <row r="284" spans="1:18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</row>
    <row r="285" spans="1:18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</row>
    <row r="286" spans="1:18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</row>
    <row r="287" spans="1:18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</row>
    <row r="288" spans="1:1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</row>
    <row r="289" spans="1:18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</row>
    <row r="290" spans="1:18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</row>
    <row r="291" spans="1:18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</row>
    <row r="292" spans="1:18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</row>
    <row r="293" spans="1:18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</row>
    <row r="294" spans="1:18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</row>
    <row r="295" spans="1:18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</row>
    <row r="296" spans="1:18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</row>
    <row r="297" spans="1:18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</row>
    <row r="298" spans="1:1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</row>
    <row r="299" spans="1:18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</row>
    <row r="300" spans="1:18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</row>
    <row r="301" spans="1:18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</row>
    <row r="302" spans="1:18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</row>
    <row r="303" spans="1:18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</row>
    <row r="304" spans="1:18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</row>
    <row r="305" spans="1:18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</row>
    <row r="306" spans="1:18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</row>
    <row r="307" spans="1:18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</row>
    <row r="308" spans="1:1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</row>
    <row r="309" spans="1:18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</row>
    <row r="310" spans="1:18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</row>
    <row r="311" spans="1:18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</row>
    <row r="312" spans="1:18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</row>
    <row r="313" spans="1:18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</row>
    <row r="314" spans="1:18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</row>
    <row r="315" spans="1:18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</row>
    <row r="316" spans="1:18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</row>
    <row r="317" spans="1:18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</row>
    <row r="318" spans="1: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</row>
    <row r="319" spans="1:18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</row>
    <row r="320" spans="1:18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</row>
    <row r="321" spans="1:18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</row>
    <row r="322" spans="1:18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</row>
    <row r="323" spans="1:18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</row>
    <row r="324" spans="1:18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</row>
    <row r="325" spans="1:18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</row>
    <row r="326" spans="1:18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</row>
    <row r="327" spans="1:18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</row>
    <row r="328" spans="1:1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</row>
    <row r="329" spans="1:18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</row>
    <row r="330" spans="1:18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</row>
    <row r="331" spans="1:18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</row>
    <row r="332" spans="1:18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</row>
    <row r="333" spans="1:18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</row>
    <row r="334" spans="1:18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</row>
    <row r="335" spans="1:18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</row>
    <row r="336" spans="1:18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</row>
    <row r="337" spans="1:18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</row>
    <row r="338" spans="1:1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</row>
    <row r="339" spans="1:18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</row>
    <row r="340" spans="1:18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</row>
    <row r="341" spans="1:18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</row>
    <row r="342" spans="1:18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</row>
    <row r="343" spans="1:18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</row>
    <row r="344" spans="1:18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</row>
    <row r="345" spans="1:18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</row>
    <row r="346" spans="1:18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</row>
    <row r="347" spans="1:18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</row>
    <row r="348" spans="1:1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</row>
    <row r="349" spans="1:18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</row>
    <row r="350" spans="1:18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</row>
    <row r="351" spans="1:18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</row>
    <row r="352" spans="1:18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</row>
    <row r="353" spans="1:18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</row>
    <row r="354" spans="1:18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</row>
    <row r="355" spans="1:18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</row>
    <row r="356" spans="1:18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</row>
    <row r="357" spans="1:18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</row>
    <row r="358" spans="1:1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</row>
    <row r="359" spans="1:18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</row>
    <row r="360" spans="1:18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</row>
    <row r="361" spans="1:18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</row>
    <row r="362" spans="1:18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</row>
    <row r="363" spans="1:18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</row>
    <row r="364" spans="1:18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</row>
    <row r="365" spans="1:18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</row>
    <row r="366" spans="1:18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</row>
    <row r="367" spans="1:18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</row>
    <row r="368" spans="1:1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</row>
    <row r="369" spans="1:18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</row>
    <row r="370" spans="1:18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</row>
    <row r="371" spans="1:18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</row>
    <row r="372" spans="1:18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</row>
    <row r="373" spans="1:18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</row>
    <row r="374" spans="1:18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</row>
    <row r="375" spans="1:18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</row>
    <row r="376" spans="1:18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</row>
    <row r="377" spans="1:18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</row>
    <row r="378" spans="1:1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</row>
    <row r="379" spans="1:18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</row>
    <row r="380" spans="1:18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</row>
    <row r="381" spans="1:18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</row>
    <row r="382" spans="1:18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</row>
    <row r="383" spans="1:18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</row>
    <row r="384" spans="1:18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</row>
    <row r="385" spans="1:18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</row>
    <row r="386" spans="1:18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</row>
    <row r="387" spans="1:18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</row>
    <row r="388" spans="1:1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</row>
    <row r="389" spans="1:18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</row>
    <row r="390" spans="1:18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</row>
    <row r="391" spans="1:18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</row>
    <row r="392" spans="1:18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</row>
    <row r="393" spans="1:18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</row>
    <row r="394" spans="1:18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</row>
    <row r="395" spans="1:18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</row>
    <row r="396" spans="1:18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</row>
    <row r="397" spans="1:18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</row>
    <row r="398" spans="1:1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</row>
    <row r="399" spans="1:18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</row>
    <row r="400" spans="1:18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</row>
    <row r="401" spans="1:18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</row>
    <row r="402" spans="1:18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</row>
    <row r="403" spans="1:18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</row>
    <row r="404" spans="1:18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</row>
    <row r="405" spans="1:18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</row>
    <row r="406" spans="1:18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</row>
    <row r="407" spans="1:18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</row>
    <row r="408" spans="1:1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</row>
    <row r="409" spans="1:18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</row>
    <row r="410" spans="1:18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</row>
    <row r="411" spans="1:18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</row>
    <row r="412" spans="1:18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</row>
    <row r="413" spans="1:18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</row>
    <row r="414" spans="1:18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</row>
    <row r="415" spans="1:18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</row>
    <row r="416" spans="1:18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</row>
    <row r="417" spans="1:18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</row>
    <row r="418" spans="1: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</row>
    <row r="419" spans="1:18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</row>
    <row r="420" spans="1:18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</row>
    <row r="421" spans="1:18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</row>
    <row r="422" spans="1:18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</row>
    <row r="423" spans="1:18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</row>
    <row r="424" spans="1:18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</row>
    <row r="425" spans="1:18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</row>
    <row r="426" spans="1:18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</row>
    <row r="427" spans="1:18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</row>
    <row r="428" spans="1:1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</row>
    <row r="429" spans="1:18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</row>
    <row r="430" spans="1:18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</row>
    <row r="431" spans="1:18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</row>
    <row r="432" spans="1:18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</row>
    <row r="433" spans="1:18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</row>
    <row r="434" spans="1:18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</row>
    <row r="435" spans="1:18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</row>
    <row r="436" spans="1:18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</row>
    <row r="437" spans="1:18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</row>
    <row r="438" spans="1:1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</row>
    <row r="439" spans="1:18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</row>
    <row r="440" spans="1:18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</row>
    <row r="441" spans="1:18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</row>
    <row r="442" spans="1:18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</row>
    <row r="443" spans="1:18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</row>
    <row r="444" spans="1:18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</row>
    <row r="445" spans="1:18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</row>
    <row r="446" spans="1:18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</row>
    <row r="447" spans="1:18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</row>
    <row r="448" spans="1:1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</row>
    <row r="449" spans="1:18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</row>
    <row r="450" spans="1:18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</row>
    <row r="451" spans="1:18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</row>
    <row r="452" spans="1:18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</row>
    <row r="453" spans="1:18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</row>
    <row r="454" spans="1:18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</row>
    <row r="455" spans="1:18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</row>
    <row r="456" spans="1:18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</row>
    <row r="457" spans="1:18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</row>
    <row r="458" spans="1:1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</row>
    <row r="459" spans="1:18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</row>
    <row r="460" spans="1:18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</row>
    <row r="461" spans="1:18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</row>
    <row r="462" spans="1:18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</row>
    <row r="463" spans="1:18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</row>
    <row r="464" spans="1:18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</row>
    <row r="465" spans="1:18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</row>
    <row r="466" spans="1:18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</row>
    <row r="467" spans="1:18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</row>
    <row r="468" spans="1:1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</row>
    <row r="469" spans="1:18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</row>
    <row r="470" spans="1:18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</row>
    <row r="471" spans="1:18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</row>
    <row r="472" spans="1:18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</row>
    <row r="473" spans="1:18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</row>
    <row r="474" spans="1:18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</row>
    <row r="475" spans="1:18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</row>
    <row r="476" spans="1:18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</row>
    <row r="477" spans="1:18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</row>
    <row r="478" spans="1:1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</row>
    <row r="479" spans="1:18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</row>
    <row r="480" spans="1:18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</row>
    <row r="481" spans="1:18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</row>
    <row r="482" spans="1:18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</row>
    <row r="483" spans="1:18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</row>
    <row r="484" spans="1:18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</row>
    <row r="485" spans="1:18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</row>
    <row r="486" spans="1:18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</row>
    <row r="487" spans="1:18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</row>
    <row r="488" spans="1:1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</row>
    <row r="489" spans="1:18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</row>
    <row r="490" spans="1:18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</row>
    <row r="491" spans="1:18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</row>
    <row r="492" spans="1:18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</row>
    <row r="493" spans="1:18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</row>
    <row r="494" spans="1:18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</row>
    <row r="495" spans="1:18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</row>
    <row r="496" spans="1:18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</row>
    <row r="497" spans="1:18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</row>
    <row r="498" spans="1:1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</row>
    <row r="499" spans="1:18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</row>
    <row r="500" spans="1:18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</row>
    <row r="501" spans="1:18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</row>
    <row r="502" spans="1:18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</row>
    <row r="503" spans="1:18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</row>
    <row r="504" spans="1:18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</row>
    <row r="505" spans="1:18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</row>
    <row r="506" spans="1:18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</row>
    <row r="507" spans="1:18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</row>
    <row r="508" spans="1:1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</row>
    <row r="509" spans="1:18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</row>
    <row r="510" spans="1:18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</row>
    <row r="511" spans="1:18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</row>
    <row r="512" spans="1:18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</row>
    <row r="513" spans="1:18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</row>
    <row r="514" spans="1:18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</row>
    <row r="515" spans="1:18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</row>
    <row r="516" spans="1:18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</row>
    <row r="517" spans="1:18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</row>
    <row r="518" spans="1: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</row>
    <row r="519" spans="1:18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</row>
    <row r="520" spans="1:18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</row>
    <row r="521" spans="1:18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</row>
    <row r="522" spans="1:18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</row>
    <row r="523" spans="1:18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</row>
    <row r="524" spans="1:18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</row>
    <row r="525" spans="1:18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</row>
    <row r="526" spans="1:18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</row>
    <row r="527" spans="1:18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</row>
    <row r="528" spans="1:1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</row>
    <row r="529" spans="1:18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</row>
    <row r="530" spans="1:18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</row>
    <row r="531" spans="1:18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</row>
    <row r="532" spans="1:18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</row>
    <row r="533" spans="1:18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</row>
    <row r="534" spans="1:18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</row>
    <row r="535" spans="1:18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</row>
    <row r="536" spans="1:18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</row>
    <row r="537" spans="1:18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</row>
    <row r="538" spans="1:1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</row>
    <row r="539" spans="1:18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</row>
    <row r="540" spans="1:18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</row>
    <row r="541" spans="1:18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</row>
    <row r="542" spans="1:18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</row>
    <row r="543" spans="1:18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</row>
    <row r="544" spans="1:18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</row>
    <row r="545" spans="1:18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</row>
    <row r="546" spans="1:18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</row>
    <row r="547" spans="1:18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</row>
    <row r="548" spans="1:1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</row>
    <row r="549" spans="1:18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</row>
    <row r="550" spans="1:18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</row>
    <row r="551" spans="1:18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</row>
    <row r="552" spans="1:18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</row>
    <row r="553" spans="1:18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</row>
    <row r="554" spans="1:18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</row>
    <row r="555" spans="1:18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</row>
    <row r="556" spans="1:18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</row>
    <row r="557" spans="1:18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</row>
    <row r="558" spans="1:1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</row>
    <row r="559" spans="1:18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</row>
    <row r="560" spans="1:18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</row>
    <row r="561" spans="1:18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</row>
    <row r="562" spans="1:18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</row>
    <row r="563" spans="1:18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</row>
    <row r="564" spans="1:18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</row>
    <row r="565" spans="1:18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</row>
    <row r="566" spans="1:18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</row>
    <row r="567" spans="1:18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</row>
    <row r="568" spans="1:1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</row>
    <row r="569" spans="1:18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</row>
    <row r="570" spans="1:18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</row>
    <row r="571" spans="1:18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</row>
    <row r="572" spans="1:18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</row>
    <row r="573" spans="1:18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</row>
    <row r="574" spans="1:18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</row>
    <row r="575" spans="1:18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</row>
    <row r="576" spans="1:18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</row>
    <row r="577" spans="1:18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</row>
    <row r="578" spans="1:1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</row>
    <row r="579" spans="1:18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</row>
    <row r="580" spans="1:18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</row>
    <row r="581" spans="1:18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</row>
    <row r="582" spans="1:18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</row>
    <row r="583" spans="1:18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</row>
    <row r="584" spans="1:18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</row>
    <row r="585" spans="1:18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</row>
    <row r="586" spans="1:18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</row>
    <row r="587" spans="1:18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</row>
    <row r="588" spans="1:1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</row>
    <row r="589" spans="1:18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</row>
    <row r="590" spans="1:18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</row>
    <row r="591" spans="1:18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</row>
    <row r="592" spans="1:18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</row>
    <row r="593" spans="1:18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</row>
    <row r="594" spans="1:18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</row>
    <row r="595" spans="1:18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</row>
    <row r="596" spans="1:18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</row>
    <row r="597" spans="1:18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</row>
    <row r="598" spans="1:1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</row>
    <row r="599" spans="1:18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</row>
    <row r="600" spans="1:18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</row>
    <row r="601" spans="1:18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</row>
    <row r="602" spans="1:18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</row>
    <row r="603" spans="1:18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</row>
    <row r="604" spans="1:18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</row>
    <row r="605" spans="1:18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</row>
    <row r="606" spans="1:18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</row>
    <row r="607" spans="1:18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</row>
    <row r="608" spans="1:1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</row>
    <row r="609" spans="1:18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</row>
    <row r="610" spans="1:18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</row>
    <row r="611" spans="1:18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</row>
    <row r="612" spans="1:18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</row>
    <row r="613" spans="1:18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</row>
    <row r="614" spans="1:18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</row>
    <row r="615" spans="1:18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</row>
    <row r="616" spans="1:18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</row>
    <row r="617" spans="1:18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</row>
    <row r="618" spans="1: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</row>
    <row r="619" spans="1:18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</row>
    <row r="620" spans="1:18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</row>
    <row r="621" spans="1:18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</row>
    <row r="622" spans="1:18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</row>
    <row r="623" spans="1:18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</row>
    <row r="624" spans="1:18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</row>
    <row r="625" spans="1:18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</row>
    <row r="626" spans="1:18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</row>
    <row r="627" spans="1:18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</row>
    <row r="628" spans="1:1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</row>
    <row r="629" spans="1:18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</row>
    <row r="630" spans="1:18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</row>
    <row r="631" spans="1:18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</row>
    <row r="632" spans="1:18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</row>
    <row r="633" spans="1:18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</row>
    <row r="634" spans="1:18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</row>
    <row r="635" spans="1:18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</row>
    <row r="636" spans="1:18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</row>
    <row r="637" spans="1:18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</row>
    <row r="638" spans="1:1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</row>
    <row r="639" spans="1:18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</row>
    <row r="640" spans="1:18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</row>
    <row r="641" spans="1:18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</row>
    <row r="642" spans="1:18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</row>
    <row r="643" spans="1:18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</row>
    <row r="644" spans="1:18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</row>
    <row r="645" spans="1:18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</row>
    <row r="646" spans="1:18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</row>
    <row r="647" spans="1:18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</row>
    <row r="648" spans="1:1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</row>
    <row r="649" spans="1:18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</row>
    <row r="650" spans="1:18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</row>
    <row r="651" spans="1:18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</row>
    <row r="652" spans="1:18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</row>
    <row r="653" spans="1:18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</row>
    <row r="654" spans="1:18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</row>
    <row r="655" spans="1:18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</row>
    <row r="656" spans="1:18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</row>
    <row r="657" spans="1:18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</row>
    <row r="658" spans="1:1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</row>
    <row r="659" spans="1:18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</row>
    <row r="660" spans="1:18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</row>
    <row r="661" spans="1:18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</row>
    <row r="662" spans="1:18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</row>
    <row r="663" spans="1:18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</row>
    <row r="664" spans="1:18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</row>
    <row r="665" spans="1:18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</row>
    <row r="666" spans="1:18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</row>
    <row r="667" spans="1:18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</row>
    <row r="668" spans="1:1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</row>
    <row r="669" spans="1:18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</row>
    <row r="670" spans="1:18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</row>
    <row r="671" spans="1:18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</row>
    <row r="672" spans="1:18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</row>
    <row r="673" spans="1:18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</row>
    <row r="674" spans="1:18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</row>
    <row r="675" spans="1:18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</row>
    <row r="676" spans="1:18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</row>
    <row r="677" spans="1:18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</row>
    <row r="678" spans="1:1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</row>
    <row r="679" spans="1:18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</row>
    <row r="680" spans="1:18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</row>
    <row r="681" spans="1:18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</row>
    <row r="682" spans="1:18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</row>
    <row r="683" spans="1:18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</row>
    <row r="684" spans="1:18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</row>
    <row r="685" spans="1:18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</row>
    <row r="686" spans="1:18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</row>
    <row r="687" spans="1:18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</row>
    <row r="688" spans="1:1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</row>
    <row r="689" spans="1:18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</row>
    <row r="690" spans="1:18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</row>
    <row r="691" spans="1:18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</row>
    <row r="692" spans="1:18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</row>
    <row r="693" spans="1:18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</row>
    <row r="694" spans="1:18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</row>
    <row r="695" spans="1:18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</row>
    <row r="696" spans="1:18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</row>
    <row r="697" spans="1:18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</row>
    <row r="698" spans="1:1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</row>
    <row r="699" spans="1:18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</row>
    <row r="700" spans="1:18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</row>
    <row r="701" spans="1:18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</row>
    <row r="702" spans="1:18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</row>
    <row r="703" spans="1:18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</row>
    <row r="704" spans="1:18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</row>
    <row r="705" spans="1:18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</row>
    <row r="706" spans="1:18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</row>
    <row r="707" spans="1:18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</row>
    <row r="708" spans="1:1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</row>
    <row r="709" spans="1:18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</row>
    <row r="710" spans="1:18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</row>
    <row r="711" spans="1:18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</row>
    <row r="712" spans="1:18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</row>
    <row r="713" spans="1:18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</row>
    <row r="714" spans="1:18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</row>
    <row r="715" spans="1:18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</row>
    <row r="716" spans="1:18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</row>
    <row r="717" spans="1:18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</row>
    <row r="718" spans="1: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</row>
    <row r="719" spans="1:18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</row>
    <row r="720" spans="1:18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</row>
    <row r="721" spans="1:18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</row>
    <row r="722" spans="1:18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</row>
    <row r="723" spans="1:18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</row>
    <row r="724" spans="1:18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</row>
    <row r="725" spans="1:18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</row>
    <row r="726" spans="1:18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</row>
    <row r="727" spans="1:18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</row>
    <row r="728" spans="1:1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</row>
    <row r="729" spans="1:18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</row>
    <row r="730" spans="1:18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</row>
    <row r="731" spans="1:18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</row>
    <row r="732" spans="1:18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</row>
    <row r="733" spans="1:18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</row>
    <row r="734" spans="1:18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</row>
    <row r="735" spans="1:18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</row>
    <row r="736" spans="1:18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</row>
    <row r="737" spans="1:18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</row>
    <row r="738" spans="1:1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</row>
    <row r="739" spans="1:18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</row>
    <row r="740" spans="1:18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</row>
    <row r="741" spans="1:18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</row>
    <row r="742" spans="1:18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</row>
    <row r="743" spans="1:18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</row>
    <row r="744" spans="1:18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</row>
    <row r="745" spans="1:18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</row>
    <row r="746" spans="1:18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</row>
    <row r="747" spans="1:18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</row>
    <row r="748" spans="1:1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</row>
    <row r="749" spans="1:18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</row>
    <row r="750" spans="1:18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</row>
    <row r="751" spans="1:18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</row>
    <row r="752" spans="1:18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</row>
    <row r="753" spans="1:18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</row>
    <row r="754" spans="1:18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</row>
    <row r="755" spans="1:18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</row>
    <row r="756" spans="1:18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</row>
    <row r="757" spans="1:18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</row>
    <row r="758" spans="1:1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</row>
    <row r="759" spans="1:18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</row>
    <row r="760" spans="1:18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</row>
    <row r="761" spans="1:18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</row>
    <row r="762" spans="1:18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</row>
    <row r="763" spans="1:18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</row>
    <row r="764" spans="1:18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</row>
    <row r="765" spans="1:18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</row>
    <row r="766" spans="1:18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</row>
    <row r="767" spans="1:18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</row>
    <row r="768" spans="1:1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</row>
    <row r="769" spans="1:18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</row>
    <row r="770" spans="1:18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</row>
    <row r="771" spans="1:18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</row>
    <row r="772" spans="1:18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</row>
    <row r="773" spans="1:18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</row>
    <row r="774" spans="1:18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</row>
    <row r="775" spans="1:18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</row>
    <row r="776" spans="1:18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</row>
    <row r="777" spans="1:18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</row>
    <row r="778" spans="1:1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</row>
    <row r="779" spans="1:18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</row>
    <row r="780" spans="1:18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</row>
    <row r="781" spans="1:18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</row>
    <row r="782" spans="1:18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</row>
    <row r="783" spans="1:18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</row>
    <row r="784" spans="1:18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</row>
    <row r="785" spans="1:18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</row>
    <row r="786" spans="1:18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</row>
    <row r="787" spans="1:18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</row>
    <row r="788" spans="1:1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</row>
    <row r="789" spans="1:18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</row>
    <row r="790" spans="1:18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</row>
    <row r="791" spans="1:18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</row>
    <row r="792" spans="1:18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</row>
    <row r="793" spans="1:18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</row>
    <row r="794" spans="1:18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</row>
    <row r="795" spans="1:18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</row>
    <row r="796" spans="1:18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</row>
    <row r="797" spans="1:18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</row>
    <row r="798" spans="1:1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</row>
    <row r="799" spans="1:18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</row>
    <row r="800" spans="1:18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</row>
    <row r="801" spans="1:18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</row>
    <row r="802" spans="1:18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</row>
    <row r="803" spans="1:18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</row>
    <row r="804" spans="1:18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</row>
    <row r="805" spans="1:18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</row>
    <row r="806" spans="1:18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</row>
    <row r="807" spans="1:18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</row>
    <row r="808" spans="1:1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</row>
    <row r="809" spans="1:18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</row>
    <row r="810" spans="1:18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</row>
    <row r="811" spans="1:18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</row>
    <row r="812" spans="1:18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</row>
    <row r="813" spans="1:18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</row>
    <row r="814" spans="1:18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</row>
    <row r="815" spans="1:18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</row>
    <row r="816" spans="1:18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</row>
    <row r="817" spans="1:18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</row>
    <row r="818" spans="1: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</row>
    <row r="819" spans="1:18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</row>
    <row r="820" spans="1:18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</row>
    <row r="821" spans="1:18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</row>
    <row r="822" spans="1:18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</row>
    <row r="823" spans="1:18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</row>
    <row r="824" spans="1:18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</row>
    <row r="825" spans="1:18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</row>
    <row r="826" spans="1:18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</row>
    <row r="827" spans="1:18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</row>
    <row r="828" spans="1:1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</row>
    <row r="829" spans="1:18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</row>
    <row r="830" spans="1:18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</row>
    <row r="831" spans="1:18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</row>
    <row r="832" spans="1:18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</row>
    <row r="833" spans="1:18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</row>
    <row r="834" spans="1:18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</row>
    <row r="835" spans="1:18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</row>
    <row r="836" spans="1:18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</row>
    <row r="837" spans="1:18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</row>
    <row r="838" spans="1:1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</row>
    <row r="839" spans="1:18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</row>
    <row r="840" spans="1:18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</row>
    <row r="841" spans="1:18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</row>
    <row r="842" spans="1:18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</row>
    <row r="843" spans="1:18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</row>
    <row r="844" spans="1:18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</row>
    <row r="845" spans="1:18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</row>
    <row r="846" spans="1:18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</row>
    <row r="847" spans="1:18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</row>
    <row r="848" spans="1:1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</row>
    <row r="849" spans="1:18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</row>
    <row r="850" spans="1:18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</row>
    <row r="851" spans="1:18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</row>
    <row r="852" spans="1:18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</row>
    <row r="853" spans="1:18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</row>
    <row r="854" spans="1:18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</row>
    <row r="855" spans="1:18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</row>
    <row r="856" spans="1:18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</row>
    <row r="857" spans="1:18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</row>
    <row r="858" spans="1:1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</row>
    <row r="859" spans="1:18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</row>
    <row r="860" spans="1:18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</row>
    <row r="861" spans="1:18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</row>
    <row r="862" spans="1:18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</row>
    <row r="863" spans="1:18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</row>
    <row r="864" spans="1:18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</row>
    <row r="865" spans="1:18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</row>
    <row r="866" spans="1:18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</row>
    <row r="867" spans="1:18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</row>
    <row r="868" spans="1:1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</row>
    <row r="869" spans="1:18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</row>
    <row r="870" spans="1:18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</row>
    <row r="871" spans="1:18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</row>
    <row r="872" spans="1:18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</row>
    <row r="873" spans="1:18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</row>
    <row r="874" spans="1:18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</row>
    <row r="875" spans="1:18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</row>
    <row r="876" spans="1:18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</row>
    <row r="877" spans="1:18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</row>
    <row r="878" spans="1:1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</row>
    <row r="879" spans="1:18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</row>
    <row r="880" spans="1:18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</row>
    <row r="881" spans="1:18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</row>
    <row r="882" spans="1:18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</row>
    <row r="883" spans="1:18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</row>
    <row r="884" spans="1:18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</row>
    <row r="885" spans="1:18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</row>
    <row r="886" spans="1:18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</row>
    <row r="887" spans="1:18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</row>
    <row r="888" spans="1:1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</row>
    <row r="889" spans="1:18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</row>
    <row r="890" spans="1:18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</row>
    <row r="891" spans="1:18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</row>
    <row r="892" spans="1:18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</row>
    <row r="893" spans="1:18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</row>
    <row r="894" spans="1:18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</row>
    <row r="895" spans="1:18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</row>
    <row r="896" spans="1:18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</row>
    <row r="897" spans="1:18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</row>
    <row r="898" spans="1:1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</row>
    <row r="899" spans="1:18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</row>
    <row r="900" spans="1:18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</row>
    <row r="901" spans="1:18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</row>
    <row r="902" spans="1:18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</row>
    <row r="903" spans="1:18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</row>
    <row r="904" spans="1:18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</row>
    <row r="905" spans="1:18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</row>
    <row r="906" spans="1:18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</row>
    <row r="907" spans="1:18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</row>
    <row r="908" spans="1:1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</row>
    <row r="909" spans="1:18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</row>
    <row r="910" spans="1:18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</row>
    <row r="911" spans="1:18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</row>
    <row r="912" spans="1:18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</row>
    <row r="913" spans="1:18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</row>
    <row r="914" spans="1:18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</row>
    <row r="915" spans="1:18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</row>
    <row r="916" spans="1:18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</row>
    <row r="917" spans="1:18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</row>
    <row r="918" spans="1: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</row>
    <row r="919" spans="1:18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</row>
    <row r="920" spans="1:18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</row>
    <row r="921" spans="1:18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</row>
    <row r="922" spans="1:18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</row>
    <row r="923" spans="1:18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</row>
    <row r="924" spans="1:18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</row>
    <row r="925" spans="1:18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</row>
    <row r="926" spans="1:18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</row>
    <row r="927" spans="1:18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</row>
    <row r="928" spans="1:1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</row>
    <row r="929" spans="1:18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</row>
    <row r="930" spans="1:18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</row>
    <row r="931" spans="1:18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</row>
    <row r="932" spans="1:18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</row>
    <row r="933" spans="1:18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</row>
    <row r="934" spans="1:18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</row>
    <row r="935" spans="1:18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</row>
    <row r="936" spans="1:18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</row>
    <row r="937" spans="1:18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</row>
    <row r="938" spans="1:1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</row>
    <row r="939" spans="1:18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</row>
    <row r="940" spans="1:18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</row>
    <row r="941" spans="1:18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</row>
    <row r="942" spans="1:18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</row>
    <row r="943" spans="1:18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</row>
    <row r="944" spans="1:18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</row>
    <row r="945" spans="1:18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</row>
    <row r="946" spans="1:18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</row>
    <row r="947" spans="1:18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</row>
    <row r="948" spans="1:1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</row>
    <row r="949" spans="1:18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</row>
    <row r="950" spans="1:18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</row>
    <row r="951" spans="1:18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</row>
    <row r="952" spans="1:18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</row>
    <row r="953" spans="1:18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</row>
    <row r="954" spans="1:18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</row>
    <row r="955" spans="1:18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</row>
    <row r="956" spans="1:18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</row>
    <row r="957" spans="1:18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</row>
    <row r="958" spans="1:1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</row>
    <row r="959" spans="1:18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</row>
    <row r="960" spans="1:18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</row>
    <row r="961" spans="1:18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</row>
    <row r="962" spans="1:18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</row>
    <row r="963" spans="1:18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</row>
    <row r="964" spans="1:18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</row>
    <row r="965" spans="1:18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</row>
    <row r="966" spans="1:18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</row>
    <row r="967" spans="1:18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</row>
    <row r="968" spans="1:1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</row>
    <row r="969" spans="1:18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</row>
    <row r="970" spans="1:18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</row>
    <row r="971" spans="1:18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</row>
    <row r="972" spans="1:18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</row>
    <row r="973" spans="1:18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</row>
    <row r="974" spans="1:18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</row>
    <row r="975" spans="1:18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</row>
    <row r="976" spans="1:18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</row>
    <row r="977" spans="1:18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</row>
    <row r="978" spans="1:1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</row>
    <row r="979" spans="1:18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</row>
    <row r="980" spans="1:18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</row>
    <row r="981" spans="1:18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</row>
    <row r="982" spans="1:18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</row>
    <row r="983" spans="1:18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</row>
    <row r="984" spans="1:18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</row>
    <row r="985" spans="1:18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</row>
    <row r="986" spans="1:18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</row>
    <row r="987" spans="1:18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</row>
    <row r="988" spans="1:1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</row>
    <row r="989" spans="1:18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</row>
    <row r="990" spans="1:18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</row>
    <row r="991" spans="1:18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</row>
    <row r="992" spans="1:18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</row>
    <row r="993" spans="1:18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</row>
    <row r="994" spans="1:18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</row>
    <row r="995" spans="1:18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</row>
    <row r="996" spans="1:18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</row>
  </sheetData>
  <mergeCells count="1">
    <mergeCell ref="A1:A2"/>
  </mergeCells>
  <hyperlinks>
    <hyperlink ref="S4" r:id="rId1" location="eyJhcHBpZCI6MTUwLCJzdGVwcyI6WzEsMiwzXSwiZGF0YSI6W1siY2F0ZWdvcmllcyIsIkdkcHhJbmQiXSxbIlRhYmxlX0xpc3QiLCIxNSJdXX0=" xr:uid="{00000000-0004-0000-0D00-000000000000}"/>
    <hyperlink ref="S5" r:id="rId2" location="eyJhcHBpZCI6MTUwLCJzdGVwcyI6WzEsMiwzXSwiZGF0YSI6W1siY2F0ZWdvcmllcyIsIkdkcHhJbmQiXSxbIlRhYmxlX0xpc3QiLCIxNSJdXX0=" xr:uid="{00000000-0004-0000-0D00-000001000000}"/>
    <hyperlink ref="S6" r:id="rId3" location="eyJhcHBpZCI6MTUwLCJzdGVwcyI6WzEsMiwzXSwiZGF0YSI6W1siY2F0ZWdvcmllcyIsIkdkcHhJbmQiXSxbIlRhYmxlX0xpc3QiLCIxNSJdXX0=" xr:uid="{00000000-0004-0000-0D00-000002000000}"/>
    <hyperlink ref="S7" r:id="rId4" location="eyJhcHBpZCI6MTUwLCJzdGVwcyI6WzEsMiwzXSwiZGF0YSI6W1siY2F0ZWdvcmllcyIsIkdkcHhJbmQiXSxbIlRhYmxlX0xpc3QiLCIxNSJdXX0=" xr:uid="{00000000-0004-0000-0D00-000003000000}"/>
    <hyperlink ref="S8" r:id="rId5" location="eyJhcHBpZCI6MTUwLCJzdGVwcyI6WzEsMiwzXSwiZGF0YSI6W1siY2F0ZWdvcmllcyIsIkdkcHhJbmQiXSxbIlRhYmxlX0xpc3QiLCIxNSJdXX0=" xr:uid="{00000000-0004-0000-0D00-000004000000}"/>
    <hyperlink ref="S9" r:id="rId6" location="eyJhcHBpZCI6MTUwLCJzdGVwcyI6WzEsMiwzXSwiZGF0YSI6W1siY2F0ZWdvcmllcyIsIkdkcHhJbmQiXSxbIlRhYmxlX0xpc3QiLCIxNSJdXX0=" xr:uid="{00000000-0004-0000-0D00-000005000000}"/>
    <hyperlink ref="S10" r:id="rId7" location="eyJhcHBpZCI6MTUwLCJzdGVwcyI6WzEsMiwzXSwiZGF0YSI6W1siY2F0ZWdvcmllcyIsIkdkcHhJbmQiXSxbIlRhYmxlX0xpc3QiLCIxNSJdXX0=" xr:uid="{00000000-0004-0000-0D00-000006000000}"/>
    <hyperlink ref="S13" r:id="rId8" location="eyJhcHBpZCI6MTUwLCJzdGVwcyI6WzEsMiwzXSwiZGF0YSI6W1siY2F0ZWdvcmllcyIsIkdkcHhJbmQiXSxbIlRhYmxlX0xpc3QiLCIxNSJdXX0=" xr:uid="{00000000-0004-0000-0D00-000007000000}"/>
    <hyperlink ref="S14" r:id="rId9" location="eyJhcHBpZCI6MTUwLCJzdGVwcyI6WzEsMiwzXSwiZGF0YSI6W1siY2F0ZWdvcmllcyIsIkdkcHhJbmQiXSxbIlRhYmxlX0xpc3QiLCIxNSJdXX0=" xr:uid="{00000000-0004-0000-0D00-000008000000}"/>
    <hyperlink ref="S15" r:id="rId10" location="eyJhcHBpZCI6MTUwLCJzdGVwcyI6WzEsMiwzXSwiZGF0YSI6W1siY2F0ZWdvcmllcyIsIkdkcHhJbmQiXSxbIlRhYmxlX0xpc3QiLCIxNSJdXX0=" xr:uid="{00000000-0004-0000-0D00-000009000000}"/>
    <hyperlink ref="S16" r:id="rId11" location="eyJhcHBpZCI6MTUwLCJzdGVwcyI6WzEsMiwzXSwiZGF0YSI6W1siY2F0ZWdvcmllcyIsIkdkcHhJbmQiXSxbIlRhYmxlX0xpc3QiLCIxNSJdXX0=" xr:uid="{00000000-0004-0000-0D00-00000A000000}"/>
    <hyperlink ref="S17" r:id="rId12" location="eyJhcHBpZCI6MTUwLCJzdGVwcyI6WzEsMiwzXSwiZGF0YSI6W1siY2F0ZWdvcmllcyIsIkdkcHhJbmQiXSxbIlRhYmxlX0xpc3QiLCIxNSJdXX0=" xr:uid="{00000000-0004-0000-0D00-00000B000000}"/>
    <hyperlink ref="S18" r:id="rId13" location="eyJhcHBpZCI6MTUwLCJzdGVwcyI6WzEsMiwzXSwiZGF0YSI6W1siY2F0ZWdvcmllcyIsIkdkcHhJbmQiXSxbIlRhYmxlX0xpc3QiLCIxNSJdXX0=" xr:uid="{00000000-0004-0000-0D00-00000C000000}"/>
    <hyperlink ref="S19" r:id="rId14" location="eyJhcHBpZCI6MTUwLCJzdGVwcyI6WzEsMiwzXSwiZGF0YSI6W1siY2F0ZWdvcmllcyIsIkdkcHhJbmQiXSxbIlRhYmxlX0xpc3QiLCIxNSJdXX0=" xr:uid="{00000000-0004-0000-0D00-00000D000000}"/>
    <hyperlink ref="S22" r:id="rId15" xr:uid="{1F7FD1B1-E457-4DDD-B716-B8478D49916A}"/>
    <hyperlink ref="S23" r:id="rId16" xr:uid="{3CFA04EB-510B-4474-9599-2E88EDC698DE}"/>
    <hyperlink ref="S24" r:id="rId17" xr:uid="{4E120A18-EAE5-421A-8822-5F69CF46E350}"/>
    <hyperlink ref="S25" r:id="rId18" xr:uid="{36CE380F-F516-44DD-B1F5-03AF65278ECE}"/>
  </hyperlinks>
  <pageMargins left="0.7" right="0.7" top="0.75" bottom="0.75" header="0.3" footer="0.3"/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3404"/>
  </sheetPr>
  <dimension ref="A1:AD1000"/>
  <sheetViews>
    <sheetView zoomScale="70" zoomScaleNormal="70" workbookViewId="0">
      <pane xSplit="1" ySplit="3" topLeftCell="B23" activePane="bottomRight" state="frozen"/>
      <selection pane="topRight" activeCell="B1" sqref="B1"/>
      <selection pane="bottomLeft" activeCell="A4" sqref="A4"/>
      <selection pane="bottomRight" activeCell="B36" sqref="B36:Q36"/>
    </sheetView>
  </sheetViews>
  <sheetFormatPr defaultColWidth="14.42578125" defaultRowHeight="15" customHeight="1"/>
  <cols>
    <col min="1" max="1" width="80.42578125" customWidth="1"/>
    <col min="2" max="17" width="11.7109375" customWidth="1"/>
    <col min="18" max="18" width="17.7109375" bestFit="1" customWidth="1"/>
    <col min="19" max="19" width="78.140625" customWidth="1"/>
    <col min="20" max="20" width="27.140625" customWidth="1"/>
    <col min="21" max="30" width="8.85546875" customWidth="1"/>
  </cols>
  <sheetData>
    <row r="1" spans="1:30">
      <c r="A1" s="450" t="s">
        <v>402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4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403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176">
        <v>2013</v>
      </c>
      <c r="H3" s="176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 t="s">
        <v>301</v>
      </c>
      <c r="S3" s="29" t="s">
        <v>302</v>
      </c>
      <c r="T3" s="29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45">
      <c r="A4" s="35" t="s">
        <v>404</v>
      </c>
      <c r="B4" s="68">
        <v>25.6</v>
      </c>
      <c r="C4" s="68">
        <v>21.2</v>
      </c>
      <c r="D4" s="68">
        <v>23.3</v>
      </c>
      <c r="E4" s="68">
        <v>23.6</v>
      </c>
      <c r="F4" s="68">
        <v>25.8</v>
      </c>
      <c r="G4" s="68">
        <v>30.5</v>
      </c>
      <c r="H4" s="68">
        <v>30.9</v>
      </c>
      <c r="I4" s="68">
        <v>32.5</v>
      </c>
      <c r="J4" s="68">
        <v>35.299999999999997</v>
      </c>
      <c r="K4" s="68">
        <v>37.5</v>
      </c>
      <c r="L4" s="68">
        <v>40.4</v>
      </c>
      <c r="M4" s="68">
        <v>41.2</v>
      </c>
      <c r="N4" s="68">
        <v>42.2</v>
      </c>
      <c r="O4" s="68">
        <v>35.799999999999997</v>
      </c>
      <c r="P4" s="68">
        <v>34.25</v>
      </c>
      <c r="Q4" s="68">
        <v>36.875</v>
      </c>
      <c r="R4" s="34" t="s">
        <v>324</v>
      </c>
      <c r="S4" s="149" t="s">
        <v>325</v>
      </c>
      <c r="T4" s="34" t="s">
        <v>511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75">
      <c r="A5" s="35" t="s">
        <v>405</v>
      </c>
      <c r="B5" s="52">
        <v>0.2</v>
      </c>
      <c r="C5" s="52">
        <v>0.1</v>
      </c>
      <c r="D5" s="52">
        <v>0.2</v>
      </c>
      <c r="E5" s="52">
        <v>0.2</v>
      </c>
      <c r="F5" s="52">
        <v>0.2</v>
      </c>
      <c r="G5" s="52">
        <v>0.2</v>
      </c>
      <c r="H5" s="52">
        <v>0.2</v>
      </c>
      <c r="I5" s="52">
        <v>0.2</v>
      </c>
      <c r="J5" s="52">
        <v>0.2</v>
      </c>
      <c r="K5" s="52">
        <v>0.2</v>
      </c>
      <c r="L5" s="52">
        <v>0.2</v>
      </c>
      <c r="M5" s="52">
        <v>0.2</v>
      </c>
      <c r="N5" s="292">
        <v>0.2</v>
      </c>
      <c r="O5" s="52">
        <v>0.25</v>
      </c>
      <c r="P5" s="52">
        <v>0.2</v>
      </c>
      <c r="Q5" s="52">
        <v>0.2</v>
      </c>
      <c r="R5" s="34" t="s">
        <v>324</v>
      </c>
      <c r="S5" s="149" t="s">
        <v>388</v>
      </c>
      <c r="T5" s="34" t="s">
        <v>511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45">
      <c r="A6" s="35" t="s">
        <v>406</v>
      </c>
      <c r="B6" s="68">
        <v>89.1</v>
      </c>
      <c r="C6" s="68">
        <v>65.900000000000006</v>
      </c>
      <c r="D6" s="68">
        <v>71.900000000000006</v>
      </c>
      <c r="E6" s="68">
        <v>73</v>
      </c>
      <c r="F6" s="68">
        <v>80.8</v>
      </c>
      <c r="G6" s="68">
        <v>90.6</v>
      </c>
      <c r="H6" s="68">
        <v>97.6</v>
      </c>
      <c r="I6" s="68">
        <v>101</v>
      </c>
      <c r="J6" s="68">
        <v>105.3</v>
      </c>
      <c r="K6" s="68">
        <v>112</v>
      </c>
      <c r="L6" s="68">
        <v>120</v>
      </c>
      <c r="M6" s="68">
        <v>117.6</v>
      </c>
      <c r="N6" s="180">
        <v>113</v>
      </c>
      <c r="O6" s="68">
        <v>163.15</v>
      </c>
      <c r="P6" s="68">
        <v>174.1</v>
      </c>
      <c r="Q6" s="68">
        <v>171.32499999999999</v>
      </c>
      <c r="R6" s="34" t="s">
        <v>324</v>
      </c>
      <c r="S6" s="149" t="s">
        <v>325</v>
      </c>
      <c r="T6" s="34" t="s">
        <v>511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60">
      <c r="A7" s="35" t="s">
        <v>407</v>
      </c>
      <c r="B7" s="68">
        <v>21.2</v>
      </c>
      <c r="C7" s="68">
        <v>16.3</v>
      </c>
      <c r="D7" s="68">
        <v>15.9</v>
      </c>
      <c r="E7" s="68">
        <v>16.3</v>
      </c>
      <c r="F7" s="68">
        <v>16.7</v>
      </c>
      <c r="G7" s="68">
        <v>17.7</v>
      </c>
      <c r="H7" s="68">
        <v>19.399999999999999</v>
      </c>
      <c r="I7" s="68">
        <v>20.399999999999999</v>
      </c>
      <c r="J7" s="68">
        <v>21.1</v>
      </c>
      <c r="K7" s="68">
        <v>22.2</v>
      </c>
      <c r="L7" s="68">
        <v>23.536999999999999</v>
      </c>
      <c r="M7" s="68">
        <v>24.641999999999999</v>
      </c>
      <c r="N7" s="180">
        <v>25.437999999999999</v>
      </c>
      <c r="O7" s="68">
        <v>28.122</v>
      </c>
      <c r="P7" s="68">
        <v>31.358000000000001</v>
      </c>
      <c r="Q7" s="67"/>
      <c r="R7" s="34" t="s">
        <v>324</v>
      </c>
      <c r="S7" s="177" t="s">
        <v>408</v>
      </c>
      <c r="T7" s="34" t="s">
        <v>511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60">
      <c r="A8" s="41" t="s">
        <v>409</v>
      </c>
      <c r="B8" s="52">
        <v>0.7</v>
      </c>
      <c r="C8" s="52">
        <v>0.7</v>
      </c>
      <c r="D8" s="52">
        <v>0.7</v>
      </c>
      <c r="E8" s="52">
        <v>0.7</v>
      </c>
      <c r="F8" s="52">
        <v>0.7</v>
      </c>
      <c r="G8" s="52">
        <v>0.7</v>
      </c>
      <c r="H8" s="52">
        <v>0.7</v>
      </c>
      <c r="I8" s="52">
        <v>0.7</v>
      </c>
      <c r="J8" s="52">
        <v>0.7</v>
      </c>
      <c r="K8" s="52">
        <v>0.8</v>
      </c>
      <c r="L8" s="52">
        <v>0.8</v>
      </c>
      <c r="M8" s="52">
        <v>0.9</v>
      </c>
      <c r="N8" s="292">
        <v>-1</v>
      </c>
      <c r="O8" s="52">
        <v>0.1</v>
      </c>
      <c r="P8" s="52">
        <v>1</v>
      </c>
      <c r="Q8" s="67"/>
      <c r="R8" s="34" t="s">
        <v>324</v>
      </c>
      <c r="S8" s="149" t="s">
        <v>410</v>
      </c>
      <c r="T8" s="34" t="s">
        <v>511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60">
      <c r="A9" s="35" t="s">
        <v>411</v>
      </c>
      <c r="B9" s="68">
        <v>3.7</v>
      </c>
      <c r="C9" s="68">
        <v>4.2</v>
      </c>
      <c r="D9" s="68">
        <v>6.8</v>
      </c>
      <c r="E9" s="68">
        <v>6.7</v>
      </c>
      <c r="F9" s="68">
        <v>8.4</v>
      </c>
      <c r="G9" s="68">
        <v>12.1</v>
      </c>
      <c r="H9" s="68">
        <v>10.9</v>
      </c>
      <c r="I9" s="68">
        <v>11.4</v>
      </c>
      <c r="J9" s="68">
        <v>13.5</v>
      </c>
      <c r="K9" s="68">
        <v>12.7</v>
      </c>
      <c r="L9" s="68">
        <v>12.6</v>
      </c>
      <c r="M9" s="68">
        <v>11.3</v>
      </c>
      <c r="N9" s="180">
        <v>18.5</v>
      </c>
      <c r="O9" s="68">
        <v>31.9</v>
      </c>
      <c r="P9" s="68">
        <v>29.7</v>
      </c>
      <c r="Q9" s="36"/>
      <c r="R9" s="34" t="s">
        <v>324</v>
      </c>
      <c r="S9" s="149" t="s">
        <v>410</v>
      </c>
      <c r="T9" s="34" t="s">
        <v>511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60">
      <c r="A10" s="41" t="s">
        <v>333</v>
      </c>
      <c r="B10" s="150">
        <v>456</v>
      </c>
      <c r="C10" s="150">
        <v>362</v>
      </c>
      <c r="D10" s="150">
        <v>342</v>
      </c>
      <c r="E10" s="150">
        <v>338</v>
      </c>
      <c r="F10" s="150">
        <v>341</v>
      </c>
      <c r="G10" s="150">
        <v>355</v>
      </c>
      <c r="H10" s="150">
        <v>371</v>
      </c>
      <c r="I10" s="150">
        <v>381</v>
      </c>
      <c r="J10" s="150">
        <v>391</v>
      </c>
      <c r="K10" s="150">
        <v>398</v>
      </c>
      <c r="L10" s="150">
        <v>406</v>
      </c>
      <c r="M10" s="150">
        <v>407</v>
      </c>
      <c r="N10" s="180">
        <v>396</v>
      </c>
      <c r="O10" s="150">
        <v>410</v>
      </c>
      <c r="P10" s="150">
        <v>428</v>
      </c>
      <c r="Q10" s="36"/>
      <c r="R10" s="76" t="s">
        <v>324</v>
      </c>
      <c r="S10" s="177" t="s">
        <v>412</v>
      </c>
      <c r="T10" s="34" t="s">
        <v>511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246"/>
      <c r="R11" s="49"/>
      <c r="S11" s="49"/>
      <c r="T11" s="50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51" t="s">
        <v>413</v>
      </c>
      <c r="B12" s="51">
        <v>2008</v>
      </c>
      <c r="C12" s="51">
        <v>2009</v>
      </c>
      <c r="D12" s="51">
        <v>2010</v>
      </c>
      <c r="E12" s="51">
        <v>2011</v>
      </c>
      <c r="F12" s="51">
        <v>2012</v>
      </c>
      <c r="G12" s="51">
        <v>2013</v>
      </c>
      <c r="H12" s="51">
        <v>2014</v>
      </c>
      <c r="I12" s="51">
        <v>2015</v>
      </c>
      <c r="J12" s="51">
        <v>2016</v>
      </c>
      <c r="K12" s="51">
        <v>2017</v>
      </c>
      <c r="L12" s="51">
        <v>2018</v>
      </c>
      <c r="M12" s="28">
        <v>2019</v>
      </c>
      <c r="N12" s="51">
        <v>2020</v>
      </c>
      <c r="O12" s="51">
        <v>2021</v>
      </c>
      <c r="P12" s="51">
        <v>2022</v>
      </c>
      <c r="Q12" s="262">
        <v>2023</v>
      </c>
      <c r="R12" s="51" t="s">
        <v>301</v>
      </c>
      <c r="S12" s="79" t="s">
        <v>302</v>
      </c>
      <c r="T12" s="79" t="s">
        <v>23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45">
      <c r="A13" s="35" t="s">
        <v>414</v>
      </c>
      <c r="B13" s="68">
        <v>51.4</v>
      </c>
      <c r="C13" s="68">
        <v>59.3</v>
      </c>
      <c r="D13" s="68">
        <v>56.3</v>
      </c>
      <c r="E13" s="68">
        <v>53.7</v>
      </c>
      <c r="F13" s="68">
        <v>53</v>
      </c>
      <c r="G13" s="68">
        <v>56.3</v>
      </c>
      <c r="H13" s="68">
        <v>56.7</v>
      </c>
      <c r="I13" s="68">
        <v>59.7</v>
      </c>
      <c r="J13" s="68">
        <v>58.4</v>
      </c>
      <c r="K13" s="68">
        <v>55.2</v>
      </c>
      <c r="L13" s="68">
        <v>59.9</v>
      </c>
      <c r="M13" s="68">
        <v>61.2</v>
      </c>
      <c r="N13" s="68">
        <v>58</v>
      </c>
      <c r="O13" s="68">
        <v>64.375</v>
      </c>
      <c r="P13" s="68">
        <v>61.2</v>
      </c>
      <c r="Q13" s="68">
        <v>56.25</v>
      </c>
      <c r="R13" s="34" t="s">
        <v>324</v>
      </c>
      <c r="S13" s="178" t="s">
        <v>325</v>
      </c>
      <c r="T13" s="34" t="s">
        <v>511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75">
      <c r="A14" s="35" t="s">
        <v>415</v>
      </c>
      <c r="B14" s="52">
        <v>0.3</v>
      </c>
      <c r="C14" s="52">
        <v>0.4</v>
      </c>
      <c r="D14" s="52">
        <v>0.4</v>
      </c>
      <c r="E14" s="52">
        <v>0.3</v>
      </c>
      <c r="F14" s="52">
        <v>0.3</v>
      </c>
      <c r="G14" s="52">
        <v>0.3</v>
      </c>
      <c r="H14" s="52">
        <v>0.3</v>
      </c>
      <c r="I14" s="52">
        <v>0.3</v>
      </c>
      <c r="J14" s="52">
        <v>0.3</v>
      </c>
      <c r="K14" s="52">
        <v>0.3</v>
      </c>
      <c r="L14" s="52">
        <v>0.3</v>
      </c>
      <c r="M14" s="52">
        <v>0.3</v>
      </c>
      <c r="N14" s="52">
        <v>0.3</v>
      </c>
      <c r="O14" s="52">
        <v>0.3</v>
      </c>
      <c r="P14" s="52">
        <v>0.3</v>
      </c>
      <c r="Q14" s="52">
        <v>0.27500000000000002</v>
      </c>
      <c r="R14" s="34" t="s">
        <v>324</v>
      </c>
      <c r="S14" s="178" t="s">
        <v>388</v>
      </c>
      <c r="T14" s="34" t="s">
        <v>511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ht="45">
      <c r="A15" s="35" t="s">
        <v>416</v>
      </c>
      <c r="B15" s="68">
        <v>177.4</v>
      </c>
      <c r="C15" s="68">
        <v>160.5</v>
      </c>
      <c r="D15" s="68">
        <v>169.4</v>
      </c>
      <c r="E15" s="68">
        <v>175.6</v>
      </c>
      <c r="F15" s="68">
        <v>179</v>
      </c>
      <c r="G15" s="68">
        <v>183.8</v>
      </c>
      <c r="H15" s="68">
        <v>184.6</v>
      </c>
      <c r="I15" s="68">
        <v>182.9</v>
      </c>
      <c r="J15" s="68">
        <v>178.9</v>
      </c>
      <c r="K15" s="68">
        <v>180.8</v>
      </c>
      <c r="L15" s="68">
        <v>187.6</v>
      </c>
      <c r="M15" s="68">
        <v>189.3</v>
      </c>
      <c r="N15" s="180">
        <v>188.2</v>
      </c>
      <c r="O15" s="68">
        <v>196.35</v>
      </c>
      <c r="P15" s="68">
        <v>203.75</v>
      </c>
      <c r="Q15" s="68">
        <v>206.45</v>
      </c>
      <c r="R15" s="34" t="s">
        <v>324</v>
      </c>
      <c r="S15" s="178" t="s">
        <v>325</v>
      </c>
      <c r="T15" s="34" t="s">
        <v>511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ht="60">
      <c r="A16" s="41" t="s">
        <v>417</v>
      </c>
      <c r="B16" s="68">
        <v>31.2</v>
      </c>
      <c r="C16" s="68">
        <v>28.5</v>
      </c>
      <c r="D16" s="68">
        <v>28.9</v>
      </c>
      <c r="E16" s="68">
        <v>29.2</v>
      </c>
      <c r="F16" s="68">
        <v>29.1</v>
      </c>
      <c r="G16" s="68">
        <v>29.4</v>
      </c>
      <c r="H16" s="68">
        <v>29.8</v>
      </c>
      <c r="I16" s="68">
        <v>30.2</v>
      </c>
      <c r="J16" s="68">
        <v>30</v>
      </c>
      <c r="K16" s="68">
        <v>30.4</v>
      </c>
      <c r="L16" s="68">
        <v>31.315000000000001</v>
      </c>
      <c r="M16" s="68">
        <v>32.454999999999998</v>
      </c>
      <c r="N16" s="68">
        <v>32.020000000000003</v>
      </c>
      <c r="O16" s="68">
        <v>32.493000000000002</v>
      </c>
      <c r="P16" s="68">
        <v>34.83</v>
      </c>
      <c r="Q16" s="36"/>
      <c r="R16" s="34" t="s">
        <v>324</v>
      </c>
      <c r="S16" s="179" t="s">
        <v>418</v>
      </c>
      <c r="T16" s="34" t="s">
        <v>511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60">
      <c r="A17" s="35" t="s">
        <v>419</v>
      </c>
      <c r="B17" s="52">
        <v>1.8</v>
      </c>
      <c r="C17" s="52">
        <v>1.9</v>
      </c>
      <c r="D17" s="52">
        <v>1.8</v>
      </c>
      <c r="E17" s="52">
        <v>1.8</v>
      </c>
      <c r="F17" s="52">
        <v>1.8</v>
      </c>
      <c r="G17" s="52">
        <v>1.8</v>
      </c>
      <c r="H17" s="52">
        <v>1.7</v>
      </c>
      <c r="I17" s="52">
        <v>1.7</v>
      </c>
      <c r="J17" s="52">
        <v>1.8</v>
      </c>
      <c r="K17" s="52">
        <v>1.8</v>
      </c>
      <c r="L17" s="52">
        <v>1.9</v>
      </c>
      <c r="M17" s="52">
        <v>2</v>
      </c>
      <c r="N17" s="292">
        <v>1</v>
      </c>
      <c r="O17" s="52">
        <v>1.8</v>
      </c>
      <c r="P17" s="52">
        <v>2.2000000000000002</v>
      </c>
      <c r="Q17" s="36"/>
      <c r="R17" s="34" t="s">
        <v>324</v>
      </c>
      <c r="S17" s="178" t="s">
        <v>410</v>
      </c>
      <c r="T17" s="34" t="s">
        <v>511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60">
      <c r="A18" s="35" t="s">
        <v>420</v>
      </c>
      <c r="B18" s="68">
        <v>18.3</v>
      </c>
      <c r="C18" s="68">
        <v>28.9</v>
      </c>
      <c r="D18" s="68">
        <v>25.6</v>
      </c>
      <c r="E18" s="68">
        <v>22.7</v>
      </c>
      <c r="F18" s="68">
        <v>22.1</v>
      </c>
      <c r="G18" s="68">
        <v>25.2</v>
      </c>
      <c r="H18" s="68">
        <v>25.3</v>
      </c>
      <c r="I18" s="68">
        <v>27.8</v>
      </c>
      <c r="J18" s="68">
        <v>26.6</v>
      </c>
      <c r="K18" s="68">
        <v>23</v>
      </c>
      <c r="L18" s="68">
        <v>27.3</v>
      </c>
      <c r="M18" s="68">
        <v>27.7</v>
      </c>
      <c r="N18" s="180">
        <v>31.9</v>
      </c>
      <c r="O18" s="68">
        <v>30.3</v>
      </c>
      <c r="P18" s="68">
        <v>32.1</v>
      </c>
      <c r="Q18" s="36"/>
      <c r="R18" s="34" t="s">
        <v>324</v>
      </c>
      <c r="S18" s="178" t="s">
        <v>410</v>
      </c>
      <c r="T18" s="34" t="s">
        <v>511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60">
      <c r="A19" s="41" t="s">
        <v>333</v>
      </c>
      <c r="B19" s="150">
        <v>442</v>
      </c>
      <c r="C19" s="150">
        <v>406</v>
      </c>
      <c r="D19" s="150">
        <v>394</v>
      </c>
      <c r="E19" s="150">
        <v>388</v>
      </c>
      <c r="F19" s="150">
        <v>380</v>
      </c>
      <c r="G19" s="150">
        <v>377</v>
      </c>
      <c r="H19" s="150">
        <v>373</v>
      </c>
      <c r="I19" s="150">
        <v>372</v>
      </c>
      <c r="J19" s="150">
        <v>370</v>
      </c>
      <c r="K19" s="150">
        <v>368</v>
      </c>
      <c r="L19" s="150">
        <v>367</v>
      </c>
      <c r="M19" s="150">
        <v>373</v>
      </c>
      <c r="N19" s="180">
        <v>355</v>
      </c>
      <c r="O19" s="150">
        <v>354</v>
      </c>
      <c r="P19" s="150">
        <v>367</v>
      </c>
      <c r="Q19" s="36"/>
      <c r="R19" s="76" t="s">
        <v>324</v>
      </c>
      <c r="S19" s="179" t="s">
        <v>421</v>
      </c>
      <c r="T19" s="34" t="s">
        <v>511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46"/>
      <c r="R20" s="49"/>
      <c r="S20" s="49"/>
      <c r="T20" s="50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51" t="s">
        <v>16</v>
      </c>
      <c r="B21" s="51">
        <v>2008</v>
      </c>
      <c r="C21" s="51">
        <v>2009</v>
      </c>
      <c r="D21" s="51">
        <v>2010</v>
      </c>
      <c r="E21" s="51">
        <v>2011</v>
      </c>
      <c r="F21" s="51">
        <v>2012</v>
      </c>
      <c r="G21" s="51">
        <v>2013</v>
      </c>
      <c r="H21" s="51">
        <v>2014</v>
      </c>
      <c r="I21" s="51">
        <v>2015</v>
      </c>
      <c r="J21" s="51">
        <v>2016</v>
      </c>
      <c r="K21" s="51">
        <v>2017</v>
      </c>
      <c r="L21" s="51">
        <v>2018</v>
      </c>
      <c r="M21" s="28">
        <v>2019</v>
      </c>
      <c r="N21" s="51">
        <v>2020</v>
      </c>
      <c r="O21" s="51">
        <v>2021</v>
      </c>
      <c r="P21" s="51">
        <v>2022</v>
      </c>
      <c r="Q21" s="262">
        <v>2023</v>
      </c>
      <c r="R21" s="51" t="s">
        <v>301</v>
      </c>
      <c r="S21" s="79" t="s">
        <v>302</v>
      </c>
      <c r="T21" s="79" t="s">
        <v>23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5.75" customHeight="1">
      <c r="A22" s="35" t="s">
        <v>422</v>
      </c>
      <c r="B22" s="68">
        <v>43.613844</v>
      </c>
      <c r="C22" s="68">
        <v>40.436675999999999</v>
      </c>
      <c r="D22" s="68">
        <v>40.436675999999999</v>
      </c>
      <c r="E22" s="68">
        <v>40.436675999999999</v>
      </c>
      <c r="F22" s="68">
        <v>40.436</v>
      </c>
      <c r="G22" s="68">
        <v>41.880842999999999</v>
      </c>
      <c r="H22" s="68">
        <v>41.880842999999999</v>
      </c>
      <c r="I22" s="68">
        <v>44.344999999999999</v>
      </c>
      <c r="J22" s="68">
        <v>62.155999999999999</v>
      </c>
      <c r="K22" s="68">
        <v>64.37</v>
      </c>
      <c r="L22" s="68">
        <v>71.608562000000006</v>
      </c>
      <c r="M22" s="180">
        <v>71.426930999999996</v>
      </c>
      <c r="N22" s="180">
        <v>60.525359999999999</v>
      </c>
      <c r="O22" s="180">
        <v>71.11054</v>
      </c>
      <c r="P22" s="180">
        <v>72.369</v>
      </c>
      <c r="Q22" s="180">
        <v>66.025999999999996</v>
      </c>
      <c r="R22" s="99" t="s">
        <v>194</v>
      </c>
      <c r="S22" s="100" t="s">
        <v>195</v>
      </c>
      <c r="T22" s="34" t="s">
        <v>583</v>
      </c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423</v>
      </c>
      <c r="B23" s="68">
        <v>15.409000000000001</v>
      </c>
      <c r="C23" s="68">
        <v>9.7059999999999995</v>
      </c>
      <c r="D23" s="68">
        <v>11.757</v>
      </c>
      <c r="E23" s="68">
        <v>11.654</v>
      </c>
      <c r="F23" s="68">
        <v>12.327999999999999</v>
      </c>
      <c r="G23" s="68">
        <v>13.198</v>
      </c>
      <c r="H23" s="68">
        <v>13.8</v>
      </c>
      <c r="I23" s="68">
        <v>13.8</v>
      </c>
      <c r="J23" s="68">
        <v>13.8</v>
      </c>
      <c r="K23" s="68">
        <v>14.275</v>
      </c>
      <c r="L23" s="68">
        <v>14.818026</v>
      </c>
      <c r="M23" s="180">
        <v>15.288914999999999</v>
      </c>
      <c r="N23" s="180">
        <v>13.241628</v>
      </c>
      <c r="O23" s="180">
        <v>16.276060000000001</v>
      </c>
      <c r="P23" s="180">
        <v>9.5156159999999996</v>
      </c>
      <c r="Q23" s="180">
        <v>9.6593269999999993</v>
      </c>
      <c r="R23" s="99" t="s">
        <v>194</v>
      </c>
      <c r="S23" s="100" t="s">
        <v>195</v>
      </c>
      <c r="T23" s="34" t="s">
        <v>583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424</v>
      </c>
      <c r="B24" s="68">
        <v>380.50884400000001</v>
      </c>
      <c r="C24" s="68">
        <v>332.52767599999999</v>
      </c>
      <c r="D24" s="68">
        <v>376.57167600000002</v>
      </c>
      <c r="E24" s="68">
        <v>395.14067599999998</v>
      </c>
      <c r="F24" s="68">
        <v>387.512</v>
      </c>
      <c r="G24" s="68">
        <v>396.81784299999998</v>
      </c>
      <c r="H24" s="68">
        <v>398.69275099999999</v>
      </c>
      <c r="I24" s="68">
        <v>399.02341200000001</v>
      </c>
      <c r="J24" s="68">
        <v>436.63200000000001</v>
      </c>
      <c r="K24" s="68">
        <v>436.69137799999999</v>
      </c>
      <c r="L24" s="68">
        <v>464.118154</v>
      </c>
      <c r="M24" s="180">
        <v>459.12887899999998</v>
      </c>
      <c r="N24" s="180">
        <v>430</v>
      </c>
      <c r="O24" s="180">
        <v>453.44600000000003</v>
      </c>
      <c r="P24" s="180">
        <v>456.32968699999998</v>
      </c>
      <c r="Q24" s="180">
        <v>412.29133200000001</v>
      </c>
      <c r="R24" s="99" t="s">
        <v>194</v>
      </c>
      <c r="S24" s="100" t="s">
        <v>195</v>
      </c>
      <c r="T24" s="34" t="s">
        <v>583</v>
      </c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425</v>
      </c>
      <c r="B25" s="68">
        <v>72.869280000000003</v>
      </c>
      <c r="C25" s="68">
        <v>54.276000000000003</v>
      </c>
      <c r="D25" s="68">
        <v>60.013399999999997</v>
      </c>
      <c r="E25" s="68">
        <v>63.1738</v>
      </c>
      <c r="F25" s="68">
        <v>67.474000000000004</v>
      </c>
      <c r="G25" s="68">
        <v>71.114999999999995</v>
      </c>
      <c r="H25" s="68">
        <v>75.833299999999994</v>
      </c>
      <c r="I25" s="68">
        <v>76.361999999999995</v>
      </c>
      <c r="J25" s="68">
        <v>78.165000000000006</v>
      </c>
      <c r="K25" s="68">
        <v>80.373999999999995</v>
      </c>
      <c r="L25" s="68">
        <v>81.997600000000006</v>
      </c>
      <c r="M25" s="180">
        <v>82.471699999999998</v>
      </c>
      <c r="N25" s="180">
        <v>79.133602999999994</v>
      </c>
      <c r="O25" s="180">
        <v>80.704999999999998</v>
      </c>
      <c r="P25" s="180">
        <v>81.637</v>
      </c>
      <c r="Q25" s="180">
        <v>77.872</v>
      </c>
      <c r="R25" s="99" t="s">
        <v>194</v>
      </c>
      <c r="S25" s="100" t="s">
        <v>195</v>
      </c>
      <c r="T25" s="34" t="s">
        <v>583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426</v>
      </c>
      <c r="B26" s="68">
        <v>35.176450000000003</v>
      </c>
      <c r="C26" s="68">
        <v>33.965789000000001</v>
      </c>
      <c r="D26" s="68">
        <v>32.192279999999997</v>
      </c>
      <c r="E26" s="68">
        <v>31.649823000000001</v>
      </c>
      <c r="F26" s="68">
        <v>31.059000000000001</v>
      </c>
      <c r="G26" s="68">
        <v>33.062390000000001</v>
      </c>
      <c r="H26" s="68">
        <v>35.059539999999998</v>
      </c>
      <c r="I26" s="68">
        <v>35.258505</v>
      </c>
      <c r="J26" s="68">
        <v>35.95673</v>
      </c>
      <c r="K26" s="68">
        <v>36.20091</v>
      </c>
      <c r="L26" s="68">
        <v>34.244962000000001</v>
      </c>
      <c r="M26" s="180">
        <v>34.353377000000002</v>
      </c>
      <c r="N26" s="180">
        <v>33.110844</v>
      </c>
      <c r="O26" s="180">
        <v>34.651024</v>
      </c>
      <c r="P26" s="180">
        <v>33.322828000000001</v>
      </c>
      <c r="Q26" s="180">
        <v>31.394901000000001</v>
      </c>
      <c r="R26" s="99" t="s">
        <v>194</v>
      </c>
      <c r="S26" s="100" t="s">
        <v>195</v>
      </c>
      <c r="T26" s="34" t="s">
        <v>583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35" t="s">
        <v>427</v>
      </c>
      <c r="B27" s="68">
        <f t="shared" ref="B27:P27" si="0">+B22*1.38</f>
        <v>60.187104719999994</v>
      </c>
      <c r="C27" s="68">
        <f t="shared" si="0"/>
        <v>55.802612879999991</v>
      </c>
      <c r="D27" s="68">
        <f t="shared" si="0"/>
        <v>55.802612879999991</v>
      </c>
      <c r="E27" s="68">
        <f t="shared" si="0"/>
        <v>55.802612879999991</v>
      </c>
      <c r="F27" s="68">
        <f t="shared" si="0"/>
        <v>55.801679999999998</v>
      </c>
      <c r="G27" s="68">
        <f t="shared" si="0"/>
        <v>57.795563339999994</v>
      </c>
      <c r="H27" s="68">
        <f t="shared" si="0"/>
        <v>57.795563339999994</v>
      </c>
      <c r="I27" s="68">
        <f t="shared" si="0"/>
        <v>61.196099999999994</v>
      </c>
      <c r="J27" s="68">
        <f t="shared" si="0"/>
        <v>85.775279999999995</v>
      </c>
      <c r="K27" s="68">
        <f t="shared" si="0"/>
        <v>88.830600000000004</v>
      </c>
      <c r="L27" s="68">
        <f t="shared" si="0"/>
        <v>98.819815559999995</v>
      </c>
      <c r="M27" s="68">
        <f t="shared" si="0"/>
        <v>98.569164779999994</v>
      </c>
      <c r="N27" s="68">
        <f t="shared" si="0"/>
        <v>83.524996799999997</v>
      </c>
      <c r="O27" s="68">
        <f t="shared" si="0"/>
        <v>98.132545199999996</v>
      </c>
      <c r="P27" s="68">
        <f t="shared" si="0"/>
        <v>99.869219999999999</v>
      </c>
      <c r="Q27" s="68">
        <f t="shared" ref="Q27" si="1">+Q22*1.38</f>
        <v>91.11587999999999</v>
      </c>
      <c r="R27" s="35" t="s">
        <v>136</v>
      </c>
      <c r="S27" s="35"/>
      <c r="T27" s="34" t="s">
        <v>583</v>
      </c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35" t="s">
        <v>428</v>
      </c>
      <c r="B28" s="68">
        <f t="shared" ref="B28:P28" si="2">+B23*1.48</f>
        <v>22.805320000000002</v>
      </c>
      <c r="C28" s="68">
        <f t="shared" si="2"/>
        <v>14.364879999999999</v>
      </c>
      <c r="D28" s="68">
        <f t="shared" si="2"/>
        <v>17.400359999999999</v>
      </c>
      <c r="E28" s="68">
        <f t="shared" si="2"/>
        <v>17.247920000000001</v>
      </c>
      <c r="F28" s="68">
        <f t="shared" si="2"/>
        <v>18.245439999999999</v>
      </c>
      <c r="G28" s="68">
        <f t="shared" si="2"/>
        <v>19.53304</v>
      </c>
      <c r="H28" s="68">
        <f t="shared" si="2"/>
        <v>20.423999999999999</v>
      </c>
      <c r="I28" s="68">
        <f t="shared" si="2"/>
        <v>20.423999999999999</v>
      </c>
      <c r="J28" s="68">
        <f t="shared" si="2"/>
        <v>20.423999999999999</v>
      </c>
      <c r="K28" s="68">
        <f t="shared" si="2"/>
        <v>21.126999999999999</v>
      </c>
      <c r="L28" s="68">
        <f t="shared" si="2"/>
        <v>21.930678480000001</v>
      </c>
      <c r="M28" s="68">
        <f t="shared" si="2"/>
        <v>22.627594199999997</v>
      </c>
      <c r="N28" s="68">
        <f t="shared" si="2"/>
        <v>19.597609439999999</v>
      </c>
      <c r="O28" s="68">
        <f t="shared" si="2"/>
        <v>24.088568800000001</v>
      </c>
      <c r="P28" s="68">
        <f t="shared" si="2"/>
        <v>14.08311168</v>
      </c>
      <c r="Q28" s="68">
        <f t="shared" ref="Q28" si="3">+Q23*1.48</f>
        <v>14.295803959999999</v>
      </c>
      <c r="R28" s="35" t="s">
        <v>136</v>
      </c>
      <c r="S28" s="35"/>
      <c r="T28" s="34" t="s">
        <v>583</v>
      </c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35" t="s">
        <v>429</v>
      </c>
      <c r="B29" s="43">
        <f t="shared" ref="B29:P29" si="4">+B24*1.43</f>
        <v>544.12764691999996</v>
      </c>
      <c r="C29" s="43">
        <f t="shared" si="4"/>
        <v>475.51457667999995</v>
      </c>
      <c r="D29" s="43">
        <f t="shared" si="4"/>
        <v>538.49749668000004</v>
      </c>
      <c r="E29" s="43">
        <f t="shared" si="4"/>
        <v>565.05116667999994</v>
      </c>
      <c r="F29" s="43">
        <f t="shared" si="4"/>
        <v>554.14215999999999</v>
      </c>
      <c r="G29" s="43">
        <f t="shared" si="4"/>
        <v>567.44951548999995</v>
      </c>
      <c r="H29" s="43">
        <f t="shared" si="4"/>
        <v>570.13063392999993</v>
      </c>
      <c r="I29" s="43">
        <f t="shared" si="4"/>
        <v>570.60347916000001</v>
      </c>
      <c r="J29" s="43">
        <f t="shared" si="4"/>
        <v>624.38375999999994</v>
      </c>
      <c r="K29" s="43">
        <f t="shared" si="4"/>
        <v>624.46867053999995</v>
      </c>
      <c r="L29" s="43">
        <f t="shared" si="4"/>
        <v>663.68896022000001</v>
      </c>
      <c r="M29" s="43">
        <f t="shared" si="4"/>
        <v>656.55429697</v>
      </c>
      <c r="N29" s="43">
        <f t="shared" si="4"/>
        <v>614.9</v>
      </c>
      <c r="O29" s="43">
        <f t="shared" si="4"/>
        <v>648.42777999999998</v>
      </c>
      <c r="P29" s="43">
        <f t="shared" si="4"/>
        <v>652.55145240999991</v>
      </c>
      <c r="Q29" s="43">
        <f t="shared" ref="Q29" si="5">+Q24*1.43</f>
        <v>589.57660476000001</v>
      </c>
      <c r="R29" s="35" t="s">
        <v>136</v>
      </c>
      <c r="S29" s="35"/>
      <c r="T29" s="34" t="s">
        <v>583</v>
      </c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35" t="s">
        <v>430</v>
      </c>
      <c r="B30" s="43">
        <f t="shared" ref="B30:P30" si="6">+B25*1.82</f>
        <v>132.62208960000001</v>
      </c>
      <c r="C30" s="43">
        <f t="shared" si="6"/>
        <v>98.782320000000013</v>
      </c>
      <c r="D30" s="43">
        <f t="shared" si="6"/>
        <v>109.224388</v>
      </c>
      <c r="E30" s="43">
        <f t="shared" si="6"/>
        <v>114.976316</v>
      </c>
      <c r="F30" s="43">
        <f t="shared" si="6"/>
        <v>122.80268000000001</v>
      </c>
      <c r="G30" s="43">
        <f t="shared" si="6"/>
        <v>129.42929999999998</v>
      </c>
      <c r="H30" s="43">
        <f t="shared" si="6"/>
        <v>138.016606</v>
      </c>
      <c r="I30" s="43">
        <f t="shared" si="6"/>
        <v>138.97883999999999</v>
      </c>
      <c r="J30" s="43">
        <f t="shared" si="6"/>
        <v>142.26030000000003</v>
      </c>
      <c r="K30" s="43">
        <f t="shared" si="6"/>
        <v>146.28067999999999</v>
      </c>
      <c r="L30" s="43">
        <f t="shared" si="6"/>
        <v>149.23563200000001</v>
      </c>
      <c r="M30" s="43">
        <f t="shared" si="6"/>
        <v>150.09849400000002</v>
      </c>
      <c r="N30" s="43">
        <f t="shared" si="6"/>
        <v>144.02315745999999</v>
      </c>
      <c r="O30" s="43">
        <f t="shared" si="6"/>
        <v>146.88310000000001</v>
      </c>
      <c r="P30" s="43">
        <f t="shared" si="6"/>
        <v>148.57934</v>
      </c>
      <c r="Q30" s="43">
        <f t="shared" ref="Q30" si="7">+Q25*1.82</f>
        <v>141.72704000000002</v>
      </c>
      <c r="R30" s="35" t="s">
        <v>136</v>
      </c>
      <c r="S30" s="35"/>
      <c r="T30" s="34" t="s">
        <v>583</v>
      </c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35" t="s">
        <v>431</v>
      </c>
      <c r="B31" s="43">
        <f t="shared" ref="B31:P31" si="8">+B26*1.3</f>
        <v>45.729385000000008</v>
      </c>
      <c r="C31" s="43">
        <f t="shared" si="8"/>
        <v>44.155525700000005</v>
      </c>
      <c r="D31" s="43">
        <f t="shared" si="8"/>
        <v>41.849964</v>
      </c>
      <c r="E31" s="43">
        <f t="shared" si="8"/>
        <v>41.1447699</v>
      </c>
      <c r="F31" s="43">
        <f t="shared" si="8"/>
        <v>40.3767</v>
      </c>
      <c r="G31" s="43">
        <f t="shared" si="8"/>
        <v>42.981107000000002</v>
      </c>
      <c r="H31" s="43">
        <f t="shared" si="8"/>
        <v>45.577401999999999</v>
      </c>
      <c r="I31" s="43">
        <f t="shared" si="8"/>
        <v>45.836056499999998</v>
      </c>
      <c r="J31" s="43">
        <f t="shared" si="8"/>
        <v>46.743749000000001</v>
      </c>
      <c r="K31" s="43">
        <f t="shared" si="8"/>
        <v>47.061183</v>
      </c>
      <c r="L31" s="43">
        <f t="shared" si="8"/>
        <v>44.518450600000001</v>
      </c>
      <c r="M31" s="43">
        <f t="shared" si="8"/>
        <v>44.659390100000003</v>
      </c>
      <c r="N31" s="43">
        <f t="shared" si="8"/>
        <v>43.044097200000003</v>
      </c>
      <c r="O31" s="43">
        <f t="shared" si="8"/>
        <v>45.046331200000004</v>
      </c>
      <c r="P31" s="43">
        <f t="shared" si="8"/>
        <v>43.319676400000006</v>
      </c>
      <c r="Q31" s="43">
        <f t="shared" ref="Q31" si="9">+Q26*1.3</f>
        <v>40.8133713</v>
      </c>
      <c r="R31" s="35" t="s">
        <v>136</v>
      </c>
      <c r="S31" s="35"/>
      <c r="T31" s="34" t="s">
        <v>583</v>
      </c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35" t="s">
        <v>432</v>
      </c>
      <c r="B32" s="180">
        <v>52.898853000000003</v>
      </c>
      <c r="C32" s="180">
        <v>49.045971999999999</v>
      </c>
      <c r="D32" s="180">
        <v>50.905938999999996</v>
      </c>
      <c r="E32" s="180">
        <v>51.114621999999997</v>
      </c>
      <c r="F32" s="180">
        <v>50.200530000000001</v>
      </c>
      <c r="G32" s="180">
        <v>49.055100000000003</v>
      </c>
      <c r="H32" s="180">
        <v>50.106639999999999</v>
      </c>
      <c r="I32" s="180">
        <v>49.368209999999998</v>
      </c>
      <c r="J32" s="180">
        <v>49.53443</v>
      </c>
      <c r="K32" s="180">
        <v>49.247515999999997</v>
      </c>
      <c r="L32" s="180">
        <v>53.233455999999997</v>
      </c>
      <c r="M32" s="180">
        <v>52.061998000000003</v>
      </c>
      <c r="N32" s="180">
        <v>51</v>
      </c>
      <c r="O32" s="180">
        <v>49.718000000000004</v>
      </c>
      <c r="P32" s="180">
        <v>49.017673000000002</v>
      </c>
      <c r="Q32" s="180">
        <v>47.981530999999997</v>
      </c>
      <c r="R32" s="99" t="s">
        <v>194</v>
      </c>
      <c r="S32" s="100" t="s">
        <v>195</v>
      </c>
      <c r="T32" s="34" t="s">
        <v>583</v>
      </c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35" t="s">
        <v>433</v>
      </c>
      <c r="B33" s="68">
        <v>80.178381999999999</v>
      </c>
      <c r="C33" s="68">
        <v>71.355455000000006</v>
      </c>
      <c r="D33" s="68">
        <v>75.772845000000004</v>
      </c>
      <c r="E33" s="68">
        <v>76.430822000000006</v>
      </c>
      <c r="F33" s="68">
        <v>74.492000000000004</v>
      </c>
      <c r="G33" s="68">
        <v>71.732298</v>
      </c>
      <c r="H33" s="68">
        <v>73.093000000000004</v>
      </c>
      <c r="I33" s="68">
        <v>72.397000000000006</v>
      </c>
      <c r="J33" s="68">
        <v>71.902238999999994</v>
      </c>
      <c r="K33" s="68">
        <v>72.044539</v>
      </c>
      <c r="L33" s="68">
        <v>70.891067000000007</v>
      </c>
      <c r="M33" s="180">
        <v>68.156809999999993</v>
      </c>
      <c r="N33" s="180">
        <v>66</v>
      </c>
      <c r="O33" s="180">
        <v>67</v>
      </c>
      <c r="P33" s="180">
        <v>65.507164000000003</v>
      </c>
      <c r="Q33" s="180">
        <v>60.674376000000002</v>
      </c>
      <c r="R33" s="99" t="s">
        <v>194</v>
      </c>
      <c r="S33" s="100" t="s">
        <v>195</v>
      </c>
      <c r="T33" s="34" t="s">
        <v>583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5" t="s">
        <v>434</v>
      </c>
      <c r="B34" s="36"/>
      <c r="C34" s="36"/>
      <c r="D34" s="36"/>
      <c r="E34" s="36"/>
      <c r="F34" s="80">
        <v>3.4740000000000002</v>
      </c>
      <c r="G34" s="80">
        <v>4.7039999999999997</v>
      </c>
      <c r="H34" s="80">
        <v>5.9470000000000001</v>
      </c>
      <c r="I34" s="80">
        <v>6.5170000000000003</v>
      </c>
      <c r="J34" s="80">
        <v>6.3929999999999998</v>
      </c>
      <c r="K34" s="80">
        <v>6.9</v>
      </c>
      <c r="L34" s="98">
        <v>7.4683609999999998</v>
      </c>
      <c r="M34" s="98">
        <v>8.5927129999999998</v>
      </c>
      <c r="N34" s="98">
        <v>8.4123590000000004</v>
      </c>
      <c r="O34" s="98">
        <v>8.4486000000000008</v>
      </c>
      <c r="P34" s="98">
        <v>9.5440000000000005</v>
      </c>
      <c r="Q34" s="98">
        <v>9.820703</v>
      </c>
      <c r="R34" s="99" t="s">
        <v>194</v>
      </c>
      <c r="S34" s="100" t="s">
        <v>195</v>
      </c>
      <c r="T34" s="34" t="s">
        <v>583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35" t="s">
        <v>435</v>
      </c>
      <c r="B35" s="68">
        <v>24.327525000000001</v>
      </c>
      <c r="C35" s="68">
        <v>17.122792</v>
      </c>
      <c r="D35" s="68">
        <v>19.542151</v>
      </c>
      <c r="E35" s="68">
        <v>19.527676</v>
      </c>
      <c r="F35" s="68">
        <v>20.752316</v>
      </c>
      <c r="G35" s="68">
        <v>22.952586</v>
      </c>
      <c r="H35" s="68">
        <v>24.613980000000002</v>
      </c>
      <c r="I35" s="68">
        <v>23.685320999999998</v>
      </c>
      <c r="J35" s="68">
        <v>24.078761</v>
      </c>
      <c r="K35" s="68">
        <v>24.93886586</v>
      </c>
      <c r="L35" s="68">
        <v>26.906649999999999</v>
      </c>
      <c r="M35" s="68">
        <v>23.306733000000001</v>
      </c>
      <c r="N35" s="68">
        <v>24.606244</v>
      </c>
      <c r="O35" s="68">
        <v>36.694448999999999</v>
      </c>
      <c r="P35" s="68">
        <v>39.159768</v>
      </c>
      <c r="Q35" s="68">
        <v>27.151340999999999</v>
      </c>
      <c r="R35" s="99" t="s">
        <v>194</v>
      </c>
      <c r="S35" s="100" t="s">
        <v>195</v>
      </c>
      <c r="T35" s="34" t="s">
        <v>583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35" t="s">
        <v>436</v>
      </c>
      <c r="B36" s="68">
        <v>21.274007999999998</v>
      </c>
      <c r="C36" s="68">
        <v>19.148260000000001</v>
      </c>
      <c r="D36" s="68">
        <v>22.923905000000001</v>
      </c>
      <c r="E36" s="68">
        <v>25.250957</v>
      </c>
      <c r="F36" s="68">
        <v>25.605682000000002</v>
      </c>
      <c r="G36" s="68">
        <v>26.595675</v>
      </c>
      <c r="H36" s="68">
        <v>27.234076000000002</v>
      </c>
      <c r="I36" s="68">
        <v>25.149515999999998</v>
      </c>
      <c r="J36" s="68">
        <v>24.636382999999999</v>
      </c>
      <c r="K36" s="68">
        <v>27.084950460000002</v>
      </c>
      <c r="L36" s="68">
        <v>28.296900000000001</v>
      </c>
      <c r="M36" s="68">
        <v>24.441915999999999</v>
      </c>
      <c r="N36" s="68">
        <v>22.364104000000001</v>
      </c>
      <c r="O36" s="68">
        <v>27.051831</v>
      </c>
      <c r="P36" s="68">
        <v>29.972066999999999</v>
      </c>
      <c r="Q36" s="68">
        <v>25.010581999999999</v>
      </c>
      <c r="R36" s="34" t="s">
        <v>194</v>
      </c>
      <c r="S36" s="55" t="s">
        <v>195</v>
      </c>
      <c r="T36" s="34" t="s">
        <v>583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181">
        <f>SUM(B27:B34)</f>
        <v>938.54878123999993</v>
      </c>
      <c r="C37" s="181">
        <f t="shared" ref="C37:P37" si="10">SUM(C27:C34)</f>
        <v>809.02134225999998</v>
      </c>
      <c r="D37" s="181">
        <f t="shared" si="10"/>
        <v>889.45360555999991</v>
      </c>
      <c r="E37" s="181">
        <f t="shared" si="10"/>
        <v>921.76822945999993</v>
      </c>
      <c r="F37" s="181">
        <f t="shared" si="10"/>
        <v>919.53518999999994</v>
      </c>
      <c r="G37" s="181">
        <f t="shared" si="10"/>
        <v>942.67992382999989</v>
      </c>
      <c r="H37" s="181">
        <f t="shared" si="10"/>
        <v>961.09084526999993</v>
      </c>
      <c r="I37" s="181">
        <f t="shared" si="10"/>
        <v>965.32068566000009</v>
      </c>
      <c r="J37" s="181">
        <f t="shared" si="10"/>
        <v>1047.4167580000001</v>
      </c>
      <c r="K37" s="181">
        <f t="shared" si="10"/>
        <v>1055.96018854</v>
      </c>
      <c r="L37" s="181">
        <f t="shared" si="10"/>
        <v>1109.7864208600001</v>
      </c>
      <c r="M37" s="181">
        <f t="shared" si="10"/>
        <v>1101.3204610499999</v>
      </c>
      <c r="N37" s="181">
        <f t="shared" si="10"/>
        <v>1030.5022199</v>
      </c>
      <c r="O37" s="181">
        <f t="shared" si="10"/>
        <v>1087.7449251999999</v>
      </c>
      <c r="P37" s="181">
        <f t="shared" si="10"/>
        <v>1082.4716374900001</v>
      </c>
      <c r="Q37" s="181">
        <f t="shared" ref="Q37" si="11">SUM(Q27:Q34)</f>
        <v>996.00531002000002</v>
      </c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181">
        <f>+B36-B35</f>
        <v>-3.0535170000000029</v>
      </c>
      <c r="C38" s="181">
        <f t="shared" ref="C38:P38" si="12">+C36-C35</f>
        <v>2.025468</v>
      </c>
      <c r="D38" s="181">
        <f t="shared" si="12"/>
        <v>3.3817540000000008</v>
      </c>
      <c r="E38" s="181">
        <f t="shared" si="12"/>
        <v>5.7232810000000001</v>
      </c>
      <c r="F38" s="181">
        <f t="shared" si="12"/>
        <v>4.8533660000000012</v>
      </c>
      <c r="G38" s="181">
        <f t="shared" si="12"/>
        <v>3.6430889999999998</v>
      </c>
      <c r="H38" s="181">
        <f t="shared" si="12"/>
        <v>2.6200960000000002</v>
      </c>
      <c r="I38" s="181">
        <f t="shared" si="12"/>
        <v>1.4641950000000001</v>
      </c>
      <c r="J38" s="181">
        <f t="shared" si="12"/>
        <v>0.55762199999999851</v>
      </c>
      <c r="K38" s="181">
        <f t="shared" si="12"/>
        <v>2.1460846000000018</v>
      </c>
      <c r="L38" s="181">
        <f t="shared" si="12"/>
        <v>1.3902500000000018</v>
      </c>
      <c r="M38" s="181">
        <f t="shared" si="12"/>
        <v>1.1351829999999978</v>
      </c>
      <c r="N38" s="181">
        <f t="shared" si="12"/>
        <v>-2.2421399999999991</v>
      </c>
      <c r="O38" s="181">
        <f t="shared" si="12"/>
        <v>-9.6426179999999988</v>
      </c>
      <c r="P38" s="181">
        <f t="shared" si="12"/>
        <v>-9.1877010000000006</v>
      </c>
      <c r="Q38" s="181">
        <f t="shared" ref="Q38" si="13">+Q36-Q35</f>
        <v>-2.1407589999999992</v>
      </c>
      <c r="R38" s="182"/>
      <c r="S38" s="183"/>
      <c r="T38" s="182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438"/>
      <c r="R39" s="182"/>
      <c r="S39" s="183"/>
      <c r="T39" s="182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438"/>
      <c r="R40" s="182"/>
      <c r="S40" s="183"/>
      <c r="T40" s="182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438"/>
      <c r="R41" s="182"/>
      <c r="S41" s="183"/>
      <c r="T41" s="182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438"/>
      <c r="R42" s="182"/>
      <c r="S42" s="183"/>
      <c r="T42" s="182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181"/>
      <c r="Q43" s="438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181"/>
      <c r="Q44" s="438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81"/>
      <c r="Q45" s="438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181"/>
      <c r="Q46" s="438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438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438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438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438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438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E00-000000000000}"/>
    <hyperlink ref="S5" r:id="rId2" location="eyJhcHBpZCI6MTUwLCJzdGVwcyI6WzEsMiwzXSwiZGF0YSI6W1siY2F0ZWdvcmllcyIsIkdkcHhJbmQiXSxbIlRhYmxlX0xpc3QiLCIxNSJdXX0=" xr:uid="{00000000-0004-0000-0E00-000001000000}"/>
    <hyperlink ref="S6" r:id="rId3" xr:uid="{00000000-0004-0000-0E00-000002000000}"/>
    <hyperlink ref="S7" r:id="rId4" xr:uid="{00000000-0004-0000-0E00-000003000000}"/>
    <hyperlink ref="S8" r:id="rId5" location="eyJhcHBpZCI6MTUwLCJzdGVwcyI6WzEsMl0sImRhdGEiOltbImNhdGVnb3JpZXMiLCJDb21wQnlJbmQiXV19" xr:uid="{00000000-0004-0000-0E00-000004000000}"/>
    <hyperlink ref="S9" r:id="rId6" location="eyJhcHBpZCI6MTUwLCJzdGVwcyI6WzEsMl0sImRhdGEiOltbImNhdGVnb3JpZXMiLCJDb21wQnlJbmQiXV19" xr:uid="{00000000-0004-0000-0E00-000005000000}"/>
    <hyperlink ref="S10" r:id="rId7" xr:uid="{00000000-0004-0000-0E00-000006000000}"/>
    <hyperlink ref="S13" r:id="rId8" xr:uid="{00000000-0004-0000-0E00-000007000000}"/>
    <hyperlink ref="S14" r:id="rId9" location="eyJhcHBpZCI6MTUwLCJzdGVwcyI6WzEsMiwzXSwiZGF0YSI6W1siY2F0ZWdvcmllcyIsIkdkcHhJbmQiXSxbIlRhYmxlX0xpc3QiLCIxNSJdXX0=" xr:uid="{00000000-0004-0000-0E00-000008000000}"/>
    <hyperlink ref="S15" r:id="rId10" xr:uid="{00000000-0004-0000-0E00-000009000000}"/>
    <hyperlink ref="S16" r:id="rId11" xr:uid="{00000000-0004-0000-0E00-00000A000000}"/>
    <hyperlink ref="S17" r:id="rId12" location="eyJhcHBpZCI6MTUwLCJzdGVwcyI6WzEsMl0sImRhdGEiOltbImNhdGVnb3JpZXMiLCJDb21wQnlJbmQiXV19" xr:uid="{00000000-0004-0000-0E00-00000B000000}"/>
    <hyperlink ref="S18" r:id="rId13" location="eyJhcHBpZCI6MTUwLCJzdGVwcyI6WzEsMl0sImRhdGEiOltbImNhdGVnb3JpZXMiLCJDb21wQnlJbmQiXV19" xr:uid="{00000000-0004-0000-0E00-00000C000000}"/>
    <hyperlink ref="S19" r:id="rId14" xr:uid="{00000000-0004-0000-0E00-00000D000000}"/>
    <hyperlink ref="S22" r:id="rId15" location="data/FO" xr:uid="{00000000-0004-0000-0E00-00000E000000}"/>
    <hyperlink ref="S23" r:id="rId16" location="data/FO" xr:uid="{00000000-0004-0000-0E00-00000F000000}"/>
    <hyperlink ref="S24" r:id="rId17" location="data/FO" xr:uid="{00000000-0004-0000-0E00-000010000000}"/>
    <hyperlink ref="S25" r:id="rId18" location="data/FO" xr:uid="{00000000-0004-0000-0E00-000011000000}"/>
    <hyperlink ref="S26" r:id="rId19" location="data/FO" xr:uid="{00000000-0004-0000-0E00-000012000000}"/>
    <hyperlink ref="S32" r:id="rId20" location="data/FO" xr:uid="{00000000-0004-0000-0E00-000013000000}"/>
    <hyperlink ref="S33" r:id="rId21" location="data/FO" xr:uid="{00000000-0004-0000-0E00-000014000000}"/>
    <hyperlink ref="S34" r:id="rId22" location="data/FO" xr:uid="{00000000-0004-0000-0E00-000015000000}"/>
    <hyperlink ref="S35" r:id="rId23" location="data/FO" xr:uid="{00000000-0004-0000-0E00-000016000000}"/>
    <hyperlink ref="S36" r:id="rId24" location="data/FO" xr:uid="{00000000-0004-0000-0E00-000017000000}"/>
  </hyperlinks>
  <pageMargins left="0.7" right="0.7" top="0.75" bottom="0.75" header="0" footer="0"/>
  <pageSetup orientation="portrait"/>
  <drawing r:id="rId2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R998"/>
  <sheetViews>
    <sheetView topLeftCell="A56" zoomScale="85" zoomScaleNormal="85" workbookViewId="0">
      <pane xSplit="1" topLeftCell="B1" activePane="topRight" state="frozen"/>
      <selection pane="topRight" activeCell="A68" sqref="A68"/>
    </sheetView>
  </sheetViews>
  <sheetFormatPr defaultColWidth="14.42578125" defaultRowHeight="15" customHeight="1"/>
  <cols>
    <col min="1" max="1" width="37.5703125" customWidth="1"/>
    <col min="2" max="5" width="8.7109375" customWidth="1"/>
    <col min="6" max="6" width="10.28515625" customWidth="1"/>
    <col min="7" max="15" width="8.7109375" customWidth="1"/>
    <col min="16" max="16" width="13.7109375" customWidth="1"/>
    <col min="17" max="17" width="60.140625" customWidth="1"/>
    <col min="18" max="18" width="25.42578125" customWidth="1"/>
    <col min="19" max="19" width="20" customWidth="1"/>
    <col min="20" max="28" width="8.7109375" customWidth="1"/>
  </cols>
  <sheetData>
    <row r="1" spans="1:18">
      <c r="A1" s="453" t="s">
        <v>437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449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84" t="s">
        <v>438</v>
      </c>
      <c r="B3" s="185">
        <v>2010</v>
      </c>
      <c r="C3" s="185">
        <v>2011</v>
      </c>
      <c r="D3" s="185">
        <v>2012</v>
      </c>
      <c r="E3" s="185">
        <v>2013</v>
      </c>
      <c r="F3" s="185">
        <v>2014</v>
      </c>
      <c r="G3" s="185">
        <v>2015</v>
      </c>
      <c r="H3" s="185">
        <v>2016</v>
      </c>
      <c r="I3" s="185">
        <v>2017</v>
      </c>
      <c r="J3" s="185">
        <v>2018</v>
      </c>
      <c r="K3" s="185">
        <v>2019</v>
      </c>
      <c r="L3" s="185">
        <v>2020</v>
      </c>
      <c r="M3" s="185">
        <v>2021</v>
      </c>
      <c r="N3" s="185">
        <v>2022</v>
      </c>
      <c r="O3" s="185">
        <v>2023</v>
      </c>
      <c r="P3" s="186" t="s">
        <v>21</v>
      </c>
      <c r="Q3" s="186" t="s">
        <v>22</v>
      </c>
      <c r="R3" s="186" t="s">
        <v>23</v>
      </c>
    </row>
    <row r="4" spans="1:18">
      <c r="A4" s="187" t="s">
        <v>439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29"/>
      <c r="Q4" s="29"/>
      <c r="R4" s="29"/>
    </row>
    <row r="5" spans="1:18">
      <c r="A5" s="33" t="s">
        <v>2</v>
      </c>
      <c r="B5" s="33">
        <v>269</v>
      </c>
      <c r="C5" s="33">
        <v>143</v>
      </c>
      <c r="D5" s="33">
        <v>147</v>
      </c>
      <c r="E5" s="33">
        <v>150</v>
      </c>
      <c r="F5" s="33">
        <v>165</v>
      </c>
      <c r="G5" s="33">
        <v>151</v>
      </c>
      <c r="H5" s="33">
        <v>107</v>
      </c>
      <c r="I5" s="33">
        <v>132</v>
      </c>
      <c r="J5" s="33">
        <v>133</v>
      </c>
      <c r="K5" s="33">
        <v>141</v>
      </c>
      <c r="L5" s="33">
        <v>104</v>
      </c>
      <c r="M5" s="33">
        <v>118</v>
      </c>
      <c r="N5" s="33">
        <v>42</v>
      </c>
      <c r="O5" s="33">
        <v>48</v>
      </c>
      <c r="P5" s="33" t="s">
        <v>68</v>
      </c>
      <c r="Q5" s="101" t="s">
        <v>440</v>
      </c>
      <c r="R5" s="34" t="s">
        <v>583</v>
      </c>
    </row>
    <row r="6" spans="1:18">
      <c r="A6" s="33" t="s">
        <v>441</v>
      </c>
      <c r="B6" s="33">
        <v>99</v>
      </c>
      <c r="C6" s="33">
        <v>52</v>
      </c>
      <c r="D6" s="33">
        <v>50</v>
      </c>
      <c r="E6" s="33">
        <v>45</v>
      </c>
      <c r="F6" s="33">
        <v>49</v>
      </c>
      <c r="G6" s="33">
        <v>23</v>
      </c>
      <c r="H6" s="33">
        <v>16</v>
      </c>
      <c r="I6" s="33">
        <v>21</v>
      </c>
      <c r="J6" s="33">
        <v>23</v>
      </c>
      <c r="K6" s="33">
        <v>29</v>
      </c>
      <c r="L6" s="33">
        <v>11</v>
      </c>
      <c r="M6" s="33">
        <v>6</v>
      </c>
      <c r="N6" s="33">
        <v>3</v>
      </c>
      <c r="O6" s="33">
        <v>6</v>
      </c>
      <c r="P6" s="33" t="s">
        <v>68</v>
      </c>
      <c r="Q6" s="101" t="s">
        <v>440</v>
      </c>
      <c r="R6" s="34" t="s">
        <v>583</v>
      </c>
    </row>
    <row r="7" spans="1:18">
      <c r="A7" s="33" t="s">
        <v>442</v>
      </c>
      <c r="B7" s="33">
        <v>2</v>
      </c>
      <c r="C7" s="33">
        <v>1</v>
      </c>
      <c r="D7" s="33">
        <v>2</v>
      </c>
      <c r="E7" s="33">
        <v>0</v>
      </c>
      <c r="F7" s="33">
        <v>1</v>
      </c>
      <c r="G7" s="33">
        <v>0</v>
      </c>
      <c r="H7" s="33">
        <v>0</v>
      </c>
      <c r="I7" s="33">
        <v>2</v>
      </c>
      <c r="J7" s="33">
        <v>0</v>
      </c>
      <c r="K7" s="33">
        <v>3</v>
      </c>
      <c r="L7" s="33">
        <v>0</v>
      </c>
      <c r="M7" s="33">
        <v>4</v>
      </c>
      <c r="N7" s="33">
        <v>2</v>
      </c>
      <c r="O7" s="33">
        <v>0</v>
      </c>
      <c r="P7" s="33" t="s">
        <v>68</v>
      </c>
      <c r="Q7" s="101" t="s">
        <v>440</v>
      </c>
      <c r="R7" s="34" t="s">
        <v>583</v>
      </c>
    </row>
    <row r="8" spans="1:18">
      <c r="A8" s="33" t="s">
        <v>653</v>
      </c>
      <c r="B8" s="33">
        <v>1</v>
      </c>
      <c r="C8" s="33">
        <v>14</v>
      </c>
      <c r="D8" s="33">
        <v>22</v>
      </c>
      <c r="E8" s="33">
        <v>14</v>
      </c>
      <c r="F8" s="33">
        <v>18</v>
      </c>
      <c r="G8" s="33">
        <v>17</v>
      </c>
      <c r="H8" s="33">
        <v>16</v>
      </c>
      <c r="I8" s="33">
        <v>21</v>
      </c>
      <c r="J8" s="33">
        <v>14</v>
      </c>
      <c r="K8" s="33">
        <v>14</v>
      </c>
      <c r="L8" s="33">
        <v>11</v>
      </c>
      <c r="M8" s="33">
        <v>5</v>
      </c>
      <c r="N8" s="33">
        <v>6</v>
      </c>
      <c r="O8" s="33">
        <v>5</v>
      </c>
      <c r="P8" s="33" t="s">
        <v>68</v>
      </c>
      <c r="Q8" s="263" t="s">
        <v>440</v>
      </c>
      <c r="R8" s="34" t="s">
        <v>583</v>
      </c>
    </row>
    <row r="9" spans="1:18">
      <c r="A9" s="33" t="s">
        <v>444</v>
      </c>
      <c r="B9" s="33">
        <v>0</v>
      </c>
      <c r="C9" s="33">
        <v>1</v>
      </c>
      <c r="D9" s="33">
        <v>1</v>
      </c>
      <c r="E9" s="33">
        <v>0</v>
      </c>
      <c r="F9" s="33">
        <v>1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 t="s">
        <v>68</v>
      </c>
      <c r="Q9" s="101" t="s">
        <v>440</v>
      </c>
      <c r="R9" s="34" t="s">
        <v>583</v>
      </c>
    </row>
    <row r="10" spans="1:18">
      <c r="A10" s="33" t="s">
        <v>445</v>
      </c>
      <c r="B10" s="33">
        <v>1</v>
      </c>
      <c r="C10" s="33">
        <v>3</v>
      </c>
      <c r="D10" s="33">
        <v>4</v>
      </c>
      <c r="E10" s="33">
        <v>4</v>
      </c>
      <c r="F10" s="33">
        <v>3</v>
      </c>
      <c r="G10" s="33">
        <v>0</v>
      </c>
      <c r="H10" s="33">
        <v>3</v>
      </c>
      <c r="I10" s="33">
        <v>0</v>
      </c>
      <c r="J10" s="33">
        <v>0</v>
      </c>
      <c r="K10" s="33">
        <v>3</v>
      </c>
      <c r="L10" s="33">
        <v>0</v>
      </c>
      <c r="M10" s="33">
        <v>0</v>
      </c>
      <c r="N10" s="33">
        <v>0</v>
      </c>
      <c r="O10" s="33">
        <v>0</v>
      </c>
      <c r="P10" s="33" t="s">
        <v>68</v>
      </c>
      <c r="Q10" s="101" t="s">
        <v>440</v>
      </c>
      <c r="R10" s="34" t="s">
        <v>583</v>
      </c>
    </row>
    <row r="11" spans="1:18">
      <c r="A11" s="33" t="s">
        <v>446</v>
      </c>
      <c r="B11" s="33">
        <v>7</v>
      </c>
      <c r="C11" s="33">
        <v>4</v>
      </c>
      <c r="D11" s="33">
        <v>5</v>
      </c>
      <c r="E11" s="33">
        <v>6</v>
      </c>
      <c r="F11" s="33">
        <v>4</v>
      </c>
      <c r="G11" s="33">
        <v>2</v>
      </c>
      <c r="H11" s="33">
        <v>4</v>
      </c>
      <c r="I11" s="33">
        <v>6</v>
      </c>
      <c r="J11" s="33">
        <v>5</v>
      </c>
      <c r="K11" s="33">
        <v>3</v>
      </c>
      <c r="L11" s="33">
        <v>4</v>
      </c>
      <c r="M11" s="33">
        <v>0</v>
      </c>
      <c r="N11" s="33">
        <v>0</v>
      </c>
      <c r="O11" s="33">
        <v>0</v>
      </c>
      <c r="P11" s="33" t="s">
        <v>68</v>
      </c>
      <c r="Q11" s="101" t="s">
        <v>440</v>
      </c>
      <c r="R11" s="34" t="s">
        <v>583</v>
      </c>
    </row>
    <row r="12" spans="1:18">
      <c r="A12" s="33" t="s">
        <v>447</v>
      </c>
      <c r="B12" s="33">
        <v>5</v>
      </c>
      <c r="C12" s="33">
        <v>3</v>
      </c>
      <c r="D12" s="33">
        <v>4</v>
      </c>
      <c r="E12" s="33">
        <v>3</v>
      </c>
      <c r="F12" s="33">
        <v>4</v>
      </c>
      <c r="G12" s="33">
        <v>2</v>
      </c>
      <c r="H12" s="33">
        <v>1</v>
      </c>
      <c r="I12" s="33">
        <v>3</v>
      </c>
      <c r="J12" s="33">
        <v>2</v>
      </c>
      <c r="K12" s="33">
        <v>4</v>
      </c>
      <c r="L12" s="33">
        <v>3</v>
      </c>
      <c r="M12" s="33">
        <v>3</v>
      </c>
      <c r="N12" s="33">
        <v>1</v>
      </c>
      <c r="O12" s="33">
        <v>1</v>
      </c>
      <c r="P12" s="33" t="s">
        <v>68</v>
      </c>
      <c r="Q12" s="101" t="s">
        <v>440</v>
      </c>
      <c r="R12" s="34" t="s">
        <v>583</v>
      </c>
    </row>
    <row r="13" spans="1:18">
      <c r="A13" s="33" t="s">
        <v>10</v>
      </c>
      <c r="B13" s="33">
        <v>27</v>
      </c>
      <c r="C13" s="33">
        <v>23</v>
      </c>
      <c r="D13" s="33">
        <v>15</v>
      </c>
      <c r="E13" s="33">
        <v>16</v>
      </c>
      <c r="F13" s="33">
        <v>23</v>
      </c>
      <c r="G13" s="33">
        <v>13</v>
      </c>
      <c r="H13" s="33">
        <v>19</v>
      </c>
      <c r="I13" s="33">
        <v>16</v>
      </c>
      <c r="J13" s="33">
        <v>12</v>
      </c>
      <c r="K13" s="33">
        <v>20</v>
      </c>
      <c r="L13" s="33">
        <v>15</v>
      </c>
      <c r="M13" s="33">
        <v>9</v>
      </c>
      <c r="N13" s="33">
        <v>9</v>
      </c>
      <c r="O13" s="33">
        <v>12</v>
      </c>
      <c r="P13" s="33" t="s">
        <v>68</v>
      </c>
      <c r="Q13" s="101" t="s">
        <v>440</v>
      </c>
      <c r="R13" s="34" t="s">
        <v>583</v>
      </c>
    </row>
    <row r="14" spans="1:18">
      <c r="A14" s="33" t="s">
        <v>448</v>
      </c>
      <c r="B14" s="33">
        <v>68</v>
      </c>
      <c r="C14" s="33">
        <v>54</v>
      </c>
      <c r="D14" s="33">
        <v>36</v>
      </c>
      <c r="E14" s="33">
        <v>37</v>
      </c>
      <c r="F14" s="33">
        <v>53</v>
      </c>
      <c r="G14" s="33">
        <v>33</v>
      </c>
      <c r="H14" s="33">
        <v>32</v>
      </c>
      <c r="I14" s="33">
        <v>42</v>
      </c>
      <c r="J14" s="33">
        <v>37</v>
      </c>
      <c r="K14" s="33">
        <v>42</v>
      </c>
      <c r="L14" s="33">
        <v>27</v>
      </c>
      <c r="M14" s="33">
        <v>18</v>
      </c>
      <c r="N14" s="33">
        <v>15</v>
      </c>
      <c r="O14" s="33">
        <v>22</v>
      </c>
      <c r="P14" s="33" t="s">
        <v>68</v>
      </c>
      <c r="Q14" s="101" t="s">
        <v>440</v>
      </c>
      <c r="R14" s="34" t="s">
        <v>583</v>
      </c>
    </row>
    <row r="15" spans="1:18">
      <c r="A15" s="33" t="s">
        <v>14</v>
      </c>
      <c r="B15" s="33">
        <v>11</v>
      </c>
      <c r="C15" s="33">
        <v>5</v>
      </c>
      <c r="D15" s="33">
        <v>7</v>
      </c>
      <c r="E15" s="33">
        <v>5</v>
      </c>
      <c r="F15" s="33">
        <v>6</v>
      </c>
      <c r="G15" s="33">
        <v>3</v>
      </c>
      <c r="H15" s="33">
        <v>8</v>
      </c>
      <c r="I15" s="33">
        <v>5</v>
      </c>
      <c r="J15" s="33">
        <v>8</v>
      </c>
      <c r="K15" s="33">
        <v>10</v>
      </c>
      <c r="L15" s="33">
        <v>4</v>
      </c>
      <c r="M15" s="33">
        <v>5</v>
      </c>
      <c r="N15" s="33">
        <v>8</v>
      </c>
      <c r="O15" s="33">
        <v>8</v>
      </c>
      <c r="P15" s="33" t="s">
        <v>68</v>
      </c>
      <c r="Q15" s="101" t="s">
        <v>440</v>
      </c>
      <c r="R15" s="34" t="s">
        <v>583</v>
      </c>
    </row>
    <row r="16" spans="1:18">
      <c r="A16" s="33" t="s">
        <v>449</v>
      </c>
      <c r="B16" s="33">
        <v>14</v>
      </c>
      <c r="C16" s="33">
        <v>16</v>
      </c>
      <c r="D16" s="33">
        <v>10</v>
      </c>
      <c r="E16" s="33">
        <v>10</v>
      </c>
      <c r="F16" s="33">
        <v>13</v>
      </c>
      <c r="G16" s="33">
        <v>5</v>
      </c>
      <c r="H16" s="33">
        <v>6</v>
      </c>
      <c r="I16" s="33">
        <v>6</v>
      </c>
      <c r="J16" s="33">
        <v>11</v>
      </c>
      <c r="K16" s="33">
        <v>8</v>
      </c>
      <c r="L16" s="33">
        <v>4</v>
      </c>
      <c r="M16" s="33">
        <v>6</v>
      </c>
      <c r="N16" s="33">
        <v>2</v>
      </c>
      <c r="O16" s="33">
        <v>3</v>
      </c>
      <c r="P16" s="33" t="s">
        <v>68</v>
      </c>
      <c r="Q16" s="101" t="s">
        <v>440</v>
      </c>
      <c r="R16" s="34" t="s">
        <v>583</v>
      </c>
    </row>
    <row r="17" spans="1:18">
      <c r="A17" s="33" t="s">
        <v>450</v>
      </c>
      <c r="B17" s="33">
        <v>259</v>
      </c>
      <c r="C17" s="33">
        <v>214</v>
      </c>
      <c r="D17" s="33">
        <v>143</v>
      </c>
      <c r="E17" s="33">
        <v>128</v>
      </c>
      <c r="F17" s="33">
        <v>131</v>
      </c>
      <c r="G17" s="33">
        <v>97</v>
      </c>
      <c r="H17" s="33">
        <v>56</v>
      </c>
      <c r="I17" s="33">
        <v>77</v>
      </c>
      <c r="J17" s="33">
        <v>64</v>
      </c>
      <c r="K17" s="33">
        <v>70</v>
      </c>
      <c r="L17" s="33">
        <v>39</v>
      </c>
      <c r="M17" s="33">
        <v>20</v>
      </c>
      <c r="N17" s="33">
        <v>10</v>
      </c>
      <c r="O17" s="33">
        <v>17</v>
      </c>
      <c r="P17" s="33" t="s">
        <v>68</v>
      </c>
      <c r="Q17" s="263" t="s">
        <v>440</v>
      </c>
      <c r="R17" s="34" t="s">
        <v>583</v>
      </c>
    </row>
    <row r="18" spans="1:18">
      <c r="A18" s="184" t="s">
        <v>451</v>
      </c>
      <c r="B18" s="185">
        <v>2010</v>
      </c>
      <c r="C18" s="185">
        <v>2011</v>
      </c>
      <c r="D18" s="185">
        <v>2012</v>
      </c>
      <c r="E18" s="185">
        <v>2013</v>
      </c>
      <c r="F18" s="185">
        <v>2014</v>
      </c>
      <c r="G18" s="185">
        <v>2015</v>
      </c>
      <c r="H18" s="185">
        <v>2016</v>
      </c>
      <c r="I18" s="185">
        <v>2017</v>
      </c>
      <c r="J18" s="185">
        <v>2018</v>
      </c>
      <c r="K18" s="185">
        <v>2019</v>
      </c>
      <c r="L18" s="185">
        <v>2020</v>
      </c>
      <c r="M18" s="185">
        <v>2021</v>
      </c>
      <c r="N18" s="185">
        <v>2022</v>
      </c>
      <c r="O18" s="185">
        <v>2023</v>
      </c>
      <c r="P18" s="186" t="s">
        <v>21</v>
      </c>
      <c r="Q18" s="186" t="s">
        <v>22</v>
      </c>
      <c r="R18" s="186" t="s">
        <v>23</v>
      </c>
    </row>
    <row r="19" spans="1:18">
      <c r="A19" s="187" t="s">
        <v>439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29"/>
      <c r="Q19" s="29"/>
      <c r="R19" s="29"/>
    </row>
    <row r="20" spans="1:18">
      <c r="A20" s="33" t="s">
        <v>2</v>
      </c>
      <c r="B20" s="409">
        <v>34</v>
      </c>
      <c r="C20" s="409">
        <v>22</v>
      </c>
      <c r="D20" s="409">
        <v>37</v>
      </c>
      <c r="E20" s="409">
        <v>26</v>
      </c>
      <c r="F20" s="409">
        <v>26</v>
      </c>
      <c r="G20" s="409">
        <v>24</v>
      </c>
      <c r="H20" s="409">
        <v>23</v>
      </c>
      <c r="I20" s="409">
        <v>16</v>
      </c>
      <c r="J20" s="409">
        <v>14</v>
      </c>
      <c r="K20" s="409">
        <v>14</v>
      </c>
      <c r="L20" s="409">
        <v>15</v>
      </c>
      <c r="M20" s="409">
        <v>16</v>
      </c>
      <c r="N20" s="33">
        <v>6</v>
      </c>
      <c r="O20" s="33">
        <v>14</v>
      </c>
      <c r="P20" s="33" t="s">
        <v>451</v>
      </c>
      <c r="Q20" s="64" t="s">
        <v>452</v>
      </c>
      <c r="R20" s="34" t="s">
        <v>583</v>
      </c>
    </row>
    <row r="21" spans="1:18" ht="15.75" customHeight="1">
      <c r="A21" s="33" t="s">
        <v>441</v>
      </c>
      <c r="B21" s="409">
        <v>24</v>
      </c>
      <c r="C21" s="409">
        <v>19</v>
      </c>
      <c r="D21" s="409">
        <v>14</v>
      </c>
      <c r="E21" s="409">
        <v>11</v>
      </c>
      <c r="F21" s="409">
        <v>9</v>
      </c>
      <c r="G21" s="409">
        <v>13</v>
      </c>
      <c r="H21" s="409">
        <v>10</v>
      </c>
      <c r="I21" s="409">
        <v>2</v>
      </c>
      <c r="J21" s="409">
        <v>3</v>
      </c>
      <c r="K21" s="409">
        <v>3</v>
      </c>
      <c r="L21" s="409">
        <v>3</v>
      </c>
      <c r="M21" s="409">
        <v>4</v>
      </c>
      <c r="N21" s="33">
        <v>3</v>
      </c>
      <c r="O21" s="33">
        <v>3</v>
      </c>
      <c r="P21" s="33" t="s">
        <v>451</v>
      </c>
      <c r="Q21" s="64" t="s">
        <v>452</v>
      </c>
      <c r="R21" s="34" t="s">
        <v>583</v>
      </c>
    </row>
    <row r="22" spans="1:18" ht="15.75" customHeight="1">
      <c r="A22" s="33" t="s">
        <v>442</v>
      </c>
      <c r="B22" s="410">
        <v>1</v>
      </c>
      <c r="C22" s="410">
        <v>1</v>
      </c>
      <c r="D22" s="410">
        <v>0</v>
      </c>
      <c r="E22" s="410">
        <v>1</v>
      </c>
      <c r="F22" s="410">
        <v>1</v>
      </c>
      <c r="G22" s="410">
        <v>0</v>
      </c>
      <c r="H22" s="410">
        <v>0</v>
      </c>
      <c r="I22" s="410">
        <v>0</v>
      </c>
      <c r="J22" s="410">
        <v>0</v>
      </c>
      <c r="K22" s="410">
        <v>0</v>
      </c>
      <c r="L22" s="410">
        <v>0</v>
      </c>
      <c r="M22" s="410">
        <v>0</v>
      </c>
      <c r="N22" s="33">
        <v>1</v>
      </c>
      <c r="O22" s="33">
        <v>0</v>
      </c>
      <c r="P22" s="33" t="s">
        <v>451</v>
      </c>
      <c r="Q22" s="293" t="s">
        <v>452</v>
      </c>
      <c r="R22" s="34" t="s">
        <v>583</v>
      </c>
    </row>
    <row r="23" spans="1:18" ht="15.75" customHeight="1">
      <c r="A23" s="33" t="s">
        <v>653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 t="s">
        <v>451</v>
      </c>
      <c r="Q23" s="264" t="s">
        <v>452</v>
      </c>
      <c r="R23" s="34" t="s">
        <v>583</v>
      </c>
    </row>
    <row r="24" spans="1:18" ht="15.75" customHeight="1">
      <c r="A24" s="33" t="s">
        <v>444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 t="s">
        <v>451</v>
      </c>
      <c r="Q24" s="64" t="s">
        <v>452</v>
      </c>
      <c r="R24" s="34" t="s">
        <v>583</v>
      </c>
    </row>
    <row r="25" spans="1:18" ht="15.75" customHeight="1">
      <c r="A25" s="33" t="s">
        <v>445</v>
      </c>
      <c r="B25" s="410">
        <v>1</v>
      </c>
      <c r="C25" s="410">
        <v>0</v>
      </c>
      <c r="D25" s="410">
        <v>0</v>
      </c>
      <c r="E25" s="410">
        <v>0</v>
      </c>
      <c r="F25" s="410">
        <v>1</v>
      </c>
      <c r="G25" s="410">
        <v>0</v>
      </c>
      <c r="H25" s="410">
        <v>1</v>
      </c>
      <c r="I25" s="410">
        <v>0</v>
      </c>
      <c r="J25" s="410">
        <v>0</v>
      </c>
      <c r="K25" s="410">
        <v>0</v>
      </c>
      <c r="L25" s="410">
        <v>2</v>
      </c>
      <c r="M25" s="410">
        <v>0</v>
      </c>
      <c r="N25" s="33">
        <v>0</v>
      </c>
      <c r="O25" s="33">
        <v>0</v>
      </c>
      <c r="P25" s="33" t="s">
        <v>451</v>
      </c>
      <c r="Q25" s="136" t="s">
        <v>452</v>
      </c>
      <c r="R25" s="34" t="s">
        <v>583</v>
      </c>
    </row>
    <row r="26" spans="1:18" ht="15.75" customHeight="1">
      <c r="A26" s="33" t="s">
        <v>446</v>
      </c>
      <c r="B26" s="410">
        <v>0</v>
      </c>
      <c r="C26" s="410">
        <v>1</v>
      </c>
      <c r="D26" s="410">
        <v>0</v>
      </c>
      <c r="E26" s="410">
        <v>0</v>
      </c>
      <c r="F26" s="410">
        <v>0</v>
      </c>
      <c r="G26" s="410">
        <v>0</v>
      </c>
      <c r="H26" s="410">
        <v>2</v>
      </c>
      <c r="I26" s="410">
        <v>0</v>
      </c>
      <c r="J26" s="410">
        <v>1</v>
      </c>
      <c r="K26" s="410">
        <v>0</v>
      </c>
      <c r="L26" s="410">
        <v>0</v>
      </c>
      <c r="M26" s="410">
        <v>0</v>
      </c>
      <c r="N26" s="33">
        <v>0</v>
      </c>
      <c r="O26" s="33">
        <v>0</v>
      </c>
      <c r="P26" s="33" t="s">
        <v>451</v>
      </c>
      <c r="Q26" s="64" t="s">
        <v>452</v>
      </c>
      <c r="R26" s="34" t="s">
        <v>583</v>
      </c>
    </row>
    <row r="27" spans="1:18" ht="15.75" customHeight="1">
      <c r="A27" s="33" t="s">
        <v>447</v>
      </c>
      <c r="B27" s="410">
        <v>1</v>
      </c>
      <c r="C27" s="410">
        <v>0</v>
      </c>
      <c r="D27" s="410">
        <v>0</v>
      </c>
      <c r="E27" s="410">
        <v>1</v>
      </c>
      <c r="F27" s="410">
        <v>0</v>
      </c>
      <c r="G27" s="410">
        <v>0</v>
      </c>
      <c r="H27" s="410">
        <v>3</v>
      </c>
      <c r="I27" s="410">
        <v>0</v>
      </c>
      <c r="J27" s="410">
        <v>3</v>
      </c>
      <c r="K27" s="410">
        <v>3</v>
      </c>
      <c r="L27" s="410">
        <v>0</v>
      </c>
      <c r="M27" s="410">
        <v>0</v>
      </c>
      <c r="N27" s="33">
        <v>3</v>
      </c>
      <c r="O27" s="33">
        <v>1</v>
      </c>
      <c r="P27" s="33" t="s">
        <v>451</v>
      </c>
      <c r="Q27" s="64" t="s">
        <v>452</v>
      </c>
      <c r="R27" s="34" t="s">
        <v>583</v>
      </c>
    </row>
    <row r="28" spans="1:18" ht="15.75" customHeight="1">
      <c r="A28" s="33" t="s">
        <v>10</v>
      </c>
      <c r="B28" s="410">
        <v>7</v>
      </c>
      <c r="C28" s="410">
        <v>4</v>
      </c>
      <c r="D28" s="410">
        <v>8</v>
      </c>
      <c r="E28" s="410">
        <v>7</v>
      </c>
      <c r="F28" s="410">
        <v>8</v>
      </c>
      <c r="G28" s="410">
        <v>1</v>
      </c>
      <c r="H28" s="410">
        <v>5</v>
      </c>
      <c r="I28" s="410">
        <v>4</v>
      </c>
      <c r="J28" s="410">
        <v>1</v>
      </c>
      <c r="K28" s="410">
        <v>5</v>
      </c>
      <c r="L28" s="410">
        <v>5</v>
      </c>
      <c r="M28" s="410">
        <v>6</v>
      </c>
      <c r="N28" s="33">
        <v>8</v>
      </c>
      <c r="O28" s="33">
        <v>8</v>
      </c>
      <c r="P28" s="33" t="s">
        <v>451</v>
      </c>
      <c r="Q28" s="64" t="s">
        <v>452</v>
      </c>
      <c r="R28" s="34" t="s">
        <v>583</v>
      </c>
    </row>
    <row r="29" spans="1:18" ht="15.75" customHeight="1">
      <c r="A29" s="33" t="s">
        <v>448</v>
      </c>
      <c r="B29" s="410">
        <v>1</v>
      </c>
      <c r="C29" s="410">
        <v>6</v>
      </c>
      <c r="D29" s="410">
        <v>8</v>
      </c>
      <c r="E29" s="410">
        <v>4</v>
      </c>
      <c r="F29" s="410">
        <v>2</v>
      </c>
      <c r="G29" s="410">
        <v>10</v>
      </c>
      <c r="H29" s="410">
        <v>6</v>
      </c>
      <c r="I29" s="410">
        <v>3</v>
      </c>
      <c r="J29" s="410">
        <v>4</v>
      </c>
      <c r="K29" s="410">
        <v>6</v>
      </c>
      <c r="L29" s="410">
        <v>5</v>
      </c>
      <c r="M29" s="410">
        <v>7</v>
      </c>
      <c r="N29" s="33">
        <v>7</v>
      </c>
      <c r="O29" s="33">
        <v>9</v>
      </c>
      <c r="P29" s="33" t="s">
        <v>451</v>
      </c>
      <c r="Q29" s="64" t="s">
        <v>452</v>
      </c>
      <c r="R29" s="34" t="s">
        <v>583</v>
      </c>
    </row>
    <row r="30" spans="1:18" ht="15.75" customHeight="1">
      <c r="A30" s="33" t="s">
        <v>14</v>
      </c>
      <c r="B30" s="413">
        <v>6</v>
      </c>
      <c r="C30" s="413">
        <v>1</v>
      </c>
      <c r="D30" s="413">
        <v>3</v>
      </c>
      <c r="E30" s="413">
        <v>13</v>
      </c>
      <c r="F30" s="413">
        <v>10</v>
      </c>
      <c r="G30" s="413">
        <v>4</v>
      </c>
      <c r="H30" s="413">
        <v>5</v>
      </c>
      <c r="I30" s="413">
        <v>6</v>
      </c>
      <c r="J30" s="413">
        <v>7</v>
      </c>
      <c r="K30" s="413">
        <v>4</v>
      </c>
      <c r="L30" s="413">
        <v>5</v>
      </c>
      <c r="M30" s="413">
        <v>10</v>
      </c>
      <c r="N30" s="33">
        <v>6</v>
      </c>
      <c r="O30" s="33">
        <v>11</v>
      </c>
      <c r="P30" s="33" t="s">
        <v>451</v>
      </c>
      <c r="Q30" s="64" t="s">
        <v>452</v>
      </c>
      <c r="R30" s="34" t="s">
        <v>583</v>
      </c>
    </row>
    <row r="31" spans="1:18" ht="15.75" customHeight="1">
      <c r="A31" s="33" t="s">
        <v>449</v>
      </c>
      <c r="B31" s="410">
        <v>2</v>
      </c>
      <c r="C31" s="410">
        <v>6</v>
      </c>
      <c r="D31" s="410">
        <v>4</v>
      </c>
      <c r="E31" s="410">
        <v>8</v>
      </c>
      <c r="F31" s="410">
        <v>4</v>
      </c>
      <c r="G31" s="410">
        <v>7</v>
      </c>
      <c r="H31" s="410">
        <v>4</v>
      </c>
      <c r="I31" s="410">
        <v>4</v>
      </c>
      <c r="J31" s="410">
        <v>8</v>
      </c>
      <c r="K31" s="410">
        <v>1</v>
      </c>
      <c r="L31" s="410">
        <v>2</v>
      </c>
      <c r="M31" s="410">
        <v>5</v>
      </c>
      <c r="N31" s="33">
        <v>2</v>
      </c>
      <c r="O31" s="33">
        <v>6</v>
      </c>
      <c r="P31" s="33" t="s">
        <v>451</v>
      </c>
      <c r="Q31" s="64" t="s">
        <v>452</v>
      </c>
      <c r="R31" s="34" t="s">
        <v>583</v>
      </c>
    </row>
    <row r="32" spans="1:18" ht="15.75" customHeight="1">
      <c r="A32" s="33" t="s">
        <v>450</v>
      </c>
      <c r="B32" s="411">
        <v>128</v>
      </c>
      <c r="C32" s="411">
        <v>113</v>
      </c>
      <c r="D32" s="411">
        <v>124</v>
      </c>
      <c r="E32" s="411">
        <v>105</v>
      </c>
      <c r="F32" s="411">
        <v>102</v>
      </c>
      <c r="G32" s="411">
        <v>88</v>
      </c>
      <c r="H32" s="411">
        <v>88</v>
      </c>
      <c r="I32" s="411">
        <v>59</v>
      </c>
      <c r="J32" s="411">
        <v>52</v>
      </c>
      <c r="K32" s="411">
        <v>57</v>
      </c>
      <c r="L32" s="411">
        <v>28</v>
      </c>
      <c r="M32" s="411">
        <v>25</v>
      </c>
      <c r="N32" s="33">
        <v>24</v>
      </c>
      <c r="O32" s="33">
        <v>25</v>
      </c>
      <c r="P32" s="33" t="s">
        <v>451</v>
      </c>
      <c r="Q32" s="264" t="s">
        <v>452</v>
      </c>
      <c r="R32" s="34" t="s">
        <v>583</v>
      </c>
    </row>
    <row r="33" spans="1:18">
      <c r="A33" s="184" t="s">
        <v>584</v>
      </c>
      <c r="B33" s="185">
        <v>2010</v>
      </c>
      <c r="C33" s="185">
        <v>2011</v>
      </c>
      <c r="D33" s="185">
        <v>2012</v>
      </c>
      <c r="E33" s="185">
        <v>2013</v>
      </c>
      <c r="F33" s="185">
        <v>2014</v>
      </c>
      <c r="G33" s="185">
        <v>2015</v>
      </c>
      <c r="H33" s="185">
        <v>2016</v>
      </c>
      <c r="I33" s="185">
        <v>2017</v>
      </c>
      <c r="J33" s="185">
        <v>2018</v>
      </c>
      <c r="K33" s="185">
        <v>2019</v>
      </c>
      <c r="L33" s="185">
        <v>2020</v>
      </c>
      <c r="M33" s="185">
        <v>2021</v>
      </c>
      <c r="N33" s="185">
        <v>2022</v>
      </c>
      <c r="O33" s="185">
        <v>2023</v>
      </c>
      <c r="P33" s="186" t="s">
        <v>21</v>
      </c>
      <c r="Q33" s="186" t="s">
        <v>22</v>
      </c>
      <c r="R33" s="186" t="s">
        <v>23</v>
      </c>
    </row>
    <row r="34" spans="1:18">
      <c r="A34" s="187" t="s">
        <v>439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29"/>
      <c r="Q34" s="29"/>
      <c r="R34" s="29"/>
    </row>
    <row r="35" spans="1:18">
      <c r="A35" s="33" t="s">
        <v>2</v>
      </c>
      <c r="B35" s="409">
        <f>+B5+B20</f>
        <v>303</v>
      </c>
      <c r="C35" s="409">
        <f t="shared" ref="C35:O35" si="0">+C5+C20</f>
        <v>165</v>
      </c>
      <c r="D35" s="409">
        <f t="shared" si="0"/>
        <v>184</v>
      </c>
      <c r="E35" s="409">
        <f t="shared" si="0"/>
        <v>176</v>
      </c>
      <c r="F35" s="409">
        <f t="shared" si="0"/>
        <v>191</v>
      </c>
      <c r="G35" s="409">
        <f t="shared" si="0"/>
        <v>175</v>
      </c>
      <c r="H35" s="409">
        <f t="shared" si="0"/>
        <v>130</v>
      </c>
      <c r="I35" s="409">
        <f t="shared" si="0"/>
        <v>148</v>
      </c>
      <c r="J35" s="409">
        <f t="shared" si="0"/>
        <v>147</v>
      </c>
      <c r="K35" s="409">
        <f t="shared" si="0"/>
        <v>155</v>
      </c>
      <c r="L35" s="409">
        <f t="shared" si="0"/>
        <v>119</v>
      </c>
      <c r="M35" s="409">
        <f t="shared" si="0"/>
        <v>134</v>
      </c>
      <c r="N35" s="409">
        <f t="shared" si="0"/>
        <v>48</v>
      </c>
      <c r="O35" s="409">
        <f t="shared" si="0"/>
        <v>62</v>
      </c>
      <c r="P35" s="33" t="s">
        <v>451</v>
      </c>
      <c r="Q35" s="64" t="s">
        <v>452</v>
      </c>
      <c r="R35" s="34" t="s">
        <v>583</v>
      </c>
    </row>
    <row r="36" spans="1:18" ht="15.75" customHeight="1">
      <c r="A36" s="33" t="s">
        <v>441</v>
      </c>
      <c r="B36" s="409">
        <f t="shared" ref="B36:O47" si="1">+B6+B21</f>
        <v>123</v>
      </c>
      <c r="C36" s="409">
        <f t="shared" si="1"/>
        <v>71</v>
      </c>
      <c r="D36" s="409">
        <f t="shared" si="1"/>
        <v>64</v>
      </c>
      <c r="E36" s="409">
        <f t="shared" si="1"/>
        <v>56</v>
      </c>
      <c r="F36" s="409">
        <f t="shared" si="1"/>
        <v>58</v>
      </c>
      <c r="G36" s="409">
        <f t="shared" si="1"/>
        <v>36</v>
      </c>
      <c r="H36" s="409">
        <f t="shared" si="1"/>
        <v>26</v>
      </c>
      <c r="I36" s="409">
        <f t="shared" si="1"/>
        <v>23</v>
      </c>
      <c r="J36" s="409">
        <f t="shared" si="1"/>
        <v>26</v>
      </c>
      <c r="K36" s="409">
        <f t="shared" si="1"/>
        <v>32</v>
      </c>
      <c r="L36" s="409">
        <f t="shared" si="1"/>
        <v>14</v>
      </c>
      <c r="M36" s="409">
        <f t="shared" si="1"/>
        <v>10</v>
      </c>
      <c r="N36" s="409">
        <f t="shared" si="1"/>
        <v>6</v>
      </c>
      <c r="O36" s="409">
        <f t="shared" si="1"/>
        <v>9</v>
      </c>
      <c r="P36" s="33" t="s">
        <v>451</v>
      </c>
      <c r="Q36" s="64" t="s">
        <v>452</v>
      </c>
      <c r="R36" s="34" t="s">
        <v>583</v>
      </c>
    </row>
    <row r="37" spans="1:18" ht="15.75" customHeight="1">
      <c r="A37" s="33" t="s">
        <v>442</v>
      </c>
      <c r="B37" s="409">
        <f t="shared" si="1"/>
        <v>3</v>
      </c>
      <c r="C37" s="409">
        <f t="shared" si="1"/>
        <v>2</v>
      </c>
      <c r="D37" s="409">
        <f t="shared" si="1"/>
        <v>2</v>
      </c>
      <c r="E37" s="409">
        <f t="shared" si="1"/>
        <v>1</v>
      </c>
      <c r="F37" s="409">
        <f t="shared" si="1"/>
        <v>2</v>
      </c>
      <c r="G37" s="409">
        <f t="shared" si="1"/>
        <v>0</v>
      </c>
      <c r="H37" s="409">
        <f t="shared" si="1"/>
        <v>0</v>
      </c>
      <c r="I37" s="409">
        <f t="shared" si="1"/>
        <v>2</v>
      </c>
      <c r="J37" s="409">
        <f t="shared" si="1"/>
        <v>0</v>
      </c>
      <c r="K37" s="409">
        <f t="shared" si="1"/>
        <v>3</v>
      </c>
      <c r="L37" s="409">
        <f t="shared" si="1"/>
        <v>0</v>
      </c>
      <c r="M37" s="409">
        <f t="shared" si="1"/>
        <v>4</v>
      </c>
      <c r="N37" s="409">
        <f t="shared" si="1"/>
        <v>3</v>
      </c>
      <c r="O37" s="409">
        <f t="shared" si="1"/>
        <v>0</v>
      </c>
      <c r="P37" s="33" t="s">
        <v>451</v>
      </c>
      <c r="Q37" s="293" t="s">
        <v>452</v>
      </c>
      <c r="R37" s="34" t="s">
        <v>583</v>
      </c>
    </row>
    <row r="38" spans="1:18" ht="15.75" customHeight="1">
      <c r="A38" s="33" t="s">
        <v>653</v>
      </c>
      <c r="B38" s="409">
        <f t="shared" si="1"/>
        <v>1</v>
      </c>
      <c r="C38" s="409">
        <f t="shared" si="1"/>
        <v>14</v>
      </c>
      <c r="D38" s="409">
        <f t="shared" si="1"/>
        <v>22</v>
      </c>
      <c r="E38" s="409">
        <f t="shared" si="1"/>
        <v>14</v>
      </c>
      <c r="F38" s="409">
        <f t="shared" si="1"/>
        <v>18</v>
      </c>
      <c r="G38" s="409">
        <f t="shared" si="1"/>
        <v>17</v>
      </c>
      <c r="H38" s="409">
        <f t="shared" si="1"/>
        <v>16</v>
      </c>
      <c r="I38" s="409">
        <f t="shared" si="1"/>
        <v>21</v>
      </c>
      <c r="J38" s="409">
        <f t="shared" si="1"/>
        <v>14</v>
      </c>
      <c r="K38" s="409">
        <f t="shared" si="1"/>
        <v>14</v>
      </c>
      <c r="L38" s="409">
        <f t="shared" si="1"/>
        <v>11</v>
      </c>
      <c r="M38" s="409">
        <f t="shared" si="1"/>
        <v>5</v>
      </c>
      <c r="N38" s="409">
        <f t="shared" si="1"/>
        <v>6</v>
      </c>
      <c r="O38" s="409">
        <f t="shared" si="1"/>
        <v>7</v>
      </c>
      <c r="P38" s="33" t="s">
        <v>451</v>
      </c>
      <c r="Q38" s="264" t="s">
        <v>452</v>
      </c>
      <c r="R38" s="34" t="s">
        <v>583</v>
      </c>
    </row>
    <row r="39" spans="1:18" ht="15.75" customHeight="1">
      <c r="A39" s="33" t="s">
        <v>444</v>
      </c>
      <c r="B39" s="409">
        <f t="shared" si="1"/>
        <v>0</v>
      </c>
      <c r="C39" s="409">
        <f t="shared" si="1"/>
        <v>1</v>
      </c>
      <c r="D39" s="409">
        <f t="shared" si="1"/>
        <v>1</v>
      </c>
      <c r="E39" s="409">
        <f t="shared" si="1"/>
        <v>0</v>
      </c>
      <c r="F39" s="409">
        <f t="shared" si="1"/>
        <v>1</v>
      </c>
      <c r="G39" s="409">
        <f t="shared" si="1"/>
        <v>0</v>
      </c>
      <c r="H39" s="409">
        <f t="shared" si="1"/>
        <v>0</v>
      </c>
      <c r="I39" s="409">
        <f t="shared" si="1"/>
        <v>0</v>
      </c>
      <c r="J39" s="409">
        <f t="shared" si="1"/>
        <v>0</v>
      </c>
      <c r="K39" s="409">
        <f t="shared" si="1"/>
        <v>0</v>
      </c>
      <c r="L39" s="409">
        <f t="shared" si="1"/>
        <v>0</v>
      </c>
      <c r="M39" s="409">
        <f t="shared" si="1"/>
        <v>0</v>
      </c>
      <c r="N39" s="409">
        <f t="shared" si="1"/>
        <v>0</v>
      </c>
      <c r="O39" s="409">
        <f t="shared" si="1"/>
        <v>0</v>
      </c>
      <c r="P39" s="33" t="s">
        <v>451</v>
      </c>
      <c r="Q39" s="64" t="s">
        <v>452</v>
      </c>
      <c r="R39" s="34" t="s">
        <v>583</v>
      </c>
    </row>
    <row r="40" spans="1:18" ht="15.75" customHeight="1">
      <c r="A40" s="33" t="s">
        <v>445</v>
      </c>
      <c r="B40" s="409">
        <f t="shared" si="1"/>
        <v>2</v>
      </c>
      <c r="C40" s="409">
        <f t="shared" si="1"/>
        <v>3</v>
      </c>
      <c r="D40" s="409">
        <f t="shared" si="1"/>
        <v>4</v>
      </c>
      <c r="E40" s="409">
        <f t="shared" si="1"/>
        <v>4</v>
      </c>
      <c r="F40" s="409">
        <f t="shared" si="1"/>
        <v>4</v>
      </c>
      <c r="G40" s="409">
        <f t="shared" si="1"/>
        <v>0</v>
      </c>
      <c r="H40" s="409">
        <f t="shared" si="1"/>
        <v>4</v>
      </c>
      <c r="I40" s="409">
        <f t="shared" si="1"/>
        <v>0</v>
      </c>
      <c r="J40" s="409">
        <f t="shared" si="1"/>
        <v>0</v>
      </c>
      <c r="K40" s="409">
        <f t="shared" si="1"/>
        <v>3</v>
      </c>
      <c r="L40" s="409">
        <f t="shared" si="1"/>
        <v>2</v>
      </c>
      <c r="M40" s="409">
        <f t="shared" si="1"/>
        <v>0</v>
      </c>
      <c r="N40" s="409">
        <f t="shared" si="1"/>
        <v>0</v>
      </c>
      <c r="O40" s="409">
        <f t="shared" si="1"/>
        <v>0</v>
      </c>
      <c r="P40" s="33" t="s">
        <v>451</v>
      </c>
      <c r="Q40" s="136" t="s">
        <v>452</v>
      </c>
      <c r="R40" s="34" t="s">
        <v>583</v>
      </c>
    </row>
    <row r="41" spans="1:18" ht="15.75" customHeight="1">
      <c r="A41" s="33" t="s">
        <v>446</v>
      </c>
      <c r="B41" s="409">
        <f t="shared" si="1"/>
        <v>7</v>
      </c>
      <c r="C41" s="409">
        <f t="shared" si="1"/>
        <v>5</v>
      </c>
      <c r="D41" s="409">
        <f t="shared" si="1"/>
        <v>5</v>
      </c>
      <c r="E41" s="409">
        <f t="shared" si="1"/>
        <v>6</v>
      </c>
      <c r="F41" s="409">
        <f t="shared" si="1"/>
        <v>4</v>
      </c>
      <c r="G41" s="409">
        <f t="shared" si="1"/>
        <v>2</v>
      </c>
      <c r="H41" s="409">
        <f t="shared" si="1"/>
        <v>6</v>
      </c>
      <c r="I41" s="409">
        <f t="shared" si="1"/>
        <v>6</v>
      </c>
      <c r="J41" s="409">
        <f t="shared" si="1"/>
        <v>6</v>
      </c>
      <c r="K41" s="409">
        <f t="shared" si="1"/>
        <v>3</v>
      </c>
      <c r="L41" s="409">
        <f t="shared" si="1"/>
        <v>4</v>
      </c>
      <c r="M41" s="409">
        <f t="shared" si="1"/>
        <v>0</v>
      </c>
      <c r="N41" s="409">
        <f t="shared" si="1"/>
        <v>0</v>
      </c>
      <c r="O41" s="409">
        <f t="shared" si="1"/>
        <v>0</v>
      </c>
      <c r="P41" s="33" t="s">
        <v>451</v>
      </c>
      <c r="Q41" s="64" t="s">
        <v>452</v>
      </c>
      <c r="R41" s="34" t="s">
        <v>583</v>
      </c>
    </row>
    <row r="42" spans="1:18" ht="15.75" customHeight="1">
      <c r="A42" s="33" t="s">
        <v>447</v>
      </c>
      <c r="B42" s="409">
        <f t="shared" si="1"/>
        <v>6</v>
      </c>
      <c r="C42" s="409">
        <f t="shared" si="1"/>
        <v>3</v>
      </c>
      <c r="D42" s="409">
        <f t="shared" si="1"/>
        <v>4</v>
      </c>
      <c r="E42" s="409">
        <f t="shared" si="1"/>
        <v>4</v>
      </c>
      <c r="F42" s="409">
        <f t="shared" si="1"/>
        <v>4</v>
      </c>
      <c r="G42" s="409">
        <f t="shared" si="1"/>
        <v>2</v>
      </c>
      <c r="H42" s="409">
        <f t="shared" si="1"/>
        <v>4</v>
      </c>
      <c r="I42" s="409">
        <f t="shared" si="1"/>
        <v>3</v>
      </c>
      <c r="J42" s="409">
        <f t="shared" si="1"/>
        <v>5</v>
      </c>
      <c r="K42" s="409">
        <f t="shared" si="1"/>
        <v>7</v>
      </c>
      <c r="L42" s="409">
        <f t="shared" si="1"/>
        <v>3</v>
      </c>
      <c r="M42" s="409">
        <f t="shared" si="1"/>
        <v>3</v>
      </c>
      <c r="N42" s="409">
        <f t="shared" si="1"/>
        <v>4</v>
      </c>
      <c r="O42" s="409">
        <f t="shared" si="1"/>
        <v>2</v>
      </c>
      <c r="P42" s="33" t="s">
        <v>451</v>
      </c>
      <c r="Q42" s="64" t="s">
        <v>452</v>
      </c>
      <c r="R42" s="34" t="s">
        <v>583</v>
      </c>
    </row>
    <row r="43" spans="1:18" ht="15.75" customHeight="1">
      <c r="A43" s="33" t="s">
        <v>10</v>
      </c>
      <c r="B43" s="409">
        <f t="shared" si="1"/>
        <v>34</v>
      </c>
      <c r="C43" s="409">
        <f t="shared" si="1"/>
        <v>27</v>
      </c>
      <c r="D43" s="409">
        <f t="shared" si="1"/>
        <v>23</v>
      </c>
      <c r="E43" s="409">
        <f t="shared" si="1"/>
        <v>23</v>
      </c>
      <c r="F43" s="409">
        <f t="shared" si="1"/>
        <v>31</v>
      </c>
      <c r="G43" s="409">
        <f t="shared" si="1"/>
        <v>14</v>
      </c>
      <c r="H43" s="409">
        <f t="shared" si="1"/>
        <v>24</v>
      </c>
      <c r="I43" s="409">
        <f t="shared" si="1"/>
        <v>20</v>
      </c>
      <c r="J43" s="409">
        <f t="shared" si="1"/>
        <v>13</v>
      </c>
      <c r="K43" s="409">
        <f t="shared" si="1"/>
        <v>25</v>
      </c>
      <c r="L43" s="409">
        <f t="shared" si="1"/>
        <v>20</v>
      </c>
      <c r="M43" s="409">
        <f t="shared" si="1"/>
        <v>15</v>
      </c>
      <c r="N43" s="409">
        <f t="shared" si="1"/>
        <v>17</v>
      </c>
      <c r="O43" s="409">
        <f t="shared" si="1"/>
        <v>20</v>
      </c>
      <c r="P43" s="33" t="s">
        <v>451</v>
      </c>
      <c r="Q43" s="64" t="s">
        <v>452</v>
      </c>
      <c r="R43" s="34" t="s">
        <v>583</v>
      </c>
    </row>
    <row r="44" spans="1:18" ht="15.75" customHeight="1">
      <c r="A44" s="33" t="s">
        <v>448</v>
      </c>
      <c r="B44" s="409">
        <f t="shared" si="1"/>
        <v>69</v>
      </c>
      <c r="C44" s="409">
        <f t="shared" si="1"/>
        <v>60</v>
      </c>
      <c r="D44" s="409">
        <f t="shared" si="1"/>
        <v>44</v>
      </c>
      <c r="E44" s="409">
        <f t="shared" si="1"/>
        <v>41</v>
      </c>
      <c r="F44" s="409">
        <f t="shared" si="1"/>
        <v>55</v>
      </c>
      <c r="G44" s="409">
        <f t="shared" si="1"/>
        <v>43</v>
      </c>
      <c r="H44" s="409">
        <f t="shared" si="1"/>
        <v>38</v>
      </c>
      <c r="I44" s="409">
        <f t="shared" si="1"/>
        <v>45</v>
      </c>
      <c r="J44" s="409">
        <f t="shared" si="1"/>
        <v>41</v>
      </c>
      <c r="K44" s="409">
        <f t="shared" si="1"/>
        <v>48</v>
      </c>
      <c r="L44" s="409">
        <f t="shared" si="1"/>
        <v>32</v>
      </c>
      <c r="M44" s="409">
        <f t="shared" si="1"/>
        <v>25</v>
      </c>
      <c r="N44" s="409">
        <f t="shared" si="1"/>
        <v>22</v>
      </c>
      <c r="O44" s="409">
        <f t="shared" si="1"/>
        <v>31</v>
      </c>
      <c r="P44" s="33" t="s">
        <v>451</v>
      </c>
      <c r="Q44" s="64" t="s">
        <v>452</v>
      </c>
      <c r="R44" s="34" t="s">
        <v>583</v>
      </c>
    </row>
    <row r="45" spans="1:18" ht="15.75" customHeight="1">
      <c r="A45" s="33" t="s">
        <v>14</v>
      </c>
      <c r="B45" s="409">
        <f t="shared" si="1"/>
        <v>17</v>
      </c>
      <c r="C45" s="409">
        <f t="shared" si="1"/>
        <v>6</v>
      </c>
      <c r="D45" s="409">
        <f t="shared" si="1"/>
        <v>10</v>
      </c>
      <c r="E45" s="409">
        <f t="shared" si="1"/>
        <v>18</v>
      </c>
      <c r="F45" s="409">
        <f t="shared" si="1"/>
        <v>16</v>
      </c>
      <c r="G45" s="409">
        <f t="shared" si="1"/>
        <v>7</v>
      </c>
      <c r="H45" s="409">
        <f t="shared" si="1"/>
        <v>13</v>
      </c>
      <c r="I45" s="409">
        <f t="shared" si="1"/>
        <v>11</v>
      </c>
      <c r="J45" s="409">
        <f t="shared" si="1"/>
        <v>15</v>
      </c>
      <c r="K45" s="409">
        <f t="shared" si="1"/>
        <v>14</v>
      </c>
      <c r="L45" s="409">
        <f t="shared" si="1"/>
        <v>9</v>
      </c>
      <c r="M45" s="409">
        <f t="shared" si="1"/>
        <v>15</v>
      </c>
      <c r="N45" s="409">
        <f t="shared" si="1"/>
        <v>14</v>
      </c>
      <c r="O45" s="409">
        <f t="shared" si="1"/>
        <v>19</v>
      </c>
      <c r="P45" s="33" t="s">
        <v>451</v>
      </c>
      <c r="Q45" s="64" t="s">
        <v>452</v>
      </c>
      <c r="R45" s="34" t="s">
        <v>583</v>
      </c>
    </row>
    <row r="46" spans="1:18" ht="15.75" customHeight="1">
      <c r="A46" s="33" t="s">
        <v>449</v>
      </c>
      <c r="B46" s="409">
        <f t="shared" si="1"/>
        <v>16</v>
      </c>
      <c r="C46" s="409">
        <f t="shared" si="1"/>
        <v>22</v>
      </c>
      <c r="D46" s="409">
        <f t="shared" si="1"/>
        <v>14</v>
      </c>
      <c r="E46" s="409">
        <f t="shared" si="1"/>
        <v>18</v>
      </c>
      <c r="F46" s="409">
        <f t="shared" si="1"/>
        <v>17</v>
      </c>
      <c r="G46" s="409">
        <f t="shared" si="1"/>
        <v>12</v>
      </c>
      <c r="H46" s="409">
        <f t="shared" si="1"/>
        <v>10</v>
      </c>
      <c r="I46" s="409">
        <f t="shared" si="1"/>
        <v>10</v>
      </c>
      <c r="J46" s="409">
        <f t="shared" si="1"/>
        <v>19</v>
      </c>
      <c r="K46" s="409">
        <f t="shared" si="1"/>
        <v>9</v>
      </c>
      <c r="L46" s="409">
        <f t="shared" si="1"/>
        <v>6</v>
      </c>
      <c r="M46" s="409">
        <f t="shared" si="1"/>
        <v>11</v>
      </c>
      <c r="N46" s="409">
        <f t="shared" si="1"/>
        <v>4</v>
      </c>
      <c r="O46" s="409">
        <f t="shared" si="1"/>
        <v>9</v>
      </c>
      <c r="P46" s="33" t="s">
        <v>451</v>
      </c>
      <c r="Q46" s="64" t="s">
        <v>452</v>
      </c>
      <c r="R46" s="34" t="s">
        <v>583</v>
      </c>
    </row>
    <row r="47" spans="1:18" ht="15.75" customHeight="1">
      <c r="A47" s="419" t="s">
        <v>450</v>
      </c>
      <c r="B47" s="420">
        <f t="shared" si="1"/>
        <v>387</v>
      </c>
      <c r="C47" s="420">
        <f t="shared" si="1"/>
        <v>327</v>
      </c>
      <c r="D47" s="420">
        <f t="shared" si="1"/>
        <v>267</v>
      </c>
      <c r="E47" s="420">
        <f t="shared" si="1"/>
        <v>233</v>
      </c>
      <c r="F47" s="420">
        <f t="shared" si="1"/>
        <v>233</v>
      </c>
      <c r="G47" s="420">
        <f t="shared" si="1"/>
        <v>185</v>
      </c>
      <c r="H47" s="420">
        <f t="shared" si="1"/>
        <v>144</v>
      </c>
      <c r="I47" s="420">
        <f t="shared" si="1"/>
        <v>136</v>
      </c>
      <c r="J47" s="420">
        <f t="shared" si="1"/>
        <v>116</v>
      </c>
      <c r="K47" s="420">
        <f t="shared" si="1"/>
        <v>127</v>
      </c>
      <c r="L47" s="420">
        <f t="shared" si="1"/>
        <v>67</v>
      </c>
      <c r="M47" s="420">
        <f t="shared" si="1"/>
        <v>45</v>
      </c>
      <c r="N47" s="420">
        <f t="shared" si="1"/>
        <v>34</v>
      </c>
      <c r="O47" s="420">
        <f t="shared" si="1"/>
        <v>42</v>
      </c>
      <c r="P47" s="33" t="s">
        <v>451</v>
      </c>
      <c r="Q47" s="264" t="s">
        <v>452</v>
      </c>
      <c r="R47" s="34" t="s">
        <v>583</v>
      </c>
    </row>
    <row r="48" spans="1:18" ht="15.75" customHeight="1">
      <c r="A48" s="421" t="s">
        <v>585</v>
      </c>
      <c r="B48" s="422">
        <f>B35+B36+B41+B42+B43</f>
        <v>473</v>
      </c>
      <c r="C48" s="422">
        <f t="shared" ref="C48:O48" si="2">C35+C36+C41+C42+C43</f>
        <v>271</v>
      </c>
      <c r="D48" s="422">
        <f t="shared" si="2"/>
        <v>280</v>
      </c>
      <c r="E48" s="422">
        <f t="shared" si="2"/>
        <v>265</v>
      </c>
      <c r="F48" s="422">
        <f t="shared" si="2"/>
        <v>288</v>
      </c>
      <c r="G48" s="422">
        <f t="shared" si="2"/>
        <v>229</v>
      </c>
      <c r="H48" s="422">
        <f t="shared" si="2"/>
        <v>190</v>
      </c>
      <c r="I48" s="422">
        <f t="shared" si="2"/>
        <v>200</v>
      </c>
      <c r="J48" s="422">
        <f t="shared" si="2"/>
        <v>197</v>
      </c>
      <c r="K48" s="422">
        <f t="shared" si="2"/>
        <v>222</v>
      </c>
      <c r="L48" s="422">
        <f t="shared" si="2"/>
        <v>160</v>
      </c>
      <c r="M48" s="422">
        <f t="shared" si="2"/>
        <v>162</v>
      </c>
      <c r="N48" s="422">
        <f t="shared" si="2"/>
        <v>75</v>
      </c>
      <c r="O48" s="422">
        <f t="shared" si="2"/>
        <v>93</v>
      </c>
    </row>
    <row r="49" spans="1:18" ht="15.75" customHeight="1">
      <c r="A49" s="421" t="s">
        <v>586</v>
      </c>
      <c r="B49" s="422">
        <f>B37+B38+B39+B40</f>
        <v>6</v>
      </c>
      <c r="C49" s="422">
        <f t="shared" ref="C49:O49" si="3">C37+C38+C39+C40</f>
        <v>20</v>
      </c>
      <c r="D49" s="422">
        <f t="shared" si="3"/>
        <v>29</v>
      </c>
      <c r="E49" s="422">
        <f t="shared" si="3"/>
        <v>19</v>
      </c>
      <c r="F49" s="422">
        <f t="shared" si="3"/>
        <v>25</v>
      </c>
      <c r="G49" s="422">
        <f t="shared" si="3"/>
        <v>17</v>
      </c>
      <c r="H49" s="422">
        <f t="shared" si="3"/>
        <v>20</v>
      </c>
      <c r="I49" s="422">
        <f t="shared" si="3"/>
        <v>23</v>
      </c>
      <c r="J49" s="422">
        <f t="shared" si="3"/>
        <v>14</v>
      </c>
      <c r="K49" s="422">
        <f t="shared" si="3"/>
        <v>20</v>
      </c>
      <c r="L49" s="422">
        <f t="shared" si="3"/>
        <v>13</v>
      </c>
      <c r="M49" s="422">
        <f t="shared" si="3"/>
        <v>9</v>
      </c>
      <c r="N49" s="422">
        <f t="shared" si="3"/>
        <v>9</v>
      </c>
      <c r="O49" s="422">
        <f t="shared" si="3"/>
        <v>7</v>
      </c>
    </row>
    <row r="50" spans="1:18" ht="15.75" customHeight="1">
      <c r="A50" s="421" t="s">
        <v>448</v>
      </c>
      <c r="B50" s="421">
        <f>B44+B45+B46</f>
        <v>102</v>
      </c>
      <c r="C50" s="421">
        <f t="shared" ref="C50:O50" si="4">C44+C45+C46</f>
        <v>88</v>
      </c>
      <c r="D50" s="421">
        <f t="shared" si="4"/>
        <v>68</v>
      </c>
      <c r="E50" s="421">
        <f t="shared" si="4"/>
        <v>77</v>
      </c>
      <c r="F50" s="421">
        <f t="shared" si="4"/>
        <v>88</v>
      </c>
      <c r="G50" s="421">
        <f t="shared" si="4"/>
        <v>62</v>
      </c>
      <c r="H50" s="421">
        <f t="shared" si="4"/>
        <v>61</v>
      </c>
      <c r="I50" s="421">
        <f t="shared" si="4"/>
        <v>66</v>
      </c>
      <c r="J50" s="421">
        <f t="shared" si="4"/>
        <v>75</v>
      </c>
      <c r="K50" s="421">
        <f t="shared" si="4"/>
        <v>71</v>
      </c>
      <c r="L50" s="421">
        <f t="shared" si="4"/>
        <v>47</v>
      </c>
      <c r="M50" s="421">
        <f t="shared" si="4"/>
        <v>51</v>
      </c>
      <c r="N50" s="421">
        <f t="shared" si="4"/>
        <v>40</v>
      </c>
      <c r="O50" s="421">
        <f t="shared" si="4"/>
        <v>59</v>
      </c>
    </row>
    <row r="51" spans="1:18" ht="15.75" customHeight="1" thickBot="1"/>
    <row r="52" spans="1:18" ht="15.75" customHeight="1">
      <c r="A52" s="408" t="s">
        <v>460</v>
      </c>
      <c r="B52" s="407" t="s">
        <v>2</v>
      </c>
      <c r="C52" s="407" t="s">
        <v>4</v>
      </c>
      <c r="D52" s="407" t="s">
        <v>442</v>
      </c>
      <c r="E52" s="407" t="s">
        <v>443</v>
      </c>
      <c r="F52" s="407" t="s">
        <v>444</v>
      </c>
      <c r="G52" s="407" t="s">
        <v>445</v>
      </c>
      <c r="H52" s="407" t="s">
        <v>446</v>
      </c>
      <c r="I52" s="407" t="s">
        <v>447</v>
      </c>
      <c r="J52" s="407" t="s">
        <v>10</v>
      </c>
      <c r="K52" s="407" t="s">
        <v>448</v>
      </c>
      <c r="L52" s="407" t="s">
        <v>14</v>
      </c>
      <c r="M52" s="407" t="s">
        <v>449</v>
      </c>
      <c r="N52" s="407" t="s">
        <v>450</v>
      </c>
      <c r="O52" s="403"/>
      <c r="P52" s="404" t="s">
        <v>21</v>
      </c>
      <c r="Q52" s="405" t="s">
        <v>22</v>
      </c>
      <c r="R52" s="406" t="s">
        <v>23</v>
      </c>
    </row>
    <row r="53" spans="1:18" ht="15.75" customHeight="1">
      <c r="A53" s="396" t="s">
        <v>453</v>
      </c>
      <c r="B53" s="188">
        <v>17</v>
      </c>
      <c r="C53" s="188">
        <v>2</v>
      </c>
      <c r="D53" s="188">
        <v>0</v>
      </c>
      <c r="E53" s="188">
        <v>2</v>
      </c>
      <c r="F53" s="188">
        <v>0</v>
      </c>
      <c r="G53" s="188">
        <v>0</v>
      </c>
      <c r="H53" s="188">
        <v>0</v>
      </c>
      <c r="I53" s="188">
        <v>0</v>
      </c>
      <c r="J53" s="188">
        <v>4</v>
      </c>
      <c r="K53" s="188">
        <v>3</v>
      </c>
      <c r="L53" s="188">
        <v>2</v>
      </c>
      <c r="M53" s="173">
        <v>0</v>
      </c>
      <c r="N53" s="124">
        <v>6</v>
      </c>
      <c r="O53" s="124"/>
      <c r="P53" s="397" t="s">
        <v>68</v>
      </c>
      <c r="Q53" s="101" t="s">
        <v>440</v>
      </c>
      <c r="R53" s="34" t="s">
        <v>583</v>
      </c>
    </row>
    <row r="54" spans="1:18" ht="15.75" customHeight="1">
      <c r="A54" s="396" t="s">
        <v>454</v>
      </c>
      <c r="B54" s="188">
        <v>13</v>
      </c>
      <c r="C54" s="188">
        <v>1</v>
      </c>
      <c r="D54" s="188">
        <v>0</v>
      </c>
      <c r="E54" s="188">
        <v>0</v>
      </c>
      <c r="F54" s="188">
        <v>0</v>
      </c>
      <c r="G54" s="188">
        <v>0</v>
      </c>
      <c r="H54" s="188">
        <v>0</v>
      </c>
      <c r="I54" s="188">
        <v>0</v>
      </c>
      <c r="J54" s="188">
        <v>2</v>
      </c>
      <c r="K54" s="188">
        <v>3</v>
      </c>
      <c r="L54" s="188">
        <v>2</v>
      </c>
      <c r="M54" s="173">
        <v>2</v>
      </c>
      <c r="N54" s="124">
        <v>3</v>
      </c>
      <c r="O54" s="124"/>
      <c r="P54" s="397" t="s">
        <v>68</v>
      </c>
      <c r="Q54" s="101" t="s">
        <v>440</v>
      </c>
      <c r="R54" s="34" t="s">
        <v>583</v>
      </c>
    </row>
    <row r="55" spans="1:18" ht="15.75" customHeight="1">
      <c r="A55" s="396" t="s">
        <v>455</v>
      </c>
      <c r="B55" s="188">
        <v>15</v>
      </c>
      <c r="C55" s="188">
        <v>2</v>
      </c>
      <c r="D55" s="188">
        <v>0</v>
      </c>
      <c r="E55" s="188">
        <v>2</v>
      </c>
      <c r="F55" s="188">
        <v>0</v>
      </c>
      <c r="G55" s="188">
        <v>0</v>
      </c>
      <c r="H55" s="188">
        <v>0</v>
      </c>
      <c r="I55" s="188">
        <v>1</v>
      </c>
      <c r="J55" s="188">
        <v>4</v>
      </c>
      <c r="K55" s="188">
        <v>12</v>
      </c>
      <c r="L55" s="188">
        <v>3</v>
      </c>
      <c r="M55" s="173">
        <v>1</v>
      </c>
      <c r="N55" s="124">
        <v>7</v>
      </c>
      <c r="O55" s="124"/>
      <c r="P55" s="397" t="s">
        <v>68</v>
      </c>
      <c r="Q55" s="101" t="s">
        <v>440</v>
      </c>
      <c r="R55" s="34" t="s">
        <v>583</v>
      </c>
    </row>
    <row r="56" spans="1:18" ht="15.75" customHeight="1" thickBot="1">
      <c r="A56" s="396" t="s">
        <v>456</v>
      </c>
      <c r="B56" s="188">
        <v>3</v>
      </c>
      <c r="C56" s="188">
        <v>1</v>
      </c>
      <c r="D56" s="188">
        <v>0</v>
      </c>
      <c r="E56" s="188">
        <v>1</v>
      </c>
      <c r="F56" s="188">
        <v>0</v>
      </c>
      <c r="G56" s="188">
        <v>0</v>
      </c>
      <c r="H56" s="188">
        <v>0</v>
      </c>
      <c r="I56" s="188">
        <v>0</v>
      </c>
      <c r="J56" s="188">
        <v>2</v>
      </c>
      <c r="K56" s="188">
        <v>4</v>
      </c>
      <c r="L56" s="188">
        <v>1</v>
      </c>
      <c r="M56" s="173">
        <v>0</v>
      </c>
      <c r="N56" s="124">
        <v>1</v>
      </c>
      <c r="O56" s="124"/>
      <c r="P56" s="397" t="s">
        <v>68</v>
      </c>
      <c r="Q56" s="101" t="s">
        <v>440</v>
      </c>
      <c r="R56" s="34" t="s">
        <v>583</v>
      </c>
    </row>
    <row r="57" spans="1:18" ht="15.75" customHeight="1">
      <c r="A57" s="395" t="s">
        <v>461</v>
      </c>
      <c r="B57" s="407" t="s">
        <v>2</v>
      </c>
      <c r="C57" s="407" t="s">
        <v>4</v>
      </c>
      <c r="D57" s="407" t="s">
        <v>442</v>
      </c>
      <c r="E57" s="407" t="s">
        <v>443</v>
      </c>
      <c r="F57" s="407" t="s">
        <v>444</v>
      </c>
      <c r="G57" s="407" t="s">
        <v>445</v>
      </c>
      <c r="H57" s="407" t="s">
        <v>446</v>
      </c>
      <c r="I57" s="407" t="s">
        <v>447</v>
      </c>
      <c r="J57" s="407" t="s">
        <v>10</v>
      </c>
      <c r="K57" s="407" t="s">
        <v>448</v>
      </c>
      <c r="L57" s="407" t="s">
        <v>14</v>
      </c>
      <c r="M57" s="407" t="s">
        <v>449</v>
      </c>
      <c r="N57" s="407" t="s">
        <v>450</v>
      </c>
      <c r="O57" s="403"/>
      <c r="P57" s="404" t="s">
        <v>21</v>
      </c>
      <c r="Q57" s="405" t="s">
        <v>22</v>
      </c>
      <c r="R57" s="406" t="s">
        <v>23</v>
      </c>
    </row>
    <row r="58" spans="1:18" ht="15.75" customHeight="1">
      <c r="A58" s="396" t="s">
        <v>457</v>
      </c>
      <c r="B58" s="188">
        <v>0</v>
      </c>
      <c r="C58" s="188">
        <v>0</v>
      </c>
      <c r="D58" s="188">
        <v>0</v>
      </c>
      <c r="E58" s="188">
        <v>0</v>
      </c>
      <c r="F58" s="188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2</v>
      </c>
      <c r="L58" s="188">
        <v>0</v>
      </c>
      <c r="M58" s="173">
        <v>0</v>
      </c>
      <c r="N58" s="124">
        <v>4</v>
      </c>
      <c r="O58" s="124"/>
      <c r="P58" s="397" t="s">
        <v>451</v>
      </c>
      <c r="Q58" s="124" t="s">
        <v>440</v>
      </c>
      <c r="R58" s="34" t="s">
        <v>583</v>
      </c>
    </row>
    <row r="59" spans="1:18" ht="15.75" customHeight="1">
      <c r="A59" s="396" t="s">
        <v>458</v>
      </c>
      <c r="B59" s="188">
        <v>0</v>
      </c>
      <c r="C59" s="188">
        <v>0</v>
      </c>
      <c r="D59" s="188">
        <v>0</v>
      </c>
      <c r="E59" s="188">
        <v>0</v>
      </c>
      <c r="F59" s="188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1</v>
      </c>
      <c r="L59" s="188">
        <v>0</v>
      </c>
      <c r="M59" s="173">
        <v>1</v>
      </c>
      <c r="N59" s="124">
        <v>2</v>
      </c>
      <c r="O59" s="124"/>
      <c r="P59" s="397" t="s">
        <v>451</v>
      </c>
      <c r="Q59" s="124" t="s">
        <v>440</v>
      </c>
      <c r="R59" s="34" t="s">
        <v>583</v>
      </c>
    </row>
    <row r="60" spans="1:18" ht="15.75" customHeight="1">
      <c r="A60" s="396" t="s">
        <v>459</v>
      </c>
      <c r="B60" s="188">
        <v>12</v>
      </c>
      <c r="C60" s="188">
        <v>3</v>
      </c>
      <c r="D60" s="188">
        <v>0</v>
      </c>
      <c r="E60" s="188">
        <v>1</v>
      </c>
      <c r="F60" s="188">
        <v>0</v>
      </c>
      <c r="G60" s="188">
        <v>0</v>
      </c>
      <c r="H60" s="188">
        <v>0</v>
      </c>
      <c r="I60" s="188">
        <v>0</v>
      </c>
      <c r="J60" s="188">
        <v>5</v>
      </c>
      <c r="K60" s="188">
        <v>0</v>
      </c>
      <c r="L60" s="188">
        <v>5</v>
      </c>
      <c r="M60" s="173">
        <v>1</v>
      </c>
      <c r="N60" s="124">
        <v>11</v>
      </c>
      <c r="O60" s="124"/>
      <c r="P60" s="397" t="s">
        <v>451</v>
      </c>
      <c r="Q60" s="124" t="s">
        <v>440</v>
      </c>
      <c r="R60" s="34" t="s">
        <v>583</v>
      </c>
    </row>
    <row r="61" spans="1:18" ht="15.75" customHeight="1">
      <c r="A61" s="396" t="s">
        <v>455</v>
      </c>
      <c r="B61" s="188">
        <v>2</v>
      </c>
      <c r="C61" s="188">
        <v>0</v>
      </c>
      <c r="D61" s="188">
        <v>0</v>
      </c>
      <c r="E61" s="188">
        <v>1</v>
      </c>
      <c r="F61" s="412">
        <v>0</v>
      </c>
      <c r="G61" s="188">
        <v>0</v>
      </c>
      <c r="H61" s="188">
        <v>0</v>
      </c>
      <c r="I61" s="188">
        <v>0</v>
      </c>
      <c r="J61" s="188">
        <v>2</v>
      </c>
      <c r="K61" s="188">
        <v>5</v>
      </c>
      <c r="L61" s="188">
        <v>3</v>
      </c>
      <c r="M61" s="173">
        <v>2</v>
      </c>
      <c r="N61" s="124">
        <v>5</v>
      </c>
      <c r="O61" s="124"/>
      <c r="P61" s="397" t="s">
        <v>451</v>
      </c>
      <c r="Q61" s="124" t="s">
        <v>440</v>
      </c>
      <c r="R61" s="34" t="s">
        <v>583</v>
      </c>
    </row>
    <row r="62" spans="1:18" ht="15.75" customHeight="1" thickBot="1">
      <c r="A62" s="398" t="s">
        <v>456</v>
      </c>
      <c r="B62" s="399">
        <v>0</v>
      </c>
      <c r="C62" s="399">
        <v>0</v>
      </c>
      <c r="D62" s="399">
        <v>0</v>
      </c>
      <c r="E62" s="399">
        <v>0</v>
      </c>
      <c r="F62" s="399">
        <v>0</v>
      </c>
      <c r="G62" s="399">
        <v>0</v>
      </c>
      <c r="H62" s="399">
        <v>0</v>
      </c>
      <c r="I62" s="399">
        <v>1</v>
      </c>
      <c r="J62" s="399">
        <v>1</v>
      </c>
      <c r="K62" s="399">
        <v>1</v>
      </c>
      <c r="L62" s="399">
        <v>3</v>
      </c>
      <c r="M62" s="400">
        <v>2</v>
      </c>
      <c r="N62" s="401">
        <v>3</v>
      </c>
      <c r="O62" s="401"/>
      <c r="P62" s="402" t="s">
        <v>451</v>
      </c>
      <c r="Q62" s="401" t="s">
        <v>440</v>
      </c>
      <c r="R62" s="34" t="s">
        <v>583</v>
      </c>
    </row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2:11" ht="15.75" customHeight="1"/>
    <row r="82" spans="2:11" ht="15.75" customHeight="1"/>
    <row r="83" spans="2:11" ht="15.75" customHeight="1"/>
    <row r="84" spans="2:11" ht="15.75" customHeight="1"/>
    <row r="85" spans="2:11" ht="15.75" customHeight="1" thickBot="1"/>
    <row r="86" spans="2:11" ht="15.75" customHeight="1">
      <c r="D86" s="414" t="s">
        <v>585</v>
      </c>
      <c r="E86" s="415" t="s">
        <v>586</v>
      </c>
      <c r="F86" s="416" t="s">
        <v>448</v>
      </c>
      <c r="G86" s="414" t="s">
        <v>585</v>
      </c>
      <c r="H86" s="415" t="s">
        <v>586</v>
      </c>
      <c r="I86" s="416" t="s">
        <v>448</v>
      </c>
      <c r="J86" s="424" t="s">
        <v>587</v>
      </c>
      <c r="K86" s="424" t="s">
        <v>587</v>
      </c>
    </row>
    <row r="87" spans="2:11" ht="15.75" customHeight="1">
      <c r="B87" s="454" t="s">
        <v>461</v>
      </c>
      <c r="C87" s="418" t="s">
        <v>457</v>
      </c>
      <c r="D87" s="418">
        <f>B58+C58+J58+I58+H58</f>
        <v>0</v>
      </c>
      <c r="E87" s="418">
        <f>+D58+E58+F58+G58</f>
        <v>0</v>
      </c>
      <c r="F87" s="418">
        <f>+K58+L58+M58</f>
        <v>2</v>
      </c>
      <c r="G87" s="423">
        <f t="shared" ref="G87:H87" si="5">D87/(D87+D88+D89+D90+D91)</f>
        <v>0</v>
      </c>
      <c r="H87" s="423">
        <f t="shared" si="5"/>
        <v>0</v>
      </c>
      <c r="I87" s="423">
        <f>F87/(F87+F88+F89+F90+F91)</f>
        <v>7.6923076923076927E-2</v>
      </c>
      <c r="J87">
        <f t="shared" ref="J87:J95" si="6">+D87+E87+F87</f>
        <v>2</v>
      </c>
      <c r="K87" s="423">
        <f>J87/(J87+J88+J89+J90+J91)</f>
        <v>3.7037037037037035E-2</v>
      </c>
    </row>
    <row r="88" spans="2:11" ht="15.75" customHeight="1">
      <c r="B88" s="454"/>
      <c r="C88" s="418" t="s">
        <v>458</v>
      </c>
      <c r="D88" s="418">
        <f t="shared" ref="D88:D91" si="7">B59+C59+J59+I59+H59</f>
        <v>0</v>
      </c>
      <c r="E88" s="418">
        <f t="shared" ref="E88:E91" si="8">+D59+E59+F59+G59</f>
        <v>0</v>
      </c>
      <c r="F88" s="418">
        <f t="shared" ref="F88:F91" si="9">+K59+L59+M59</f>
        <v>2</v>
      </c>
      <c r="G88" s="423">
        <f t="shared" ref="G88:H88" si="10">+D88/(D87+D88+D89+D90+D91)</f>
        <v>0</v>
      </c>
      <c r="H88" s="423">
        <f t="shared" si="10"/>
        <v>0</v>
      </c>
      <c r="I88" s="423">
        <f>+F88/(F87+F88+F89+F90+F91)</f>
        <v>7.6923076923076927E-2</v>
      </c>
      <c r="J88">
        <f t="shared" si="6"/>
        <v>2</v>
      </c>
      <c r="K88" s="423">
        <f>+J88/(J87+J88+J89+J90+J91)</f>
        <v>3.7037037037037035E-2</v>
      </c>
    </row>
    <row r="89" spans="2:11" ht="15.75" customHeight="1">
      <c r="B89" s="454"/>
      <c r="C89" s="418" t="s">
        <v>459</v>
      </c>
      <c r="D89" s="418">
        <f t="shared" si="7"/>
        <v>20</v>
      </c>
      <c r="E89" s="418">
        <f t="shared" si="8"/>
        <v>1</v>
      </c>
      <c r="F89" s="418">
        <f t="shared" si="9"/>
        <v>6</v>
      </c>
      <c r="G89" s="423">
        <f t="shared" ref="G89:H89" si="11">D89/(D87+D88+D89+D90+D91)</f>
        <v>0.76923076923076927</v>
      </c>
      <c r="H89" s="423">
        <f t="shared" si="11"/>
        <v>0.5</v>
      </c>
      <c r="I89" s="423">
        <f>F89/(F87+F88+F89+F90+F91)</f>
        <v>0.23076923076923078</v>
      </c>
      <c r="J89">
        <f t="shared" si="6"/>
        <v>27</v>
      </c>
      <c r="K89" s="423">
        <f>J89/(J87+J88+J89+J90+J91)</f>
        <v>0.5</v>
      </c>
    </row>
    <row r="90" spans="2:11" ht="15.75" customHeight="1">
      <c r="B90" s="454"/>
      <c r="C90" s="418" t="s">
        <v>455</v>
      </c>
      <c r="D90" s="418">
        <f t="shared" si="7"/>
        <v>4</v>
      </c>
      <c r="E90" s="418">
        <f t="shared" si="8"/>
        <v>1</v>
      </c>
      <c r="F90" s="418">
        <f t="shared" si="9"/>
        <v>10</v>
      </c>
      <c r="G90" s="423">
        <f t="shared" ref="G90:H90" si="12">D90/(D87+D88+D89+D90+D91)</f>
        <v>0.15384615384615385</v>
      </c>
      <c r="H90" s="423">
        <f t="shared" si="12"/>
        <v>0.5</v>
      </c>
      <c r="I90" s="423">
        <f>F90/(F87+F88+F89+F90+F91)</f>
        <v>0.38461538461538464</v>
      </c>
      <c r="J90">
        <f t="shared" si="6"/>
        <v>15</v>
      </c>
      <c r="K90" s="423">
        <f>J90/(J87+J88+J89+J90+J91)</f>
        <v>0.27777777777777779</v>
      </c>
    </row>
    <row r="91" spans="2:11" ht="15.75" customHeight="1">
      <c r="B91" s="454"/>
      <c r="C91" s="418" t="s">
        <v>456</v>
      </c>
      <c r="D91" s="418">
        <f t="shared" si="7"/>
        <v>2</v>
      </c>
      <c r="E91" s="418">
        <f t="shared" si="8"/>
        <v>0</v>
      </c>
      <c r="F91" s="418">
        <f t="shared" si="9"/>
        <v>6</v>
      </c>
      <c r="G91" s="423">
        <f t="shared" ref="G91:H91" si="13">D91/(D87+D88+D89+D90+D91)</f>
        <v>7.6923076923076927E-2</v>
      </c>
      <c r="H91" s="423">
        <f t="shared" si="13"/>
        <v>0</v>
      </c>
      <c r="I91" s="423">
        <f>F91/(F87+F88+F89+F90+F91)</f>
        <v>0.23076923076923078</v>
      </c>
      <c r="J91">
        <f t="shared" si="6"/>
        <v>8</v>
      </c>
      <c r="K91" s="423">
        <f>J91/(J87+J88+J89+J90+J91)</f>
        <v>0.14814814814814814</v>
      </c>
    </row>
    <row r="92" spans="2:11" ht="15.75" customHeight="1">
      <c r="B92" s="454" t="s">
        <v>460</v>
      </c>
      <c r="C92" s="207" t="s">
        <v>453</v>
      </c>
      <c r="D92" s="418">
        <f>B53+C53+J53+I53+H53</f>
        <v>23</v>
      </c>
      <c r="E92" s="418">
        <f>+D53+E53+F53+G53</f>
        <v>2</v>
      </c>
      <c r="F92" s="418">
        <f>+K53+L53+M63</f>
        <v>5</v>
      </c>
      <c r="G92" s="423">
        <f t="shared" ref="G92:H92" si="14">+D92/(D92+D93+D94+D95)</f>
        <v>0.34328358208955223</v>
      </c>
      <c r="H92" s="423">
        <f t="shared" si="14"/>
        <v>0.4</v>
      </c>
      <c r="I92" s="423">
        <f>+F92/(F92+F93+F94+F95)</f>
        <v>0.16666666666666666</v>
      </c>
      <c r="J92">
        <f t="shared" si="6"/>
        <v>30</v>
      </c>
      <c r="K92" s="423">
        <f>+J92/(J92+J93+J94+J95)</f>
        <v>0.29411764705882354</v>
      </c>
    </row>
    <row r="93" spans="2:11" ht="15.75" customHeight="1">
      <c r="B93" s="454"/>
      <c r="C93" s="207" t="s">
        <v>454</v>
      </c>
      <c r="D93" s="418">
        <f t="shared" ref="D93:D94" si="15">B54+C54+J54+I54+H54</f>
        <v>16</v>
      </c>
      <c r="E93" s="418">
        <f t="shared" ref="E93:E94" si="16">+D54+E54+F54+G54</f>
        <v>0</v>
      </c>
      <c r="F93" s="418">
        <f t="shared" ref="F93:F95" si="17">+K54+L54+M64</f>
        <v>5</v>
      </c>
      <c r="G93" s="423">
        <f t="shared" ref="G93:H93" si="18">D93/(D92+D93+D94+D95)</f>
        <v>0.23880597014925373</v>
      </c>
      <c r="H93" s="423">
        <f t="shared" si="18"/>
        <v>0</v>
      </c>
      <c r="I93" s="423">
        <f>F93/(F92+F93+F94+F95)</f>
        <v>0.16666666666666666</v>
      </c>
      <c r="J93">
        <f t="shared" si="6"/>
        <v>21</v>
      </c>
      <c r="K93" s="423">
        <f>J93/(J92+J93+J94+J95)</f>
        <v>0.20588235294117646</v>
      </c>
    </row>
    <row r="94" spans="2:11" ht="15.75" customHeight="1">
      <c r="B94" s="454"/>
      <c r="C94" s="207" t="s">
        <v>455</v>
      </c>
      <c r="D94" s="418">
        <f t="shared" si="15"/>
        <v>22</v>
      </c>
      <c r="E94" s="418">
        <f t="shared" si="16"/>
        <v>2</v>
      </c>
      <c r="F94" s="418">
        <f t="shared" si="17"/>
        <v>15</v>
      </c>
      <c r="G94" s="423">
        <f t="shared" ref="G94:H94" si="19">D94/(D92+D93+D94+D95)</f>
        <v>0.32835820895522388</v>
      </c>
      <c r="H94" s="423">
        <f t="shared" si="19"/>
        <v>0.4</v>
      </c>
      <c r="I94" s="423">
        <f>F94/(F92+F93+F94+F95)</f>
        <v>0.5</v>
      </c>
      <c r="J94">
        <f t="shared" si="6"/>
        <v>39</v>
      </c>
      <c r="K94" s="423">
        <f>J94/(J92+J93+J94+J95)</f>
        <v>0.38235294117647056</v>
      </c>
    </row>
    <row r="95" spans="2:11" ht="15.75" customHeight="1">
      <c r="B95" s="454"/>
      <c r="C95" s="207" t="s">
        <v>456</v>
      </c>
      <c r="D95" s="418">
        <f>B56+C56+J56+I56+H56</f>
        <v>6</v>
      </c>
      <c r="E95" s="418">
        <f>+D56+E56+F56+G56</f>
        <v>1</v>
      </c>
      <c r="F95" s="418">
        <f t="shared" si="17"/>
        <v>5</v>
      </c>
      <c r="G95" s="423">
        <f t="shared" ref="G95:H95" si="20">D95/(D92+D93+D94+D95)</f>
        <v>8.9552238805970144E-2</v>
      </c>
      <c r="H95" s="423">
        <f t="shared" si="20"/>
        <v>0.2</v>
      </c>
      <c r="I95" s="423">
        <f>F95/(F92+F93+F94+F95)</f>
        <v>0.16666666666666666</v>
      </c>
      <c r="J95">
        <f t="shared" si="6"/>
        <v>12</v>
      </c>
      <c r="K95" s="423">
        <f>J95/(J92+J93+J94+J95)</f>
        <v>0.11764705882352941</v>
      </c>
    </row>
    <row r="96" spans="2:11" ht="15.75" customHeight="1" thickBot="1">
      <c r="B96" s="417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A2"/>
    <mergeCell ref="B87:B91"/>
    <mergeCell ref="B92:B95"/>
  </mergeCells>
  <hyperlinks>
    <hyperlink ref="Q5" r:id="rId1" xr:uid="{00000000-0004-0000-0F00-000000000000}"/>
    <hyperlink ref="Q6" r:id="rId2" xr:uid="{00000000-0004-0000-0F00-000002000000}"/>
    <hyperlink ref="Q7" r:id="rId3" xr:uid="{00000000-0004-0000-0F00-000003000000}"/>
    <hyperlink ref="Q8" r:id="rId4" xr:uid="{00000000-0004-0000-0F00-000004000000}"/>
    <hyperlink ref="Q9" r:id="rId5" xr:uid="{00000000-0004-0000-0F00-000005000000}"/>
    <hyperlink ref="Q10" r:id="rId6" xr:uid="{00000000-0004-0000-0F00-000006000000}"/>
    <hyperlink ref="Q11" r:id="rId7" xr:uid="{00000000-0004-0000-0F00-000007000000}"/>
    <hyperlink ref="Q12" r:id="rId8" xr:uid="{00000000-0004-0000-0F00-000008000000}"/>
    <hyperlink ref="Q13" r:id="rId9" xr:uid="{00000000-0004-0000-0F00-000009000000}"/>
    <hyperlink ref="Q14" r:id="rId10" xr:uid="{00000000-0004-0000-0F00-00000A000000}"/>
    <hyperlink ref="Q15" r:id="rId11" xr:uid="{00000000-0004-0000-0F00-00000B000000}"/>
    <hyperlink ref="Q16" r:id="rId12" xr:uid="{00000000-0004-0000-0F00-00000C000000}"/>
    <hyperlink ref="Q17" r:id="rId13" xr:uid="{00000000-0004-0000-0F00-00000D000000}"/>
    <hyperlink ref="Q21" r:id="rId14" xr:uid="{00000000-0004-0000-0F00-00000F000000}"/>
    <hyperlink ref="Q25" r:id="rId15" xr:uid="{00000000-0004-0000-0F00-000010000000}"/>
    <hyperlink ref="Q53:Q56" r:id="rId16" display="https://portal.nifa.usda.gov/enterprise-search/project_details" xr:uid="{ABBBC990-148D-48B0-89DD-38EA9FEE5F57}"/>
    <hyperlink ref="Q22" r:id="rId17" xr:uid="{002CF222-74AC-4347-B65A-186F70E94E5A}"/>
    <hyperlink ref="Q36" r:id="rId18" xr:uid="{70512E38-FC20-422E-9BD9-2EE318A9E845}"/>
    <hyperlink ref="Q40" r:id="rId19" xr:uid="{C46EAE6D-3851-4EAF-9E06-1D0FB2B8BC0F}"/>
    <hyperlink ref="Q37" r:id="rId20" xr:uid="{F152F4BF-F31E-4FB8-8223-E6959C907733}"/>
  </hyperlinks>
  <pageMargins left="0.7" right="0.7" top="0.75" bottom="0.75" header="0" footer="0"/>
  <pageSetup orientation="portrait"/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3C35-CE64-4EEB-B5C5-837FECF2BF37}">
  <sheetPr>
    <tabColor rgb="FFC00000"/>
  </sheetPr>
  <dimension ref="A1:N66"/>
  <sheetViews>
    <sheetView topLeftCell="A51" zoomScaleNormal="100" workbookViewId="0">
      <selection activeCell="H83" sqref="H83"/>
    </sheetView>
  </sheetViews>
  <sheetFormatPr defaultRowHeight="15"/>
  <cols>
    <col min="1" max="1" width="33.28515625" bestFit="1" customWidth="1"/>
    <col min="2" max="2" width="20.7109375" bestFit="1" customWidth="1"/>
    <col min="3" max="3" width="21" bestFit="1" customWidth="1"/>
    <col min="4" max="4" width="12.5703125" bestFit="1" customWidth="1"/>
    <col min="5" max="5" width="18.7109375" bestFit="1" customWidth="1"/>
    <col min="6" max="6" width="13.28515625" customWidth="1"/>
    <col min="7" max="7" width="18.85546875" bestFit="1" customWidth="1"/>
    <col min="8" max="8" width="22.5703125" bestFit="1" customWidth="1"/>
    <col min="9" max="9" width="37.42578125" bestFit="1" customWidth="1"/>
    <col min="10" max="10" width="24.42578125" bestFit="1" customWidth="1"/>
    <col min="11" max="11" width="15.85546875" customWidth="1"/>
    <col min="12" max="12" width="11.5703125" customWidth="1"/>
    <col min="13" max="13" width="11" bestFit="1" customWidth="1"/>
    <col min="14" max="14" width="12" bestFit="1" customWidth="1"/>
  </cols>
  <sheetData>
    <row r="1" spans="1:12">
      <c r="A1" s="434" t="s">
        <v>589</v>
      </c>
      <c r="B1" s="434" t="s">
        <v>590</v>
      </c>
      <c r="C1" s="434" t="s">
        <v>591</v>
      </c>
      <c r="D1" s="434" t="s">
        <v>592</v>
      </c>
      <c r="E1" s="434" t="s">
        <v>649</v>
      </c>
      <c r="F1" s="434" t="s">
        <v>650</v>
      </c>
      <c r="G1" s="434" t="s">
        <v>645</v>
      </c>
      <c r="H1" s="434" t="s">
        <v>646</v>
      </c>
      <c r="I1" s="434" t="s">
        <v>647</v>
      </c>
      <c r="J1" s="434" t="s">
        <v>648</v>
      </c>
      <c r="K1" s="434"/>
    </row>
    <row r="2" spans="1:12">
      <c r="A2" s="430" t="s">
        <v>601</v>
      </c>
      <c r="B2" s="435">
        <f t="shared" ref="B2:B33" si="0">(SUM(G2:J2))</f>
        <v>37</v>
      </c>
      <c r="C2">
        <v>53</v>
      </c>
      <c r="D2">
        <v>155</v>
      </c>
      <c r="E2" s="428">
        <v>1100</v>
      </c>
      <c r="F2" s="429">
        <f t="shared" ref="F2:F33" si="1">E2/1000</f>
        <v>1.1000000000000001</v>
      </c>
      <c r="G2" s="433">
        <v>11.583333333333334</v>
      </c>
      <c r="H2" s="433">
        <v>9.4166666666666661</v>
      </c>
      <c r="I2" s="433">
        <v>10.083333333333334</v>
      </c>
      <c r="J2" s="433">
        <v>5.916666666666667</v>
      </c>
      <c r="K2" s="433"/>
      <c r="L2" s="427" t="s">
        <v>594</v>
      </c>
    </row>
    <row r="3" spans="1:12">
      <c r="A3" s="430" t="s">
        <v>596</v>
      </c>
      <c r="B3" s="435">
        <f t="shared" si="0"/>
        <v>37</v>
      </c>
      <c r="C3">
        <v>44</v>
      </c>
      <c r="D3">
        <v>129</v>
      </c>
      <c r="E3" s="428">
        <v>1280</v>
      </c>
      <c r="F3" s="429">
        <f t="shared" si="1"/>
        <v>1.28</v>
      </c>
      <c r="G3" s="433">
        <v>12.500000000000002</v>
      </c>
      <c r="H3" s="433">
        <v>14.500000000000002</v>
      </c>
      <c r="I3" s="433">
        <v>5.9999999999999991</v>
      </c>
      <c r="J3" s="433">
        <v>4</v>
      </c>
      <c r="K3" s="433"/>
      <c r="L3" s="326" t="s">
        <v>595</v>
      </c>
    </row>
    <row r="4" spans="1:12">
      <c r="A4" s="430" t="s">
        <v>588</v>
      </c>
      <c r="B4" s="435">
        <f t="shared" si="0"/>
        <v>32.000000000000007</v>
      </c>
      <c r="C4">
        <v>55</v>
      </c>
      <c r="D4">
        <v>128</v>
      </c>
      <c r="E4" s="428">
        <v>1060</v>
      </c>
      <c r="F4" s="429">
        <f t="shared" si="1"/>
        <v>1.06</v>
      </c>
      <c r="G4" s="433">
        <v>14.16666666666667</v>
      </c>
      <c r="H4" s="433">
        <v>6</v>
      </c>
      <c r="I4" s="433">
        <v>3.8333333333333339</v>
      </c>
      <c r="J4" s="433">
        <v>7.9999999999999982</v>
      </c>
      <c r="K4" s="433"/>
    </row>
    <row r="5" spans="1:12">
      <c r="A5" s="430" t="s">
        <v>599</v>
      </c>
      <c r="B5" s="435">
        <f t="shared" si="0"/>
        <v>32</v>
      </c>
      <c r="C5">
        <v>41</v>
      </c>
      <c r="D5">
        <v>141</v>
      </c>
      <c r="E5" s="428">
        <v>1110</v>
      </c>
      <c r="F5" s="429">
        <f t="shared" si="1"/>
        <v>1.1100000000000001</v>
      </c>
      <c r="G5" s="433">
        <v>13.666666666666666</v>
      </c>
      <c r="H5" s="433">
        <v>12.166666666666666</v>
      </c>
      <c r="I5" s="433">
        <v>3.1666666666666665</v>
      </c>
      <c r="J5" s="433">
        <v>3</v>
      </c>
      <c r="K5" s="433"/>
    </row>
    <row r="6" spans="1:12">
      <c r="A6" s="430" t="s">
        <v>614</v>
      </c>
      <c r="B6" s="435">
        <f t="shared" si="0"/>
        <v>32</v>
      </c>
      <c r="C6">
        <v>55</v>
      </c>
      <c r="D6">
        <v>88</v>
      </c>
      <c r="E6" s="428">
        <v>947.37</v>
      </c>
      <c r="F6" s="429">
        <f t="shared" si="1"/>
        <v>0.94737000000000005</v>
      </c>
      <c r="G6" s="433">
        <v>12.166666666666668</v>
      </c>
      <c r="H6" s="433">
        <v>7.6666666666666661</v>
      </c>
      <c r="I6" s="433">
        <v>5.6666666666666661</v>
      </c>
      <c r="J6" s="433">
        <v>6.5</v>
      </c>
      <c r="K6" s="433"/>
    </row>
    <row r="7" spans="1:12">
      <c r="A7" s="430" t="s">
        <v>600</v>
      </c>
      <c r="B7" s="435">
        <f t="shared" si="0"/>
        <v>31.000000000000007</v>
      </c>
      <c r="C7">
        <v>46</v>
      </c>
      <c r="D7">
        <v>114</v>
      </c>
      <c r="E7" s="428">
        <v>1110</v>
      </c>
      <c r="F7" s="429">
        <f t="shared" si="1"/>
        <v>1.1100000000000001</v>
      </c>
      <c r="G7" s="433">
        <v>11.583333333333334</v>
      </c>
      <c r="H7" s="433">
        <v>12.083333333333336</v>
      </c>
      <c r="I7" s="433">
        <v>4.416666666666667</v>
      </c>
      <c r="J7" s="433">
        <v>2.916666666666667</v>
      </c>
      <c r="K7" s="433"/>
    </row>
    <row r="8" spans="1:12">
      <c r="A8" s="430" t="s">
        <v>597</v>
      </c>
      <c r="B8" s="435">
        <f t="shared" si="0"/>
        <v>31.000000000000007</v>
      </c>
      <c r="C8">
        <v>49</v>
      </c>
      <c r="D8">
        <v>126</v>
      </c>
      <c r="E8" s="428">
        <v>1210</v>
      </c>
      <c r="F8" s="429">
        <f t="shared" si="1"/>
        <v>1.21</v>
      </c>
      <c r="G8" s="433">
        <v>12.333333333333334</v>
      </c>
      <c r="H8" s="433">
        <v>11.333333333333336</v>
      </c>
      <c r="I8" s="433">
        <v>2.6666666666666665</v>
      </c>
      <c r="J8" s="433">
        <v>4.666666666666667</v>
      </c>
      <c r="K8" s="433"/>
    </row>
    <row r="9" spans="1:12">
      <c r="A9" s="430" t="s">
        <v>617</v>
      </c>
      <c r="B9" s="435">
        <f t="shared" si="0"/>
        <v>31</v>
      </c>
      <c r="C9">
        <v>49</v>
      </c>
      <c r="D9">
        <v>96</v>
      </c>
      <c r="E9" s="428">
        <v>917.96</v>
      </c>
      <c r="F9" s="429">
        <f t="shared" si="1"/>
        <v>0.91796</v>
      </c>
      <c r="G9" s="433">
        <v>13.166666666666668</v>
      </c>
      <c r="H9" s="433">
        <v>5.9999999999999991</v>
      </c>
      <c r="I9" s="433">
        <v>4.833333333333333</v>
      </c>
      <c r="J9" s="433">
        <v>6.9999999999999991</v>
      </c>
      <c r="K9" s="433"/>
    </row>
    <row r="10" spans="1:12">
      <c r="A10" s="430" t="s">
        <v>613</v>
      </c>
      <c r="B10" s="435">
        <f t="shared" si="0"/>
        <v>30.000000000000004</v>
      </c>
      <c r="C10">
        <v>48</v>
      </c>
      <c r="D10">
        <v>129</v>
      </c>
      <c r="E10" s="428">
        <v>948.02</v>
      </c>
      <c r="F10" s="429">
        <f t="shared" si="1"/>
        <v>0.94801999999999997</v>
      </c>
      <c r="G10" s="433">
        <v>10.250000000000002</v>
      </c>
      <c r="H10" s="433">
        <v>10.416666666666668</v>
      </c>
      <c r="I10" s="433">
        <v>6.7499999999999982</v>
      </c>
      <c r="J10" s="433">
        <v>2.5833333333333335</v>
      </c>
      <c r="K10" s="433"/>
    </row>
    <row r="11" spans="1:12">
      <c r="A11" s="430" t="s">
        <v>609</v>
      </c>
      <c r="B11" s="435">
        <f t="shared" si="0"/>
        <v>30.000000000000004</v>
      </c>
      <c r="C11">
        <v>46</v>
      </c>
      <c r="D11">
        <v>120</v>
      </c>
      <c r="E11" s="428">
        <v>989.9</v>
      </c>
      <c r="F11" s="429">
        <f t="shared" si="1"/>
        <v>0.9899</v>
      </c>
      <c r="G11" s="433">
        <v>12.583333333333334</v>
      </c>
      <c r="H11" s="433">
        <v>7.583333333333333</v>
      </c>
      <c r="I11" s="433">
        <v>5.4166666666666661</v>
      </c>
      <c r="J11" s="433">
        <v>4.416666666666667</v>
      </c>
      <c r="K11" s="433"/>
    </row>
    <row r="12" spans="1:12">
      <c r="A12" s="430" t="s">
        <v>606</v>
      </c>
      <c r="B12" s="435">
        <f t="shared" si="0"/>
        <v>29.999999999999996</v>
      </c>
      <c r="C12">
        <v>49</v>
      </c>
      <c r="D12">
        <v>112</v>
      </c>
      <c r="E12" s="428">
        <v>1020</v>
      </c>
      <c r="F12" s="429">
        <f t="shared" si="1"/>
        <v>1.02</v>
      </c>
      <c r="G12" s="433">
        <v>11.583333333333334</v>
      </c>
      <c r="H12" s="433">
        <v>6.7499999999999991</v>
      </c>
      <c r="I12" s="433">
        <v>5.083333333333333</v>
      </c>
      <c r="J12" s="433">
        <v>6.583333333333333</v>
      </c>
      <c r="K12" s="433"/>
    </row>
    <row r="13" spans="1:12">
      <c r="A13" s="430" t="s">
        <v>602</v>
      </c>
      <c r="B13" s="435">
        <f t="shared" si="0"/>
        <v>29.000000000000007</v>
      </c>
      <c r="C13">
        <v>47</v>
      </c>
      <c r="D13">
        <v>118</v>
      </c>
      <c r="E13" s="428">
        <v>1090</v>
      </c>
      <c r="F13" s="429">
        <f t="shared" si="1"/>
        <v>1.0900000000000001</v>
      </c>
      <c r="G13" s="433">
        <v>11.333333333333334</v>
      </c>
      <c r="H13" s="433">
        <v>9.8333333333333357</v>
      </c>
      <c r="I13" s="433">
        <v>3.666666666666667</v>
      </c>
      <c r="J13" s="433">
        <v>4.166666666666667</v>
      </c>
      <c r="K13" s="433"/>
    </row>
    <row r="14" spans="1:12">
      <c r="A14" s="430" t="s">
        <v>616</v>
      </c>
      <c r="B14" s="435">
        <f t="shared" si="0"/>
        <v>29.000000000000004</v>
      </c>
      <c r="C14">
        <v>46</v>
      </c>
      <c r="D14">
        <v>114</v>
      </c>
      <c r="E14" s="428">
        <v>925.2</v>
      </c>
      <c r="F14" s="429">
        <f t="shared" si="1"/>
        <v>0.92520000000000002</v>
      </c>
      <c r="G14" s="433">
        <v>9.1666666666666679</v>
      </c>
      <c r="H14" s="433">
        <v>6.833333333333333</v>
      </c>
      <c r="I14" s="433">
        <v>8.8333333333333339</v>
      </c>
      <c r="J14" s="433">
        <v>4.166666666666667</v>
      </c>
      <c r="K14" s="433"/>
    </row>
    <row r="15" spans="1:12">
      <c r="A15" s="430" t="s">
        <v>604</v>
      </c>
      <c r="B15" s="435">
        <f t="shared" si="0"/>
        <v>29.000000000000004</v>
      </c>
      <c r="C15">
        <v>42</v>
      </c>
      <c r="D15">
        <v>114</v>
      </c>
      <c r="E15" s="428">
        <v>1040</v>
      </c>
      <c r="F15" s="429">
        <f t="shared" si="1"/>
        <v>1.04</v>
      </c>
      <c r="G15" s="433">
        <v>11.916666666666668</v>
      </c>
      <c r="H15" s="433">
        <v>9.4166666666666679</v>
      </c>
      <c r="I15" s="433">
        <v>3.416666666666667</v>
      </c>
      <c r="J15" s="433">
        <v>4.25</v>
      </c>
      <c r="K15" s="433"/>
    </row>
    <row r="16" spans="1:12">
      <c r="A16" s="430" t="s">
        <v>605</v>
      </c>
      <c r="B16" s="435">
        <f t="shared" si="0"/>
        <v>29.000000000000004</v>
      </c>
      <c r="C16">
        <v>52</v>
      </c>
      <c r="D16">
        <v>114</v>
      </c>
      <c r="E16" s="428">
        <v>1040</v>
      </c>
      <c r="F16" s="429">
        <f t="shared" si="1"/>
        <v>1.04</v>
      </c>
      <c r="G16" s="433">
        <v>10.166666666666668</v>
      </c>
      <c r="H16" s="433">
        <v>4.9999999999999991</v>
      </c>
      <c r="I16" s="433">
        <v>8.1666666666666661</v>
      </c>
      <c r="J16" s="433">
        <v>5.666666666666667</v>
      </c>
      <c r="K16" s="433"/>
    </row>
    <row r="17" spans="1:11">
      <c r="A17" s="430" t="s">
        <v>620</v>
      </c>
      <c r="B17" s="435">
        <f t="shared" si="0"/>
        <v>29</v>
      </c>
      <c r="C17">
        <v>48</v>
      </c>
      <c r="D17">
        <v>113</v>
      </c>
      <c r="E17" s="428">
        <v>829.43</v>
      </c>
      <c r="F17" s="429">
        <f t="shared" si="1"/>
        <v>0.82943</v>
      </c>
      <c r="G17" s="433">
        <v>10.250000000000002</v>
      </c>
      <c r="H17" s="433">
        <v>7.583333333333333</v>
      </c>
      <c r="I17" s="433">
        <v>6.4166666666666661</v>
      </c>
      <c r="J17" s="433">
        <v>4.75</v>
      </c>
      <c r="K17" s="433"/>
    </row>
    <row r="18" spans="1:11">
      <c r="A18" s="430" t="s">
        <v>612</v>
      </c>
      <c r="B18" s="435">
        <f t="shared" si="0"/>
        <v>29</v>
      </c>
      <c r="C18">
        <v>47</v>
      </c>
      <c r="D18">
        <v>121</v>
      </c>
      <c r="E18" s="428">
        <v>973</v>
      </c>
      <c r="F18" s="429">
        <f t="shared" si="1"/>
        <v>0.97299999999999998</v>
      </c>
      <c r="G18" s="433">
        <v>11.25</v>
      </c>
      <c r="H18" s="433">
        <v>8.9166666666666679</v>
      </c>
      <c r="I18" s="433">
        <v>5.083333333333333</v>
      </c>
      <c r="J18" s="433">
        <v>3.7500000000000004</v>
      </c>
      <c r="K18" s="433"/>
    </row>
    <row r="19" spans="1:11">
      <c r="A19" s="430" t="s">
        <v>615</v>
      </c>
      <c r="B19" s="435">
        <f t="shared" si="0"/>
        <v>28.000000000000004</v>
      </c>
      <c r="C19">
        <v>36</v>
      </c>
      <c r="D19">
        <v>113</v>
      </c>
      <c r="E19" s="428">
        <v>926.62</v>
      </c>
      <c r="F19" s="429">
        <f t="shared" si="1"/>
        <v>0.92662</v>
      </c>
      <c r="G19" s="433">
        <v>8.5000000000000018</v>
      </c>
      <c r="H19" s="433">
        <v>12.000000000000002</v>
      </c>
      <c r="I19" s="433">
        <v>3.1666666666666665</v>
      </c>
      <c r="J19" s="433">
        <v>4.333333333333333</v>
      </c>
      <c r="K19" s="433"/>
    </row>
    <row r="20" spans="1:11">
      <c r="A20" s="430" t="s">
        <v>618</v>
      </c>
      <c r="B20" s="435">
        <f t="shared" si="0"/>
        <v>28</v>
      </c>
      <c r="C20">
        <v>37</v>
      </c>
      <c r="D20">
        <v>112</v>
      </c>
      <c r="E20" s="428">
        <v>893.74</v>
      </c>
      <c r="F20" s="429">
        <f t="shared" si="1"/>
        <v>0.89373999999999998</v>
      </c>
      <c r="G20" s="433">
        <v>13.500000000000002</v>
      </c>
      <c r="H20" s="433">
        <v>8.5</v>
      </c>
      <c r="I20" s="433">
        <v>2.1666666666666665</v>
      </c>
      <c r="J20" s="433">
        <v>3.833333333333333</v>
      </c>
      <c r="K20" s="433"/>
    </row>
    <row r="21" spans="1:11">
      <c r="A21" s="430" t="s">
        <v>603</v>
      </c>
      <c r="B21" s="435">
        <f t="shared" si="0"/>
        <v>28</v>
      </c>
      <c r="C21">
        <v>40</v>
      </c>
      <c r="D21">
        <v>123</v>
      </c>
      <c r="E21" s="428">
        <v>1060</v>
      </c>
      <c r="F21" s="429">
        <f t="shared" si="1"/>
        <v>1.06</v>
      </c>
      <c r="G21" s="433">
        <v>9.2500000000000018</v>
      </c>
      <c r="H21" s="433">
        <v>13.083333333333336</v>
      </c>
      <c r="I21" s="433">
        <v>3.5833333333333335</v>
      </c>
      <c r="J21" s="433">
        <v>2.0833333333333335</v>
      </c>
      <c r="K21" s="433"/>
    </row>
    <row r="22" spans="1:11">
      <c r="A22" s="430" t="s">
        <v>611</v>
      </c>
      <c r="B22" s="435">
        <f t="shared" si="0"/>
        <v>28</v>
      </c>
      <c r="C22">
        <v>41</v>
      </c>
      <c r="D22">
        <v>114</v>
      </c>
      <c r="E22" s="428">
        <v>986.85</v>
      </c>
      <c r="F22" s="429">
        <f t="shared" si="1"/>
        <v>0.98685</v>
      </c>
      <c r="G22" s="433">
        <v>11.583333333333334</v>
      </c>
      <c r="H22" s="433">
        <v>8.25</v>
      </c>
      <c r="I22" s="433">
        <v>3.0833333333333335</v>
      </c>
      <c r="J22" s="433">
        <v>5.083333333333333</v>
      </c>
      <c r="K22" s="433"/>
    </row>
    <row r="23" spans="1:11">
      <c r="A23" s="430" t="s">
        <v>619</v>
      </c>
      <c r="B23" s="435">
        <f t="shared" si="0"/>
        <v>28</v>
      </c>
      <c r="C23">
        <v>41</v>
      </c>
      <c r="D23">
        <v>86</v>
      </c>
      <c r="E23" s="428">
        <v>879.65</v>
      </c>
      <c r="F23" s="429">
        <f t="shared" si="1"/>
        <v>0.87964999999999993</v>
      </c>
      <c r="G23" s="433">
        <v>9.9166666666666679</v>
      </c>
      <c r="H23" s="433">
        <v>7.583333333333333</v>
      </c>
      <c r="I23" s="433">
        <v>4.583333333333333</v>
      </c>
      <c r="J23" s="433">
        <v>5.916666666666667</v>
      </c>
      <c r="K23" s="433"/>
    </row>
    <row r="24" spans="1:11">
      <c r="A24" s="430" t="s">
        <v>598</v>
      </c>
      <c r="B24" s="435">
        <f t="shared" si="0"/>
        <v>27</v>
      </c>
      <c r="C24">
        <v>38</v>
      </c>
      <c r="D24">
        <v>126</v>
      </c>
      <c r="E24" s="428">
        <v>1190</v>
      </c>
      <c r="F24" s="429">
        <f t="shared" si="1"/>
        <v>1.19</v>
      </c>
      <c r="G24" s="433">
        <v>10.583333333333334</v>
      </c>
      <c r="H24" s="433">
        <v>11.750000000000002</v>
      </c>
      <c r="I24" s="433">
        <v>2.5833333333333335</v>
      </c>
      <c r="J24" s="433">
        <v>2.0833333333333335</v>
      </c>
      <c r="K24" s="433"/>
    </row>
    <row r="25" spans="1:11">
      <c r="A25" s="430" t="s">
        <v>621</v>
      </c>
      <c r="B25" s="435">
        <f t="shared" si="0"/>
        <v>26.000000000000004</v>
      </c>
      <c r="C25">
        <v>50</v>
      </c>
      <c r="D25">
        <v>88</v>
      </c>
      <c r="E25" s="428">
        <v>795.86</v>
      </c>
      <c r="F25" s="429">
        <f t="shared" si="1"/>
        <v>0.79586000000000001</v>
      </c>
      <c r="G25" s="433">
        <v>12.666666666666668</v>
      </c>
      <c r="H25" s="433">
        <v>5.6666666666666661</v>
      </c>
      <c r="I25" s="433">
        <v>3.6666666666666665</v>
      </c>
      <c r="J25" s="433">
        <v>4</v>
      </c>
      <c r="K25" s="433"/>
    </row>
    <row r="26" spans="1:11">
      <c r="A26" s="430" t="s">
        <v>622</v>
      </c>
      <c r="B26" s="435">
        <f t="shared" si="0"/>
        <v>26</v>
      </c>
      <c r="C26">
        <v>45</v>
      </c>
      <c r="D26">
        <v>112</v>
      </c>
      <c r="E26" s="428">
        <v>770.88</v>
      </c>
      <c r="F26" s="429">
        <f t="shared" si="1"/>
        <v>0.77088000000000001</v>
      </c>
      <c r="G26" s="433">
        <v>10.666666666666668</v>
      </c>
      <c r="H26" s="433">
        <v>5.8333333333333321</v>
      </c>
      <c r="I26" s="433">
        <v>4.166666666666667</v>
      </c>
      <c r="J26" s="433">
        <v>5.333333333333333</v>
      </c>
      <c r="K26" s="433"/>
    </row>
    <row r="27" spans="1:11">
      <c r="A27" s="430" t="s">
        <v>607</v>
      </c>
      <c r="B27" s="435">
        <f t="shared" si="0"/>
        <v>26</v>
      </c>
      <c r="C27">
        <v>43</v>
      </c>
      <c r="D27">
        <v>117</v>
      </c>
      <c r="E27" s="428">
        <v>1020</v>
      </c>
      <c r="F27" s="429">
        <f t="shared" si="1"/>
        <v>1.02</v>
      </c>
      <c r="G27" s="433">
        <v>10.083333333333334</v>
      </c>
      <c r="H27" s="433">
        <v>10.916666666666668</v>
      </c>
      <c r="I27" s="433">
        <v>2.083333333333333</v>
      </c>
      <c r="J27" s="433">
        <v>2.916666666666667</v>
      </c>
      <c r="K27" s="433"/>
    </row>
    <row r="28" spans="1:11">
      <c r="A28" s="430" t="s">
        <v>610</v>
      </c>
      <c r="B28" s="435">
        <f t="shared" si="0"/>
        <v>25</v>
      </c>
      <c r="C28">
        <v>38</v>
      </c>
      <c r="D28">
        <v>125</v>
      </c>
      <c r="E28" s="428">
        <v>988.25</v>
      </c>
      <c r="F28" s="429">
        <f t="shared" si="1"/>
        <v>0.98824999999999996</v>
      </c>
      <c r="G28" s="433">
        <v>10.083333333333334</v>
      </c>
      <c r="H28" s="433">
        <v>10.250000000000002</v>
      </c>
      <c r="I28" s="433">
        <v>3.0833333333333335</v>
      </c>
      <c r="J28" s="433">
        <v>1.5833333333333333</v>
      </c>
      <c r="K28" s="433"/>
    </row>
    <row r="29" spans="1:11">
      <c r="A29" s="430" t="s">
        <v>628</v>
      </c>
      <c r="B29" s="435">
        <f t="shared" si="0"/>
        <v>25</v>
      </c>
      <c r="C29">
        <v>37</v>
      </c>
      <c r="D29">
        <v>140</v>
      </c>
      <c r="E29" s="428">
        <v>638.01</v>
      </c>
      <c r="F29" s="429">
        <f t="shared" si="1"/>
        <v>0.63800999999999997</v>
      </c>
      <c r="G29" s="433">
        <v>9.5000000000000018</v>
      </c>
      <c r="H29" s="433">
        <v>5.333333333333333</v>
      </c>
      <c r="I29" s="433">
        <v>4.9999999999999991</v>
      </c>
      <c r="J29" s="433">
        <v>5.1666666666666661</v>
      </c>
      <c r="K29" s="433"/>
    </row>
    <row r="30" spans="1:11">
      <c r="A30" s="430" t="s">
        <v>624</v>
      </c>
      <c r="B30" s="435">
        <f t="shared" si="0"/>
        <v>24</v>
      </c>
      <c r="C30">
        <v>42</v>
      </c>
      <c r="D30">
        <v>122</v>
      </c>
      <c r="E30" s="428">
        <v>689.33</v>
      </c>
      <c r="F30" s="429">
        <f t="shared" si="1"/>
        <v>0.68933</v>
      </c>
      <c r="G30" s="433">
        <v>11.000000000000002</v>
      </c>
      <c r="H30" s="433">
        <v>6.9999999999999991</v>
      </c>
      <c r="I30" s="433">
        <v>2.333333333333333</v>
      </c>
      <c r="J30" s="433">
        <v>3.6666666666666665</v>
      </c>
      <c r="K30" s="433"/>
    </row>
    <row r="31" spans="1:11">
      <c r="A31" s="430" t="s">
        <v>608</v>
      </c>
      <c r="B31" s="435">
        <f t="shared" si="0"/>
        <v>23</v>
      </c>
      <c r="C31">
        <v>41</v>
      </c>
      <c r="D31">
        <v>121</v>
      </c>
      <c r="E31" s="428">
        <v>1010</v>
      </c>
      <c r="F31" s="429">
        <f t="shared" si="1"/>
        <v>1.01</v>
      </c>
      <c r="G31" s="433">
        <v>9.0000000000000018</v>
      </c>
      <c r="H31" s="433">
        <v>9.3333333333333339</v>
      </c>
      <c r="I31" s="433">
        <v>2.333333333333333</v>
      </c>
      <c r="J31" s="433">
        <v>2.3333333333333335</v>
      </c>
      <c r="K31" s="433"/>
    </row>
    <row r="32" spans="1:11">
      <c r="A32" s="430" t="s">
        <v>631</v>
      </c>
      <c r="B32" s="435">
        <f t="shared" si="0"/>
        <v>23</v>
      </c>
      <c r="C32">
        <v>38</v>
      </c>
      <c r="D32">
        <v>127</v>
      </c>
      <c r="E32" s="428">
        <v>598.01</v>
      </c>
      <c r="F32" s="429">
        <f t="shared" si="1"/>
        <v>0.59801000000000004</v>
      </c>
      <c r="G32" s="433">
        <v>9.1666666666666679</v>
      </c>
      <c r="H32" s="433">
        <v>4.9999999999999991</v>
      </c>
      <c r="I32" s="433">
        <v>4</v>
      </c>
      <c r="J32" s="433">
        <v>4.833333333333333</v>
      </c>
      <c r="K32" s="433"/>
    </row>
    <row r="33" spans="1:11">
      <c r="A33" s="430" t="s">
        <v>629</v>
      </c>
      <c r="B33" s="435">
        <f t="shared" si="0"/>
        <v>22.999999999999996</v>
      </c>
      <c r="C33">
        <v>40</v>
      </c>
      <c r="D33">
        <v>120</v>
      </c>
      <c r="E33" s="428">
        <v>633.89</v>
      </c>
      <c r="F33" s="429">
        <f t="shared" si="1"/>
        <v>0.63388999999999995</v>
      </c>
      <c r="G33" s="433">
        <v>7.583333333333333</v>
      </c>
      <c r="H33" s="433">
        <v>5.25</v>
      </c>
      <c r="I33" s="433">
        <v>7.583333333333333</v>
      </c>
      <c r="J33" s="433">
        <v>2.5833333333333335</v>
      </c>
      <c r="K33" s="433"/>
    </row>
    <row r="34" spans="1:11">
      <c r="A34" s="430" t="s">
        <v>632</v>
      </c>
      <c r="B34" s="435">
        <f t="shared" ref="B34:B51" si="2">(SUM(G34:J34))</f>
        <v>22</v>
      </c>
      <c r="C34">
        <v>36</v>
      </c>
      <c r="D34">
        <v>110</v>
      </c>
      <c r="E34" s="428">
        <v>587.91999999999996</v>
      </c>
      <c r="F34" s="429">
        <f t="shared" ref="F34:F51" si="3">E34/1000</f>
        <v>0.58792</v>
      </c>
      <c r="G34" s="433">
        <v>9.8333333333333339</v>
      </c>
      <c r="H34" s="433">
        <v>4.333333333333333</v>
      </c>
      <c r="I34" s="433">
        <v>5.3333333333333339</v>
      </c>
      <c r="J34" s="433">
        <v>2.5</v>
      </c>
      <c r="K34" s="433"/>
    </row>
    <row r="35" spans="1:11">
      <c r="A35" s="430" t="s">
        <v>625</v>
      </c>
      <c r="B35" s="435">
        <f t="shared" si="2"/>
        <v>22</v>
      </c>
      <c r="C35">
        <v>29</v>
      </c>
      <c r="D35">
        <v>133</v>
      </c>
      <c r="E35" s="428">
        <v>673.52</v>
      </c>
      <c r="F35" s="429">
        <f t="shared" si="3"/>
        <v>0.67352000000000001</v>
      </c>
      <c r="G35" s="433">
        <v>13.416666666666668</v>
      </c>
      <c r="H35" s="433">
        <v>4.4166666666666661</v>
      </c>
      <c r="I35" s="433">
        <v>0.58333333333333326</v>
      </c>
      <c r="J35" s="433">
        <v>3.583333333333333</v>
      </c>
      <c r="K35" s="433"/>
    </row>
    <row r="36" spans="1:11">
      <c r="A36" s="430" t="s">
        <v>627</v>
      </c>
      <c r="B36" s="435">
        <f t="shared" si="2"/>
        <v>22</v>
      </c>
      <c r="C36">
        <v>41</v>
      </c>
      <c r="D36">
        <v>122</v>
      </c>
      <c r="E36" s="428">
        <v>649.49</v>
      </c>
      <c r="F36" s="429">
        <f t="shared" si="3"/>
        <v>0.64949000000000001</v>
      </c>
      <c r="G36" s="433">
        <v>9.9166666666666661</v>
      </c>
      <c r="H36" s="433">
        <v>7.4166666666666661</v>
      </c>
      <c r="I36" s="433">
        <v>1.2499999999999998</v>
      </c>
      <c r="J36" s="433">
        <v>3.4166666666666665</v>
      </c>
      <c r="K36" s="433"/>
    </row>
    <row r="37" spans="1:11">
      <c r="A37" s="430" t="s">
        <v>623</v>
      </c>
      <c r="B37" s="435">
        <f t="shared" si="2"/>
        <v>21.999999999999996</v>
      </c>
      <c r="C37">
        <v>34</v>
      </c>
      <c r="D37">
        <v>124</v>
      </c>
      <c r="E37" s="428">
        <v>693.56</v>
      </c>
      <c r="F37" s="429">
        <f t="shared" si="3"/>
        <v>0.69355999999999995</v>
      </c>
      <c r="G37" s="433">
        <v>10.333333333333334</v>
      </c>
      <c r="H37" s="433">
        <v>5.8333333333333321</v>
      </c>
      <c r="I37" s="433">
        <v>1.9999999999999998</v>
      </c>
      <c r="J37" s="433">
        <v>3.833333333333333</v>
      </c>
      <c r="K37" s="433"/>
    </row>
    <row r="38" spans="1:11">
      <c r="A38" s="430" t="s">
        <v>626</v>
      </c>
      <c r="B38" s="435">
        <f t="shared" si="2"/>
        <v>21</v>
      </c>
      <c r="C38">
        <v>37</v>
      </c>
      <c r="D38">
        <v>125</v>
      </c>
      <c r="E38" s="428">
        <v>663.8</v>
      </c>
      <c r="F38" s="429">
        <f t="shared" si="3"/>
        <v>0.66379999999999995</v>
      </c>
      <c r="G38" s="433">
        <v>7.25</v>
      </c>
      <c r="H38" s="433">
        <v>8.7500000000000018</v>
      </c>
      <c r="I38" s="433">
        <v>3.25</v>
      </c>
      <c r="J38" s="433">
        <v>1.75</v>
      </c>
      <c r="K38" s="433"/>
    </row>
    <row r="39" spans="1:11">
      <c r="A39" s="430" t="s">
        <v>635</v>
      </c>
      <c r="B39" s="435">
        <f t="shared" si="2"/>
        <v>19.000000000000004</v>
      </c>
      <c r="C39">
        <v>45</v>
      </c>
      <c r="D39">
        <v>98</v>
      </c>
      <c r="E39" s="428">
        <v>530.87</v>
      </c>
      <c r="F39" s="429">
        <f t="shared" si="3"/>
        <v>0.53086999999999995</v>
      </c>
      <c r="G39" s="433">
        <v>9.8333333333333339</v>
      </c>
      <c r="H39" s="433">
        <v>2.8333333333333335</v>
      </c>
      <c r="I39" s="433">
        <v>2.8333333333333335</v>
      </c>
      <c r="J39" s="433">
        <v>3.5000000000000004</v>
      </c>
      <c r="K39" s="433"/>
    </row>
    <row r="40" spans="1:11">
      <c r="A40" s="430" t="s">
        <v>637</v>
      </c>
      <c r="B40" s="435">
        <f t="shared" si="2"/>
        <v>19.000000000000004</v>
      </c>
      <c r="C40">
        <v>45</v>
      </c>
      <c r="D40">
        <v>81</v>
      </c>
      <c r="E40" s="428">
        <v>521.80999999999995</v>
      </c>
      <c r="F40" s="429">
        <f t="shared" si="3"/>
        <v>0.52181</v>
      </c>
      <c r="G40" s="433">
        <v>9.8333333333333357</v>
      </c>
      <c r="H40" s="433">
        <v>2.1666666666666665</v>
      </c>
      <c r="I40" s="433">
        <v>1.833333333333333</v>
      </c>
      <c r="J40" s="433">
        <v>5.166666666666667</v>
      </c>
      <c r="K40" s="433"/>
    </row>
    <row r="41" spans="1:11">
      <c r="A41" s="430" t="s">
        <v>630</v>
      </c>
      <c r="B41" s="435">
        <f t="shared" si="2"/>
        <v>19</v>
      </c>
      <c r="C41">
        <v>42</v>
      </c>
      <c r="D41">
        <v>121</v>
      </c>
      <c r="E41" s="428">
        <v>617.16</v>
      </c>
      <c r="F41" s="429">
        <f t="shared" si="3"/>
        <v>0.61715999999999993</v>
      </c>
      <c r="G41" s="433">
        <v>9.8333333333333339</v>
      </c>
      <c r="H41" s="433">
        <v>2.1666666666666665</v>
      </c>
      <c r="I41" s="433">
        <v>1.833333333333333</v>
      </c>
      <c r="J41" s="433">
        <v>5.1666666666666661</v>
      </c>
      <c r="K41" s="433"/>
    </row>
    <row r="42" spans="1:11">
      <c r="A42" s="430" t="s">
        <v>633</v>
      </c>
      <c r="B42" s="435">
        <f t="shared" si="2"/>
        <v>18</v>
      </c>
      <c r="C42">
        <v>40</v>
      </c>
      <c r="D42">
        <v>93</v>
      </c>
      <c r="E42" s="428">
        <v>547.16</v>
      </c>
      <c r="F42" s="429">
        <f t="shared" si="3"/>
        <v>0.54715999999999998</v>
      </c>
      <c r="G42" s="433">
        <v>9.5</v>
      </c>
      <c r="H42" s="433">
        <v>1.8333333333333333</v>
      </c>
      <c r="I42" s="433">
        <v>1.4999999999999998</v>
      </c>
      <c r="J42" s="433">
        <v>5.1666666666666661</v>
      </c>
      <c r="K42" s="433"/>
    </row>
    <row r="43" spans="1:11">
      <c r="A43" s="430" t="s">
        <v>636</v>
      </c>
      <c r="B43" s="435">
        <f t="shared" si="2"/>
        <v>17</v>
      </c>
      <c r="C43">
        <v>39</v>
      </c>
      <c r="D43">
        <v>91</v>
      </c>
      <c r="E43" s="428">
        <v>522.16</v>
      </c>
      <c r="F43" s="429">
        <f t="shared" si="3"/>
        <v>0.52215999999999996</v>
      </c>
      <c r="G43" s="433">
        <v>9</v>
      </c>
      <c r="H43" s="433">
        <v>1.8333333333333333</v>
      </c>
      <c r="I43" s="433">
        <v>1.4999999999999998</v>
      </c>
      <c r="J43" s="433">
        <v>4.6666666666666661</v>
      </c>
      <c r="K43" s="433"/>
    </row>
    <row r="44" spans="1:11">
      <c r="A44" s="430" t="s">
        <v>634</v>
      </c>
      <c r="B44" s="435">
        <f t="shared" si="2"/>
        <v>17</v>
      </c>
      <c r="C44">
        <v>41</v>
      </c>
      <c r="D44">
        <v>78</v>
      </c>
      <c r="E44" s="428">
        <v>537.41</v>
      </c>
      <c r="F44" s="429">
        <f t="shared" si="3"/>
        <v>0.53740999999999994</v>
      </c>
      <c r="G44" s="433">
        <v>8.5</v>
      </c>
      <c r="H44" s="433">
        <v>3.8333333333333335</v>
      </c>
      <c r="I44" s="433">
        <v>2.5</v>
      </c>
      <c r="J44" s="433">
        <v>2.1666666666666665</v>
      </c>
      <c r="K44" s="433"/>
    </row>
    <row r="45" spans="1:11">
      <c r="A45" s="430" t="s">
        <v>638</v>
      </c>
      <c r="B45" s="435">
        <f t="shared" si="2"/>
        <v>16</v>
      </c>
      <c r="C45">
        <v>38</v>
      </c>
      <c r="D45">
        <v>87</v>
      </c>
      <c r="E45" s="428">
        <v>481.94</v>
      </c>
      <c r="F45" s="429">
        <f t="shared" si="3"/>
        <v>0.48193999999999998</v>
      </c>
      <c r="G45" s="433">
        <v>9.1666666666666661</v>
      </c>
      <c r="H45" s="433">
        <v>1.8333333333333333</v>
      </c>
      <c r="I45" s="433">
        <v>1.1666666666666665</v>
      </c>
      <c r="J45" s="433">
        <v>3.8333333333333335</v>
      </c>
      <c r="K45" s="433"/>
    </row>
    <row r="46" spans="1:11">
      <c r="A46" s="430" t="s">
        <v>639</v>
      </c>
      <c r="B46" s="435">
        <f t="shared" si="2"/>
        <v>16</v>
      </c>
      <c r="C46">
        <v>38</v>
      </c>
      <c r="D46">
        <v>87</v>
      </c>
      <c r="E46" s="428">
        <v>481.94</v>
      </c>
      <c r="F46" s="429">
        <f t="shared" si="3"/>
        <v>0.48193999999999998</v>
      </c>
      <c r="G46" s="433">
        <v>9.1666666666666661</v>
      </c>
      <c r="H46" s="433">
        <v>1.8333333333333333</v>
      </c>
      <c r="I46" s="433">
        <v>1.1666666666666665</v>
      </c>
      <c r="J46" s="433">
        <v>3.8333333333333335</v>
      </c>
      <c r="K46" s="433"/>
    </row>
    <row r="47" spans="1:11">
      <c r="A47" s="430" t="s">
        <v>640</v>
      </c>
      <c r="B47" s="435">
        <f t="shared" si="2"/>
        <v>14</v>
      </c>
      <c r="C47">
        <v>39</v>
      </c>
      <c r="D47">
        <v>76</v>
      </c>
      <c r="E47" s="428">
        <v>437.08</v>
      </c>
      <c r="F47" s="429">
        <f t="shared" si="3"/>
        <v>0.43707999999999997</v>
      </c>
      <c r="G47" s="433">
        <v>7.9999999999999991</v>
      </c>
      <c r="H47" s="433">
        <v>1.8333333333333333</v>
      </c>
      <c r="I47" s="433">
        <v>1.4999999999999998</v>
      </c>
      <c r="J47" s="433">
        <v>2.666666666666667</v>
      </c>
      <c r="K47" s="433"/>
    </row>
    <row r="48" spans="1:11">
      <c r="A48" s="430" t="s">
        <v>641</v>
      </c>
      <c r="B48" s="435">
        <f t="shared" si="2"/>
        <v>13</v>
      </c>
      <c r="C48">
        <v>22</v>
      </c>
      <c r="D48">
        <v>95</v>
      </c>
      <c r="E48" s="428">
        <v>378.92</v>
      </c>
      <c r="F48" s="429">
        <f t="shared" si="3"/>
        <v>0.37892000000000003</v>
      </c>
      <c r="G48" s="433">
        <v>8.5833333333333339</v>
      </c>
      <c r="H48" s="433">
        <v>2.083333333333333</v>
      </c>
      <c r="I48" s="433">
        <v>0.25</v>
      </c>
      <c r="J48" s="433">
        <v>2.083333333333333</v>
      </c>
      <c r="K48" s="433"/>
    </row>
    <row r="49" spans="1:14">
      <c r="A49" s="430" t="s">
        <v>642</v>
      </c>
      <c r="B49" s="435">
        <f t="shared" si="2"/>
        <v>11.000000000000002</v>
      </c>
      <c r="C49">
        <v>22</v>
      </c>
      <c r="D49">
        <v>97</v>
      </c>
      <c r="E49" s="428">
        <v>358.25</v>
      </c>
      <c r="F49" s="429">
        <f t="shared" si="3"/>
        <v>0.35825000000000001</v>
      </c>
      <c r="G49" s="433">
        <v>7.3333333333333339</v>
      </c>
      <c r="H49" s="433">
        <v>1.8333333333333333</v>
      </c>
      <c r="I49" s="433">
        <v>0.83333333333333326</v>
      </c>
      <c r="J49" s="433">
        <v>1</v>
      </c>
      <c r="K49" s="433"/>
    </row>
    <row r="50" spans="1:14">
      <c r="A50" s="430" t="s">
        <v>643</v>
      </c>
      <c r="B50" s="435">
        <f t="shared" si="2"/>
        <v>7.9999999999999991</v>
      </c>
      <c r="C50">
        <v>24</v>
      </c>
      <c r="D50">
        <v>66</v>
      </c>
      <c r="E50" s="428">
        <v>254</v>
      </c>
      <c r="F50" s="429">
        <f t="shared" si="3"/>
        <v>0.254</v>
      </c>
      <c r="G50" s="433">
        <v>4.833333333333333</v>
      </c>
      <c r="H50" s="433">
        <v>1</v>
      </c>
      <c r="I50" s="433">
        <v>0.83333333333333326</v>
      </c>
      <c r="J50" s="433">
        <v>1.3333333333333333</v>
      </c>
      <c r="K50" s="433"/>
    </row>
    <row r="51" spans="1:14">
      <c r="A51" s="430" t="s">
        <v>644</v>
      </c>
      <c r="B51" s="435">
        <f t="shared" si="2"/>
        <v>4.9999999999999991</v>
      </c>
      <c r="C51">
        <v>17</v>
      </c>
      <c r="D51">
        <v>86</v>
      </c>
      <c r="E51" s="428">
        <v>179.36</v>
      </c>
      <c r="F51" s="429">
        <f t="shared" si="3"/>
        <v>0.17936000000000002</v>
      </c>
      <c r="G51" s="433">
        <v>2.583333333333333</v>
      </c>
      <c r="H51" s="433">
        <v>1.0833333333333333</v>
      </c>
      <c r="I51" s="433">
        <v>0.58333333333333326</v>
      </c>
      <c r="J51" s="433">
        <v>0.75</v>
      </c>
      <c r="K51" s="433"/>
    </row>
    <row r="54" spans="1:14">
      <c r="A54" s="432" t="s">
        <v>560</v>
      </c>
      <c r="B54" s="426">
        <f>(SUM(G54:J54))</f>
        <v>133</v>
      </c>
      <c r="C54" s="426">
        <v>102</v>
      </c>
      <c r="D54" s="426">
        <v>198</v>
      </c>
      <c r="E54" s="431">
        <v>3.05</v>
      </c>
      <c r="F54" s="427" t="s">
        <v>593</v>
      </c>
      <c r="G54" s="431">
        <v>38.666666666666679</v>
      </c>
      <c r="H54" s="431">
        <v>34.666666666666671</v>
      </c>
      <c r="I54" s="431">
        <v>39.166666666666664</v>
      </c>
      <c r="J54" s="431">
        <v>20.499999999999996</v>
      </c>
      <c r="K54" s="431"/>
    </row>
    <row r="55" spans="1:14">
      <c r="G55" s="423"/>
      <c r="H55" s="423"/>
      <c r="I55" s="423"/>
      <c r="J55" s="423"/>
    </row>
    <row r="57" spans="1:14">
      <c r="A57" s="434"/>
      <c r="B57" s="434">
        <v>2012</v>
      </c>
      <c r="C57" s="434">
        <v>2013</v>
      </c>
      <c r="D57" s="434">
        <v>2014</v>
      </c>
      <c r="E57" s="434">
        <v>2015</v>
      </c>
      <c r="F57" s="434">
        <v>2016</v>
      </c>
      <c r="G57" s="434">
        <v>2017</v>
      </c>
      <c r="H57" s="434">
        <v>2018</v>
      </c>
      <c r="I57" s="434">
        <v>2019</v>
      </c>
      <c r="J57" s="434">
        <v>2020</v>
      </c>
      <c r="K57" s="434">
        <v>2021</v>
      </c>
      <c r="L57" s="434">
        <v>2022</v>
      </c>
      <c r="M57" s="434">
        <v>2023</v>
      </c>
    </row>
    <row r="58" spans="1:14">
      <c r="A58" t="s">
        <v>651</v>
      </c>
      <c r="B58">
        <v>2.4</v>
      </c>
      <c r="C58">
        <v>2.5</v>
      </c>
      <c r="D58">
        <v>2.99</v>
      </c>
      <c r="E58">
        <v>2.88</v>
      </c>
      <c r="F58">
        <v>2.74</v>
      </c>
      <c r="G58">
        <v>3.05</v>
      </c>
      <c r="H58">
        <v>3.18</v>
      </c>
      <c r="I58">
        <v>3.58</v>
      </c>
      <c r="J58">
        <v>3.52</v>
      </c>
      <c r="K58">
        <v>3.44</v>
      </c>
      <c r="L58">
        <v>3.58</v>
      </c>
      <c r="M58">
        <v>3.88</v>
      </c>
    </row>
    <row r="59" spans="1:14">
      <c r="A59" s="436" t="s">
        <v>652</v>
      </c>
      <c r="B59" s="433">
        <f>0.152+0.217</f>
        <v>0.36899999999999999</v>
      </c>
      <c r="C59" s="433">
        <f>0.152+0.236</f>
        <v>0.38800000000000001</v>
      </c>
      <c r="D59" s="433">
        <f>0.282+0.152</f>
        <v>0.43399999999999994</v>
      </c>
      <c r="E59" s="437">
        <f>0.277+0.152</f>
        <v>0.42900000000000005</v>
      </c>
      <c r="F59" s="433">
        <f>0.2837+0.0797+0.007</f>
        <v>0.37040000000000001</v>
      </c>
      <c r="G59" s="433">
        <f>0.299+0.087</f>
        <v>0.38600000000000001</v>
      </c>
      <c r="H59" s="437">
        <f>0.311+0.079+0.007</f>
        <v>0.39700000000000002</v>
      </c>
      <c r="I59" s="437">
        <f>0.297+0.057</f>
        <v>0.35399999999999998</v>
      </c>
      <c r="J59" s="433">
        <f>0.271+0.0445</f>
        <v>0.3155</v>
      </c>
      <c r="K59" s="433">
        <f>0.3226+0.0463</f>
        <v>0.36890000000000001</v>
      </c>
      <c r="L59" s="433">
        <f>0.36+0.047</f>
        <v>0.40699999999999997</v>
      </c>
      <c r="M59" s="433">
        <f>0.342+0.0474</f>
        <v>0.38940000000000002</v>
      </c>
      <c r="N59">
        <f>0.342/M59</f>
        <v>0.8782742681047766</v>
      </c>
    </row>
    <row r="61" spans="1:14">
      <c r="M61">
        <v>2.8029999999999999</v>
      </c>
      <c r="N61" s="423">
        <f>+M61/M58</f>
        <v>0.72242268041237112</v>
      </c>
    </row>
    <row r="62" spans="1:14">
      <c r="M62">
        <v>0.76500000000000001</v>
      </c>
      <c r="N62" s="423">
        <f>+M62/M58</f>
        <v>0.19716494845360827</v>
      </c>
    </row>
    <row r="63" spans="1:14">
      <c r="M63">
        <v>0.316</v>
      </c>
      <c r="N63" s="423">
        <f>+M63/M58</f>
        <v>8.1443298969072167E-2</v>
      </c>
    </row>
    <row r="65" spans="13:14">
      <c r="M65">
        <f>+M58-B58</f>
        <v>1.48</v>
      </c>
      <c r="N65" s="423">
        <f>+M65/B58</f>
        <v>0.6166666666666667</v>
      </c>
    </row>
    <row r="66" spans="13:14">
      <c r="M66">
        <f>+M59-B59</f>
        <v>2.0400000000000029E-2</v>
      </c>
      <c r="N66" s="423">
        <f>+M66/B59</f>
        <v>5.5284552845528537E-2</v>
      </c>
    </row>
  </sheetData>
  <autoFilter ref="A1:J1" xr:uid="{775F3C35-CE64-4EEB-B5C5-837FECF2BF37}">
    <sortState xmlns:xlrd2="http://schemas.microsoft.com/office/spreadsheetml/2017/richdata2" ref="A2:J51">
      <sortCondition descending="1" ref="B1"/>
    </sortState>
  </autoFilter>
  <hyperlinks>
    <hyperlink ref="L3" r:id="rId1" xr:uid="{E2526AC7-A8BA-4344-9691-EAE4CE4657CD}"/>
  </hyperlinks>
  <pageMargins left="0.7" right="0.7" top="0.75" bottom="0.75" header="0.3" footer="0.3"/>
  <pageSetup orientation="portrait" horizontalDpi="1200" verticalDpi="1200" r:id="rId2"/>
  <drawing r:id="rId3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ETHANOL</vt:lpstr>
      <vt:lpstr>BIOBUTANOL</vt:lpstr>
      <vt:lpstr>BIODIESEL</vt:lpstr>
      <vt:lpstr>FATS</vt:lpstr>
      <vt:lpstr>RENEWABLE DIESEL</vt:lpstr>
      <vt:lpstr>RENEWABLE JET FUEL</vt:lpstr>
      <vt:lpstr>WOOD PELLETS</vt:lpstr>
      <vt:lpstr>WASTE TO ENERGY</vt:lpstr>
      <vt:lpstr>BIOGAS</vt:lpstr>
      <vt:lpstr>TRADE</vt:lpstr>
      <vt:lpstr>BIOPRODUCTS</vt:lpstr>
      <vt:lpstr>BIOPLASTICS</vt:lpstr>
      <vt:lpstr>ENZYMES</vt:lpstr>
      <vt:lpstr>APPAREL AND TEXTILES</vt:lpstr>
      <vt:lpstr>FOREST PRODUCTS</vt:lpstr>
      <vt:lpstr>FUNDING</vt:lpstr>
      <vt:lpstr>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Janire Pascual</dc:creator>
  <cp:lastModifiedBy>Janire Pascual Gonzalez</cp:lastModifiedBy>
  <dcterms:created xsi:type="dcterms:W3CDTF">2017-01-11T16:16:58Z</dcterms:created>
  <dcterms:modified xsi:type="dcterms:W3CDTF">2026-05-13T17:09:40Z</dcterms:modified>
</cp:coreProperties>
</file>