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 activeTab="1"/>
  </bookViews>
  <sheets>
    <sheet name="Лист1" sheetId="1" r:id="rId1"/>
    <sheet name="АД_РЕГРЕССИЯ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3" l="1"/>
  <c r="E26" i="3"/>
  <c r="B112" i="1"/>
  <c r="E27" i="3" l="1"/>
  <c r="E28" i="3"/>
  <c r="E29" i="3"/>
  <c r="E30" i="3"/>
  <c r="E31" i="3"/>
  <c r="E32" i="3"/>
  <c r="E33" i="3"/>
  <c r="E34" i="3"/>
  <c r="E20" i="3" l="1"/>
  <c r="E19" i="3"/>
  <c r="F10" i="3"/>
  <c r="D10" i="3" l="1"/>
  <c r="B211" i="1" l="1"/>
  <c r="C170" i="1"/>
  <c r="B161" i="1"/>
  <c r="B206" i="1" l="1"/>
  <c r="B210" i="1"/>
  <c r="E171" i="1"/>
  <c r="A171" i="1"/>
  <c r="E170" i="1"/>
  <c r="A170" i="1"/>
  <c r="C171" i="1"/>
  <c r="J112" i="1"/>
  <c r="H112" i="1"/>
  <c r="J111" i="1"/>
  <c r="H111" i="1"/>
  <c r="J110" i="1"/>
  <c r="H110" i="1"/>
  <c r="J109" i="1"/>
  <c r="H109" i="1"/>
  <c r="F112" i="1" l="1"/>
  <c r="F111" i="1"/>
  <c r="E112" i="1"/>
  <c r="E111" i="1"/>
  <c r="F110" i="1"/>
  <c r="F109" i="1"/>
  <c r="E110" i="1"/>
  <c r="E109" i="1"/>
  <c r="B165" i="1" l="1"/>
  <c r="B164" i="1"/>
  <c r="B158" i="1" l="1"/>
  <c r="B159" i="1" s="1"/>
  <c r="B125" i="1"/>
  <c r="B124" i="1"/>
  <c r="B113" i="1"/>
  <c r="F43" i="1" l="1"/>
  <c r="B97" i="1" a="1"/>
  <c r="B97" i="1" s="1"/>
  <c r="C18" i="1"/>
  <c r="C52" i="1"/>
  <c r="B52" i="1"/>
  <c r="B56" i="1"/>
  <c r="B54" i="1"/>
  <c r="D40" i="1"/>
  <c r="D41" i="1"/>
  <c r="D42" i="1"/>
  <c r="D43" i="1"/>
  <c r="D44" i="1"/>
  <c r="D45" i="1"/>
  <c r="D46" i="1"/>
  <c r="D47" i="1"/>
  <c r="D48" i="1"/>
  <c r="C50" i="1"/>
  <c r="B50" i="1"/>
  <c r="C49" i="1"/>
  <c r="B49" i="1"/>
  <c r="F40" i="1"/>
  <c r="F41" i="1"/>
  <c r="F42" i="1"/>
  <c r="F44" i="1"/>
  <c r="F45" i="1"/>
  <c r="F46" i="1"/>
  <c r="F47" i="1"/>
  <c r="F48" i="1"/>
  <c r="F39" i="1"/>
  <c r="E40" i="1"/>
  <c r="E41" i="1"/>
  <c r="E42" i="1"/>
  <c r="E43" i="1"/>
  <c r="E44" i="1"/>
  <c r="E45" i="1"/>
  <c r="E46" i="1"/>
  <c r="E47" i="1"/>
  <c r="E48" i="1"/>
  <c r="E39" i="1"/>
  <c r="D39" i="1"/>
  <c r="L40" i="1" l="1"/>
  <c r="L41" i="1"/>
  <c r="L42" i="1"/>
  <c r="L43" i="1"/>
  <c r="L44" i="1"/>
  <c r="L45" i="1"/>
  <c r="L46" i="1"/>
  <c r="L47" i="1"/>
  <c r="L48" i="1"/>
  <c r="L39" i="1"/>
  <c r="B59" i="1"/>
  <c r="D50" i="1"/>
  <c r="B55" i="1" s="1"/>
  <c r="D49" i="1"/>
  <c r="E50" i="1"/>
  <c r="B53" i="1" s="1"/>
  <c r="B51" i="1" s="1"/>
  <c r="E49" i="1"/>
  <c r="F49" i="1"/>
  <c r="F50" i="1"/>
  <c r="C53" i="1" s="1"/>
  <c r="C51" i="1" s="1"/>
  <c r="L49" i="1" l="1"/>
  <c r="B139" i="1" s="1"/>
  <c r="D139" i="1" s="1"/>
  <c r="L50" i="1"/>
  <c r="B63" i="1"/>
  <c r="B62" i="1"/>
  <c r="G47" i="1" s="1"/>
  <c r="B58" i="1"/>
  <c r="B57" i="1"/>
  <c r="B89" i="1" s="1"/>
  <c r="B107" i="1" s="1"/>
  <c r="B111" i="1" s="1"/>
  <c r="G40" i="1"/>
  <c r="G41" i="1"/>
  <c r="G42" i="1"/>
  <c r="G43" i="1"/>
  <c r="G44" i="1"/>
  <c r="G45" i="1"/>
  <c r="K45" i="1" l="1"/>
  <c r="K43" i="1"/>
  <c r="K42" i="1"/>
  <c r="K41" i="1"/>
  <c r="K40" i="1"/>
  <c r="K44" i="1"/>
  <c r="K47" i="1"/>
  <c r="G39" i="1"/>
  <c r="G46" i="1"/>
  <c r="G48" i="1"/>
  <c r="H48" i="1"/>
  <c r="J48" i="1"/>
  <c r="H47" i="1"/>
  <c r="J47" i="1"/>
  <c r="H45" i="1"/>
  <c r="J45" i="1"/>
  <c r="H44" i="1"/>
  <c r="J44" i="1"/>
  <c r="H43" i="1"/>
  <c r="J43" i="1"/>
  <c r="H42" i="1"/>
  <c r="J42" i="1"/>
  <c r="H41" i="1"/>
  <c r="J41" i="1"/>
  <c r="H40" i="1"/>
  <c r="J40" i="1"/>
  <c r="M41" i="1" l="1"/>
  <c r="N41" i="1" s="1"/>
  <c r="M48" i="1"/>
  <c r="N48" i="1" s="1"/>
  <c r="O41" i="1"/>
  <c r="M42" i="1"/>
  <c r="N42" i="1" s="1"/>
  <c r="O48" i="1"/>
  <c r="O42" i="1"/>
  <c r="M43" i="1"/>
  <c r="N43" i="1" s="1"/>
  <c r="O43" i="1"/>
  <c r="M44" i="1"/>
  <c r="N44" i="1" s="1"/>
  <c r="M45" i="1"/>
  <c r="N45" i="1" s="1"/>
  <c r="M46" i="1"/>
  <c r="N46" i="1" s="1"/>
  <c r="G49" i="1"/>
  <c r="I41" i="1"/>
  <c r="I48" i="1"/>
  <c r="K48" i="1"/>
  <c r="K39" i="1"/>
  <c r="I45" i="1"/>
  <c r="I40" i="1"/>
  <c r="I47" i="1"/>
  <c r="I42" i="1"/>
  <c r="I44" i="1"/>
  <c r="K46" i="1"/>
  <c r="I43" i="1"/>
  <c r="G50" i="1"/>
  <c r="H39" i="1"/>
  <c r="J46" i="1"/>
  <c r="H46" i="1"/>
  <c r="J39" i="1"/>
  <c r="M40" i="1" l="1"/>
  <c r="B207" i="1"/>
  <c r="O46" i="1"/>
  <c r="M47" i="1"/>
  <c r="N40" i="1"/>
  <c r="M50" i="1"/>
  <c r="M49" i="1"/>
  <c r="O45" i="1"/>
  <c r="O44" i="1"/>
  <c r="O40" i="1"/>
  <c r="K50" i="1"/>
  <c r="J49" i="1"/>
  <c r="I46" i="1"/>
  <c r="I39" i="1"/>
  <c r="I49" i="1" s="1"/>
  <c r="H50" i="1"/>
  <c r="J50" i="1"/>
  <c r="B129" i="1" s="1"/>
  <c r="K49" i="1"/>
  <c r="H49" i="1"/>
  <c r="B185" i="1" s="1"/>
  <c r="B122" i="1"/>
  <c r="B140" i="1"/>
  <c r="D140" i="1" s="1"/>
  <c r="C207" i="1" l="1"/>
  <c r="I50" i="1"/>
  <c r="B208" i="1" s="1"/>
  <c r="O50" i="1"/>
  <c r="O49" i="1"/>
  <c r="N47" i="1"/>
  <c r="N50" i="1" s="1"/>
  <c r="C206" i="1" s="1"/>
  <c r="C208" i="1" s="1"/>
  <c r="O47" i="1"/>
  <c r="B123" i="1"/>
  <c r="B121" i="1" s="1"/>
  <c r="B141" i="1"/>
  <c r="D141" i="1" s="1"/>
  <c r="B88" i="1"/>
  <c r="B91" i="1"/>
  <c r="B90" i="1" s="1"/>
  <c r="B120" i="1" s="1"/>
  <c r="B61" i="1"/>
  <c r="B60" i="1" s="1"/>
  <c r="N49" i="1" l="1"/>
  <c r="C165" i="1"/>
  <c r="C164" i="1"/>
  <c r="B106" i="1"/>
  <c r="B105" i="1"/>
  <c r="B109" i="1" l="1"/>
  <c r="C101" i="1"/>
  <c r="B101" i="1"/>
  <c r="C100" i="1"/>
  <c r="B100" i="1"/>
  <c r="C99" i="1"/>
  <c r="B99" i="1"/>
  <c r="C98" i="1"/>
  <c r="B98" i="1"/>
  <c r="C97" i="1"/>
  <c r="B110" i="1" l="1"/>
  <c r="B160" i="1"/>
  <c r="E165" i="1" l="1"/>
  <c r="D165" i="1"/>
  <c r="E164" i="1"/>
  <c r="D164" i="1"/>
</calcChain>
</file>

<file path=xl/comments1.xml><?xml version="1.0" encoding="utf-8"?>
<comments xmlns="http://schemas.openxmlformats.org/spreadsheetml/2006/main">
  <authors>
    <author>Натали</author>
  </authors>
  <commentList>
    <comment ref="B6" authorId="0">
      <text>
        <r>
          <rPr>
            <b/>
            <sz val="9"/>
            <color indexed="81"/>
            <rFont val="Tahoma"/>
            <family val="2"/>
            <charset val="204"/>
          </rPr>
          <t>((n-1)*rxy² - m)/(n - m - 1)
Недостатком коэффициента детерминации R-квадратявляется то, что он увеличивается при добавлении новых объясняющих переменных, хотя это и не обязательно означает улучшение качества регрессионной модели. 
В этом смысле предпочтительнее использовать нормированный, который в отличие от R-квадрат может уменьшаться при введении в модель новых объясняющих переменных, не оказывающих существенное влияние на зависимую переменную.</t>
        </r>
      </text>
    </comment>
    <comment ref="F11" authorId="0">
      <text>
        <r>
          <rPr>
            <b/>
            <sz val="9"/>
            <color indexed="81"/>
            <rFont val="Tahoma"/>
            <family val="2"/>
            <charset val="204"/>
          </rPr>
          <t>теоретическая вероятность того, что при гипотезе равенства нулю одновременно всех коэффициентов модели F-статистика больше эмпирического значения F</t>
        </r>
      </text>
    </comment>
    <comment ref="E16" authorId="0">
      <text>
        <r>
          <rPr>
            <b/>
            <sz val="9"/>
            <color indexed="81"/>
            <rFont val="Tahoma"/>
            <family val="2"/>
            <charset val="204"/>
          </rPr>
          <t>P-Значение – вероятность, позволяющая определить значимость коэффициента регрессии. В случаях, когда Р-Значение&gt;0,05, коэффициент может считаться нулевым, что означает, что соответствующая независимая переменная практически не влияет на зависимую переменную.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стандартные остатки вычисляются для выявления выбросов в регрессионной модели. 
Если абс. Значение больше 3, то следует проверить, не было ли допущено ошибок при ввводе данных</t>
        </r>
      </text>
    </comment>
    <comment ref="F24" authorId="0">
      <text>
        <r>
          <rPr>
            <b/>
            <sz val="9"/>
            <color indexed="81"/>
            <rFont val="Tahoma"/>
            <family val="2"/>
            <charset val="204"/>
          </rPr>
          <t>Персентили – это характеристики набора данных, которые определяют ранги элементов в виде процентов таким образом, что наименьшему значению элемента данных соответствует персентиль, равный 0%, наибольшему – 100%, медиане – 50% и т.д. Промежуточные значения имеют персентили, расположенные с шагом 100/(n–1). Персентиль выражается в тех же единицах, что и набор данных. Например, 60-й персентиль эффективности продаж равен $385000 и характеризует деятельность определенного агента по продажам. Это означает, что приблизительно 60% других агентов имеют результаты ниже, чем у данного агента, а 40% агентов имеют более высокие результаты.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<sst xmlns="http://schemas.openxmlformats.org/spreadsheetml/2006/main" count="161" uniqueCount="146">
  <si>
    <t>Вариант 35</t>
  </si>
  <si>
    <t>Задание: По предприятиям легкой промышленности региона получена информация, характеризующая зависимость объема выпуска продукции от объема капиталовложений</t>
  </si>
  <si>
    <t>x (объем капиталовложений (Х, млн. руб.)</t>
  </si>
  <si>
    <t>y (объем выпуска продукции (У, млн. руб.)</t>
  </si>
  <si>
    <t>1.1. Рассчитать коэф. корреляции</t>
  </si>
  <si>
    <r>
      <rPr>
        <b/>
        <sz val="11"/>
        <color rgb="FF000000"/>
        <rFont val="Calibri"/>
        <family val="2"/>
        <charset val="204"/>
      </rPr>
      <t>r</t>
    </r>
    <r>
      <rPr>
        <b/>
        <sz val="9"/>
        <color rgb="FF000000"/>
        <rFont val="Calibri"/>
        <family val="2"/>
        <charset val="204"/>
      </rPr>
      <t>xy</t>
    </r>
    <r>
      <rPr>
        <b/>
        <sz val="11"/>
        <color rgb="FF000000"/>
        <rFont val="Calibri"/>
        <family val="2"/>
        <charset val="204"/>
      </rPr>
      <t xml:space="preserve"> </t>
    </r>
  </si>
  <si>
    <t>вывод: связь между признаками сильная, прямая</t>
  </si>
  <si>
    <t>1.2. Поле корреляции</t>
  </si>
  <si>
    <t>2. Признак-фактор - это объем капиталовложений, а признак-результат - это объем выпуска продукции</t>
  </si>
  <si>
    <t>3. МНК</t>
  </si>
  <si>
    <t>x*y</t>
  </si>
  <si>
    <t>x²</t>
  </si>
  <si>
    <t>y²</t>
  </si>
  <si>
    <t>ŷₓ = a + b*x</t>
  </si>
  <si>
    <t>ε=y-ŷₓ</t>
  </si>
  <si>
    <t>εₓ²=(y-ŷₓ)²</t>
  </si>
  <si>
    <r>
      <rPr>
        <b/>
        <sz val="12"/>
        <color rgb="FF000000"/>
        <rFont val="Calibri"/>
        <family val="2"/>
        <charset val="204"/>
      </rPr>
      <t>A</t>
    </r>
    <r>
      <rPr>
        <b/>
        <sz val="10"/>
        <color rgb="FF000000"/>
        <rFont val="Calibri"/>
        <family val="2"/>
        <charset val="204"/>
      </rPr>
      <t>i</t>
    </r>
    <r>
      <rPr>
        <b/>
        <sz val="12"/>
        <color rgb="FF000000"/>
        <rFont val="Calibri"/>
        <family val="2"/>
        <charset val="204"/>
      </rPr>
      <t>=ABS((y-ŷₓ)/y)*100 (%)</t>
    </r>
  </si>
  <si>
    <t>(ŷₓ - ȳ)²</t>
  </si>
  <si>
    <t>(y - ȳ)²</t>
  </si>
  <si>
    <t>СУММ</t>
  </si>
  <si>
    <t>СРЗНАЧ</t>
  </si>
  <si>
    <t>σ</t>
  </si>
  <si>
    <t>σ² (встроенная ф-ия)</t>
  </si>
  <si>
    <t>cov(x,y) (встроенная ф-ия)</t>
  </si>
  <si>
    <r>
      <rPr>
        <sz val="11"/>
        <color rgb="FF000000"/>
        <rFont val="Calibri"/>
        <family val="2"/>
        <charset val="204"/>
      </rPr>
      <t xml:space="preserve">  r²</t>
    </r>
    <r>
      <rPr>
        <sz val="7"/>
        <color rgb="FF000000"/>
        <rFont val="Calibri"/>
        <family val="2"/>
        <charset val="204"/>
      </rPr>
      <t>xy</t>
    </r>
  </si>
  <si>
    <t>a = ȳ - b x̅</t>
  </si>
  <si>
    <r>
      <rPr>
        <b/>
        <sz val="11"/>
        <color rgb="FF000000"/>
        <rFont val="Calibri"/>
        <family val="2"/>
        <charset val="204"/>
      </rPr>
      <t>Экономическая интерпретация коэффициентов</t>
    </r>
    <r>
      <rPr>
        <sz val="11"/>
        <color rgb="FF000000"/>
        <rFont val="Calibri"/>
        <family val="2"/>
        <charset val="204"/>
      </rPr>
      <t>: при увеличении объема капиталовложений на 1 млн рублей, объем выпуска продукции увеличится на 1,381 млн рублей. При нулевом капиталовложении, объем выпуска продукции составит 5,431 млн рублей</t>
    </r>
  </si>
  <si>
    <t>Схема дисперсионного анализа</t>
  </si>
  <si>
    <t>компоненты дисперсии</t>
  </si>
  <si>
    <t>сумма квадратов</t>
  </si>
  <si>
    <t>число степеней свободы</t>
  </si>
  <si>
    <t>дисперсия на одну степень свободы</t>
  </si>
  <si>
    <t>общая</t>
  </si>
  <si>
    <t>факторная</t>
  </si>
  <si>
    <t>остаточная</t>
  </si>
  <si>
    <t>4. Построить новое поле корреляции и нанести на него линию регрессии, используя рассчитанные значения Ŷ.</t>
  </si>
  <si>
    <t>5. Определить стандартную ошибку регрессии и коэффициент детерминации. Сделать вывод, какая доля вариации результирующего показателя У объясняется с помощью уравнения регрессии</t>
  </si>
  <si>
    <t xml:space="preserve"> s =</t>
  </si>
  <si>
    <t xml:space="preserve">  r²xy</t>
  </si>
  <si>
    <r>
      <rPr>
        <b/>
        <sz val="11"/>
        <color rgb="FF000000"/>
        <rFont val="Calibri"/>
        <family val="2"/>
        <charset val="204"/>
        <scheme val="minor"/>
      </rPr>
      <t>вывод</t>
    </r>
    <r>
      <rPr>
        <sz val="11"/>
        <color rgb="FF000000"/>
        <rFont val="Calibri"/>
        <family val="2"/>
        <charset val="204"/>
        <scheme val="minor"/>
      </rPr>
      <t>: коэф. детерминации показывает, что уравнением регрессии объясняется 99,3% дисперсии результативного признака, а на долю прочих факторов приходится лишь 0,7%.</t>
    </r>
  </si>
  <si>
    <t>6. Проверка расчетов с помощью функции ЛИНЕЙН</t>
  </si>
  <si>
    <t>b</t>
  </si>
  <si>
    <t>a</t>
  </si>
  <si>
    <r>
      <rPr>
        <sz val="11"/>
        <color rgb="FF000000"/>
        <rFont val="Calibri"/>
        <family val="2"/>
        <charset val="204"/>
        <scheme val="minor"/>
      </rPr>
      <t>m</t>
    </r>
    <r>
      <rPr>
        <sz val="8"/>
        <color rgb="FF000000"/>
        <rFont val="Calibri"/>
        <family val="2"/>
        <charset val="204"/>
        <scheme val="minor"/>
      </rPr>
      <t>b</t>
    </r>
  </si>
  <si>
    <r>
      <rPr>
        <sz val="11"/>
        <color rgb="FF000000"/>
        <rFont val="Calibri"/>
        <family val="2"/>
        <charset val="204"/>
        <scheme val="minor"/>
      </rPr>
      <t>m</t>
    </r>
    <r>
      <rPr>
        <sz val="8"/>
        <color rgb="FF000000"/>
        <rFont val="Calibri"/>
        <family val="2"/>
        <charset val="204"/>
        <scheme val="minor"/>
      </rPr>
      <t>a</t>
    </r>
  </si>
  <si>
    <t>rxy²</t>
  </si>
  <si>
    <t>s</t>
  </si>
  <si>
    <r>
      <rPr>
        <sz val="11"/>
        <color rgb="FF000000"/>
        <rFont val="Calibri"/>
        <family val="2"/>
        <charset val="204"/>
        <scheme val="minor"/>
      </rPr>
      <t xml:space="preserve">F </t>
    </r>
    <r>
      <rPr>
        <sz val="8"/>
        <color rgb="FF000000"/>
        <rFont val="Calibri"/>
        <family val="2"/>
        <charset val="204"/>
        <scheme val="minor"/>
      </rPr>
      <t>факт</t>
    </r>
  </si>
  <si>
    <t>n-m-1</t>
  </si>
  <si>
    <t xml:space="preserve"> фактор. сум. квадратов отклонений</t>
  </si>
  <si>
    <t>ост. сумма кв. откл.</t>
  </si>
  <si>
    <t>7.  Осуществить проверку значимости параметров уравнения регрессии с помощью t-критерия Стьюдента (α = 0,05).</t>
  </si>
  <si>
    <t xml:space="preserve"> </t>
  </si>
  <si>
    <t>8. Вычислить коэффициент детерминации, проверить значимость уравнения регрессии с помощью F - критерия Фишера (а = 0,05),  найти среднюю ошибку аппроксимации. Сделать вывод о качестве модели.</t>
  </si>
  <si>
    <r>
      <rPr>
        <b/>
        <sz val="11"/>
        <color rgb="FF000000"/>
        <rFont val="Calibri"/>
        <family val="2"/>
        <charset val="204"/>
      </rPr>
      <t>вывод:</t>
    </r>
    <r>
      <rPr>
        <sz val="11"/>
        <color rgb="FF000000"/>
        <rFont val="Calibri"/>
        <family val="2"/>
        <charset val="204"/>
      </rPr>
      <t xml:space="preserve"> F </t>
    </r>
    <r>
      <rPr>
        <sz val="9"/>
        <color rgb="FF000000"/>
        <rFont val="Calibri"/>
        <family val="2"/>
        <charset val="204"/>
      </rPr>
      <t>факт</t>
    </r>
    <r>
      <rPr>
        <sz val="11"/>
        <color rgb="FF000000"/>
        <rFont val="Calibri"/>
        <family val="2"/>
        <charset val="204"/>
      </rPr>
      <t xml:space="preserve"> &gt; F</t>
    </r>
    <r>
      <rPr>
        <sz val="9"/>
        <color rgb="FF000000"/>
        <rFont val="Calibri"/>
        <family val="2"/>
        <charset val="204"/>
      </rPr>
      <t xml:space="preserve"> табл, </t>
    </r>
    <r>
      <rPr>
        <sz val="11"/>
        <color rgb="FF000000"/>
        <rFont val="Calibri"/>
        <family val="2"/>
        <charset val="204"/>
      </rPr>
      <t>следовательно ур-ие регрессии в целом статистически значимо</t>
    </r>
  </si>
  <si>
    <t>Ā (ср. ошибка аппроксимации)</t>
  </si>
  <si>
    <r>
      <rPr>
        <b/>
        <sz val="11"/>
        <color rgb="FF000000"/>
        <rFont val="Calibri"/>
        <family val="2"/>
        <charset val="204"/>
        <scheme val="minor"/>
      </rPr>
      <t xml:space="preserve">вывод: </t>
    </r>
    <r>
      <rPr>
        <sz val="11"/>
        <color rgb="FF000000"/>
        <rFont val="Calibri"/>
        <family val="2"/>
        <charset val="204"/>
        <scheme val="minor"/>
      </rPr>
      <t>Ā &lt; 8-10%, следовательно качество модели - высокое</t>
    </r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</si>
  <si>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</si>
  <si>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</si>
  <si>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</si>
  <si>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</si>
  <si>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</si>
  <si>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</si>
  <si>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</si>
  <si>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</si>
  <si>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</si>
  <si>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</si>
  <si>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</si>
  <si>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</si>
  <si>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</si>
  <si>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</si>
  <si>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</si>
  <si>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</si>
  <si>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</si>
  <si>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</si>
  <si>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</si>
  <si>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</si>
  <si>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</si>
  <si>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</si>
  <si>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ВЫВОД ОСТАТКА</t>
  </si>
  <si>
    <t>Наблюдение</t>
  </si>
  <si>
    <t>Предсказанное y (объем выпуска продукции (У, млн. руб.)</t>
  </si>
  <si>
    <t>Остатки</t>
  </si>
  <si>
    <t>Стандартные остатки</t>
  </si>
  <si>
    <t>ВЫВОД ВЕРОЯТНОСТИ</t>
  </si>
  <si>
    <t>Персентиль</t>
  </si>
  <si>
    <t>Л.Р. №2) 1.Вычислить остатки; найти остаточную сумму квадратов; факторную сумму квадратов и общую сумму квадратов, оценить дисперсию на одну степень свободы; построить графики остатков</t>
  </si>
  <si>
    <t>2.Осуществить проверку значимости параметров уравнения регрессии с помощью t-критерия Стьюдента (а = 0,1)</t>
  </si>
  <si>
    <r>
      <t xml:space="preserve">t </t>
    </r>
    <r>
      <rPr>
        <sz val="9"/>
        <color rgb="FF000000"/>
        <rFont val="Calibri"/>
        <family val="2"/>
        <charset val="204"/>
      </rPr>
      <t>табл</t>
    </r>
    <r>
      <rPr>
        <sz val="11"/>
        <color rgb="FF000000"/>
        <rFont val="Calibri"/>
        <family val="2"/>
        <charset val="204"/>
      </rPr>
      <t xml:space="preserve">  (при α = 0,05 и n-m-1=8 степенях свободы)</t>
    </r>
  </si>
  <si>
    <t xml:space="preserve">t табл  (при α = 0,1 и n-m-1=8 степенях свободы) </t>
  </si>
  <si>
    <r>
      <rPr>
        <b/>
        <sz val="11"/>
        <color rgb="FF000000"/>
        <rFont val="Calibri"/>
        <family val="2"/>
        <charset val="204"/>
      </rPr>
      <t>вывод</t>
    </r>
    <r>
      <rPr>
        <sz val="11"/>
        <color rgb="FF000000"/>
        <rFont val="Calibri"/>
        <family val="2"/>
        <charset val="204"/>
      </rPr>
      <t xml:space="preserve">: t </t>
    </r>
    <r>
      <rPr>
        <sz val="9"/>
        <color rgb="FF000000"/>
        <rFont val="Calibri"/>
        <family val="2"/>
        <charset val="204"/>
      </rPr>
      <t>a</t>
    </r>
    <r>
      <rPr>
        <sz val="11"/>
        <color rgb="FF000000"/>
        <rFont val="Calibri"/>
        <family val="2"/>
        <charset val="204"/>
      </rPr>
      <t xml:space="preserve"> &gt; t </t>
    </r>
    <r>
      <rPr>
        <sz val="9"/>
        <color rgb="FF000000"/>
        <rFont val="Calibri"/>
        <family val="2"/>
        <charset val="204"/>
      </rPr>
      <t>табл</t>
    </r>
    <r>
      <rPr>
        <sz val="11"/>
        <color rgb="FF000000"/>
        <rFont val="Calibri"/>
        <family val="2"/>
        <charset val="204"/>
      </rPr>
      <t xml:space="preserve">,  t </t>
    </r>
    <r>
      <rPr>
        <sz val="9"/>
        <color rgb="FF000000"/>
        <rFont val="Calibri"/>
        <family val="2"/>
        <charset val="204"/>
      </rPr>
      <t>b</t>
    </r>
    <r>
      <rPr>
        <sz val="11"/>
        <color rgb="FF000000"/>
        <rFont val="Calibri"/>
        <family val="2"/>
        <charset val="204"/>
      </rPr>
      <t xml:space="preserve"> &gt; t</t>
    </r>
    <r>
      <rPr>
        <sz val="9"/>
        <color rgb="FF000000"/>
        <rFont val="Calibri"/>
        <family val="2"/>
        <charset val="204"/>
      </rPr>
      <t xml:space="preserve"> табл</t>
    </r>
    <r>
      <rPr>
        <sz val="11"/>
        <color rgb="FF000000"/>
        <rFont val="Calibri"/>
        <family val="2"/>
        <charset val="204"/>
      </rPr>
      <t xml:space="preserve">, t </t>
    </r>
    <r>
      <rPr>
        <sz val="9"/>
        <color rgb="FF000000"/>
        <rFont val="Calibri"/>
        <family val="2"/>
        <charset val="204"/>
      </rPr>
      <t>r</t>
    </r>
    <r>
      <rPr>
        <sz val="11"/>
        <color rgb="FF000000"/>
        <rFont val="Calibri"/>
        <family val="2"/>
        <charset val="204"/>
      </rPr>
      <t xml:space="preserve"> &gt; t </t>
    </r>
    <r>
      <rPr>
        <sz val="9"/>
        <color rgb="FF000000"/>
        <rFont val="Calibri"/>
        <family val="2"/>
        <charset val="204"/>
      </rPr>
      <t>табл</t>
    </r>
    <r>
      <rPr>
        <sz val="11"/>
        <color rgb="FF000000"/>
        <rFont val="Calibri"/>
        <family val="2"/>
        <charset val="204"/>
      </rPr>
      <t>, следовательно параметры а и b, и коэф. корреляции r статистически значимы</t>
    </r>
  </si>
  <si>
    <t>для Л.Р. №2 пункт 2</t>
  </si>
  <si>
    <t>вычислено выше (пункт 7)</t>
  </si>
  <si>
    <t xml:space="preserve">3.Проверить значимость уравнения регрессии с помощью F - критерия Фишера (а = 0,1). Сделать вывод о качестве модели. </t>
  </si>
  <si>
    <r>
      <t xml:space="preserve">F </t>
    </r>
    <r>
      <rPr>
        <sz val="9"/>
        <color rgb="FF000000"/>
        <rFont val="Calibri"/>
        <family val="2"/>
        <charset val="204"/>
        <scheme val="minor"/>
      </rPr>
      <t>табл</t>
    </r>
    <r>
      <rPr>
        <sz val="11"/>
        <color rgb="FF000000"/>
        <rFont val="Calibri"/>
        <family val="2"/>
        <charset val="204"/>
        <scheme val="minor"/>
      </rPr>
      <t xml:space="preserve"> (при α = 0,05)</t>
    </r>
  </si>
  <si>
    <t>F табл (при α = 0,1)</t>
  </si>
  <si>
    <t>для Л.Р. №2 пункт 3</t>
  </si>
  <si>
    <t>вычислено выше (пункт 8)</t>
  </si>
  <si>
    <t>4. Выполнить лабораторную работу, используя опцию «анализ данных»</t>
  </si>
  <si>
    <t>см. лист АД_РЕГРЕССИЯ</t>
  </si>
  <si>
    <t>5.Осуществить прогнозирование среднего значения показателя У при уровне значимости а = 0,05 и а = 0,1, если прогнозное значения фактора Х составит 80% от его максимального значения</t>
  </si>
  <si>
    <r>
      <t xml:space="preserve">x </t>
    </r>
    <r>
      <rPr>
        <sz val="8"/>
        <color theme="1"/>
        <rFont val="Calibri"/>
        <family val="2"/>
        <charset val="204"/>
        <scheme val="minor"/>
      </rPr>
      <t>max</t>
    </r>
  </si>
  <si>
    <r>
      <t xml:space="preserve">x </t>
    </r>
    <r>
      <rPr>
        <sz val="8"/>
        <color theme="1"/>
        <rFont val="Calibri"/>
        <family val="2"/>
        <charset val="204"/>
        <scheme val="minor"/>
      </rPr>
      <t xml:space="preserve">p </t>
    </r>
    <r>
      <rPr>
        <sz val="11"/>
        <color theme="1"/>
        <rFont val="Calibri"/>
        <family val="2"/>
        <charset val="204"/>
        <scheme val="minor"/>
      </rPr>
      <t xml:space="preserve">= x </t>
    </r>
    <r>
      <rPr>
        <sz val="8"/>
        <color theme="1"/>
        <rFont val="Calibri"/>
        <family val="2"/>
        <charset val="204"/>
        <scheme val="minor"/>
      </rPr>
      <t xml:space="preserve">max </t>
    </r>
    <r>
      <rPr>
        <sz val="11"/>
        <color theme="1"/>
        <rFont val="Calibri"/>
        <family val="2"/>
        <charset val="204"/>
        <scheme val="minor"/>
      </rPr>
      <t>* 0,8</t>
    </r>
  </si>
  <si>
    <r>
      <t>y</t>
    </r>
    <r>
      <rPr>
        <sz val="8"/>
        <color theme="1"/>
        <rFont val="Calibri"/>
        <family val="2"/>
        <charset val="204"/>
        <scheme val="minor"/>
      </rPr>
      <t xml:space="preserve"> p</t>
    </r>
  </si>
  <si>
    <t>где</t>
  </si>
  <si>
    <r>
      <t>t</t>
    </r>
    <r>
      <rPr>
        <sz val="9"/>
        <color theme="1"/>
        <rFont val="Calibri"/>
        <family val="2"/>
        <charset val="204"/>
        <scheme val="minor"/>
      </rPr>
      <t xml:space="preserve"> табл</t>
    </r>
  </si>
  <si>
    <t>при α = 0,1</t>
  </si>
  <si>
    <t>при α = 0,05</t>
  </si>
  <si>
    <t>6.Проверить выполнение предпосылок МНК.</t>
  </si>
  <si>
    <t>График остатков (зависимость ε=y-ŷₓ от ŷₓ)</t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</si>
  <si>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scheme val="minor"/>
      </rPr>
      <t xml:space="preserve"> прогноз статистически надежен</t>
    </r>
  </si>
  <si>
    <t>1. Случайный характер остатков</t>
  </si>
  <si>
    <t>2. Нулевая средняя величина остатков, не зависящая от х</t>
  </si>
  <si>
    <t>(из табл. МНК)</t>
  </si>
  <si>
    <r>
      <t>остатки на графике расположены в виде горизонтальной полосы, cледовательно они независимы от значений x</t>
    </r>
    <r>
      <rPr>
        <b/>
        <sz val="11"/>
        <color theme="1"/>
        <rFont val="Calibri"/>
        <family val="2"/>
        <charset val="204"/>
        <scheme val="minor"/>
      </rPr>
      <t xml:space="preserve">
вывод:</t>
    </r>
    <r>
      <rPr>
        <sz val="11"/>
        <color theme="1"/>
        <rFont val="Calibri"/>
        <family val="2"/>
        <scheme val="minor"/>
      </rPr>
      <t xml:space="preserve"> предпосылка выполняется</t>
    </r>
  </si>
  <si>
    <r>
      <t xml:space="preserve">Дисперсия остатков однородна, гетероскедастичности не обнаружено, </t>
    </r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scheme val="minor"/>
      </rPr>
      <t xml:space="preserve"> предпосылка № 3 выполняется</t>
    </r>
  </si>
  <si>
    <t>4. Отсутствие автокорреляции остатков - значения остатков распределены независимо друг от друга</t>
  </si>
  <si>
    <r>
      <rPr>
        <b/>
        <sz val="12"/>
        <color theme="1"/>
        <rFont val="Calibri"/>
        <family val="2"/>
        <charset val="204"/>
        <scheme val="minor"/>
      </rPr>
      <t xml:space="preserve"> Проверка: </t>
    </r>
    <r>
      <rPr>
        <sz val="12"/>
        <color theme="1"/>
        <rFont val="Calibri"/>
        <family val="2"/>
        <charset val="204"/>
        <scheme val="minor"/>
      </rPr>
      <t>график зависимости случайных остатков от факторов, включенных в регрессию x</t>
    </r>
    <r>
      <rPr>
        <sz val="9"/>
        <color theme="1"/>
        <rFont val="Calibri"/>
        <family val="2"/>
        <charset val="204"/>
        <scheme val="minor"/>
      </rPr>
      <t xml:space="preserve"> j</t>
    </r>
  </si>
  <si>
    <r>
      <t xml:space="preserve">Остатки на графике расположены в виде горизонтальной полосы, следовательно остатки представляют собой случайные величины и МНК оправдан, теоретические значения  ŷₓ хорошо аппроксимируют фактические значения y. </t>
    </r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charset val="204"/>
        <scheme val="minor"/>
      </rPr>
      <t xml:space="preserve"> предпосылка №1 выполняется</t>
    </r>
  </si>
  <si>
    <r>
      <rPr>
        <b/>
        <sz val="12"/>
        <color theme="1"/>
        <rFont val="Calibri"/>
        <family val="2"/>
        <charset val="204"/>
        <scheme val="minor"/>
      </rPr>
      <t>Проверка:</t>
    </r>
    <r>
      <rPr>
        <sz val="12"/>
        <color theme="1"/>
        <rFont val="Calibri"/>
        <family val="2"/>
        <charset val="204"/>
        <scheme val="minor"/>
      </rPr>
      <t xml:space="preserve"> построение графика зависимости остатков </t>
    </r>
  </si>
  <si>
    <r>
      <t xml:space="preserve">Автокорреляция остатков означает наличие корреляции между остатками текущих и предыдущих (последующих) наблюдений. </t>
    </r>
    <r>
      <rPr>
        <b/>
        <sz val="11"/>
        <color theme="1"/>
        <rFont val="Calibri"/>
        <family val="2"/>
        <charset val="204"/>
        <scheme val="minor"/>
      </rPr>
      <t>Проверка:</t>
    </r>
    <r>
      <rPr>
        <sz val="11"/>
        <color theme="1"/>
        <rFont val="Calibri"/>
        <family val="2"/>
        <scheme val="minor"/>
      </rPr>
      <t xml:space="preserve"> расчет величины коэффициента корреляции </t>
    </r>
  </si>
  <si>
    <t>* выполнение третьей предпосылки также можно проверить по графику зависимости остатков от теоретических значений результативного признака. На нем видно, что дисперсия остатков гомоскедастична</t>
  </si>
  <si>
    <t>3. Гомоскедастичность: дисперсия каждого отклонения ε одинакова для всех значений x</t>
  </si>
  <si>
    <t>Если эта предпосылка не соблюдается, то имеет место гетероскедастичность, наличие который можно наглядно видеть из поля корреляции. В нашем случае гетероскедастичности нет</t>
  </si>
  <si>
    <t>Если этот коэффициент окажется
существенно отличным от нуля, то остатки автокоррелированы и функция плотности вероятности F(x) зависит от j -й точки наблюдения и от распределения значений остатков в других точках наблюдения.</t>
  </si>
  <si>
    <t>встроенная (дисп.г)</t>
  </si>
  <si>
    <t>5. предпосылка о нормальном распределении остатков</t>
  </si>
  <si>
    <t>Доверит. Интервал</t>
  </si>
  <si>
    <t xml:space="preserve">при α = 0,05 </t>
  </si>
  <si>
    <t xml:space="preserve">при α = 0,1 </t>
  </si>
  <si>
    <r>
      <t xml:space="preserve">a - t </t>
    </r>
    <r>
      <rPr>
        <sz val="9"/>
        <color theme="1"/>
        <rFont val="Calibri"/>
        <family val="2"/>
        <charset val="204"/>
        <scheme val="minor"/>
      </rPr>
      <t xml:space="preserve">табл </t>
    </r>
    <r>
      <rPr>
        <sz val="11"/>
        <color theme="1"/>
        <rFont val="Calibri"/>
        <family val="2"/>
        <scheme val="minor"/>
      </rPr>
      <t>* m</t>
    </r>
    <r>
      <rPr>
        <sz val="9"/>
        <color theme="1"/>
        <rFont val="Calibri"/>
        <family val="2"/>
        <charset val="204"/>
        <scheme val="minor"/>
      </rPr>
      <t>a</t>
    </r>
  </si>
  <si>
    <r>
      <t xml:space="preserve">a + t </t>
    </r>
    <r>
      <rPr>
        <sz val="9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scheme val="minor"/>
      </rPr>
      <t xml:space="preserve"> * m</t>
    </r>
    <r>
      <rPr>
        <sz val="9"/>
        <color theme="1"/>
        <rFont val="Calibri"/>
        <family val="2"/>
        <charset val="204"/>
        <scheme val="minor"/>
      </rPr>
      <t>a</t>
    </r>
  </si>
  <si>
    <r>
      <t xml:space="preserve">b - t </t>
    </r>
    <r>
      <rPr>
        <sz val="9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scheme val="minor"/>
      </rPr>
      <t xml:space="preserve"> * m </t>
    </r>
    <r>
      <rPr>
        <sz val="9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</si>
  <si>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b + t </t>
    </r>
    <r>
      <rPr>
        <sz val="9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scheme val="minor"/>
      </rPr>
      <t xml:space="preserve"> * m </t>
    </r>
    <r>
      <rPr>
        <sz val="9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</si>
  <si>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scheme val="minor"/>
      </rPr>
      <t xml:space="preserve"> предпосылка № 4 не выполняется</t>
    </r>
  </si>
  <si>
    <t>≤ b ≤</t>
  </si>
  <si>
    <t>≤ a ≤</t>
  </si>
  <si>
    <r>
      <rPr>
        <b/>
        <sz val="11"/>
        <color theme="1"/>
        <rFont val="Calibri"/>
        <family val="2"/>
        <charset val="204"/>
        <scheme val="minor"/>
      </rPr>
      <t>вывод</t>
    </r>
    <r>
      <rPr>
        <sz val="11"/>
        <color theme="1"/>
        <rFont val="Calibri"/>
        <family val="2"/>
        <scheme val="minor"/>
      </rPr>
      <t xml:space="preserve">: при α = 0,1: </t>
    </r>
    <r>
      <rPr>
        <b/>
        <sz val="11"/>
        <color theme="1"/>
        <rFont val="Calibri"/>
        <family val="2"/>
        <charset val="204"/>
        <scheme val="minor"/>
      </rPr>
      <t>y ∈ [51,398; 56,71],</t>
    </r>
    <r>
      <rPr>
        <sz val="11"/>
        <color theme="1"/>
        <rFont val="Calibri"/>
        <family val="2"/>
        <scheme val="minor"/>
      </rPr>
      <t xml:space="preserve"> при α = 0,05: </t>
    </r>
    <r>
      <rPr>
        <b/>
        <sz val="11"/>
        <color theme="1"/>
        <rFont val="Calibri"/>
        <family val="2"/>
        <charset val="204"/>
        <scheme val="minor"/>
      </rPr>
      <t>y ∈ [50,76; 57,348]</t>
    </r>
  </si>
  <si>
    <t xml:space="preserve">≤ </t>
  </si>
  <si>
    <r>
      <t>коэффициент r</t>
    </r>
    <r>
      <rPr>
        <sz val="9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scheme val="minor"/>
      </rPr>
      <t xml:space="preserve"> существенно отличен от 0, следовательно есть автокорреляция</t>
    </r>
  </si>
  <si>
    <r>
      <t>r</t>
    </r>
    <r>
      <rPr>
        <sz val="9"/>
        <color rgb="FF000000"/>
        <rFont val="Calibri"/>
        <family val="2"/>
        <charset val="204"/>
      </rPr>
      <t>xy</t>
    </r>
    <r>
      <rPr>
        <sz val="12"/>
        <color rgb="FF000000"/>
        <rFont val="Calibri"/>
        <family val="2"/>
        <charset val="204"/>
      </rPr>
      <t xml:space="preserve"> (встроенная ф-ия)</t>
    </r>
  </si>
  <si>
    <t>Доверительные интервалы</t>
  </si>
  <si>
    <t>Нижние 90,0%</t>
  </si>
  <si>
    <t>Верхние 90,0%</t>
  </si>
  <si>
    <r>
      <rPr>
        <sz val="12"/>
        <color theme="1"/>
        <rFont val="Calibri"/>
        <family val="2"/>
        <charset val="204"/>
        <scheme val="minor"/>
      </rPr>
      <t>ε</t>
    </r>
    <r>
      <rPr>
        <sz val="9"/>
        <color theme="1"/>
        <rFont val="Calibri"/>
        <family val="2"/>
        <charset val="204"/>
        <scheme val="minor"/>
      </rPr>
      <t>i</t>
    </r>
  </si>
  <si>
    <t>Л.Р №2, Атанова Натали, 221-363, дата выполнения: 22.09.2023, дата проверки: 29.09.2023, дата защиты: 20.10.2023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</si>
</sst>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</font>
    <font>
      <sz val="12"/>
      <color rgb="FF000000"/>
      <name val="Calibri"/>
      <family val="2"/>
    </font>
    <font>
      <b/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  <font>
      <b/>
      <sz val="11"/>
      <color rgb="FFFF0000"/>
      <name val="Calibri"/>
      <family val="2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40C28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1" xfId="0" applyBorder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13" fillId="0" borderId="1" xfId="0" applyFont="1" applyBorder="1"/>
    <xf numFmtId="0" fontId="10" fillId="0" borderId="1" xfId="0" applyFont="1" applyBorder="1"/>
    <xf numFmtId="0" fontId="0" fillId="0" borderId="3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16" fillId="0" borderId="3" xfId="0" applyFont="1" applyBorder="1" applyAlignment="1">
      <alignment horizontal="right"/>
    </xf>
    <xf numFmtId="0" fontId="16" fillId="0" borderId="3" xfId="0" applyFont="1" applyBorder="1" applyAlignment="1">
      <alignment horizontal="right" vertical="center"/>
    </xf>
    <xf numFmtId="0" fontId="16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6" fillId="4" borderId="0" xfId="0" applyFont="1" applyFill="1"/>
    <xf numFmtId="0" fontId="19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3" borderId="0" xfId="0" applyFont="1" applyFill="1" applyAlignment="1">
      <alignment horizontal="left"/>
    </xf>
    <xf numFmtId="0" fontId="11" fillId="3" borderId="0" xfId="0" applyFont="1" applyFill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6" borderId="11" xfId="0" applyFill="1" applyBorder="1"/>
    <xf numFmtId="0" fontId="0" fillId="0" borderId="12" xfId="0" applyBorder="1"/>
    <xf numFmtId="0" fontId="0" fillId="0" borderId="13" xfId="0" applyBorder="1"/>
    <xf numFmtId="0" fontId="10" fillId="0" borderId="1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/>
    </xf>
    <xf numFmtId="0" fontId="12" fillId="7" borderId="14" xfId="0" applyFont="1" applyFill="1" applyBorder="1" applyAlignment="1">
      <alignment horizontal="center"/>
    </xf>
    <xf numFmtId="0" fontId="28" fillId="7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16" xfId="0" applyFill="1" applyBorder="1" applyAlignment="1"/>
    <xf numFmtId="0" fontId="29" fillId="0" borderId="17" xfId="0" applyFont="1" applyFill="1" applyBorder="1" applyAlignment="1">
      <alignment horizontal="center"/>
    </xf>
    <xf numFmtId="0" fontId="29" fillId="0" borderId="17" xfId="0" applyFont="1" applyFill="1" applyBorder="1" applyAlignment="1">
      <alignment horizontal="centerContinuous"/>
    </xf>
    <xf numFmtId="0" fontId="0" fillId="0" borderId="0" xfId="0" applyAlignment="1">
      <alignment wrapText="1"/>
    </xf>
    <xf numFmtId="0" fontId="7" fillId="0" borderId="4" xfId="0" applyFont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0" fillId="4" borderId="0" xfId="0" applyFont="1" applyFill="1"/>
    <xf numFmtId="0" fontId="30" fillId="4" borderId="1" xfId="0" applyFont="1" applyFill="1" applyBorder="1" applyAlignment="1">
      <alignment horizontal="center" vertical="center"/>
    </xf>
    <xf numFmtId="0" fontId="0" fillId="4" borderId="0" xfId="0" applyFill="1"/>
    <xf numFmtId="0" fontId="11" fillId="9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35" fillId="0" borderId="0" xfId="0" applyFont="1"/>
    <xf numFmtId="0" fontId="28" fillId="0" borderId="0" xfId="0" applyFont="1"/>
    <xf numFmtId="1" fontId="0" fillId="4" borderId="0" xfId="0" applyNumberFormat="1" applyFill="1" applyAlignment="1">
      <alignment horizontal="center" vertical="center"/>
    </xf>
    <xf numFmtId="0" fontId="5" fillId="0" borderId="0" xfId="0" applyFont="1" applyAlignment="1">
      <alignment horizontal="left" indent="1"/>
    </xf>
    <xf numFmtId="0" fontId="34" fillId="0" borderId="0" xfId="0" applyFont="1" applyAlignment="1">
      <alignment horizontal="left" indent="1"/>
    </xf>
    <xf numFmtId="0" fontId="35" fillId="0" borderId="0" xfId="0" applyFont="1" applyAlignment="1">
      <alignment horizontal="left" indent="1"/>
    </xf>
    <xf numFmtId="0" fontId="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18" fillId="0" borderId="3" xfId="0" applyFont="1" applyBorder="1" applyAlignment="1">
      <alignment horizontal="center" vertical="top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5" fillId="4" borderId="22" xfId="0" applyFont="1" applyFill="1" applyBorder="1" applyAlignment="1">
      <alignment horizontal="center" vertical="center"/>
    </xf>
    <xf numFmtId="0" fontId="35" fillId="4" borderId="24" xfId="0" applyFont="1" applyFill="1" applyBorder="1" applyAlignment="1">
      <alignment horizontal="center" vertical="center"/>
    </xf>
    <xf numFmtId="0" fontId="35" fillId="4" borderId="25" xfId="0" applyFont="1" applyFill="1" applyBorder="1" applyAlignment="1">
      <alignment horizontal="center" vertical="center"/>
    </xf>
    <xf numFmtId="0" fontId="35" fillId="4" borderId="26" xfId="0" applyFont="1" applyFill="1" applyBorder="1" applyAlignment="1">
      <alignment horizontal="center" vertical="center"/>
    </xf>
    <xf numFmtId="0" fontId="35" fillId="4" borderId="0" xfId="0" applyFont="1" applyFill="1" applyBorder="1" applyAlignment="1">
      <alignment horizontal="right" vertical="center"/>
    </xf>
    <xf numFmtId="0" fontId="35" fillId="4" borderId="27" xfId="0" applyFont="1" applyFill="1" applyBorder="1" applyAlignment="1">
      <alignment horizontal="center" vertical="center"/>
    </xf>
    <xf numFmtId="0" fontId="35" fillId="4" borderId="18" xfId="0" applyFont="1" applyFill="1" applyBorder="1" applyAlignment="1">
      <alignment horizontal="right" vertical="center"/>
    </xf>
    <xf numFmtId="0" fontId="35" fillId="4" borderId="28" xfId="0" applyFont="1" applyFill="1" applyBorder="1" applyAlignment="1">
      <alignment horizontal="center" vertical="center"/>
    </xf>
    <xf numFmtId="0" fontId="36" fillId="4" borderId="23" xfId="0" applyFont="1" applyFill="1" applyBorder="1" applyAlignment="1">
      <alignment horizontal="right" vertical="center"/>
    </xf>
    <xf numFmtId="0" fontId="36" fillId="4" borderId="0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indent="4"/>
    </xf>
    <xf numFmtId="0" fontId="13" fillId="0" borderId="1" xfId="0" applyFont="1" applyBorder="1" applyAlignment="1">
      <alignment horizontal="left" vertical="center" indent="1"/>
    </xf>
    <xf numFmtId="0" fontId="12" fillId="0" borderId="1" xfId="0" applyFont="1" applyBorder="1" applyAlignment="1">
      <alignment horizontal="left" indent="1"/>
    </xf>
    <xf numFmtId="0" fontId="13" fillId="0" borderId="1" xfId="0" applyFont="1" applyBorder="1" applyAlignment="1">
      <alignment horizontal="left" indent="1"/>
    </xf>
    <xf numFmtId="0" fontId="21" fillId="3" borderId="0" xfId="0" applyFont="1" applyFill="1" applyAlignment="1">
      <alignment horizontal="left"/>
    </xf>
    <xf numFmtId="0" fontId="30" fillId="4" borderId="0" xfId="0" applyFont="1" applyFill="1" applyAlignment="1">
      <alignment horizontal="left" indent="1"/>
    </xf>
    <xf numFmtId="0" fontId="6" fillId="0" borderId="0" xfId="0" applyFont="1" applyAlignment="1">
      <alignment horizontal="left" vertical="center" indent="1"/>
    </xf>
    <xf numFmtId="0" fontId="28" fillId="7" borderId="2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indent="1"/>
    </xf>
    <xf numFmtId="0" fontId="31" fillId="0" borderId="4" xfId="0" applyFont="1" applyBorder="1" applyAlignment="1">
      <alignment horizontal="left" vertical="center" wrapText="1" indent="1"/>
    </xf>
    <xf numFmtId="0" fontId="31" fillId="8" borderId="1" xfId="0" applyFont="1" applyFill="1" applyBorder="1" applyAlignment="1">
      <alignment horizontal="left" vertical="center" wrapText="1" indent="1"/>
    </xf>
    <xf numFmtId="0" fontId="0" fillId="3" borderId="0" xfId="0" applyFill="1" applyBorder="1" applyAlignment="1">
      <alignment horizontal="right" vertical="center"/>
    </xf>
    <xf numFmtId="0" fontId="29" fillId="0" borderId="17" xfId="0" applyFont="1" applyFill="1" applyBorder="1" applyAlignment="1">
      <alignment horizontal="left"/>
    </xf>
    <xf numFmtId="0" fontId="11" fillId="9" borderId="19" xfId="0" applyFont="1" applyFill="1" applyBorder="1" applyAlignment="1">
      <alignment horizontal="left" vertical="center" indent="1"/>
    </xf>
    <xf numFmtId="0" fontId="0" fillId="9" borderId="19" xfId="0" applyFill="1" applyBorder="1"/>
    <xf numFmtId="0" fontId="3" fillId="0" borderId="1" xfId="0" applyFont="1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16" xfId="0" applyNumberFormat="1" applyFill="1" applyBorder="1" applyAlignment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indent="1"/>
    </xf>
    <xf numFmtId="0" fontId="27" fillId="9" borderId="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16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0" fillId="5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left" vertical="center" wrapText="1" indent="1"/>
    </xf>
    <xf numFmtId="0" fontId="6" fillId="4" borderId="0" xfId="0" applyFont="1" applyFill="1" applyAlignment="1">
      <alignment horizontal="left" wrapText="1" indent="1"/>
    </xf>
    <xf numFmtId="0" fontId="6" fillId="4" borderId="0" xfId="0" applyFont="1" applyFill="1" applyAlignment="1">
      <alignment horizontal="left" indent="1"/>
    </xf>
    <xf numFmtId="0" fontId="6" fillId="4" borderId="0" xfId="0" applyFont="1" applyFill="1" applyAlignment="1">
      <alignment horizontal="left" vertical="center" wrapText="1" indent="1"/>
    </xf>
    <xf numFmtId="0" fontId="6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D7DBD9"/>
      <color rgb="FFE2EB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Поле корреляции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Лист1!$B$7:$B$16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Лист1!$C$7:$C$16</c:f>
              <c:numCache>
                <c:formatCode>General</c:formatCode>
                <c:ptCount val="10"/>
                <c:pt idx="0">
                  <c:v>43</c:v>
                </c:pt>
                <c:pt idx="1">
                  <c:v>28</c:v>
                </c:pt>
                <c:pt idx="2">
                  <c:v>51</c:v>
                </c:pt>
                <c:pt idx="3">
                  <c:v>62</c:v>
                </c:pt>
                <c:pt idx="4">
                  <c:v>63</c:v>
                </c:pt>
                <c:pt idx="5">
                  <c:v>67</c:v>
                </c:pt>
                <c:pt idx="6">
                  <c:v>26</c:v>
                </c:pt>
                <c:pt idx="7">
                  <c:v>43</c:v>
                </c:pt>
                <c:pt idx="8">
                  <c:v>61</c:v>
                </c:pt>
                <c:pt idx="9">
                  <c:v>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184-43A0-BE65-89A31715F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791296"/>
        <c:axId val="469304064"/>
      </c:scatterChart>
      <c:valAx>
        <c:axId val="36679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304064"/>
        <c:crosses val="autoZero"/>
        <c:crossBetween val="midCat"/>
      </c:valAx>
      <c:valAx>
        <c:axId val="4693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79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Линия регрессии на поле корреляции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17411015322688"/>
                  <c:y val="-0.108808326042578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Лист1!$C$39:$C$48</c:f>
              <c:numCache>
                <c:formatCode>General</c:formatCode>
                <c:ptCount val="10"/>
                <c:pt idx="0">
                  <c:v>43</c:v>
                </c:pt>
                <c:pt idx="1">
                  <c:v>28</c:v>
                </c:pt>
                <c:pt idx="2">
                  <c:v>51</c:v>
                </c:pt>
                <c:pt idx="3">
                  <c:v>62</c:v>
                </c:pt>
                <c:pt idx="4">
                  <c:v>63</c:v>
                </c:pt>
                <c:pt idx="5">
                  <c:v>67</c:v>
                </c:pt>
                <c:pt idx="6">
                  <c:v>26</c:v>
                </c:pt>
                <c:pt idx="7">
                  <c:v>43</c:v>
                </c:pt>
                <c:pt idx="8">
                  <c:v>61</c:v>
                </c:pt>
                <c:pt idx="9">
                  <c:v>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74B-4B87-9671-45CE3B896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945792"/>
        <c:axId val="470947328"/>
      </c:scatterChart>
      <c:valAx>
        <c:axId val="47094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947328"/>
        <c:crosses val="autoZero"/>
        <c:crossBetween val="midCat"/>
      </c:valAx>
      <c:valAx>
        <c:axId val="4709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94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Теоретические значения на линии регрессии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фактич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2996786616627"/>
                  <c:y val="-0.104178696412948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Лист1!$C$39:$C$48</c:f>
              <c:numCache>
                <c:formatCode>General</c:formatCode>
                <c:ptCount val="10"/>
                <c:pt idx="0">
                  <c:v>43</c:v>
                </c:pt>
                <c:pt idx="1">
                  <c:v>28</c:v>
                </c:pt>
                <c:pt idx="2">
                  <c:v>51</c:v>
                </c:pt>
                <c:pt idx="3">
                  <c:v>62</c:v>
                </c:pt>
                <c:pt idx="4">
                  <c:v>63</c:v>
                </c:pt>
                <c:pt idx="5">
                  <c:v>67</c:v>
                </c:pt>
                <c:pt idx="6">
                  <c:v>26</c:v>
                </c:pt>
                <c:pt idx="7">
                  <c:v>43</c:v>
                </c:pt>
                <c:pt idx="8">
                  <c:v>61</c:v>
                </c:pt>
                <c:pt idx="9">
                  <c:v>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0595-4B51-BA7E-716F0359FC43}"/>
            </c:ext>
          </c:extLst>
        </c:ser>
        <c:ser>
          <c:idx val="1"/>
          <c:order val="1"/>
          <c:tx>
            <c:v>теоретич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Лист1!$G$39:$G$48</c:f>
              <c:numCache>
                <c:formatCode>General</c:formatCode>
                <c:ptCount val="10"/>
                <c:pt idx="0">
                  <c:v>41.345791001451367</c:v>
                </c:pt>
                <c:pt idx="1">
                  <c:v>30.294992743105919</c:v>
                </c:pt>
                <c:pt idx="2">
                  <c:v>51.015239477503634</c:v>
                </c:pt>
                <c:pt idx="3">
                  <c:v>63.447387518142271</c:v>
                </c:pt>
                <c:pt idx="4">
                  <c:v>62.066037735849086</c:v>
                </c:pt>
                <c:pt idx="5">
                  <c:v>66.210087082728634</c:v>
                </c:pt>
                <c:pt idx="6">
                  <c:v>26.150943396226374</c:v>
                </c:pt>
                <c:pt idx="7">
                  <c:v>42.727140783744552</c:v>
                </c:pt>
                <c:pt idx="8">
                  <c:v>62.066037735849086</c:v>
                </c:pt>
                <c:pt idx="9">
                  <c:v>31.6763425253991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0595-4B51-BA7E-716F0359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973824"/>
        <c:axId val="470980096"/>
      </c:scatterChart>
      <c:valAx>
        <c:axId val="47097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980096"/>
        <c:crosses val="autoZero"/>
        <c:crossBetween val="midCat"/>
      </c:valAx>
      <c:valAx>
        <c:axId val="47098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973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879910602833181E-2"/>
          <c:y val="8.7166205436712524E-2"/>
          <c:w val="0.73700823857144759"/>
          <c:h val="0.85937358413020148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Лист1!$G$39:$G$48</c:f>
              <c:numCache>
                <c:formatCode>General</c:formatCode>
                <c:ptCount val="10"/>
                <c:pt idx="0">
                  <c:v>41.345791001451367</c:v>
                </c:pt>
                <c:pt idx="1">
                  <c:v>30.294992743105919</c:v>
                </c:pt>
                <c:pt idx="2">
                  <c:v>51.015239477503634</c:v>
                </c:pt>
                <c:pt idx="3">
                  <c:v>63.447387518142271</c:v>
                </c:pt>
                <c:pt idx="4">
                  <c:v>62.066037735849086</c:v>
                </c:pt>
                <c:pt idx="5">
                  <c:v>66.210087082728634</c:v>
                </c:pt>
                <c:pt idx="6">
                  <c:v>26.150943396226374</c:v>
                </c:pt>
                <c:pt idx="7">
                  <c:v>42.727140783744552</c:v>
                </c:pt>
                <c:pt idx="8">
                  <c:v>62.066037735849086</c:v>
                </c:pt>
                <c:pt idx="9">
                  <c:v>31.6763425253991</c:v>
                </c:pt>
              </c:numCache>
            </c:numRef>
          </c:xVal>
          <c:yVal>
            <c:numRef>
              <c:f>Лист1!$H$39:$H$48</c:f>
              <c:numCache>
                <c:formatCode>General</c:formatCode>
                <c:ptCount val="10"/>
                <c:pt idx="0">
                  <c:v>1.6542089985486328</c:v>
                </c:pt>
                <c:pt idx="1">
                  <c:v>-2.2949927431059187</c:v>
                </c:pt>
                <c:pt idx="2">
                  <c:v>-1.5239477503634191E-2</c:v>
                </c:pt>
                <c:pt idx="3">
                  <c:v>-1.4473875181422713</c:v>
                </c:pt>
                <c:pt idx="4">
                  <c:v>0.93396226415091377</c:v>
                </c:pt>
                <c:pt idx="5">
                  <c:v>0.7899129172713657</c:v>
                </c:pt>
                <c:pt idx="6">
                  <c:v>-0.1509433962263742</c:v>
                </c:pt>
                <c:pt idx="7">
                  <c:v>0.27285921625544773</c:v>
                </c:pt>
                <c:pt idx="8">
                  <c:v>-1.0660377358490862</c:v>
                </c:pt>
                <c:pt idx="9">
                  <c:v>1.3236574746008998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70976"/>
        <c:axId val="471146496"/>
      </c:scatterChart>
      <c:valAx>
        <c:axId val="47107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146496"/>
        <c:crosses val="autoZero"/>
        <c:crossBetween val="midCat"/>
      </c:valAx>
      <c:valAx>
        <c:axId val="47114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070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77924634420691E-2"/>
          <c:y val="9.9557562059129287E-2"/>
          <c:w val="0.73700823857144759"/>
          <c:h val="0.85937358413020148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Лист1!$G$39:$G$48</c:f>
              <c:numCache>
                <c:formatCode>General</c:formatCode>
                <c:ptCount val="10"/>
                <c:pt idx="0">
                  <c:v>41.345791001451367</c:v>
                </c:pt>
                <c:pt idx="1">
                  <c:v>30.294992743105919</c:v>
                </c:pt>
                <c:pt idx="2">
                  <c:v>51.015239477503634</c:v>
                </c:pt>
                <c:pt idx="3">
                  <c:v>63.447387518142271</c:v>
                </c:pt>
                <c:pt idx="4">
                  <c:v>62.066037735849086</c:v>
                </c:pt>
                <c:pt idx="5">
                  <c:v>66.210087082728634</c:v>
                </c:pt>
                <c:pt idx="6">
                  <c:v>26.150943396226374</c:v>
                </c:pt>
                <c:pt idx="7">
                  <c:v>42.727140783744552</c:v>
                </c:pt>
                <c:pt idx="8">
                  <c:v>62.066037735849086</c:v>
                </c:pt>
                <c:pt idx="9">
                  <c:v>31.6763425253991</c:v>
                </c:pt>
              </c:numCache>
            </c:numRef>
          </c:xVal>
          <c:yVal>
            <c:numRef>
              <c:f>Лист1!$H$39:$H$48</c:f>
              <c:numCache>
                <c:formatCode>General</c:formatCode>
                <c:ptCount val="10"/>
                <c:pt idx="0">
                  <c:v>1.6542089985486328</c:v>
                </c:pt>
                <c:pt idx="1">
                  <c:v>-2.2949927431059187</c:v>
                </c:pt>
                <c:pt idx="2">
                  <c:v>-1.5239477503634191E-2</c:v>
                </c:pt>
                <c:pt idx="3">
                  <c:v>-1.4473875181422713</c:v>
                </c:pt>
                <c:pt idx="4">
                  <c:v>0.93396226415091377</c:v>
                </c:pt>
                <c:pt idx="5">
                  <c:v>0.7899129172713657</c:v>
                </c:pt>
                <c:pt idx="6">
                  <c:v>-0.1509433962263742</c:v>
                </c:pt>
                <c:pt idx="7">
                  <c:v>0.27285921625544773</c:v>
                </c:pt>
                <c:pt idx="8">
                  <c:v>-1.0660377358490862</c:v>
                </c:pt>
                <c:pt idx="9">
                  <c:v>1.3236574746008998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162240"/>
        <c:axId val="471180416"/>
      </c:scatterChart>
      <c:valAx>
        <c:axId val="47116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180416"/>
        <c:crosses val="autoZero"/>
        <c:crossBetween val="midCat"/>
      </c:valAx>
      <c:valAx>
        <c:axId val="471180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16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Лист1!$H$39:$H$48</c:f>
              <c:numCache>
                <c:formatCode>General</c:formatCode>
                <c:ptCount val="10"/>
                <c:pt idx="0">
                  <c:v>1.6542089985486328</c:v>
                </c:pt>
                <c:pt idx="1">
                  <c:v>-2.2949927431059187</c:v>
                </c:pt>
                <c:pt idx="2">
                  <c:v>-1.5239477503634191E-2</c:v>
                </c:pt>
                <c:pt idx="3">
                  <c:v>-1.4473875181422713</c:v>
                </c:pt>
                <c:pt idx="4">
                  <c:v>0.93396226415091377</c:v>
                </c:pt>
                <c:pt idx="5">
                  <c:v>0.7899129172713657</c:v>
                </c:pt>
                <c:pt idx="6">
                  <c:v>-0.1509433962263742</c:v>
                </c:pt>
                <c:pt idx="7">
                  <c:v>0.27285921625544773</c:v>
                </c:pt>
                <c:pt idx="8">
                  <c:v>-1.0660377358490862</c:v>
                </c:pt>
                <c:pt idx="9">
                  <c:v>1.3236574746008998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90944"/>
        <c:axId val="493492480"/>
      </c:scatterChart>
      <c:valAx>
        <c:axId val="49349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3492480"/>
        <c:crosses val="autoZero"/>
        <c:crossBetween val="midCat"/>
      </c:valAx>
      <c:valAx>
        <c:axId val="49349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3490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 sz="1200"/>
              <a:t>Линия регрессии на поле корреляции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7926774455351603E-2"/>
          <c:y val="0.17721115775298563"/>
          <c:w val="0.8608013695268627"/>
          <c:h val="0.587154843864266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38402225199317"/>
                  <c:y val="0.28151950850990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Лист1!$C$39:$C$48</c:f>
              <c:numCache>
                <c:formatCode>General</c:formatCode>
                <c:ptCount val="10"/>
                <c:pt idx="0">
                  <c:v>43</c:v>
                </c:pt>
                <c:pt idx="1">
                  <c:v>28</c:v>
                </c:pt>
                <c:pt idx="2">
                  <c:v>51</c:v>
                </c:pt>
                <c:pt idx="3">
                  <c:v>62</c:v>
                </c:pt>
                <c:pt idx="4">
                  <c:v>63</c:v>
                </c:pt>
                <c:pt idx="5">
                  <c:v>67</c:v>
                </c:pt>
                <c:pt idx="6">
                  <c:v>26</c:v>
                </c:pt>
                <c:pt idx="7">
                  <c:v>43</c:v>
                </c:pt>
                <c:pt idx="8">
                  <c:v>61</c:v>
                </c:pt>
                <c:pt idx="9">
                  <c:v>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74B-4B87-9671-45CE3B896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538304"/>
        <c:axId val="493544192"/>
      </c:scatterChart>
      <c:valAx>
        <c:axId val="49353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544192"/>
        <c:crosses val="autoZero"/>
        <c:crossBetween val="midCat"/>
      </c:valAx>
      <c:valAx>
        <c:axId val="49354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53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924141944943446E-2"/>
          <c:y val="9.9281469006182385E-2"/>
          <c:w val="0.73700823857144759"/>
          <c:h val="0.85937358413020148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Лист1!$G$39:$G$48</c:f>
              <c:numCache>
                <c:formatCode>General</c:formatCode>
                <c:ptCount val="10"/>
                <c:pt idx="0">
                  <c:v>41.345791001451367</c:v>
                </c:pt>
                <c:pt idx="1">
                  <c:v>30.294992743105919</c:v>
                </c:pt>
                <c:pt idx="2">
                  <c:v>51.015239477503634</c:v>
                </c:pt>
                <c:pt idx="3">
                  <c:v>63.447387518142271</c:v>
                </c:pt>
                <c:pt idx="4">
                  <c:v>62.066037735849086</c:v>
                </c:pt>
                <c:pt idx="5">
                  <c:v>66.210087082728634</c:v>
                </c:pt>
                <c:pt idx="6">
                  <c:v>26.150943396226374</c:v>
                </c:pt>
                <c:pt idx="7">
                  <c:v>42.727140783744552</c:v>
                </c:pt>
                <c:pt idx="8">
                  <c:v>62.066037735849086</c:v>
                </c:pt>
                <c:pt idx="9">
                  <c:v>31.6763425253991</c:v>
                </c:pt>
              </c:numCache>
            </c:numRef>
          </c:xVal>
          <c:yVal>
            <c:numRef>
              <c:f>Лист1!$H$39:$H$48</c:f>
              <c:numCache>
                <c:formatCode>General</c:formatCode>
                <c:ptCount val="10"/>
                <c:pt idx="0">
                  <c:v>1.6542089985486328</c:v>
                </c:pt>
                <c:pt idx="1">
                  <c:v>-2.2949927431059187</c:v>
                </c:pt>
                <c:pt idx="2">
                  <c:v>-1.5239477503634191E-2</c:v>
                </c:pt>
                <c:pt idx="3">
                  <c:v>-1.4473875181422713</c:v>
                </c:pt>
                <c:pt idx="4">
                  <c:v>0.93396226415091377</c:v>
                </c:pt>
                <c:pt idx="5">
                  <c:v>0.7899129172713657</c:v>
                </c:pt>
                <c:pt idx="6">
                  <c:v>-0.1509433962263742</c:v>
                </c:pt>
                <c:pt idx="7">
                  <c:v>0.27285921625544773</c:v>
                </c:pt>
                <c:pt idx="8">
                  <c:v>-1.0660377358490862</c:v>
                </c:pt>
                <c:pt idx="9">
                  <c:v>1.3236574746008998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576960"/>
        <c:axId val="493578496"/>
      </c:scatterChart>
      <c:valAx>
        <c:axId val="49357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3578496"/>
        <c:crosses val="autoZero"/>
        <c:crossBetween val="midCat"/>
      </c:valAx>
      <c:valAx>
        <c:axId val="493578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3576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>
        <c:manualLayout>
          <c:xMode val="edge"/>
          <c:yMode val="edge"/>
          <c:x val="0.19942694663167104"/>
          <c:y val="5.381164969251620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АД_РЕГРЕССИЯ!$F$25:$F$34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АД_РЕГРЕССИЯ!$G$25:$G$34</c:f>
              <c:numCache>
                <c:formatCode>General</c:formatCode>
                <c:ptCount val="10"/>
                <c:pt idx="0">
                  <c:v>26</c:v>
                </c:pt>
                <c:pt idx="1">
                  <c:v>28</c:v>
                </c:pt>
                <c:pt idx="2">
                  <c:v>33</c:v>
                </c:pt>
                <c:pt idx="3">
                  <c:v>43</c:v>
                </c:pt>
                <c:pt idx="4">
                  <c:v>43</c:v>
                </c:pt>
                <c:pt idx="5">
                  <c:v>51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856640"/>
        <c:axId val="493867008"/>
      </c:scatterChart>
      <c:valAx>
        <c:axId val="4938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867008"/>
        <c:crosses val="autoZero"/>
        <c:crossBetween val="midCat"/>
      </c:valAx>
      <c:valAx>
        <c:axId val="493867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объем выпуска продукции (У, млн. руб.)</a:t>
                </a:r>
              </a:p>
            </c:rich>
          </c:tx>
          <c:layout>
            <c:manualLayout>
              <c:xMode val="edge"/>
              <c:yMode val="edge"/>
              <c:x val="3.0898049485979871E-2"/>
              <c:y val="0.168049499869472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93856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(</a:t>
            </a:r>
            <a:r>
              <a:rPr lang="ru-RU"/>
              <a:t>объем капиталовложений (Х, млн. руб.) График остатков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981083077323117"/>
          <c:y val="0.2916397765265466"/>
          <c:w val="0.82582779749769397"/>
          <c:h val="0.58252747893099854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АД_РЕГРЕССИЯ!$C$25:$C$34</c:f>
              <c:numCache>
                <c:formatCode>General</c:formatCode>
                <c:ptCount val="10"/>
                <c:pt idx="0">
                  <c:v>1.6542089985486186</c:v>
                </c:pt>
                <c:pt idx="1">
                  <c:v>-2.2949927431059542</c:v>
                </c:pt>
                <c:pt idx="2">
                  <c:v>-1.5239477503627086E-2</c:v>
                </c:pt>
                <c:pt idx="3">
                  <c:v>-1.4473875181422287</c:v>
                </c:pt>
                <c:pt idx="4">
                  <c:v>0.9339622641509493</c:v>
                </c:pt>
                <c:pt idx="5">
                  <c:v>0.78991291727140833</c:v>
                </c:pt>
                <c:pt idx="6">
                  <c:v>-0.15094339622642039</c:v>
                </c:pt>
                <c:pt idx="7">
                  <c:v>0.27285921625544063</c:v>
                </c:pt>
                <c:pt idx="8">
                  <c:v>-1.0660377358490507</c:v>
                </c:pt>
                <c:pt idx="9">
                  <c:v>1.3236574746008678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907136"/>
        <c:axId val="468909056"/>
      </c:scatterChart>
      <c:valAx>
        <c:axId val="468907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ru-RU"/>
                  <a:t>объем капиталовложений (Х, млн. руб.)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909056"/>
        <c:crosses val="autoZero"/>
        <c:crossBetween val="midCat"/>
      </c:valAx>
      <c:valAx>
        <c:axId val="46890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>
            <c:manualLayout>
              <c:xMode val="edge"/>
              <c:yMode val="edge"/>
              <c:x val="3.1292342380785022E-2"/>
              <c:y val="0.430663796426500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68907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(</a:t>
            </a:r>
            <a:r>
              <a:rPr lang="ru-RU"/>
              <a:t>объем капиталовложений (Х, млн. руб.) График подбора</a:t>
            </a:r>
          </a:p>
        </c:rich>
      </c:tx>
      <c:layout>
        <c:manualLayout>
          <c:xMode val="edge"/>
          <c:yMode val="edge"/>
          <c:x val="0.10793132666221862"/>
          <c:y val="2.713178294573643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693087387647848"/>
          <c:y val="0.2482655801745712"/>
          <c:w val="0.56031306185010321"/>
          <c:h val="0.58019685039370084"/>
        </c:manualLayout>
      </c:layout>
      <c:scatterChart>
        <c:scatterStyle val="lineMarker"/>
        <c:varyColors val="0"/>
        <c:ser>
          <c:idx val="0"/>
          <c:order val="0"/>
          <c:tx>
            <c:v>y (объем выпуска продукции (У, млн. руб.)</c:v>
          </c:tx>
          <c:spPr>
            <a:ln w="19050">
              <a:noFill/>
            </a:ln>
          </c:spPr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Лист1!$C$39:$C$48</c:f>
              <c:numCache>
                <c:formatCode>General</c:formatCode>
                <c:ptCount val="10"/>
                <c:pt idx="0">
                  <c:v>43</c:v>
                </c:pt>
                <c:pt idx="1">
                  <c:v>28</c:v>
                </c:pt>
                <c:pt idx="2">
                  <c:v>51</c:v>
                </c:pt>
                <c:pt idx="3">
                  <c:v>62</c:v>
                </c:pt>
                <c:pt idx="4">
                  <c:v>63</c:v>
                </c:pt>
                <c:pt idx="5">
                  <c:v>67</c:v>
                </c:pt>
                <c:pt idx="6">
                  <c:v>26</c:v>
                </c:pt>
                <c:pt idx="7">
                  <c:v>43</c:v>
                </c:pt>
                <c:pt idx="8">
                  <c:v>61</c:v>
                </c:pt>
                <c:pt idx="9">
                  <c:v>33</c:v>
                </c:pt>
              </c:numCache>
            </c:numRef>
          </c:yVal>
          <c:smooth val="0"/>
        </c:ser>
        <c:ser>
          <c:idx val="1"/>
          <c:order val="1"/>
          <c:tx>
            <c:v>Предсказанное y (объем выпуска продукции (У, млн. руб.)</c:v>
          </c:tx>
          <c:spPr>
            <a:ln w="19050">
              <a:noFill/>
            </a:ln>
          </c:spPr>
          <c:xVal>
            <c:numRef>
              <c:f>Лист1!$B$39:$B$48</c:f>
              <c:numCache>
                <c:formatCode>General</c:formatCode>
                <c:ptCount val="10"/>
                <c:pt idx="0">
                  <c:v>26</c:v>
                </c:pt>
                <c:pt idx="1">
                  <c:v>18</c:v>
                </c:pt>
                <c:pt idx="2">
                  <c:v>33</c:v>
                </c:pt>
                <c:pt idx="3">
                  <c:v>42</c:v>
                </c:pt>
                <c:pt idx="4">
                  <c:v>41</c:v>
                </c:pt>
                <c:pt idx="5">
                  <c:v>44</c:v>
                </c:pt>
                <c:pt idx="6">
                  <c:v>15</c:v>
                </c:pt>
                <c:pt idx="7">
                  <c:v>27</c:v>
                </c:pt>
                <c:pt idx="8">
                  <c:v>41</c:v>
                </c:pt>
                <c:pt idx="9">
                  <c:v>19</c:v>
                </c:pt>
              </c:numCache>
            </c:numRef>
          </c:xVal>
          <c:yVal>
            <c:numRef>
              <c:f>АД_РЕГРЕССИЯ!$B$25:$B$34</c:f>
              <c:numCache>
                <c:formatCode>General</c:formatCode>
                <c:ptCount val="10"/>
                <c:pt idx="0">
                  <c:v>41.345791001451381</c:v>
                </c:pt>
                <c:pt idx="1">
                  <c:v>30.294992743105954</c:v>
                </c:pt>
                <c:pt idx="2">
                  <c:v>51.015239477503627</c:v>
                </c:pt>
                <c:pt idx="3">
                  <c:v>63.447387518142229</c:v>
                </c:pt>
                <c:pt idx="4">
                  <c:v>62.066037735849051</c:v>
                </c:pt>
                <c:pt idx="5">
                  <c:v>66.210087082728592</c:v>
                </c:pt>
                <c:pt idx="6">
                  <c:v>26.15094339622642</c:v>
                </c:pt>
                <c:pt idx="7">
                  <c:v>42.727140783744559</c:v>
                </c:pt>
                <c:pt idx="8">
                  <c:v>62.066037735849051</c:v>
                </c:pt>
                <c:pt idx="9">
                  <c:v>31.676342525399132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086208"/>
        <c:axId val="469088128"/>
      </c:scatterChart>
      <c:valAx>
        <c:axId val="46908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ru-RU"/>
                  <a:t>объем капиталовложений (Х, млн. руб.)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9088128"/>
        <c:crosses val="autoZero"/>
        <c:crossBetween val="midCat"/>
      </c:valAx>
      <c:valAx>
        <c:axId val="469088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объем выпуска продукции (У, млн. руб.)</a:t>
                </a:r>
              </a:p>
            </c:rich>
          </c:tx>
          <c:layout>
            <c:manualLayout>
              <c:xMode val="edge"/>
              <c:yMode val="edge"/>
              <c:x val="2.2692892264511211E-2"/>
              <c:y val="0.1823741073063541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69086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>
        <c:manualLayout>
          <c:xMode val="edge"/>
          <c:yMode val="edge"/>
          <c:x val="0.19942694663167104"/>
          <c:y val="5.3811649692516207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АД_РЕГРЕССИЯ!$F$25:$F$34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АД_РЕГРЕССИЯ!$G$25:$G$34</c:f>
              <c:numCache>
                <c:formatCode>General</c:formatCode>
                <c:ptCount val="10"/>
                <c:pt idx="0">
                  <c:v>26</c:v>
                </c:pt>
                <c:pt idx="1">
                  <c:v>28</c:v>
                </c:pt>
                <c:pt idx="2">
                  <c:v>33</c:v>
                </c:pt>
                <c:pt idx="3">
                  <c:v>43</c:v>
                </c:pt>
                <c:pt idx="4">
                  <c:v>43</c:v>
                </c:pt>
                <c:pt idx="5">
                  <c:v>51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977920"/>
        <c:axId val="468984192"/>
      </c:scatterChart>
      <c:valAx>
        <c:axId val="46897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8984192"/>
        <c:crosses val="autoZero"/>
        <c:crossBetween val="midCat"/>
      </c:valAx>
      <c:valAx>
        <c:axId val="468984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ru-RU"/>
                  <a:t>объем выпуска продукции (У, млн. руб.)</a:t>
                </a:r>
              </a:p>
            </c:rich>
          </c:tx>
          <c:layout>
            <c:manualLayout>
              <c:xMode val="edge"/>
              <c:yMode val="edge"/>
              <c:x val="3.0898049485979871E-2"/>
              <c:y val="0.168049499869472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68977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png"/><Relationship Id="rId18" Type="http://schemas.openxmlformats.org/officeDocument/2006/relationships/image" Target="../media/image15.png"/><Relationship Id="rId26" Type="http://schemas.openxmlformats.org/officeDocument/2006/relationships/image" Target="../media/image23.png"/><Relationship Id="rId39" Type="http://schemas.openxmlformats.org/officeDocument/2006/relationships/image" Target="../media/image32.png"/><Relationship Id="rId3" Type="http://schemas.openxmlformats.org/officeDocument/2006/relationships/chart" Target="../charts/chart2.xml"/><Relationship Id="rId21" Type="http://schemas.openxmlformats.org/officeDocument/2006/relationships/image" Target="../media/image18.png"/><Relationship Id="rId34" Type="http://schemas.openxmlformats.org/officeDocument/2006/relationships/image" Target="../media/image31.png"/><Relationship Id="rId7" Type="http://schemas.openxmlformats.org/officeDocument/2006/relationships/image" Target="../media/image4.png"/><Relationship Id="rId12" Type="http://schemas.openxmlformats.org/officeDocument/2006/relationships/image" Target="../media/image9.png"/><Relationship Id="rId17" Type="http://schemas.openxmlformats.org/officeDocument/2006/relationships/image" Target="../media/image14.png"/><Relationship Id="rId25" Type="http://schemas.openxmlformats.org/officeDocument/2006/relationships/image" Target="../media/image22.png"/><Relationship Id="rId33" Type="http://schemas.openxmlformats.org/officeDocument/2006/relationships/image" Target="../media/image30.png"/><Relationship Id="rId38" Type="http://schemas.openxmlformats.org/officeDocument/2006/relationships/chart" Target="../charts/chart7.xml"/><Relationship Id="rId2" Type="http://schemas.openxmlformats.org/officeDocument/2006/relationships/image" Target="../media/image1.png"/><Relationship Id="rId16" Type="http://schemas.openxmlformats.org/officeDocument/2006/relationships/image" Target="../media/image13.png"/><Relationship Id="rId20" Type="http://schemas.openxmlformats.org/officeDocument/2006/relationships/image" Target="../media/image17.png"/><Relationship Id="rId29" Type="http://schemas.openxmlformats.org/officeDocument/2006/relationships/image" Target="../media/image26.png"/><Relationship Id="rId41" Type="http://schemas.openxmlformats.org/officeDocument/2006/relationships/chart" Target="../charts/chart9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image" Target="../media/image8.png"/><Relationship Id="rId24" Type="http://schemas.openxmlformats.org/officeDocument/2006/relationships/image" Target="../media/image21.png"/><Relationship Id="rId32" Type="http://schemas.openxmlformats.org/officeDocument/2006/relationships/image" Target="../media/image29.png"/><Relationship Id="rId37" Type="http://schemas.openxmlformats.org/officeDocument/2006/relationships/chart" Target="../charts/chart6.xml"/><Relationship Id="rId40" Type="http://schemas.openxmlformats.org/officeDocument/2006/relationships/chart" Target="../charts/chart8.xml"/><Relationship Id="rId5" Type="http://schemas.openxmlformats.org/officeDocument/2006/relationships/image" Target="../media/image2.png"/><Relationship Id="rId15" Type="http://schemas.openxmlformats.org/officeDocument/2006/relationships/image" Target="../media/image12.png"/><Relationship Id="rId23" Type="http://schemas.openxmlformats.org/officeDocument/2006/relationships/image" Target="../media/image20.png"/><Relationship Id="rId28" Type="http://schemas.openxmlformats.org/officeDocument/2006/relationships/image" Target="../media/image25.png"/><Relationship Id="rId36" Type="http://schemas.openxmlformats.org/officeDocument/2006/relationships/chart" Target="../charts/chart5.xml"/><Relationship Id="rId10" Type="http://schemas.openxmlformats.org/officeDocument/2006/relationships/image" Target="../media/image7.png"/><Relationship Id="rId19" Type="http://schemas.openxmlformats.org/officeDocument/2006/relationships/image" Target="../media/image16.png"/><Relationship Id="rId31" Type="http://schemas.openxmlformats.org/officeDocument/2006/relationships/image" Target="../media/image28.png"/><Relationship Id="rId4" Type="http://schemas.openxmlformats.org/officeDocument/2006/relationships/chart" Target="../charts/chart3.xml"/><Relationship Id="rId9" Type="http://schemas.openxmlformats.org/officeDocument/2006/relationships/image" Target="../media/image6.png"/><Relationship Id="rId14" Type="http://schemas.openxmlformats.org/officeDocument/2006/relationships/image" Target="../media/image11.png"/><Relationship Id="rId22" Type="http://schemas.openxmlformats.org/officeDocument/2006/relationships/image" Target="../media/image19.png"/><Relationship Id="rId27" Type="http://schemas.openxmlformats.org/officeDocument/2006/relationships/image" Target="../media/image24.png"/><Relationship Id="rId30" Type="http://schemas.openxmlformats.org/officeDocument/2006/relationships/image" Target="../media/image27.png"/><Relationship Id="rId35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4</xdr:col>
      <xdr:colOff>342900</xdr:colOff>
      <xdr:row>32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29FA3F5F-CC95-6AA9-021C-54BEC74F5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</xdr:row>
      <xdr:rowOff>295275</xdr:rowOff>
    </xdr:from>
    <xdr:to>
      <xdr:col>3</xdr:col>
      <xdr:colOff>342900</xdr:colOff>
      <xdr:row>2</xdr:row>
      <xdr:rowOff>1019175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A429744D-B1D2-B300-25C4-2F8DF1491E21}"/>
            </a:ext>
            <a:ext uri="{147F2762-F138-4A5C-976F-8EAC2B608ADB}">
              <a16:predDERef xmlns:a16="http://schemas.microsoft.com/office/drawing/2014/main" xmlns="" pred="{29FA3F5F-CC95-6AA9-021C-54BEC74F5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6275"/>
          <a:ext cx="457200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2505075</xdr:colOff>
      <xdr:row>83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3F954846-E587-EBA9-F711-E0E4A4BE1416}"/>
            </a:ext>
            <a:ext uri="{147F2762-F138-4A5C-976F-8EAC2B608ADB}">
              <a16:predDERef xmlns:a16="http://schemas.microsoft.com/office/drawing/2014/main" xmlns="" pred="{A429744D-B1D2-B300-25C4-2F8DF1491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69</xdr:row>
      <xdr:rowOff>0</xdr:rowOff>
    </xdr:from>
    <xdr:to>
      <xdr:col>6</xdr:col>
      <xdr:colOff>152400</xdr:colOff>
      <xdr:row>83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F5AC80F4-B8A2-48C4-8A64-CD6881EEE681}"/>
            </a:ext>
            <a:ext uri="{147F2762-F138-4A5C-976F-8EAC2B608ADB}">
              <a16:predDERef xmlns:a16="http://schemas.microsoft.com/office/drawing/2014/main" xmlns="" pred="{3F954846-E587-EBA9-F711-E0E4A4BE1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52</xdr:row>
      <xdr:rowOff>342900</xdr:rowOff>
    </xdr:from>
    <xdr:to>
      <xdr:col>0</xdr:col>
      <xdr:colOff>1800225</xdr:colOff>
      <xdr:row>52</xdr:row>
      <xdr:rowOff>695325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40521AE1-51BC-518E-8B11-88D7B7C35B19}"/>
            </a:ext>
            <a:ext uri="{147F2762-F138-4A5C-976F-8EAC2B608ADB}">
              <a16:predDERef xmlns:a16="http://schemas.microsoft.com/office/drawing/2014/main" xmlns="" pred="{F5AC80F4-B8A2-48C4-8A64-CD6881EE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639425"/>
          <a:ext cx="18002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28575</xdr:rowOff>
    </xdr:from>
    <xdr:to>
      <xdr:col>0</xdr:col>
      <xdr:colOff>885825</xdr:colOff>
      <xdr:row>52</xdr:row>
      <xdr:rowOff>295275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9E6137C3-BC5E-7F34-F6EC-8E8808AB315C}"/>
            </a:ext>
            <a:ext uri="{147F2762-F138-4A5C-976F-8EAC2B608ADB}">
              <a16:predDERef xmlns:a16="http://schemas.microsoft.com/office/drawing/2014/main" xmlns="" pred="{40521AE1-51BC-518E-8B11-88D7B7C35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325100"/>
          <a:ext cx="885825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89199</xdr:colOff>
      <xdr:row>54</xdr:row>
      <xdr:rowOff>27230</xdr:rowOff>
    </xdr:from>
    <xdr:to>
      <xdr:col>0</xdr:col>
      <xdr:colOff>1508424</xdr:colOff>
      <xdr:row>54</xdr:row>
      <xdr:rowOff>284405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xmlns="" id="{D40B6D4A-5DC1-C7E0-9C9F-130B3EACB22D}"/>
            </a:ext>
            <a:ext uri="{147F2762-F138-4A5C-976F-8EAC2B608ADB}">
              <a16:predDERef xmlns:a16="http://schemas.microsoft.com/office/drawing/2014/main" xmlns="" pred="{9E6137C3-BC5E-7F34-F6EC-8E8808AB3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199" y="13250171"/>
          <a:ext cx="1419225" cy="257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28575</xdr:rowOff>
    </xdr:from>
    <xdr:to>
      <xdr:col>0</xdr:col>
      <xdr:colOff>876300</xdr:colOff>
      <xdr:row>59</xdr:row>
      <xdr:rowOff>457200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xmlns="" id="{18FFF6B9-B376-3FDF-959A-644556DCBF91}"/>
            </a:ext>
            <a:ext uri="{147F2762-F138-4A5C-976F-8EAC2B608ADB}">
              <a16:predDERef xmlns:a16="http://schemas.microsoft.com/office/drawing/2014/main" xmlns="" pred="{A61A4EAF-7500-431F-9AD9-7320733EA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3525500"/>
          <a:ext cx="876300" cy="428625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914400</xdr:colOff>
      <xdr:row>59</xdr:row>
      <xdr:rowOff>104775</xdr:rowOff>
    </xdr:from>
    <xdr:to>
      <xdr:col>0</xdr:col>
      <xdr:colOff>1981200</xdr:colOff>
      <xdr:row>59</xdr:row>
      <xdr:rowOff>361950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xmlns="" id="{24157F89-E887-71C0-F8AC-E49CAC5A14AE}"/>
            </a:ext>
            <a:ext uri="{147F2762-F138-4A5C-976F-8EAC2B608ADB}">
              <a16:predDERef xmlns:a16="http://schemas.microsoft.com/office/drawing/2014/main" xmlns="" pred="{18FFF6B9-B376-3FDF-959A-644556DCB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" y="12696825"/>
          <a:ext cx="1066800" cy="257175"/>
        </a:xfrm>
        <a:prstGeom prst="rect">
          <a:avLst/>
        </a:prstGeom>
      </xdr:spPr>
    </xdr:pic>
    <xdr:clientData/>
  </xdr:twoCellAnchor>
  <xdr:twoCellAnchor editAs="oneCell">
    <xdr:from>
      <xdr:col>0</xdr:col>
      <xdr:colOff>100965</xdr:colOff>
      <xdr:row>62</xdr:row>
      <xdr:rowOff>64770</xdr:rowOff>
    </xdr:from>
    <xdr:to>
      <xdr:col>0</xdr:col>
      <xdr:colOff>843915</xdr:colOff>
      <xdr:row>62</xdr:row>
      <xdr:rowOff>417195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xmlns="" id="{3F1BD933-1FF3-F14E-0CFF-2C1144B17EFC}"/>
            </a:ext>
            <a:ext uri="{147F2762-F138-4A5C-976F-8EAC2B608ADB}">
              <a16:predDERef xmlns:a16="http://schemas.microsoft.com/office/drawing/2014/main" xmlns="" pred="{24157F89-E887-71C0-F8AC-E49CAC5A1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965" y="16295370"/>
          <a:ext cx="742950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87</xdr:row>
      <xdr:rowOff>57150</xdr:rowOff>
    </xdr:from>
    <xdr:to>
      <xdr:col>0</xdr:col>
      <xdr:colOff>962025</xdr:colOff>
      <xdr:row>87</xdr:row>
      <xdr:rowOff>457200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xmlns="" id="{0C26C7FB-B3E4-2E03-E18D-4C56B35798D7}"/>
            </a:ext>
            <a:ext uri="{147F2762-F138-4A5C-976F-8EAC2B608ADB}">
              <a16:predDERef xmlns:a16="http://schemas.microsoft.com/office/drawing/2014/main" xmlns="" pred="{3F1BD933-1FF3-F14E-0CFF-2C1144B17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9075" y="18307050"/>
          <a:ext cx="74295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1247775</xdr:colOff>
      <xdr:row>100</xdr:row>
      <xdr:rowOff>171450</xdr:rowOff>
    </xdr:from>
    <xdr:to>
      <xdr:col>0</xdr:col>
      <xdr:colOff>1981200</xdr:colOff>
      <xdr:row>100</xdr:row>
      <xdr:rowOff>504825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xmlns="" id="{E07D7D7B-4215-BD81-0E26-D68367585F3F}"/>
            </a:ext>
            <a:ext uri="{147F2762-F138-4A5C-976F-8EAC2B608ADB}">
              <a16:predDERef xmlns:a16="http://schemas.microsoft.com/office/drawing/2014/main" xmlns="" pred="{0C26C7FB-B3E4-2E03-E18D-4C56B3579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47775" y="20450175"/>
          <a:ext cx="733425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291465</xdr:colOff>
      <xdr:row>100</xdr:row>
      <xdr:rowOff>253365</xdr:rowOff>
    </xdr:from>
    <xdr:to>
      <xdr:col>3</xdr:col>
      <xdr:colOff>920115</xdr:colOff>
      <xdr:row>100</xdr:row>
      <xdr:rowOff>520065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xmlns="" id="{3EAC8357-7F9D-608C-C7E2-0F1519213CD5}"/>
            </a:ext>
            <a:ext uri="{147F2762-F138-4A5C-976F-8EAC2B608ADB}">
              <a16:predDERef xmlns:a16="http://schemas.microsoft.com/office/drawing/2014/main" xmlns="" pred="{E07D7D7B-4215-BD81-0E26-D68367585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34865" y="26092785"/>
          <a:ext cx="62865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19050</xdr:rowOff>
    </xdr:from>
    <xdr:to>
      <xdr:col>0</xdr:col>
      <xdr:colOff>819150</xdr:colOff>
      <xdr:row>89</xdr:row>
      <xdr:rowOff>419100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xmlns="" id="{E1454172-B7BA-8C15-5D4B-C18947AE5650}"/>
            </a:ext>
            <a:ext uri="{147F2762-F138-4A5C-976F-8EAC2B608ADB}">
              <a16:predDERef xmlns:a16="http://schemas.microsoft.com/office/drawing/2014/main" xmlns="" pred="{3EAC8357-7F9D-608C-C7E2-0F1519213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964275"/>
          <a:ext cx="81915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90</xdr:row>
      <xdr:rowOff>38100</xdr:rowOff>
    </xdr:from>
    <xdr:to>
      <xdr:col>0</xdr:col>
      <xdr:colOff>1247775</xdr:colOff>
      <xdr:row>90</xdr:row>
      <xdr:rowOff>381000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xmlns="" id="{BFECA969-EA15-5AB1-EE19-1F754F6548B7}"/>
            </a:ext>
            <a:ext uri="{147F2762-F138-4A5C-976F-8EAC2B608ADB}">
              <a16:predDERef xmlns:a16="http://schemas.microsoft.com/office/drawing/2014/main" xmlns="" pred="{E1454172-B7BA-8C15-5D4B-C18947AE5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525" y="19602450"/>
          <a:ext cx="1238250" cy="342900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</xdr:colOff>
      <xdr:row>60</xdr:row>
      <xdr:rowOff>24765</xdr:rowOff>
    </xdr:from>
    <xdr:to>
      <xdr:col>0</xdr:col>
      <xdr:colOff>1280160</xdr:colOff>
      <xdr:row>60</xdr:row>
      <xdr:rowOff>358140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xmlns="" id="{FC26E3B1-BF76-7D11-6B07-E8B0BDE7BBC0}"/>
            </a:ext>
            <a:ext uri="{147F2762-F138-4A5C-976F-8EAC2B608ADB}">
              <a16:predDERef xmlns:a16="http://schemas.microsoft.com/office/drawing/2014/main" xmlns="" pred="{BFECA969-EA15-5AB1-EE19-1F754F654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10" y="15546705"/>
          <a:ext cx="1238250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106</xdr:row>
      <xdr:rowOff>9525</xdr:rowOff>
    </xdr:from>
    <xdr:to>
      <xdr:col>0</xdr:col>
      <xdr:colOff>962025</xdr:colOff>
      <xdr:row>106</xdr:row>
      <xdr:rowOff>485775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xmlns="" id="{1DB3EE4F-D5C8-2811-755D-B632018D9D54}"/>
            </a:ext>
            <a:ext uri="{147F2762-F138-4A5C-976F-8EAC2B608ADB}">
              <a16:predDERef xmlns:a16="http://schemas.microsoft.com/office/drawing/2014/main" xmlns="" pred="{08F4FB24-1149-55E4-AF13-CA95DBC15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675" y="23602950"/>
          <a:ext cx="89535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108</xdr:row>
      <xdr:rowOff>19050</xdr:rowOff>
    </xdr:from>
    <xdr:to>
      <xdr:col>0</xdr:col>
      <xdr:colOff>609600</xdr:colOff>
      <xdr:row>108</xdr:row>
      <xdr:rowOff>476250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xmlns="" id="{3C966050-9933-EA78-F28F-34E910FCEB80}"/>
            </a:ext>
            <a:ext uri="{147F2762-F138-4A5C-976F-8EAC2B608ADB}">
              <a16:predDERef xmlns:a16="http://schemas.microsoft.com/office/drawing/2014/main" xmlns="" pred="{40130787-6CBD-0E9F-8954-FD8770188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6200" y="24317325"/>
          <a:ext cx="5334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109</xdr:row>
      <xdr:rowOff>19050</xdr:rowOff>
    </xdr:from>
    <xdr:to>
      <xdr:col>0</xdr:col>
      <xdr:colOff>647700</xdr:colOff>
      <xdr:row>109</xdr:row>
      <xdr:rowOff>457200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xmlns="" id="{772D2FCB-71AD-91DE-AD8A-9470C9297181}"/>
            </a:ext>
            <a:ext uri="{147F2762-F138-4A5C-976F-8EAC2B608ADB}">
              <a16:predDERef xmlns:a16="http://schemas.microsoft.com/office/drawing/2014/main" xmlns="" pred="{3C966050-9933-EA78-F28F-34E910FCE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7150" y="24841200"/>
          <a:ext cx="590550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110</xdr:row>
      <xdr:rowOff>9525</xdr:rowOff>
    </xdr:from>
    <xdr:to>
      <xdr:col>0</xdr:col>
      <xdr:colOff>561975</xdr:colOff>
      <xdr:row>110</xdr:row>
      <xdr:rowOff>466725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xmlns="" id="{5E579C75-7777-061D-B2E4-115E6FB0DE3A}"/>
            </a:ext>
            <a:ext uri="{147F2762-F138-4A5C-976F-8EAC2B608ADB}">
              <a16:predDERef xmlns:a16="http://schemas.microsoft.com/office/drawing/2014/main" xmlns="" pred="{772D2FCB-71AD-91DE-AD8A-9470C9297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" y="2534602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17145</xdr:rowOff>
    </xdr:from>
    <xdr:to>
      <xdr:col>0</xdr:col>
      <xdr:colOff>1333500</xdr:colOff>
      <xdr:row>119</xdr:row>
      <xdr:rowOff>493395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xmlns="" id="{BF884731-61E4-F7FA-5E96-CD139D67CD89}"/>
            </a:ext>
            <a:ext uri="{147F2762-F138-4A5C-976F-8EAC2B608ADB}">
              <a16:predDERef xmlns:a16="http://schemas.microsoft.com/office/drawing/2014/main" xmlns="" pred="{5E579C75-7777-061D-B2E4-115E6FB0D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1830645"/>
          <a:ext cx="133350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15240</xdr:rowOff>
    </xdr:from>
    <xdr:to>
      <xdr:col>0</xdr:col>
      <xdr:colOff>2038350</xdr:colOff>
      <xdr:row>120</xdr:row>
      <xdr:rowOff>643890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xmlns="" id="{9E1806A4-24BE-EB93-496F-24F878D21E13}"/>
            </a:ext>
            <a:ext uri="{147F2762-F138-4A5C-976F-8EAC2B608ADB}">
              <a16:predDERef xmlns:a16="http://schemas.microsoft.com/office/drawing/2014/main" xmlns="" pred="{BF884731-61E4-F7FA-5E96-CD139D67C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2377380"/>
          <a:ext cx="203835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17145</xdr:rowOff>
    </xdr:from>
    <xdr:to>
      <xdr:col>0</xdr:col>
      <xdr:colOff>1266825</xdr:colOff>
      <xdr:row>121</xdr:row>
      <xdr:rowOff>483870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xmlns="" id="{C2A87DFD-4DFC-BF88-DE38-2E3CF21D7EF5}"/>
            </a:ext>
            <a:ext uri="{147F2762-F138-4A5C-976F-8EAC2B608ADB}">
              <a16:predDERef xmlns:a16="http://schemas.microsoft.com/office/drawing/2014/main" xmlns="" pred="{9E1806A4-24BE-EB93-496F-24F878D21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33072705"/>
          <a:ext cx="1266825" cy="466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53340</xdr:rowOff>
    </xdr:from>
    <xdr:to>
      <xdr:col>0</xdr:col>
      <xdr:colOff>1276350</xdr:colOff>
      <xdr:row>122</xdr:row>
      <xdr:rowOff>529590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xmlns="" id="{57939F49-D64E-EC09-7667-1C03CC58A1FF}"/>
            </a:ext>
            <a:ext uri="{147F2762-F138-4A5C-976F-8EAC2B608ADB}">
              <a16:predDERef xmlns:a16="http://schemas.microsoft.com/office/drawing/2014/main" xmlns="" pred="{C2A87DFD-4DFC-BF88-DE38-2E3CF21D7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33642300"/>
          <a:ext cx="127635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38100</xdr:rowOff>
    </xdr:from>
    <xdr:to>
      <xdr:col>0</xdr:col>
      <xdr:colOff>1657350</xdr:colOff>
      <xdr:row>104</xdr:row>
      <xdr:rowOff>523875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xmlns="" id="{D80F3D74-4F4C-4CE3-3626-113041092713}"/>
            </a:ext>
            <a:ext uri="{147F2762-F138-4A5C-976F-8EAC2B608ADB}">
              <a16:predDERef xmlns:a16="http://schemas.microsoft.com/office/drawing/2014/main" xmlns="" pred="{57939F49-D64E-EC09-7667-1C03CC58A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4745950"/>
          <a:ext cx="1657350" cy="485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28575</xdr:rowOff>
    </xdr:from>
    <xdr:to>
      <xdr:col>0</xdr:col>
      <xdr:colOff>2238375</xdr:colOff>
      <xdr:row>105</xdr:row>
      <xdr:rowOff>495300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xmlns="" id="{660BA7B7-1416-F2FF-6C72-0DC58D6BEEFE}"/>
            </a:ext>
            <a:ext uri="{147F2762-F138-4A5C-976F-8EAC2B608ADB}">
              <a16:predDERef xmlns:a16="http://schemas.microsoft.com/office/drawing/2014/main" xmlns="" pred="{D80F3D74-4F4C-4CE3-3626-113041092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25307925"/>
          <a:ext cx="2238375" cy="466725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56</xdr:row>
      <xdr:rowOff>57150</xdr:rowOff>
    </xdr:from>
    <xdr:to>
      <xdr:col>0</xdr:col>
      <xdr:colOff>436245</xdr:colOff>
      <xdr:row>56</xdr:row>
      <xdr:rowOff>371475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xmlns="" id="{DA103CCC-985D-835F-E440-2502FDF9C6AB}"/>
            </a:ext>
            <a:ext uri="{147F2762-F138-4A5C-976F-8EAC2B608ADB}">
              <a16:predDERef xmlns:a16="http://schemas.microsoft.com/office/drawing/2014/main" xmlns="" pred="{9A66DF86-444B-72E2-62C5-8E0641E37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3820" y="13917930"/>
          <a:ext cx="3524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462915</xdr:colOff>
      <xdr:row>56</xdr:row>
      <xdr:rowOff>17145</xdr:rowOff>
    </xdr:from>
    <xdr:to>
      <xdr:col>0</xdr:col>
      <xdr:colOff>1015365</xdr:colOff>
      <xdr:row>56</xdr:row>
      <xdr:rowOff>407670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xmlns="" id="{BEB771D6-F1B7-5CB4-AA6B-8F74BD183A36}"/>
            </a:ext>
            <a:ext uri="{147F2762-F138-4A5C-976F-8EAC2B608ADB}">
              <a16:predDERef xmlns:a16="http://schemas.microsoft.com/office/drawing/2014/main" xmlns="" pred="{DA103CCC-985D-835F-E440-2502FDF9C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2915" y="13877925"/>
          <a:ext cx="552450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57</xdr:row>
      <xdr:rowOff>32385</xdr:rowOff>
    </xdr:from>
    <xdr:to>
      <xdr:col>0</xdr:col>
      <xdr:colOff>758190</xdr:colOff>
      <xdr:row>57</xdr:row>
      <xdr:rowOff>432435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xmlns="" id="{8482453E-0951-1A46-7453-EC752F9A3B5B}"/>
            </a:ext>
            <a:ext uri="{147F2762-F138-4A5C-976F-8EAC2B608ADB}">
              <a16:predDERef xmlns:a16="http://schemas.microsoft.com/office/drawing/2014/main" xmlns="" pred="{BEB771D6-F1B7-5CB4-AA6B-8F74BD183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340" y="14335125"/>
          <a:ext cx="70485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175260</xdr:rowOff>
    </xdr:from>
    <xdr:to>
      <xdr:col>4</xdr:col>
      <xdr:colOff>15240</xdr:colOff>
      <xdr:row>136</xdr:row>
      <xdr:rowOff>15197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xmlns="" id="{68F7E65A-F06E-401F-9FE0-F379883EC75E}"/>
            </a:ext>
            <a:ext uri="{147F2762-F138-4A5C-976F-8EAC2B608ADB}">
              <a16:predDERef xmlns:a16="http://schemas.microsoft.com/office/drawing/2014/main" xmlns="" pred="{8482453E-0951-1A46-7453-EC752F9A3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38755320"/>
          <a:ext cx="5311140" cy="2263096"/>
        </a:xfrm>
        <a:prstGeom prst="rect">
          <a:avLst/>
        </a:prstGeom>
      </xdr:spPr>
    </xdr:pic>
    <xdr:clientData/>
  </xdr:twoCellAnchor>
  <xdr:twoCellAnchor editAs="oneCell">
    <xdr:from>
      <xdr:col>0</xdr:col>
      <xdr:colOff>251792</xdr:colOff>
      <xdr:row>160</xdr:row>
      <xdr:rowOff>49367</xdr:rowOff>
    </xdr:from>
    <xdr:to>
      <xdr:col>0</xdr:col>
      <xdr:colOff>1730072</xdr:colOff>
      <xdr:row>160</xdr:row>
      <xdr:rowOff>503713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1792" y="44941106"/>
          <a:ext cx="1478280" cy="454346"/>
        </a:xfrm>
        <a:prstGeom prst="rect">
          <a:avLst/>
        </a:prstGeom>
      </xdr:spPr>
    </xdr:pic>
    <xdr:clientData/>
  </xdr:twoCellAnchor>
  <xdr:twoCellAnchor editAs="oneCell">
    <xdr:from>
      <xdr:col>0</xdr:col>
      <xdr:colOff>1394460</xdr:colOff>
      <xdr:row>160</xdr:row>
      <xdr:rowOff>464820</xdr:rowOff>
    </xdr:from>
    <xdr:to>
      <xdr:col>0</xdr:col>
      <xdr:colOff>2189538</xdr:colOff>
      <xdr:row>160</xdr:row>
      <xdr:rowOff>821636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94460" y="49080420"/>
          <a:ext cx="795078" cy="356816"/>
        </a:xfrm>
        <a:prstGeom prst="rect">
          <a:avLst/>
        </a:prstGeom>
      </xdr:spPr>
    </xdr:pic>
    <xdr:clientData/>
  </xdr:twoCellAnchor>
  <xdr:twoCellAnchor editAs="oneCell">
    <xdr:from>
      <xdr:col>2</xdr:col>
      <xdr:colOff>99391</xdr:colOff>
      <xdr:row>162</xdr:row>
      <xdr:rowOff>46383</xdr:rowOff>
    </xdr:from>
    <xdr:to>
      <xdr:col>2</xdr:col>
      <xdr:colOff>927652</xdr:colOff>
      <xdr:row>162</xdr:row>
      <xdr:rowOff>291431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38939" y="45965166"/>
          <a:ext cx="828261" cy="24504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162</xdr:row>
      <xdr:rowOff>19878</xdr:rowOff>
    </xdr:from>
    <xdr:to>
      <xdr:col>3</xdr:col>
      <xdr:colOff>745037</xdr:colOff>
      <xdr:row>162</xdr:row>
      <xdr:rowOff>304799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99114" y="45938661"/>
          <a:ext cx="592636" cy="284921"/>
        </a:xfrm>
        <a:prstGeom prst="rect">
          <a:avLst/>
        </a:prstGeom>
      </xdr:spPr>
    </xdr:pic>
    <xdr:clientData/>
  </xdr:twoCellAnchor>
  <xdr:twoCellAnchor editAs="oneCell">
    <xdr:from>
      <xdr:col>4</xdr:col>
      <xdr:colOff>26503</xdr:colOff>
      <xdr:row>162</xdr:row>
      <xdr:rowOff>19879</xdr:rowOff>
    </xdr:from>
    <xdr:to>
      <xdr:col>4</xdr:col>
      <xdr:colOff>596346</xdr:colOff>
      <xdr:row>162</xdr:row>
      <xdr:rowOff>287705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327373" y="45938662"/>
          <a:ext cx="569843" cy="267826"/>
        </a:xfrm>
        <a:prstGeom prst="rect">
          <a:avLst/>
        </a:prstGeom>
      </xdr:spPr>
    </xdr:pic>
    <xdr:clientData/>
  </xdr:twoCellAnchor>
  <xdr:twoCellAnchor editAs="oneCell">
    <xdr:from>
      <xdr:col>1</xdr:col>
      <xdr:colOff>518639</xdr:colOff>
      <xdr:row>168</xdr:row>
      <xdr:rowOff>45721</xdr:rowOff>
    </xdr:from>
    <xdr:to>
      <xdr:col>3</xdr:col>
      <xdr:colOff>434340</xdr:colOff>
      <xdr:row>168</xdr:row>
      <xdr:rowOff>339512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96079" y="51076861"/>
          <a:ext cx="1881661" cy="29379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6627</xdr:rowOff>
    </xdr:from>
    <xdr:to>
      <xdr:col>3</xdr:col>
      <xdr:colOff>6626</xdr:colOff>
      <xdr:row>145</xdr:row>
      <xdr:rowOff>0</xdr:rowOff>
    </xdr:to>
    <xdr:graphicFrame macro="">
      <xdr:nvGraphicFramePr>
        <xdr:cNvPr id="43" name="Диаграмма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312420</xdr:colOff>
      <xdr:row>180</xdr:row>
      <xdr:rowOff>53341</xdr:rowOff>
    </xdr:from>
    <xdr:to>
      <xdr:col>2</xdr:col>
      <xdr:colOff>548640</xdr:colOff>
      <xdr:row>180</xdr:row>
      <xdr:rowOff>2270760</xdr:rowOff>
    </xdr:to>
    <xdr:graphicFrame macro="">
      <xdr:nvGraphicFramePr>
        <xdr:cNvPr id="44" name="Диаграмма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oneCellAnchor>
    <xdr:from>
      <xdr:col>0</xdr:col>
      <xdr:colOff>339090</xdr:colOff>
      <xdr:row>184</xdr:row>
      <xdr:rowOff>32099</xdr:rowOff>
    </xdr:from>
    <xdr:ext cx="1520190" cy="4077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339090" y="56206739"/>
              <a:ext cx="1520190" cy="407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/>
                        </a:rPr>
                      </m:ctrlPr>
                    </m:fPr>
                    <m:num>
                      <m:r>
                        <a:rPr lang="en-US" sz="1400" i="1">
                          <a:latin typeface="Cambria Math"/>
                        </a:rPr>
                        <m:t>∑</m:t>
                      </m:r>
                      <m:r>
                        <a:rPr lang="en-US" sz="1400" b="0" i="1">
                          <a:latin typeface="Cambria Math"/>
                        </a:rPr>
                        <m:t>(</m:t>
                      </m:r>
                      <m:r>
                        <a:rPr lang="en-US" sz="1400" b="0" i="1">
                          <a:latin typeface="Cambria Math"/>
                        </a:rPr>
                        <m:t>𝑦</m:t>
                      </m:r>
                      <m:r>
                        <a:rPr lang="en-US" sz="1400" b="0" i="1">
                          <a:latin typeface="Cambria Math"/>
                        </a:rPr>
                        <m:t>−ŷₓ)</m:t>
                      </m:r>
                    </m:num>
                    <m:den>
                      <m:r>
                        <a:rPr lang="en-US" sz="1400" b="0" i="1">
                          <a:latin typeface="Cambria Math"/>
                        </a:rPr>
                        <m:t>𝑛</m:t>
                      </m:r>
                    </m:den>
                  </m:f>
                </m:oMath>
              </a14:m>
              <a:r>
                <a:rPr lang="ru-RU" sz="1400"/>
                <a:t>=0</a:t>
              </a:r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339090" y="56206739"/>
              <a:ext cx="1520190" cy="4077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sz="1400" i="0">
                  <a:latin typeface="Cambria Math"/>
                </a:rPr>
                <a:t>(∑</a:t>
              </a:r>
              <a:r>
                <a:rPr lang="en-US" sz="1400" b="0" i="0">
                  <a:latin typeface="Cambria Math"/>
                </a:rPr>
                <a:t>(𝑦−</a:t>
              </a:r>
              <a:r>
                <a:rPr lang="cy-GB" sz="1400" b="0" i="0">
                  <a:latin typeface="Cambria Math"/>
                </a:rPr>
                <a:t>ŷₓ</a:t>
              </a:r>
              <a:r>
                <a:rPr lang="en-US" sz="1400" b="0" i="0">
                  <a:latin typeface="Cambria Math"/>
                </a:rPr>
                <a:t>))/𝑛</a:t>
              </a:r>
              <a:r>
                <a:rPr lang="ru-RU" sz="1400"/>
                <a:t>=0</a:t>
              </a:r>
            </a:p>
          </xdr:txBody>
        </xdr:sp>
      </mc:Fallback>
    </mc:AlternateContent>
    <xdr:clientData/>
  </xdr:oneCellAnchor>
  <xdr:twoCellAnchor>
    <xdr:from>
      <xdr:col>0</xdr:col>
      <xdr:colOff>268941</xdr:colOff>
      <xdr:row>187</xdr:row>
      <xdr:rowOff>129700</xdr:rowOff>
    </xdr:from>
    <xdr:to>
      <xdr:col>2</xdr:col>
      <xdr:colOff>627528</xdr:colOff>
      <xdr:row>189</xdr:row>
      <xdr:rowOff>17928</xdr:rowOff>
    </xdr:to>
    <xdr:graphicFrame macro="">
      <xdr:nvGraphicFramePr>
        <xdr:cNvPr id="49" name="Диаграмма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317798</xdr:colOff>
      <xdr:row>195</xdr:row>
      <xdr:rowOff>46169</xdr:rowOff>
    </xdr:from>
    <xdr:to>
      <xdr:col>2</xdr:col>
      <xdr:colOff>586739</xdr:colOff>
      <xdr:row>195</xdr:row>
      <xdr:rowOff>2529393</xdr:rowOff>
    </xdr:to>
    <xdr:graphicFrame macro="">
      <xdr:nvGraphicFramePr>
        <xdr:cNvPr id="50" name="Диаграмма 49">
          <a:extLst>
            <a:ext uri="{FF2B5EF4-FFF2-40B4-BE49-F238E27FC236}">
              <a16:creationId xmlns:a16="http://schemas.microsoft.com/office/drawing/2014/main" xmlns="" id="{3F954846-E587-EBA9-F711-E0E4A4BE1416}"/>
            </a:ext>
            <a:ext uri="{147F2762-F138-4A5C-976F-8EAC2B608ADB}">
              <a16:predDERef xmlns:a16="http://schemas.microsoft.com/office/drawing/2014/main" xmlns="" pred="{A429744D-B1D2-B300-25C4-2F8DF1491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 editAs="oneCell">
    <xdr:from>
      <xdr:col>0</xdr:col>
      <xdr:colOff>91441</xdr:colOff>
      <xdr:row>202</xdr:row>
      <xdr:rowOff>38101</xdr:rowOff>
    </xdr:from>
    <xdr:to>
      <xdr:col>0</xdr:col>
      <xdr:colOff>1226820</xdr:colOff>
      <xdr:row>202</xdr:row>
      <xdr:rowOff>572067</xdr:rowOff>
    </xdr:to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91441" y="69075301"/>
          <a:ext cx="1135379" cy="533966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198</xdr:row>
      <xdr:rowOff>45720</xdr:rowOff>
    </xdr:from>
    <xdr:to>
      <xdr:col>2</xdr:col>
      <xdr:colOff>541020</xdr:colOff>
      <xdr:row>198</xdr:row>
      <xdr:rowOff>1920239</xdr:rowOff>
    </xdr:to>
    <xdr:graphicFrame macro="">
      <xdr:nvGraphicFramePr>
        <xdr:cNvPr id="53" name="Диаграмма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oneCellAnchor>
    <xdr:from>
      <xdr:col>12</xdr:col>
      <xdr:colOff>144780</xdr:colOff>
      <xdr:row>37</xdr:row>
      <xdr:rowOff>388620</xdr:rowOff>
    </xdr:from>
    <xdr:ext cx="2734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/>
            <xdr:cNvSpPr txBox="1"/>
          </xdr:nvSpPr>
          <xdr:spPr>
            <a:xfrm>
              <a:off x="12108180" y="8976360"/>
              <a:ext cx="273473" cy="172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𝑖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7" name="TextBox 56"/>
            <xdr:cNvSpPr txBox="1"/>
          </xdr:nvSpPr>
          <xdr:spPr>
            <a:xfrm>
              <a:off x="12108180" y="8976360"/>
              <a:ext cx="273473" cy="172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</a:t>
              </a: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𝑖−1</a:t>
              </a: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)</a:t>
              </a:r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144780</xdr:colOff>
      <xdr:row>37</xdr:row>
      <xdr:rowOff>381000</xdr:rowOff>
    </xdr:from>
    <xdr:ext cx="273473" cy="1810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/>
            <xdr:cNvSpPr txBox="1"/>
          </xdr:nvSpPr>
          <xdr:spPr>
            <a:xfrm>
              <a:off x="13098780" y="8852647"/>
              <a:ext cx="273473" cy="181012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  <m:sup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9" name="TextBox 58"/>
            <xdr:cNvSpPr txBox="1"/>
          </xdr:nvSpPr>
          <xdr:spPr>
            <a:xfrm>
              <a:off x="13098780" y="8852647"/>
              <a:ext cx="273473" cy="181012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𝜀_(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)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14</xdr:col>
      <xdr:colOff>83820</xdr:colOff>
      <xdr:row>37</xdr:row>
      <xdr:rowOff>396240</xdr:rowOff>
    </xdr:from>
    <xdr:ext cx="4446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/>
            <xdr:cNvSpPr txBox="1"/>
          </xdr:nvSpPr>
          <xdr:spPr>
            <a:xfrm>
              <a:off x="13266420" y="8983980"/>
              <a:ext cx="444674" cy="172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𝜀</m:t>
                        </m:r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∙</m:t>
                        </m:r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1" name="TextBox 60"/>
            <xdr:cNvSpPr txBox="1"/>
          </xdr:nvSpPr>
          <xdr:spPr>
            <a:xfrm>
              <a:off x="13266420" y="8983980"/>
              <a:ext cx="444674" cy="172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〖</a:t>
              </a: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𝜀∙</a:t>
              </a: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𝜀〗_(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𝑖−1</a:t>
              </a: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)</a:t>
              </a:r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807720</xdr:colOff>
      <xdr:row>205</xdr:row>
      <xdr:rowOff>30480</xdr:rowOff>
    </xdr:from>
    <xdr:ext cx="831894" cy="1896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807720" y="70965060"/>
              <a:ext cx="831894" cy="18966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sub>
                      <m:sup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kumimoji="0" lang="en-US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</m:t>
                    </m:r>
                    <m:acc>
                      <m:accPr>
                        <m:chr m:val="̅"/>
                        <m:ctrlP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accPr>
                      <m:e>
                        <m:sSup>
                          <m:sSupPr>
                            <m:ctrlP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p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acc>
                    <m:sSup>
                      <m:sSupPr>
                        <m:ctrlP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𝜀</m:t>
                            </m:r>
                          </m:e>
                        </m:acc>
                      </m:e>
                      <m:sup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807720" y="70965060"/>
              <a:ext cx="831894" cy="18966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𝜀^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2=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(𝜀^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 ) ̅〖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𝜀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 ̅〗^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297180</xdr:colOff>
      <xdr:row>203</xdr:row>
      <xdr:rowOff>1013460</xdr:rowOff>
    </xdr:from>
    <xdr:ext cx="65" cy="172227"/>
    <xdr:sp macro="" textlink="">
      <xdr:nvSpPr>
        <xdr:cNvPr id="65" name="TextBox 64"/>
        <xdr:cNvSpPr txBox="1"/>
      </xdr:nvSpPr>
      <xdr:spPr>
        <a:xfrm>
          <a:off x="7117080" y="70675500"/>
          <a:ext cx="65" cy="172227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lIns="0" tIns="0" rIns="0" bIns="0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373380</xdr:colOff>
      <xdr:row>204</xdr:row>
      <xdr:rowOff>22860</xdr:rowOff>
    </xdr:from>
    <xdr:ext cx="27347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/>
            <xdr:cNvSpPr txBox="1"/>
          </xdr:nvSpPr>
          <xdr:spPr>
            <a:xfrm>
              <a:off x="3710940" y="70896480"/>
              <a:ext cx="273472" cy="172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  <m:sup/>
                    </m:sSubSup>
                  </m:oMath>
                </m:oMathPara>
              </a14:m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7" name="TextBox 66"/>
            <xdr:cNvSpPr txBox="1"/>
          </xdr:nvSpPr>
          <xdr:spPr>
            <a:xfrm>
              <a:off x="3710940" y="70896480"/>
              <a:ext cx="273472" cy="172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𝜀_(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)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^ </a:t>
              </a:r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716280</xdr:colOff>
      <xdr:row>206</xdr:row>
      <xdr:rowOff>289561</xdr:rowOff>
    </xdr:from>
    <xdr:ext cx="807720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/>
            <xdr:cNvSpPr txBox="1"/>
          </xdr:nvSpPr>
          <xdr:spPr>
            <a:xfrm>
              <a:off x="716280" y="71521321"/>
              <a:ext cx="807720" cy="34445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ru-RU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𝜎</m:t>
                    </m:r>
                    <m:r>
                      <a:rPr kumimoji="0" lang="en-US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Cambria Math" panose="02040503050406030204" pitchFamily="18" charset="0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  <m:t>𝜀</m:t>
                            </m:r>
                          </m:sub>
                          <m:sup>
                            <m:r>
                              <a:rPr kumimoji="0" lang="en-US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9" name="TextBox 68"/>
            <xdr:cNvSpPr txBox="1"/>
          </xdr:nvSpPr>
          <xdr:spPr>
            <a:xfrm>
              <a:off x="716280" y="71521321"/>
              <a:ext cx="807720" cy="344453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√(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𝜀^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 )</a:t>
              </a:r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754380</xdr:colOff>
      <xdr:row>209</xdr:row>
      <xdr:rowOff>60960</xdr:rowOff>
    </xdr:from>
    <xdr:ext cx="77104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/>
            <xdr:cNvSpPr txBox="1"/>
          </xdr:nvSpPr>
          <xdr:spPr>
            <a:xfrm>
              <a:off x="754380" y="72138540"/>
              <a:ext cx="771045" cy="172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en-US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𝑐𝑜𝑣</m:t>
                    </m:r>
                    <m:r>
                      <a:rPr kumimoji="0" lang="en-US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kumimoji="0" lang="en-US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sSub>
                      <m:sSubPr>
                        <m:ctrlP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kumimoji="0" lang="en-US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kumimoji="0" lang="en-US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1" name="TextBox 70"/>
            <xdr:cNvSpPr txBox="1"/>
          </xdr:nvSpPr>
          <xdr:spPr>
            <a:xfrm>
              <a:off x="754380" y="72138540"/>
              <a:ext cx="771045" cy="172227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𝑐𝑜𝑣(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𝜀_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𝑖,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𝜀_(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)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563880</xdr:colOff>
      <xdr:row>210</xdr:row>
      <xdr:rowOff>45720</xdr:rowOff>
    </xdr:from>
    <xdr:ext cx="1271588" cy="3561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/>
            <xdr:cNvSpPr txBox="1"/>
          </xdr:nvSpPr>
          <xdr:spPr>
            <a:xfrm>
              <a:off x="563880" y="72148849"/>
              <a:ext cx="1271588" cy="356188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0" lang="ru-RU" sz="105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en-US" sz="105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kumimoji="0" lang="en-US" sz="105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  <m:t>𝑒𝑖𝑒𝑗</m:t>
                        </m:r>
                      </m:sub>
                    </m:sSub>
                    <m:r>
                      <a:rPr kumimoji="0" lang="en-US" sz="105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0" lang="en-US" sz="105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kumimoji="0" lang="en-US" sz="105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𝑐𝑜𝑣</m:t>
                        </m:r>
                        <m:r>
                          <a:rPr kumimoji="0" lang="en-US" sz="105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kumimoji="0" lang="en-US" sz="105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  <m:r>
                          <a:rPr kumimoji="0" lang="en-US" sz="105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kumimoji="0" lang="en-US" sz="105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sz="105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kumimoji="0" lang="en-US" sz="105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sub>
                        </m:sSub>
                        <m:r>
                          <a:rPr kumimoji="0" lang="en-US" sz="105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0" lang="en-US" sz="105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kumimoji="0" lang="en-US" sz="105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en-US" sz="105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kumimoji="0" lang="en-US" sz="105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𝑖</m:t>
                                </m:r>
                                <m:r>
                                  <a:rPr kumimoji="0" lang="en-US" sz="105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sub>
                        </m:sSub>
                      </m:den>
                    </m:f>
                  </m:oMath>
                </m:oMathPara>
              </a14:m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3" name="TextBox 72"/>
            <xdr:cNvSpPr txBox="1"/>
          </xdr:nvSpPr>
          <xdr:spPr>
            <a:xfrm>
              <a:off x="563880" y="72148849"/>
              <a:ext cx="1271588" cy="356188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kumimoji="0" lang="ru-RU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_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𝑒𝑖𝑒𝑗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(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𝑐𝑜𝑣(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𝜀_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𝑖,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𝜀_(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)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)/(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𝑖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 )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∙𝜎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𝜀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𝑖−1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Cambria Math" panose="02040503050406030204" pitchFamily="18" charset="0"/>
                  <a:cs typeface="+mn-cs"/>
                </a:rPr>
                <a:t>) ) </a:t>
              </a:r>
              <a:r>
                <a:rPr kumimoji="0" lang="en-US" sz="105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/>
                  <a:ea typeface="+mn-ea"/>
                  <a:cs typeface="+mn-cs"/>
                </a:rPr>
                <a:t>)</a:t>
              </a:r>
              <a:endParaRPr kumimoji="0" lang="ru-RU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0</xdr:col>
      <xdr:colOff>0</xdr:colOff>
      <xdr:row>216</xdr:row>
      <xdr:rowOff>129540</xdr:rowOff>
    </xdr:from>
    <xdr:to>
      <xdr:col>3</xdr:col>
      <xdr:colOff>176833</xdr:colOff>
      <xdr:row>231</xdr:row>
      <xdr:rowOff>153852</xdr:rowOff>
    </xdr:to>
    <xdr:graphicFrame macro="">
      <xdr:nvGraphicFramePr>
        <xdr:cNvPr id="55" name="Диаграмма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14393</xdr:rowOff>
    </xdr:from>
    <xdr:to>
      <xdr:col>1</xdr:col>
      <xdr:colOff>1862665</xdr:colOff>
      <xdr:row>53</xdr:row>
      <xdr:rowOff>16933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54</xdr:row>
      <xdr:rowOff>85514</xdr:rowOff>
    </xdr:from>
    <xdr:to>
      <xdr:col>1</xdr:col>
      <xdr:colOff>2997199</xdr:colOff>
      <xdr:row>72</xdr:row>
      <xdr:rowOff>12700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2187543</xdr:colOff>
      <xdr:row>38</xdr:row>
      <xdr:rowOff>725</xdr:rowOff>
    </xdr:from>
    <xdr:to>
      <xdr:col>4</xdr:col>
      <xdr:colOff>177436</xdr:colOff>
      <xdr:row>53</xdr:row>
      <xdr:rowOff>25037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topLeftCell="A142" zoomScaleNormal="100" workbookViewId="0">
      <selection activeCell="I115" sqref="I115"/>
    </sheetView>
  </sheetViews>
  <sheetFormatPr defaultRowHeight="14.4" x14ac:dyDescent="0.3"/>
  <cols>
    <col min="1" max="1" width="34.6640625" customWidth="1"/>
    <col min="2" max="2" width="14" customWidth="1"/>
    <col min="3" max="3" width="14.6640625" customWidth="1"/>
    <col min="4" max="4" width="13.88671875" customWidth="1"/>
    <col min="5" max="6" width="11.109375" customWidth="1"/>
    <col min="7" max="7" width="12" customWidth="1"/>
    <col min="8" max="8" width="12.5546875" customWidth="1"/>
    <col min="9" max="9" width="11.88671875" customWidth="1"/>
    <col min="10" max="10" width="23.6640625" customWidth="1"/>
    <col min="11" max="11" width="11.6640625" customWidth="1"/>
  </cols>
  <sheetData>
    <row r="1" spans="1:16" ht="23.25" customHeight="1" x14ac:dyDescent="0.3">
      <c r="A1" s="156" t="s">
        <v>145</v>
      </c>
      <c r="B1" s="156"/>
      <c r="C1" s="156"/>
      <c r="D1" s="156"/>
      <c r="E1" s="156"/>
      <c r="F1" s="156"/>
      <c r="G1" s="156"/>
    </row>
    <row r="2" spans="1:16" ht="23.25" customHeight="1" x14ac:dyDescent="0.3">
      <c r="A2" s="112" t="s">
        <v>0</v>
      </c>
    </row>
    <row r="3" spans="1:16" ht="87.75" customHeight="1" x14ac:dyDescent="0.3">
      <c r="A3" s="143" t="s">
        <v>1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5" spans="1:16" x14ac:dyDescent="0.3">
      <c r="A5" s="25">
        <v>1</v>
      </c>
      <c r="B5" s="26">
        <v>2</v>
      </c>
      <c r="C5" s="27">
        <v>3</v>
      </c>
    </row>
    <row r="6" spans="1:16" ht="65.25" customHeight="1" x14ac:dyDescent="0.3">
      <c r="A6" s="28"/>
      <c r="B6" s="39" t="s">
        <v>2</v>
      </c>
      <c r="C6" s="37" t="s">
        <v>3</v>
      </c>
    </row>
    <row r="7" spans="1:16" x14ac:dyDescent="0.3">
      <c r="A7" s="28">
        <v>1</v>
      </c>
      <c r="B7" s="1">
        <v>26</v>
      </c>
      <c r="C7" s="29">
        <v>43</v>
      </c>
    </row>
    <row r="8" spans="1:16" x14ac:dyDescent="0.3">
      <c r="A8" s="28">
        <v>2</v>
      </c>
      <c r="B8" s="1">
        <v>18</v>
      </c>
      <c r="C8" s="29">
        <v>28</v>
      </c>
    </row>
    <row r="9" spans="1:16" x14ac:dyDescent="0.3">
      <c r="A9" s="28">
        <v>3</v>
      </c>
      <c r="B9" s="1">
        <v>33</v>
      </c>
      <c r="C9" s="29">
        <v>51</v>
      </c>
    </row>
    <row r="10" spans="1:16" x14ac:dyDescent="0.3">
      <c r="A10" s="28">
        <v>4</v>
      </c>
      <c r="B10" s="1">
        <v>42</v>
      </c>
      <c r="C10" s="29">
        <v>62</v>
      </c>
    </row>
    <row r="11" spans="1:16" x14ac:dyDescent="0.3">
      <c r="A11" s="28">
        <v>5</v>
      </c>
      <c r="B11" s="1">
        <v>41</v>
      </c>
      <c r="C11" s="29">
        <v>63</v>
      </c>
    </row>
    <row r="12" spans="1:16" x14ac:dyDescent="0.3">
      <c r="A12" s="28">
        <v>6</v>
      </c>
      <c r="B12" s="1">
        <v>44</v>
      </c>
      <c r="C12" s="29">
        <v>67</v>
      </c>
    </row>
    <row r="13" spans="1:16" x14ac:dyDescent="0.3">
      <c r="A13" s="28">
        <v>7</v>
      </c>
      <c r="B13" s="1">
        <v>15</v>
      </c>
      <c r="C13" s="29">
        <v>26</v>
      </c>
    </row>
    <row r="14" spans="1:16" x14ac:dyDescent="0.3">
      <c r="A14" s="28">
        <v>8</v>
      </c>
      <c r="B14" s="1">
        <v>27</v>
      </c>
      <c r="C14" s="29">
        <v>43</v>
      </c>
    </row>
    <row r="15" spans="1:16" x14ac:dyDescent="0.3">
      <c r="A15" s="28">
        <v>9</v>
      </c>
      <c r="B15" s="1">
        <v>41</v>
      </c>
      <c r="C15" s="29">
        <v>61</v>
      </c>
    </row>
    <row r="16" spans="1:16" x14ac:dyDescent="0.3">
      <c r="A16" s="30">
        <v>10</v>
      </c>
      <c r="B16" s="31">
        <v>19</v>
      </c>
      <c r="C16" s="32">
        <v>33</v>
      </c>
    </row>
    <row r="18" spans="1:8" x14ac:dyDescent="0.3">
      <c r="A18" s="16" t="s">
        <v>4</v>
      </c>
      <c r="B18" s="17" t="s">
        <v>5</v>
      </c>
      <c r="C18" s="18">
        <f>CORREL(B7:B16,C7:C16)</f>
        <v>0.99655216216910536</v>
      </c>
      <c r="D18" s="145" t="s">
        <v>6</v>
      </c>
      <c r="E18" s="146"/>
      <c r="F18" s="146"/>
      <c r="G18" s="146"/>
      <c r="H18" s="146"/>
    </row>
    <row r="20" spans="1:8" x14ac:dyDescent="0.3">
      <c r="A20" s="16" t="s">
        <v>7</v>
      </c>
    </row>
    <row r="33" spans="1:15" x14ac:dyDescent="0.3">
      <c r="A33" s="2"/>
    </row>
    <row r="34" spans="1:15" x14ac:dyDescent="0.3">
      <c r="A34" s="152" t="s">
        <v>8</v>
      </c>
      <c r="B34" s="152"/>
      <c r="C34" s="152"/>
      <c r="D34" s="152"/>
      <c r="E34" s="152"/>
      <c r="F34" s="152"/>
      <c r="G34" s="152"/>
    </row>
    <row r="35" spans="1:15" ht="16.5" customHeight="1" x14ac:dyDescent="0.3">
      <c r="A35" s="38"/>
      <c r="B35" s="19"/>
      <c r="C35" s="19"/>
    </row>
    <row r="36" spans="1:15" x14ac:dyDescent="0.3">
      <c r="A36" s="16" t="s">
        <v>9</v>
      </c>
      <c r="B36" s="4"/>
    </row>
    <row r="37" spans="1:15" ht="15.6" x14ac:dyDescent="0.3">
      <c r="A37" s="55">
        <v>1</v>
      </c>
      <c r="B37" s="55">
        <v>2</v>
      </c>
      <c r="C37" s="55">
        <v>3</v>
      </c>
      <c r="D37" s="55">
        <v>4</v>
      </c>
      <c r="E37" s="55">
        <v>5</v>
      </c>
      <c r="F37" s="55">
        <v>6</v>
      </c>
      <c r="G37" s="55">
        <v>7</v>
      </c>
      <c r="H37" s="55">
        <v>8</v>
      </c>
      <c r="I37" s="55">
        <v>9</v>
      </c>
      <c r="J37" s="56">
        <v>10</v>
      </c>
      <c r="K37" s="57">
        <v>11</v>
      </c>
      <c r="L37" s="113">
        <v>12</v>
      </c>
      <c r="M37" s="55">
        <v>13</v>
      </c>
      <c r="N37" s="55">
        <v>14</v>
      </c>
      <c r="O37" s="55">
        <v>15</v>
      </c>
    </row>
    <row r="38" spans="1:15" ht="75.599999999999994" customHeight="1" x14ac:dyDescent="0.3">
      <c r="A38" s="55"/>
      <c r="B38" s="81" t="s">
        <v>2</v>
      </c>
      <c r="C38" s="81" t="s">
        <v>3</v>
      </c>
      <c r="D38" s="35" t="s">
        <v>10</v>
      </c>
      <c r="E38" s="35" t="s">
        <v>11</v>
      </c>
      <c r="F38" s="35" t="s">
        <v>12</v>
      </c>
      <c r="G38" s="36" t="s">
        <v>13</v>
      </c>
      <c r="H38" s="35" t="s">
        <v>14</v>
      </c>
      <c r="I38" s="35" t="s">
        <v>15</v>
      </c>
      <c r="J38" s="82" t="s">
        <v>16</v>
      </c>
      <c r="K38" s="40" t="s">
        <v>17</v>
      </c>
      <c r="L38" s="83" t="s">
        <v>18</v>
      </c>
      <c r="M38" s="1"/>
      <c r="N38" s="1"/>
      <c r="O38" s="1"/>
    </row>
    <row r="39" spans="1:15" ht="15.6" x14ac:dyDescent="0.3">
      <c r="A39" s="55">
        <v>1</v>
      </c>
      <c r="B39" s="46">
        <v>26</v>
      </c>
      <c r="C39" s="46">
        <v>43</v>
      </c>
      <c r="D39" s="47">
        <f>B39*C39</f>
        <v>1118</v>
      </c>
      <c r="E39" s="47">
        <f>B39^2</f>
        <v>676</v>
      </c>
      <c r="F39" s="47">
        <f>C39^2</f>
        <v>1849</v>
      </c>
      <c r="G39" s="48">
        <f t="shared" ref="G39:G48" si="0">B$62+B$63*B39</f>
        <v>41.345791001451367</v>
      </c>
      <c r="H39" s="47">
        <f>C39-G39</f>
        <v>1.6542089985486328</v>
      </c>
      <c r="I39" s="47">
        <f>H39^2</f>
        <v>2.7364074108792704</v>
      </c>
      <c r="J39" s="49">
        <f>ABS((C39-G39)/C39*100)</f>
        <v>3.846997671043332</v>
      </c>
      <c r="K39" s="21">
        <f>(G39-C$50)^2</f>
        <v>40.375971997236455</v>
      </c>
      <c r="L39" s="84">
        <f t="shared" ref="L39:L48" si="1">(C39-C$50)^2</f>
        <v>22.090000000000028</v>
      </c>
      <c r="M39" s="1"/>
      <c r="N39" s="1"/>
      <c r="O39" s="1"/>
    </row>
    <row r="40" spans="1:15" ht="15.6" x14ac:dyDescent="0.3">
      <c r="A40" s="55">
        <v>2</v>
      </c>
      <c r="B40" s="46">
        <v>18</v>
      </c>
      <c r="C40" s="46">
        <v>28</v>
      </c>
      <c r="D40" s="47">
        <f t="shared" ref="D40:D48" si="2">B40*C40</f>
        <v>504</v>
      </c>
      <c r="E40" s="47">
        <f t="shared" ref="E40:E48" si="3">B40^2</f>
        <v>324</v>
      </c>
      <c r="F40" s="47">
        <f t="shared" ref="F40:F48" si="4">C40^2</f>
        <v>784</v>
      </c>
      <c r="G40" s="48">
        <f t="shared" si="0"/>
        <v>30.294992743105919</v>
      </c>
      <c r="H40" s="47">
        <f t="shared" ref="H40:H48" si="5">C40-G40</f>
        <v>-2.2949927431059187</v>
      </c>
      <c r="I40" s="47">
        <f t="shared" ref="I40:I48" si="6">H40^2</f>
        <v>5.2669916909088297</v>
      </c>
      <c r="J40" s="49">
        <f t="shared" ref="J40:J48" si="7">ABS((C40-G40)/C40*100)</f>
        <v>8.1964026539497095</v>
      </c>
      <c r="K40" s="21">
        <f t="shared" ref="K40:K48" si="8">(G40-C$50)^2</f>
        <v>302.93427761253571</v>
      </c>
      <c r="L40" s="84">
        <f t="shared" si="1"/>
        <v>388.09000000000009</v>
      </c>
      <c r="M40" s="1">
        <f>H39</f>
        <v>1.6542089985486328</v>
      </c>
      <c r="N40" s="1">
        <f>M40^2</f>
        <v>2.7364074108792704</v>
      </c>
      <c r="O40" s="1">
        <f>H40*M40</f>
        <v>-3.7963976472496217</v>
      </c>
    </row>
    <row r="41" spans="1:15" ht="15.6" x14ac:dyDescent="0.3">
      <c r="A41" s="55">
        <v>3</v>
      </c>
      <c r="B41" s="46">
        <v>33</v>
      </c>
      <c r="C41" s="46">
        <v>51</v>
      </c>
      <c r="D41" s="47">
        <f t="shared" si="2"/>
        <v>1683</v>
      </c>
      <c r="E41" s="47">
        <f t="shared" si="3"/>
        <v>1089</v>
      </c>
      <c r="F41" s="47">
        <f t="shared" si="4"/>
        <v>2601</v>
      </c>
      <c r="G41" s="48">
        <f t="shared" si="0"/>
        <v>51.015239477503634</v>
      </c>
      <c r="H41" s="47">
        <f t="shared" si="5"/>
        <v>-1.5239477503634191E-2</v>
      </c>
      <c r="I41" s="47">
        <f t="shared" si="6"/>
        <v>2.3224167458377261E-4</v>
      </c>
      <c r="J41" s="49">
        <f t="shared" si="7"/>
        <v>2.9881328438498413E-2</v>
      </c>
      <c r="K41" s="21">
        <f t="shared" si="8"/>
        <v>10.99081279319855</v>
      </c>
      <c r="L41" s="84">
        <f t="shared" si="1"/>
        <v>10.889999999999981</v>
      </c>
      <c r="M41" s="1">
        <f t="shared" ref="M41:M48" si="9">H40</f>
        <v>-2.2949927431059187</v>
      </c>
      <c r="N41" s="1">
        <f t="shared" ref="N41:N48" si="10">M41^2</f>
        <v>5.2669916909088297</v>
      </c>
      <c r="O41" s="1">
        <f t="shared" ref="O41:O47" si="11">H41*M41</f>
        <v>3.4974490279566374E-2</v>
      </c>
    </row>
    <row r="42" spans="1:15" ht="15.6" x14ac:dyDescent="0.3">
      <c r="A42" s="55">
        <v>4</v>
      </c>
      <c r="B42" s="46">
        <v>42</v>
      </c>
      <c r="C42" s="46">
        <v>62</v>
      </c>
      <c r="D42" s="47">
        <f t="shared" si="2"/>
        <v>2604</v>
      </c>
      <c r="E42" s="47">
        <f t="shared" si="3"/>
        <v>1764</v>
      </c>
      <c r="F42" s="47">
        <f t="shared" si="4"/>
        <v>3844</v>
      </c>
      <c r="G42" s="48">
        <f t="shared" si="0"/>
        <v>63.447387518142271</v>
      </c>
      <c r="H42" s="47">
        <f t="shared" si="5"/>
        <v>-1.4473875181422713</v>
      </c>
      <c r="I42" s="47">
        <f t="shared" si="6"/>
        <v>2.0949306276740436</v>
      </c>
      <c r="J42" s="49">
        <f t="shared" si="7"/>
        <v>2.3344959970036632</v>
      </c>
      <c r="K42" s="21">
        <f t="shared" si="8"/>
        <v>247.98021364654292</v>
      </c>
      <c r="L42" s="84">
        <f t="shared" si="1"/>
        <v>204.48999999999992</v>
      </c>
      <c r="M42" s="1">
        <f t="shared" si="9"/>
        <v>-1.5239477503634191E-2</v>
      </c>
      <c r="N42" s="1">
        <f t="shared" si="10"/>
        <v>2.3224167458377261E-4</v>
      </c>
      <c r="O42" s="1">
        <f t="shared" si="11"/>
        <v>2.2057429521770068E-2</v>
      </c>
    </row>
    <row r="43" spans="1:15" ht="15.6" x14ac:dyDescent="0.3">
      <c r="A43" s="55">
        <v>5</v>
      </c>
      <c r="B43" s="46">
        <v>41</v>
      </c>
      <c r="C43" s="46">
        <v>63</v>
      </c>
      <c r="D43" s="47">
        <f t="shared" si="2"/>
        <v>2583</v>
      </c>
      <c r="E43" s="47">
        <f t="shared" si="3"/>
        <v>1681</v>
      </c>
      <c r="F43" s="47">
        <f t="shared" si="4"/>
        <v>3969</v>
      </c>
      <c r="G43" s="48">
        <f t="shared" si="0"/>
        <v>62.066037735849086</v>
      </c>
      <c r="H43" s="47">
        <f t="shared" si="5"/>
        <v>0.93396226415091377</v>
      </c>
      <c r="I43" s="47">
        <f t="shared" si="6"/>
        <v>0.87228551085790118</v>
      </c>
      <c r="J43" s="49">
        <f t="shared" si="7"/>
        <v>1.4824797843665298</v>
      </c>
      <c r="K43" s="21">
        <f t="shared" si="8"/>
        <v>206.38304022783987</v>
      </c>
      <c r="L43" s="84">
        <f t="shared" si="1"/>
        <v>234.08999999999992</v>
      </c>
      <c r="M43" s="1">
        <f t="shared" si="9"/>
        <v>-1.4473875181422713</v>
      </c>
      <c r="N43" s="1">
        <f t="shared" si="10"/>
        <v>2.0949306276740436</v>
      </c>
      <c r="O43" s="1">
        <f t="shared" si="11"/>
        <v>-1.3518053235479275</v>
      </c>
    </row>
    <row r="44" spans="1:15" ht="15.6" x14ac:dyDescent="0.3">
      <c r="A44" s="55">
        <v>6</v>
      </c>
      <c r="B44" s="46">
        <v>44</v>
      </c>
      <c r="C44" s="46">
        <v>67</v>
      </c>
      <c r="D44" s="47">
        <f t="shared" si="2"/>
        <v>2948</v>
      </c>
      <c r="E44" s="47">
        <f t="shared" si="3"/>
        <v>1936</v>
      </c>
      <c r="F44" s="47">
        <f t="shared" si="4"/>
        <v>4489</v>
      </c>
      <c r="G44" s="48">
        <f t="shared" si="0"/>
        <v>66.210087082728634</v>
      </c>
      <c r="H44" s="47">
        <f t="shared" si="5"/>
        <v>0.7899129172713657</v>
      </c>
      <c r="I44" s="47">
        <f t="shared" si="6"/>
        <v>0.62396241687215948</v>
      </c>
      <c r="J44" s="49">
        <f t="shared" si="7"/>
        <v>1.178974503390098</v>
      </c>
      <c r="K44" s="21">
        <f t="shared" si="8"/>
        <v>342.62332381019735</v>
      </c>
      <c r="L44" s="84">
        <f t="shared" si="1"/>
        <v>372.4899999999999</v>
      </c>
      <c r="M44" s="1">
        <f t="shared" si="9"/>
        <v>0.93396226415091377</v>
      </c>
      <c r="N44" s="1">
        <f t="shared" si="10"/>
        <v>0.87228551085790118</v>
      </c>
      <c r="O44" s="1">
        <f t="shared" si="11"/>
        <v>0.73774885669681811</v>
      </c>
    </row>
    <row r="45" spans="1:15" ht="15.6" x14ac:dyDescent="0.3">
      <c r="A45" s="55">
        <v>7</v>
      </c>
      <c r="B45" s="46">
        <v>15</v>
      </c>
      <c r="C45" s="46">
        <v>26</v>
      </c>
      <c r="D45" s="47">
        <f t="shared" si="2"/>
        <v>390</v>
      </c>
      <c r="E45" s="47">
        <f t="shared" si="3"/>
        <v>225</v>
      </c>
      <c r="F45" s="47">
        <f t="shared" si="4"/>
        <v>676</v>
      </c>
      <c r="G45" s="48">
        <f t="shared" si="0"/>
        <v>26.150943396226374</v>
      </c>
      <c r="H45" s="47">
        <f t="shared" si="5"/>
        <v>-0.1509433962263742</v>
      </c>
      <c r="I45" s="47">
        <f t="shared" si="6"/>
        <v>2.2783908864352199E-2</v>
      </c>
      <c r="J45" s="49">
        <f t="shared" si="7"/>
        <v>0.58055152394759313</v>
      </c>
      <c r="K45" s="21">
        <f t="shared" si="8"/>
        <v>464.36184051263984</v>
      </c>
      <c r="L45" s="84">
        <f t="shared" si="1"/>
        <v>470.8900000000001</v>
      </c>
      <c r="M45" s="1">
        <f t="shared" si="9"/>
        <v>0.7899129172713657</v>
      </c>
      <c r="N45" s="1">
        <f t="shared" si="10"/>
        <v>0.62396241687215948</v>
      </c>
      <c r="O45" s="1">
        <f t="shared" si="11"/>
        <v>-0.1192321384560229</v>
      </c>
    </row>
    <row r="46" spans="1:15" ht="15.6" x14ac:dyDescent="0.3">
      <c r="A46" s="55">
        <v>8</v>
      </c>
      <c r="B46" s="46">
        <v>27</v>
      </c>
      <c r="C46" s="46">
        <v>43</v>
      </c>
      <c r="D46" s="47">
        <f t="shared" si="2"/>
        <v>1161</v>
      </c>
      <c r="E46" s="47">
        <f t="shared" si="3"/>
        <v>729</v>
      </c>
      <c r="F46" s="47">
        <f t="shared" si="4"/>
        <v>1849</v>
      </c>
      <c r="G46" s="48">
        <f t="shared" si="0"/>
        <v>42.727140783744552</v>
      </c>
      <c r="H46" s="47">
        <f t="shared" si="5"/>
        <v>0.27285921625544773</v>
      </c>
      <c r="I46" s="47">
        <f t="shared" si="6"/>
        <v>7.4452151895537194E-2</v>
      </c>
      <c r="J46" s="49">
        <f t="shared" si="7"/>
        <v>0.6345563168731343</v>
      </c>
      <c r="K46" s="21">
        <f t="shared" si="8"/>
        <v>24.729328784696776</v>
      </c>
      <c r="L46" s="84">
        <f t="shared" si="1"/>
        <v>22.090000000000028</v>
      </c>
      <c r="M46" s="1">
        <f t="shared" si="9"/>
        <v>-0.1509433962263742</v>
      </c>
      <c r="N46" s="1">
        <f t="shared" si="10"/>
        <v>2.2783908864352199E-2</v>
      </c>
      <c r="O46" s="1">
        <f t="shared" si="11"/>
        <v>-4.1186296793263973E-2</v>
      </c>
    </row>
    <row r="47" spans="1:15" ht="15.6" x14ac:dyDescent="0.3">
      <c r="A47" s="55">
        <v>9</v>
      </c>
      <c r="B47" s="46">
        <v>41</v>
      </c>
      <c r="C47" s="46">
        <v>61</v>
      </c>
      <c r="D47" s="47">
        <f t="shared" si="2"/>
        <v>2501</v>
      </c>
      <c r="E47" s="47">
        <f t="shared" si="3"/>
        <v>1681</v>
      </c>
      <c r="F47" s="47">
        <f t="shared" si="4"/>
        <v>3721</v>
      </c>
      <c r="G47" s="48">
        <f t="shared" si="0"/>
        <v>62.066037735849086</v>
      </c>
      <c r="H47" s="47">
        <f t="shared" si="5"/>
        <v>-1.0660377358490862</v>
      </c>
      <c r="I47" s="47">
        <f t="shared" si="6"/>
        <v>1.1364364542542462</v>
      </c>
      <c r="J47" s="49">
        <f t="shared" si="7"/>
        <v>1.7476028456542398</v>
      </c>
      <c r="K47" s="21">
        <f t="shared" si="8"/>
        <v>206.38304022783987</v>
      </c>
      <c r="L47" s="84">
        <f t="shared" si="1"/>
        <v>176.88999999999993</v>
      </c>
      <c r="M47" s="1">
        <f t="shared" si="9"/>
        <v>0.27285921625544773</v>
      </c>
      <c r="N47" s="1">
        <f t="shared" si="10"/>
        <v>7.4452151895537194E-2</v>
      </c>
      <c r="O47" s="1">
        <f t="shared" si="11"/>
        <v>-0.29087822110251371</v>
      </c>
    </row>
    <row r="48" spans="1:15" ht="15.6" x14ac:dyDescent="0.3">
      <c r="A48" s="55">
        <v>10</v>
      </c>
      <c r="B48" s="46">
        <v>19</v>
      </c>
      <c r="C48" s="46">
        <v>33</v>
      </c>
      <c r="D48" s="47">
        <f t="shared" si="2"/>
        <v>627</v>
      </c>
      <c r="E48" s="47">
        <f t="shared" si="3"/>
        <v>361</v>
      </c>
      <c r="F48" s="47">
        <f t="shared" si="4"/>
        <v>1089</v>
      </c>
      <c r="G48" s="48">
        <f t="shared" si="0"/>
        <v>31.6763425253991</v>
      </c>
      <c r="H48" s="47">
        <f t="shared" si="5"/>
        <v>1.3236574746008998</v>
      </c>
      <c r="I48" s="47">
        <f t="shared" si="6"/>
        <v>1.7520691100668315</v>
      </c>
      <c r="J48" s="49">
        <f t="shared" si="7"/>
        <v>4.011083256366363</v>
      </c>
      <c r="K48" s="21">
        <f t="shared" si="8"/>
        <v>256.75759886333338</v>
      </c>
      <c r="L48" s="84">
        <f t="shared" si="1"/>
        <v>216.09000000000009</v>
      </c>
      <c r="M48" s="1">
        <f t="shared" si="9"/>
        <v>-1.0660377358490862</v>
      </c>
      <c r="N48" s="1">
        <f t="shared" si="10"/>
        <v>1.1364364542542462</v>
      </c>
      <c r="O48" s="1">
        <f>H48*M48</f>
        <v>-1.4110688172632626</v>
      </c>
    </row>
    <row r="49" spans="1:17" ht="15.6" x14ac:dyDescent="0.3">
      <c r="A49" s="108" t="s">
        <v>19</v>
      </c>
      <c r="B49" s="47">
        <f>SUM(B39:B48)</f>
        <v>306</v>
      </c>
      <c r="C49" s="47">
        <f>SUM(C39:C48)</f>
        <v>477</v>
      </c>
      <c r="D49" s="47">
        <f t="shared" ref="D49:E49" si="12">SUM(D39:D48)</f>
        <v>16119</v>
      </c>
      <c r="E49" s="47">
        <f t="shared" si="12"/>
        <v>10466</v>
      </c>
      <c r="F49" s="47">
        <f>SUM(F39:F48)</f>
        <v>24871</v>
      </c>
      <c r="G49" s="47">
        <f>SUM(G39:G48)</f>
        <v>477</v>
      </c>
      <c r="H49" s="50">
        <f t="shared" ref="H49:O49" si="13">SUM(H39:H48)</f>
        <v>-2.4868995751603507E-14</v>
      </c>
      <c r="I49" s="86">
        <f t="shared" si="13"/>
        <v>14.580551523947753</v>
      </c>
      <c r="J49" s="51">
        <f t="shared" si="13"/>
        <v>24.043025881033163</v>
      </c>
      <c r="K49" s="114">
        <f t="shared" si="13"/>
        <v>2103.5194484760605</v>
      </c>
      <c r="L49" s="115">
        <f t="shared" si="13"/>
        <v>2118.1</v>
      </c>
      <c r="M49" s="86">
        <f t="shared" si="13"/>
        <v>-1.3236574746009246</v>
      </c>
      <c r="N49" s="86">
        <f t="shared" si="13"/>
        <v>12.828482413880922</v>
      </c>
      <c r="O49" s="86">
        <f t="shared" si="13"/>
        <v>-6.2157876679144577</v>
      </c>
    </row>
    <row r="50" spans="1:17" ht="15.6" x14ac:dyDescent="0.3">
      <c r="A50" s="108" t="s">
        <v>20</v>
      </c>
      <c r="B50" s="47">
        <f>AVERAGE(B39:B48)</f>
        <v>30.6</v>
      </c>
      <c r="C50" s="47">
        <f>AVERAGE(C39:C48)</f>
        <v>47.7</v>
      </c>
      <c r="D50" s="47">
        <f t="shared" ref="D50:O50" si="14">AVERAGE(D39:D48)</f>
        <v>1611.9</v>
      </c>
      <c r="E50" s="47">
        <f t="shared" si="14"/>
        <v>1046.5999999999999</v>
      </c>
      <c r="F50" s="47">
        <f t="shared" si="14"/>
        <v>2487.1</v>
      </c>
      <c r="G50" s="47">
        <f t="shared" si="14"/>
        <v>47.7</v>
      </c>
      <c r="H50" s="50">
        <f t="shared" si="14"/>
        <v>-2.4868995751603505E-15</v>
      </c>
      <c r="I50" s="47">
        <f t="shared" si="14"/>
        <v>1.4580551523947753</v>
      </c>
      <c r="J50" s="51">
        <f t="shared" si="14"/>
        <v>2.4043025881033162</v>
      </c>
      <c r="K50" s="51">
        <f t="shared" si="14"/>
        <v>210.35194484760603</v>
      </c>
      <c r="L50" s="85">
        <f t="shared" si="14"/>
        <v>211.81</v>
      </c>
      <c r="M50" s="47">
        <f t="shared" si="14"/>
        <v>-0.14707305273343607</v>
      </c>
      <c r="N50" s="47">
        <f t="shared" si="14"/>
        <v>1.425386934875658</v>
      </c>
      <c r="O50" s="47">
        <f t="shared" si="14"/>
        <v>-0.69064307421271753</v>
      </c>
    </row>
    <row r="51" spans="1:17" ht="15.6" x14ac:dyDescent="0.3">
      <c r="A51" s="109" t="s">
        <v>21</v>
      </c>
      <c r="B51" s="47">
        <f>SQRT(B53)</f>
        <v>10.49952379872534</v>
      </c>
      <c r="C51" s="47">
        <f>SQRT(C53)</f>
        <v>14.553693689232279</v>
      </c>
      <c r="D51" s="47"/>
      <c r="E51" s="47"/>
      <c r="F51" s="47"/>
      <c r="G51" s="47"/>
      <c r="H51" s="47"/>
      <c r="I51" s="47"/>
      <c r="J51" s="51"/>
      <c r="K51" s="21"/>
      <c r="L51" s="58"/>
    </row>
    <row r="52" spans="1:17" ht="17.25" customHeight="1" x14ac:dyDescent="0.3">
      <c r="A52" s="109" t="s">
        <v>22</v>
      </c>
      <c r="B52" s="47">
        <f>_xlfn.VAR.P(B39:B48)</f>
        <v>110.24</v>
      </c>
      <c r="C52" s="47">
        <f>_xlfn.VAR.P(C39:C48)</f>
        <v>211.81</v>
      </c>
      <c r="D52" s="47"/>
      <c r="E52" s="47"/>
      <c r="F52" s="47"/>
      <c r="G52" s="47"/>
      <c r="H52" s="47"/>
      <c r="I52" s="47"/>
      <c r="J52" s="51"/>
      <c r="K52" s="21"/>
      <c r="L52" s="21"/>
    </row>
    <row r="53" spans="1:17" ht="57" customHeight="1" x14ac:dyDescent="0.3">
      <c r="A53" s="5"/>
      <c r="B53" s="47">
        <f>E50-B50^2</f>
        <v>110.23999999999978</v>
      </c>
      <c r="C53" s="47">
        <f>F50-C50^2</f>
        <v>211.80999999999949</v>
      </c>
      <c r="D53" s="47"/>
      <c r="E53" s="47"/>
      <c r="F53" s="47"/>
      <c r="G53" s="47"/>
      <c r="H53" s="47"/>
      <c r="I53" s="47"/>
      <c r="J53" s="51"/>
      <c r="K53" s="21"/>
      <c r="L53" s="21"/>
    </row>
    <row r="54" spans="1:17" ht="23.25" customHeight="1" x14ac:dyDescent="0.3">
      <c r="A54" s="107" t="s">
        <v>23</v>
      </c>
      <c r="B54" s="47">
        <f>_xlfn.COVARIANCE.P(B39:B48,C39:C48)</f>
        <v>152.28</v>
      </c>
      <c r="C54" s="47"/>
      <c r="D54" s="47"/>
      <c r="E54" s="47"/>
      <c r="F54" s="47"/>
      <c r="G54" s="47"/>
      <c r="H54" s="47"/>
      <c r="I54" s="47"/>
      <c r="J54" s="51"/>
      <c r="K54" s="21"/>
      <c r="L54" s="21"/>
    </row>
    <row r="55" spans="1:17" ht="24.75" customHeight="1" x14ac:dyDescent="0.3">
      <c r="A55" s="5"/>
      <c r="B55" s="47">
        <f>D50-B50*C50</f>
        <v>152.27999999999997</v>
      </c>
      <c r="C55" s="47"/>
      <c r="D55" s="47"/>
      <c r="E55" s="47"/>
      <c r="F55" s="47"/>
      <c r="G55" s="47"/>
      <c r="H55" s="47"/>
      <c r="I55" s="47"/>
      <c r="J55" s="51"/>
      <c r="K55" s="21"/>
      <c r="L55" s="21"/>
    </row>
    <row r="56" spans="1:17" ht="21" customHeight="1" x14ac:dyDescent="0.3">
      <c r="A56" s="116" t="s">
        <v>140</v>
      </c>
      <c r="B56" s="48">
        <f>CORREL(B39:B48,C39:C48)</f>
        <v>0.99655216216910536</v>
      </c>
      <c r="C56" s="47"/>
      <c r="D56" s="47"/>
      <c r="E56" s="47"/>
      <c r="F56" s="47"/>
      <c r="G56" s="47"/>
      <c r="H56" s="47"/>
      <c r="I56" s="47"/>
      <c r="J56" s="51"/>
      <c r="K56" s="21"/>
      <c r="L56" s="21"/>
    </row>
    <row r="57" spans="1:17" ht="35.25" customHeight="1" x14ac:dyDescent="0.3">
      <c r="A57" s="5"/>
      <c r="B57" s="48">
        <f>B54/(B51*C51)</f>
        <v>0.99655216216910758</v>
      </c>
      <c r="C57" s="47"/>
      <c r="D57" s="47"/>
      <c r="E57" s="47"/>
      <c r="F57" s="47"/>
      <c r="G57" s="47"/>
      <c r="H57" s="47"/>
      <c r="I57" s="47"/>
      <c r="J57" s="51"/>
      <c r="K57" s="21"/>
      <c r="L57" s="21"/>
    </row>
    <row r="58" spans="1:17" ht="35.25" customHeight="1" x14ac:dyDescent="0.3">
      <c r="A58" s="5"/>
      <c r="B58" s="48">
        <f>B63*B51/C51</f>
        <v>0.99655216216910758</v>
      </c>
      <c r="C58" s="47"/>
      <c r="D58" s="47"/>
      <c r="E58" s="47"/>
      <c r="F58" s="47"/>
      <c r="G58" s="47"/>
      <c r="H58" s="47"/>
      <c r="I58" s="47"/>
      <c r="J58" s="51"/>
      <c r="K58" s="21"/>
      <c r="L58" s="21"/>
    </row>
    <row r="59" spans="1:17" ht="21.75" customHeight="1" x14ac:dyDescent="0.3">
      <c r="A59" s="33" t="s">
        <v>24</v>
      </c>
      <c r="B59" s="47">
        <f>B56^2</f>
        <v>0.99311621192391886</v>
      </c>
      <c r="C59" s="47"/>
      <c r="D59" s="47"/>
      <c r="E59" s="47"/>
      <c r="F59" s="47"/>
      <c r="G59" s="47"/>
      <c r="H59" s="47"/>
      <c r="I59" s="47"/>
      <c r="J59" s="51"/>
      <c r="K59" s="21"/>
      <c r="L59" s="21"/>
    </row>
    <row r="60" spans="1:17" ht="39.75" customHeight="1" x14ac:dyDescent="0.3">
      <c r="A60" s="6"/>
      <c r="B60" s="47">
        <f>1-B61/C52</f>
        <v>0.99311621192391875</v>
      </c>
      <c r="C60" s="47"/>
      <c r="D60" s="47"/>
      <c r="E60" s="47"/>
      <c r="F60" s="47"/>
      <c r="G60" s="47"/>
      <c r="H60" s="47"/>
      <c r="I60" s="47"/>
      <c r="J60" s="51"/>
      <c r="K60" s="21"/>
      <c r="L60" s="21"/>
    </row>
    <row r="61" spans="1:17" ht="30" customHeight="1" x14ac:dyDescent="0.3">
      <c r="A61" s="6"/>
      <c r="B61" s="47">
        <f>I49/10</f>
        <v>1.4580551523947753</v>
      </c>
      <c r="C61" s="47"/>
      <c r="D61" s="47"/>
      <c r="E61" s="47"/>
      <c r="F61" s="47"/>
      <c r="G61" s="47"/>
      <c r="H61" s="47"/>
      <c r="I61" s="47"/>
      <c r="J61" s="51"/>
      <c r="K61" s="21"/>
      <c r="L61" s="21"/>
    </row>
    <row r="62" spans="1:17" ht="26.25" customHeight="1" x14ac:dyDescent="0.3">
      <c r="A62" s="105" t="s">
        <v>25</v>
      </c>
      <c r="B62" s="52">
        <f>C50-B63*B50</f>
        <v>5.4306966618286552</v>
      </c>
      <c r="C62" s="47"/>
      <c r="D62" s="47"/>
      <c r="E62" s="47"/>
      <c r="F62" s="47"/>
      <c r="G62" s="47"/>
      <c r="H62" s="47"/>
      <c r="I62" s="47"/>
      <c r="J62" s="51"/>
      <c r="K62" s="53"/>
      <c r="L62" s="53"/>
      <c r="M62" s="34"/>
      <c r="N62" s="34"/>
      <c r="O62" s="34"/>
      <c r="P62" s="34"/>
      <c r="Q62" s="34"/>
    </row>
    <row r="63" spans="1:17" ht="36" customHeight="1" x14ac:dyDescent="0.3">
      <c r="A63" s="106"/>
      <c r="B63" s="54">
        <f>B54/B53</f>
        <v>1.3813497822931813</v>
      </c>
      <c r="C63" s="47"/>
      <c r="D63" s="47"/>
      <c r="E63" s="47"/>
      <c r="F63" s="47"/>
      <c r="G63" s="47"/>
      <c r="H63" s="47"/>
      <c r="I63" s="47"/>
      <c r="J63" s="51"/>
      <c r="K63" s="53"/>
      <c r="L63" s="53"/>
      <c r="M63" s="34"/>
      <c r="N63" s="34"/>
      <c r="O63" s="34"/>
      <c r="P63" s="34"/>
      <c r="Q63" s="34"/>
    </row>
    <row r="65" spans="1:7" ht="83.25" customHeight="1" x14ac:dyDescent="0.3">
      <c r="A65" s="147" t="s">
        <v>26</v>
      </c>
      <c r="B65" s="142"/>
      <c r="C65" s="142"/>
    </row>
    <row r="68" spans="1:7" ht="30.6" customHeight="1" x14ac:dyDescent="0.3">
      <c r="A68" s="148" t="s">
        <v>35</v>
      </c>
      <c r="B68" s="148"/>
      <c r="C68" s="148"/>
      <c r="D68" s="148"/>
      <c r="E68" s="148"/>
      <c r="F68" s="110"/>
      <c r="G68" s="110"/>
    </row>
    <row r="86" spans="1:12" ht="15" customHeight="1" x14ac:dyDescent="0.3">
      <c r="A86" s="149" t="s">
        <v>36</v>
      </c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</row>
    <row r="88" spans="1:12" ht="39.75" customHeight="1" x14ac:dyDescent="0.3">
      <c r="A88" s="7" t="s">
        <v>37</v>
      </c>
      <c r="B88" s="21">
        <f>SQRT(I49/8)</f>
        <v>1.3500255332746374</v>
      </c>
    </row>
    <row r="89" spans="1:12" ht="27" customHeight="1" x14ac:dyDescent="0.3">
      <c r="A89" s="15" t="s">
        <v>38</v>
      </c>
      <c r="B89" s="22">
        <f>B57^2</f>
        <v>0.9931162119239233</v>
      </c>
    </row>
    <row r="90" spans="1:12" ht="36.75" customHeight="1" x14ac:dyDescent="0.3">
      <c r="A90" s="14"/>
      <c r="B90" s="22">
        <f>1-B91/C52</f>
        <v>0.99311621192391875</v>
      </c>
    </row>
    <row r="91" spans="1:12" ht="36.75" customHeight="1" x14ac:dyDescent="0.3">
      <c r="A91" s="3"/>
      <c r="B91" s="21">
        <f>I49/10</f>
        <v>1.4580551523947753</v>
      </c>
    </row>
    <row r="93" spans="1:12" ht="35.25" customHeight="1" x14ac:dyDescent="0.3">
      <c r="A93" s="141" t="s">
        <v>39</v>
      </c>
      <c r="B93" s="142"/>
      <c r="C93" s="142"/>
      <c r="D93" s="142"/>
      <c r="E93" s="142"/>
      <c r="F93" s="142"/>
    </row>
    <row r="95" spans="1:12" x14ac:dyDescent="0.3">
      <c r="A95" s="150" t="s">
        <v>40</v>
      </c>
      <c r="B95" s="150"/>
    </row>
    <row r="96" spans="1:12" x14ac:dyDescent="0.3">
      <c r="B96" s="8"/>
      <c r="C96" s="8"/>
    </row>
    <row r="97" spans="1:11" x14ac:dyDescent="0.3">
      <c r="A97" s="10" t="s">
        <v>41</v>
      </c>
      <c r="B97" s="18" cm="1">
        <f t="array" ref="B97:C101">LINEST(C39:C48,B39:B48,1,1)</f>
        <v>1.3813497822931782</v>
      </c>
      <c r="C97" s="18">
        <v>5.4306966618287476</v>
      </c>
      <c r="D97" s="3" t="s">
        <v>42</v>
      </c>
    </row>
    <row r="98" spans="1:11" x14ac:dyDescent="0.3">
      <c r="A98" s="11" t="s">
        <v>43</v>
      </c>
      <c r="B98" s="18">
        <v>4.0660468668584381E-2</v>
      </c>
      <c r="C98" s="18">
        <v>1.3154148651069717</v>
      </c>
      <c r="D98" s="13" t="s">
        <v>44</v>
      </c>
    </row>
    <row r="99" spans="1:11" x14ac:dyDescent="0.3">
      <c r="A99" s="9" t="s">
        <v>45</v>
      </c>
      <c r="B99" s="18">
        <v>0.99311621192391875</v>
      </c>
      <c r="C99" s="18">
        <v>1.3500255332746351</v>
      </c>
      <c r="D99" s="3" t="s">
        <v>46</v>
      </c>
    </row>
    <row r="100" spans="1:11" x14ac:dyDescent="0.3">
      <c r="A100" s="12" t="s">
        <v>47</v>
      </c>
      <c r="B100" s="18">
        <v>1154.1508261994861</v>
      </c>
      <c r="C100" s="18">
        <v>8</v>
      </c>
      <c r="D100" s="3" t="s">
        <v>48</v>
      </c>
    </row>
    <row r="101" spans="1:11" ht="47.25" customHeight="1" x14ac:dyDescent="0.3">
      <c r="A101" s="92" t="s">
        <v>49</v>
      </c>
      <c r="B101" s="21">
        <v>2103.5194484760523</v>
      </c>
      <c r="C101" s="21">
        <v>14.580551523947705</v>
      </c>
      <c r="D101" s="91" t="s">
        <v>50</v>
      </c>
    </row>
    <row r="103" spans="1:11" ht="28.8" customHeight="1" x14ac:dyDescent="0.3">
      <c r="A103" s="151" t="s">
        <v>51</v>
      </c>
      <c r="B103" s="151"/>
      <c r="C103" s="151"/>
      <c r="D103" s="151"/>
      <c r="E103" s="20"/>
      <c r="F103" s="20"/>
      <c r="G103" s="20"/>
      <c r="H103" s="20"/>
      <c r="I103" s="20"/>
      <c r="J103" s="20"/>
    </row>
    <row r="105" spans="1:11" ht="45" customHeight="1" x14ac:dyDescent="0.3">
      <c r="A105" s="3"/>
      <c r="B105" s="21">
        <f>B88/(B51*SQRT(10))</f>
        <v>4.0660468668584485E-2</v>
      </c>
    </row>
    <row r="106" spans="1:11" ht="43.5" customHeight="1" x14ac:dyDescent="0.3">
      <c r="A106" s="3"/>
      <c r="B106" s="21">
        <f>B88*(SQRT(E49)/(B51*10))</f>
        <v>1.3154148651069753</v>
      </c>
    </row>
    <row r="107" spans="1:11" ht="40.5" customHeight="1" x14ac:dyDescent="0.3">
      <c r="A107" s="3"/>
      <c r="B107" s="21">
        <f>SQRT((1-B89)/8)</f>
        <v>2.9333828756396389E-2</v>
      </c>
    </row>
    <row r="108" spans="1:11" ht="28.8" x14ac:dyDescent="0.3">
      <c r="D108" s="89" t="s">
        <v>127</v>
      </c>
      <c r="E108" s="68" t="s">
        <v>128</v>
      </c>
      <c r="F108" s="68" t="s">
        <v>129</v>
      </c>
      <c r="H108" s="140" t="s">
        <v>141</v>
      </c>
      <c r="I108" s="140"/>
      <c r="J108" s="140"/>
    </row>
    <row r="109" spans="1:11" ht="41.25" customHeight="1" x14ac:dyDescent="0.3">
      <c r="A109" s="3"/>
      <c r="B109" s="21">
        <f>B97/B105</f>
        <v>33.972795383946249</v>
      </c>
      <c r="D109" s="90" t="s">
        <v>132</v>
      </c>
      <c r="E109" s="46">
        <f>B97-B112*B105</f>
        <v>1.2875865734040828</v>
      </c>
      <c r="F109" s="46">
        <f>B97-B113*B105</f>
        <v>1.3057396875754252</v>
      </c>
      <c r="G109" t="s">
        <v>52</v>
      </c>
      <c r="H109" s="95">
        <f>E109</f>
        <v>1.2875865734040828</v>
      </c>
      <c r="I109" s="103" t="s">
        <v>135</v>
      </c>
      <c r="J109" s="96">
        <f>E110</f>
        <v>1.4751129911822736</v>
      </c>
      <c r="K109" s="94" t="s">
        <v>128</v>
      </c>
    </row>
    <row r="110" spans="1:11" ht="40.5" customHeight="1" x14ac:dyDescent="0.3">
      <c r="A110" s="3"/>
      <c r="B110" s="21">
        <f>C97/B106</f>
        <v>4.1285048587215867</v>
      </c>
      <c r="D110" s="46" t="s">
        <v>133</v>
      </c>
      <c r="E110" s="46">
        <f>B97+B112*B105</f>
        <v>1.4751129911822736</v>
      </c>
      <c r="F110" s="46">
        <f>B97+B113*B105</f>
        <v>1.4569598770109311</v>
      </c>
      <c r="H110" s="97">
        <f>F109</f>
        <v>1.3057396875754252</v>
      </c>
      <c r="I110" s="104" t="s">
        <v>135</v>
      </c>
      <c r="J110" s="98">
        <f>F110</f>
        <v>1.4569598770109311</v>
      </c>
      <c r="K110" s="94" t="s">
        <v>106</v>
      </c>
    </row>
    <row r="111" spans="1:11" ht="41.25" customHeight="1" x14ac:dyDescent="0.3">
      <c r="A111" s="14"/>
      <c r="B111" s="22">
        <f>B56/B107</f>
        <v>33.972795383957582</v>
      </c>
      <c r="D111" s="46" t="s">
        <v>130</v>
      </c>
      <c r="E111" s="46">
        <f>C97-B112*B106</f>
        <v>2.3973445433830309</v>
      </c>
      <c r="F111" s="46">
        <f>C97-B113*B106</f>
        <v>2.9846195308801007</v>
      </c>
      <c r="H111" s="97">
        <f>E111</f>
        <v>2.3973445433830309</v>
      </c>
      <c r="I111" s="99" t="s">
        <v>136</v>
      </c>
      <c r="J111" s="98">
        <f>E112</f>
        <v>8.4640487802744637</v>
      </c>
      <c r="K111" s="94" t="s">
        <v>128</v>
      </c>
    </row>
    <row r="112" spans="1:11" ht="39" customHeight="1" x14ac:dyDescent="0.3">
      <c r="A112" s="64" t="s">
        <v>88</v>
      </c>
      <c r="B112" s="22">
        <f>_xlfn.T.INV.2T(0.05,8)</f>
        <v>2.3060041352041671</v>
      </c>
      <c r="D112" s="46" t="s">
        <v>131</v>
      </c>
      <c r="E112" s="46">
        <f>C97+B106*B112</f>
        <v>8.4640487802744637</v>
      </c>
      <c r="F112" s="46">
        <f>C97+B113*B106</f>
        <v>7.876773792777394</v>
      </c>
      <c r="H112" s="100">
        <f>F111</f>
        <v>2.9846195308801007</v>
      </c>
      <c r="I112" s="101" t="s">
        <v>136</v>
      </c>
      <c r="J112" s="102">
        <f>F112</f>
        <v>7.876773792777394</v>
      </c>
      <c r="K112" s="94" t="s">
        <v>106</v>
      </c>
    </row>
    <row r="113" spans="1:4" ht="36" customHeight="1" x14ac:dyDescent="0.3">
      <c r="A113" s="65" t="s">
        <v>89</v>
      </c>
      <c r="B113" s="66">
        <f>_xlfn.T.INV.2T(0.1,8)</f>
        <v>1.8595480375308981</v>
      </c>
      <c r="C113" t="s">
        <v>91</v>
      </c>
    </row>
    <row r="115" spans="1:4" ht="33" customHeight="1" x14ac:dyDescent="0.3">
      <c r="A115" s="155" t="s">
        <v>90</v>
      </c>
      <c r="B115" s="141"/>
      <c r="C115" s="141"/>
    </row>
    <row r="118" spans="1:4" ht="51.75" customHeight="1" x14ac:dyDescent="0.3">
      <c r="A118" s="153" t="s">
        <v>53</v>
      </c>
      <c r="B118" s="154"/>
      <c r="C118" s="154"/>
      <c r="D118" s="154"/>
    </row>
    <row r="119" spans="1:4" ht="21.75" customHeight="1" x14ac:dyDescent="0.3">
      <c r="A119" s="23"/>
      <c r="B119" s="24"/>
      <c r="C119" s="24"/>
      <c r="D119" s="24"/>
    </row>
    <row r="120" spans="1:4" ht="43.5" customHeight="1" x14ac:dyDescent="0.3">
      <c r="A120" s="3"/>
      <c r="B120" s="21">
        <f>B90/(1-B90)*8</f>
        <v>1154.1508261994861</v>
      </c>
    </row>
    <row r="121" spans="1:4" ht="54.75" customHeight="1" x14ac:dyDescent="0.3">
      <c r="A121" s="3"/>
      <c r="B121" s="21">
        <f>B122/B123</f>
        <v>1154.1508261994868</v>
      </c>
    </row>
    <row r="122" spans="1:4" ht="42" customHeight="1" x14ac:dyDescent="0.3">
      <c r="A122" s="3"/>
      <c r="B122" s="21">
        <f>K49</f>
        <v>2103.5194484760605</v>
      </c>
    </row>
    <row r="123" spans="1:4" ht="44.4" customHeight="1" x14ac:dyDescent="0.3">
      <c r="A123" s="3"/>
      <c r="B123" s="21">
        <f>I49/8</f>
        <v>1.8225689404934691</v>
      </c>
    </row>
    <row r="124" spans="1:4" ht="31.5" customHeight="1" x14ac:dyDescent="0.3">
      <c r="A124" s="117" t="s">
        <v>94</v>
      </c>
      <c r="B124" s="22">
        <f>_xlfn.F.INV.RT(0.05,1,8)</f>
        <v>5.3176550715787174</v>
      </c>
    </row>
    <row r="125" spans="1:4" ht="31.5" customHeight="1" x14ac:dyDescent="0.3">
      <c r="A125" s="118" t="s">
        <v>95</v>
      </c>
      <c r="B125" s="67">
        <f>_xlfn.F.INV.RT(0.1,1,8)</f>
        <v>3.4579189038850133</v>
      </c>
      <c r="C125" t="s">
        <v>96</v>
      </c>
    </row>
    <row r="127" spans="1:4" ht="30.75" customHeight="1" x14ac:dyDescent="0.3">
      <c r="A127" s="147" t="s">
        <v>54</v>
      </c>
      <c r="B127" s="147"/>
    </row>
    <row r="129" spans="1:13" x14ac:dyDescent="0.3">
      <c r="A129" s="3" t="s">
        <v>55</v>
      </c>
      <c r="B129" s="21">
        <f>J50</f>
        <v>2.4043025881033162</v>
      </c>
    </row>
    <row r="131" spans="1:13" ht="31.5" customHeight="1" x14ac:dyDescent="0.3">
      <c r="A131" s="141" t="s">
        <v>56</v>
      </c>
      <c r="B131" s="142"/>
    </row>
    <row r="132" spans="1:13" ht="15" thickBot="1" x14ac:dyDescent="0.35"/>
    <row r="133" spans="1:13" ht="24" customHeight="1" thickTop="1" x14ac:dyDescent="0.3">
      <c r="A133" s="121" t="s">
        <v>86</v>
      </c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</row>
    <row r="134" spans="1:13" x14ac:dyDescent="0.3">
      <c r="A134" s="4"/>
    </row>
    <row r="135" spans="1:13" ht="16.5" customHeight="1" x14ac:dyDescent="0.3">
      <c r="A135" s="72" t="s">
        <v>27</v>
      </c>
    </row>
    <row r="136" spans="1:13" ht="174.75" customHeight="1" x14ac:dyDescent="0.3"/>
    <row r="138" spans="1:13" ht="51" customHeight="1" x14ac:dyDescent="0.3">
      <c r="A138" s="40" t="s">
        <v>28</v>
      </c>
      <c r="B138" s="42" t="s">
        <v>29</v>
      </c>
      <c r="C138" s="42" t="s">
        <v>30</v>
      </c>
      <c r="D138" s="41" t="s">
        <v>31</v>
      </c>
    </row>
    <row r="139" spans="1:13" ht="15.6" x14ac:dyDescent="0.3">
      <c r="A139" s="43" t="s">
        <v>32</v>
      </c>
      <c r="B139" s="44">
        <f>L49</f>
        <v>2118.1</v>
      </c>
      <c r="C139" s="44">
        <v>9</v>
      </c>
      <c r="D139" s="45">
        <f>B139/C139</f>
        <v>235.34444444444443</v>
      </c>
    </row>
    <row r="140" spans="1:13" ht="15.6" x14ac:dyDescent="0.3">
      <c r="A140" s="43" t="s">
        <v>33</v>
      </c>
      <c r="B140" s="44">
        <f>K49</f>
        <v>2103.5194484760605</v>
      </c>
      <c r="C140" s="44">
        <v>1</v>
      </c>
      <c r="D140" s="45">
        <f t="shared" ref="D140:D141" si="15">B140/C140</f>
        <v>2103.5194484760605</v>
      </c>
    </row>
    <row r="141" spans="1:13" ht="15.6" x14ac:dyDescent="0.3">
      <c r="A141" s="43" t="s">
        <v>34</v>
      </c>
      <c r="B141" s="44">
        <f>I49</f>
        <v>14.580551523947753</v>
      </c>
      <c r="C141" s="44">
        <v>8</v>
      </c>
      <c r="D141" s="45">
        <f t="shared" si="15"/>
        <v>1.8225689404934691</v>
      </c>
    </row>
    <row r="143" spans="1:13" ht="19.2" customHeight="1" x14ac:dyDescent="0.3">
      <c r="A143" s="133" t="s">
        <v>109</v>
      </c>
      <c r="B143" s="133"/>
      <c r="C143" s="133"/>
    </row>
    <row r="145" spans="1:13" ht="193.8" customHeight="1" x14ac:dyDescent="0.3"/>
    <row r="147" spans="1:13" x14ac:dyDescent="0.3">
      <c r="A147" s="69" t="s">
        <v>87</v>
      </c>
      <c r="B147" s="71"/>
      <c r="C147" s="71"/>
      <c r="D147" s="71"/>
      <c r="E147" s="71"/>
      <c r="F147" s="71"/>
      <c r="G147" s="71"/>
    </row>
    <row r="148" spans="1:13" x14ac:dyDescent="0.3">
      <c r="A148" t="s">
        <v>92</v>
      </c>
    </row>
    <row r="150" spans="1:13" x14ac:dyDescent="0.3">
      <c r="A150" s="111" t="s">
        <v>93</v>
      </c>
      <c r="B150" s="69"/>
      <c r="C150" s="69"/>
      <c r="D150" s="69"/>
      <c r="E150" s="69"/>
      <c r="F150" s="69"/>
      <c r="G150" s="69"/>
      <c r="H150" s="71"/>
    </row>
    <row r="151" spans="1:13" x14ac:dyDescent="0.3">
      <c r="A151" t="s">
        <v>97</v>
      </c>
    </row>
    <row r="153" spans="1:13" x14ac:dyDescent="0.3">
      <c r="A153" s="111" t="s">
        <v>98</v>
      </c>
      <c r="B153" s="69"/>
      <c r="C153" s="69"/>
      <c r="D153" s="71"/>
    </row>
    <row r="154" spans="1:13" x14ac:dyDescent="0.3">
      <c r="A154" t="s">
        <v>99</v>
      </c>
    </row>
    <row r="156" spans="1:13" x14ac:dyDescent="0.3">
      <c r="A156" s="111" t="s">
        <v>100</v>
      </c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71"/>
      <c r="M156" s="71"/>
    </row>
    <row r="158" spans="1:13" x14ac:dyDescent="0.3">
      <c r="A158" s="68" t="s">
        <v>101</v>
      </c>
      <c r="B158" s="68">
        <f>MAX(B39:B48)</f>
        <v>44</v>
      </c>
    </row>
    <row r="159" spans="1:13" x14ac:dyDescent="0.3">
      <c r="A159" s="68" t="s">
        <v>102</v>
      </c>
      <c r="B159" s="68">
        <f>B158*0.8</f>
        <v>35.200000000000003</v>
      </c>
    </row>
    <row r="160" spans="1:13" x14ac:dyDescent="0.3">
      <c r="A160" s="68" t="s">
        <v>103</v>
      </c>
      <c r="B160" s="68">
        <f>C97+B97*B159</f>
        <v>54.054208998548624</v>
      </c>
    </row>
    <row r="161" spans="1:5" ht="66" customHeight="1" x14ac:dyDescent="0.3">
      <c r="A161" s="68" t="s">
        <v>104</v>
      </c>
      <c r="B161" s="46">
        <f>C99*SQRT(1.1+((B159-B50)^2)/(10*B52))</f>
        <v>1.4282188579822466</v>
      </c>
    </row>
    <row r="163" spans="1:5" ht="24.6" customHeight="1" x14ac:dyDescent="0.3">
      <c r="A163" s="46"/>
      <c r="B163" s="46" t="s">
        <v>105</v>
      </c>
      <c r="C163" s="46"/>
      <c r="D163" s="46"/>
      <c r="E163" s="46"/>
    </row>
    <row r="164" spans="1:5" x14ac:dyDescent="0.3">
      <c r="A164" s="46" t="s">
        <v>106</v>
      </c>
      <c r="B164" s="46">
        <f>_xlfn.T.INV.2T(0.1,8)</f>
        <v>1.8595480375308981</v>
      </c>
      <c r="C164" s="46">
        <f>B$161*B164</f>
        <v>2.6558415745255073</v>
      </c>
      <c r="D164" s="46">
        <f>B$160-C164</f>
        <v>51.398367424023114</v>
      </c>
      <c r="E164" s="46">
        <f>B$160+C164</f>
        <v>56.710050573074135</v>
      </c>
    </row>
    <row r="165" spans="1:5" x14ac:dyDescent="0.3">
      <c r="A165" s="46" t="s">
        <v>107</v>
      </c>
      <c r="B165" s="46">
        <f>_xlfn.T.INV.2T(0.05,8)</f>
        <v>2.3060041352041671</v>
      </c>
      <c r="C165" s="46">
        <f>B$161*B165</f>
        <v>3.2934785924836336</v>
      </c>
      <c r="D165" s="46">
        <f>B$160-C165</f>
        <v>50.760730406064994</v>
      </c>
      <c r="E165" s="46">
        <f>B$160+C165</f>
        <v>57.347687591032255</v>
      </c>
    </row>
    <row r="167" spans="1:5" ht="27.6" customHeight="1" x14ac:dyDescent="0.3">
      <c r="A167" s="134" t="s">
        <v>137</v>
      </c>
      <c r="B167" s="135"/>
      <c r="C167" s="135"/>
    </row>
    <row r="169" spans="1:5" ht="27.6" customHeight="1" x14ac:dyDescent="0.3"/>
    <row r="170" spans="1:5" x14ac:dyDescent="0.3">
      <c r="A170" s="119">
        <f>D164</f>
        <v>51.398367424023114</v>
      </c>
      <c r="B170" s="8" t="s">
        <v>138</v>
      </c>
      <c r="C170" s="8">
        <f>B160</f>
        <v>54.054208998548624</v>
      </c>
      <c r="D170" s="8" t="s">
        <v>138</v>
      </c>
      <c r="E170" s="8">
        <f>E164</f>
        <v>56.710050573074135</v>
      </c>
    </row>
    <row r="171" spans="1:5" x14ac:dyDescent="0.3">
      <c r="A171" s="119">
        <f>D165</f>
        <v>50.760730406064994</v>
      </c>
      <c r="B171" s="8" t="s">
        <v>138</v>
      </c>
      <c r="C171" s="8">
        <f>B160</f>
        <v>54.054208998548624</v>
      </c>
      <c r="D171" s="8" t="s">
        <v>138</v>
      </c>
      <c r="E171" s="8">
        <f>E165</f>
        <v>57.347687591032255</v>
      </c>
    </row>
    <row r="173" spans="1:5" x14ac:dyDescent="0.3">
      <c r="A173" s="135" t="s">
        <v>110</v>
      </c>
      <c r="B173" s="135"/>
      <c r="C173" s="73"/>
      <c r="D173" s="73"/>
    </row>
    <row r="175" spans="1:5" ht="28.8" customHeight="1" x14ac:dyDescent="0.3">
      <c r="A175" s="139" t="s">
        <v>108</v>
      </c>
      <c r="B175" s="139"/>
    </row>
    <row r="177" spans="1:6" ht="15.6" x14ac:dyDescent="0.3">
      <c r="A177" s="78" t="s">
        <v>111</v>
      </c>
      <c r="B177" s="74"/>
    </row>
    <row r="178" spans="1:6" ht="15.6" x14ac:dyDescent="0.3">
      <c r="A178" s="79" t="s">
        <v>119</v>
      </c>
      <c r="B178" s="74"/>
    </row>
    <row r="180" spans="1:6" ht="15.6" x14ac:dyDescent="0.3">
      <c r="A180" s="138" t="s">
        <v>109</v>
      </c>
      <c r="B180" s="138"/>
      <c r="C180" s="138"/>
    </row>
    <row r="181" spans="1:6" ht="184.2" customHeight="1" x14ac:dyDescent="0.3"/>
    <row r="182" spans="1:6" ht="92.4" customHeight="1" x14ac:dyDescent="0.3">
      <c r="A182" s="136" t="s">
        <v>118</v>
      </c>
      <c r="B182" s="137"/>
      <c r="C182" s="137"/>
      <c r="F182" s="75"/>
    </row>
    <row r="183" spans="1:6" x14ac:dyDescent="0.3">
      <c r="A183" s="63"/>
    </row>
    <row r="184" spans="1:6" ht="15.6" x14ac:dyDescent="0.3">
      <c r="A184" s="129" t="s">
        <v>112</v>
      </c>
      <c r="B184" s="129"/>
      <c r="C184" s="129"/>
    </row>
    <row r="185" spans="1:6" ht="34.799999999999997" customHeight="1" x14ac:dyDescent="0.3">
      <c r="B185" s="76">
        <f>H49</f>
        <v>-2.4868995751603507E-14</v>
      </c>
      <c r="C185" s="94" t="s">
        <v>113</v>
      </c>
    </row>
    <row r="186" spans="1:6" x14ac:dyDescent="0.3">
      <c r="A186" s="77"/>
    </row>
    <row r="187" spans="1:6" ht="36.6" customHeight="1" x14ac:dyDescent="0.3">
      <c r="A187" s="130" t="s">
        <v>117</v>
      </c>
      <c r="B187" s="130"/>
      <c r="C187" s="130"/>
    </row>
    <row r="188" spans="1:6" ht="15" customHeight="1" x14ac:dyDescent="0.3">
      <c r="A188" s="80"/>
      <c r="B188" s="80"/>
      <c r="C188" s="80"/>
    </row>
    <row r="189" spans="1:6" ht="163.80000000000001" customHeight="1" x14ac:dyDescent="0.3">
      <c r="A189" s="80"/>
      <c r="B189" s="80"/>
      <c r="C189" s="80"/>
    </row>
    <row r="190" spans="1:6" x14ac:dyDescent="0.3">
      <c r="A190" s="77"/>
    </row>
    <row r="191" spans="1:6" ht="60" customHeight="1" x14ac:dyDescent="0.3">
      <c r="A191" s="131" t="s">
        <v>114</v>
      </c>
      <c r="B191" s="131"/>
      <c r="C191" s="131"/>
    </row>
    <row r="193" spans="1:14" ht="15.6" x14ac:dyDescent="0.3">
      <c r="A193" s="129" t="s">
        <v>122</v>
      </c>
      <c r="B193" s="129"/>
      <c r="C193" s="129"/>
      <c r="D193" s="129"/>
      <c r="E193" s="129"/>
      <c r="F193" s="129"/>
    </row>
    <row r="194" spans="1:14" ht="22.2" customHeight="1" x14ac:dyDescent="0.3">
      <c r="A194" s="132" t="s">
        <v>123</v>
      </c>
      <c r="B194" s="132"/>
      <c r="C194" s="132"/>
      <c r="D194" s="132"/>
      <c r="E194" s="132"/>
      <c r="F194" s="132"/>
      <c r="G194" s="132"/>
      <c r="H194" s="132"/>
      <c r="I194" s="132"/>
      <c r="J194" s="132"/>
      <c r="K194" s="132"/>
      <c r="L194" s="132"/>
      <c r="M194" s="132"/>
      <c r="N194" s="132"/>
    </row>
    <row r="196" spans="1:14" ht="204" customHeight="1" x14ac:dyDescent="0.3"/>
    <row r="197" spans="1:14" ht="55.8" customHeight="1" x14ac:dyDescent="0.3">
      <c r="A197" s="127" t="s">
        <v>115</v>
      </c>
      <c r="B197" s="127"/>
      <c r="C197" s="127"/>
    </row>
    <row r="199" spans="1:14" ht="153.6" customHeight="1" x14ac:dyDescent="0.3">
      <c r="D199" s="127" t="s">
        <v>121</v>
      </c>
      <c r="E199" s="127"/>
      <c r="F199" s="127"/>
    </row>
    <row r="201" spans="1:14" ht="15.6" x14ac:dyDescent="0.3">
      <c r="A201" s="78" t="s">
        <v>116</v>
      </c>
    </row>
    <row r="202" spans="1:14" ht="43.8" customHeight="1" x14ac:dyDescent="0.3">
      <c r="A202" s="127" t="s">
        <v>120</v>
      </c>
      <c r="B202" s="127"/>
      <c r="C202" s="127"/>
      <c r="D202" s="127"/>
      <c r="E202" s="127"/>
      <c r="F202" s="127"/>
      <c r="G202" s="127"/>
    </row>
    <row r="203" spans="1:14" ht="49.2" customHeight="1" x14ac:dyDescent="0.3"/>
    <row r="204" spans="1:14" ht="89.4" customHeight="1" x14ac:dyDescent="0.3">
      <c r="A204" s="128" t="s">
        <v>124</v>
      </c>
      <c r="B204" s="128"/>
      <c r="C204" s="128"/>
    </row>
    <row r="205" spans="1:14" ht="19.2" customHeight="1" x14ac:dyDescent="0.3">
      <c r="A205" s="46"/>
      <c r="B205" s="123" t="s">
        <v>144</v>
      </c>
      <c r="C205" s="46"/>
    </row>
    <row r="206" spans="1:14" ht="23.4" customHeight="1" x14ac:dyDescent="0.3">
      <c r="A206" s="46"/>
      <c r="B206" s="87">
        <f>I50-(H50^2)</f>
        <v>1.4580551523947753</v>
      </c>
      <c r="C206" s="46">
        <f>N50-M50^2</f>
        <v>1.4037564520353261</v>
      </c>
    </row>
    <row r="207" spans="1:14" ht="23.4" customHeight="1" x14ac:dyDescent="0.3">
      <c r="A207" s="46" t="s">
        <v>125</v>
      </c>
      <c r="B207" s="87">
        <f>_xlfn.VAR.P(H39:H48)</f>
        <v>1.4580551523947753</v>
      </c>
      <c r="C207" s="46">
        <f>_xlfn.VAR.P(M40:M48)</f>
        <v>1.4037564520353258</v>
      </c>
    </row>
    <row r="208" spans="1:14" ht="28.8" customHeight="1" x14ac:dyDescent="0.3">
      <c r="A208" s="46"/>
      <c r="B208" s="46">
        <f>SQRT(B206)</f>
        <v>1.2074995455049975</v>
      </c>
      <c r="C208" s="46">
        <f>SQRT(C206)</f>
        <v>1.1848022839424839</v>
      </c>
    </row>
    <row r="210" spans="1:2" ht="26.4" customHeight="1" x14ac:dyDescent="0.3">
      <c r="A210" s="46"/>
      <c r="B210" s="46">
        <f>O50-H50*M50</f>
        <v>-0.69064307421271787</v>
      </c>
    </row>
    <row r="211" spans="1:2" ht="36.6" customHeight="1" x14ac:dyDescent="0.3">
      <c r="A211" s="46"/>
      <c r="B211" s="70">
        <f>B210/B208*C208</f>
        <v>-0.67766111777215565</v>
      </c>
    </row>
    <row r="213" spans="1:2" ht="22.2" customHeight="1" x14ac:dyDescent="0.3">
      <c r="A213" s="88" t="s">
        <v>139</v>
      </c>
    </row>
    <row r="214" spans="1:2" ht="28.8" customHeight="1" x14ac:dyDescent="0.3">
      <c r="A214" s="93" t="s">
        <v>134</v>
      </c>
    </row>
    <row r="216" spans="1:2" ht="15.6" x14ac:dyDescent="0.3">
      <c r="A216" s="78" t="s">
        <v>126</v>
      </c>
    </row>
  </sheetData>
  <mergeCells count="30">
    <mergeCell ref="A1:G1"/>
    <mergeCell ref="H108:J108"/>
    <mergeCell ref="A131:B131"/>
    <mergeCell ref="A3:P3"/>
    <mergeCell ref="D18:H18"/>
    <mergeCell ref="A65:C65"/>
    <mergeCell ref="A68:E68"/>
    <mergeCell ref="A86:L86"/>
    <mergeCell ref="A95:B95"/>
    <mergeCell ref="A103:D103"/>
    <mergeCell ref="A93:F93"/>
    <mergeCell ref="A34:G34"/>
    <mergeCell ref="A118:D118"/>
    <mergeCell ref="A115:C115"/>
    <mergeCell ref="A127:B127"/>
    <mergeCell ref="A143:C143"/>
    <mergeCell ref="A167:C167"/>
    <mergeCell ref="A173:B173"/>
    <mergeCell ref="A182:C182"/>
    <mergeCell ref="A180:C180"/>
    <mergeCell ref="A175:B175"/>
    <mergeCell ref="A202:G202"/>
    <mergeCell ref="A204:C204"/>
    <mergeCell ref="A193:F193"/>
    <mergeCell ref="A184:C184"/>
    <mergeCell ref="A187:C187"/>
    <mergeCell ref="A191:C191"/>
    <mergeCell ref="A197:C197"/>
    <mergeCell ref="D199:F199"/>
    <mergeCell ref="A194:N19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E26" sqref="E26"/>
    </sheetView>
  </sheetViews>
  <sheetFormatPr defaultRowHeight="14.4" x14ac:dyDescent="0.3"/>
  <cols>
    <col min="1" max="1" width="37.88671875" bestFit="1" customWidth="1"/>
    <col min="2" max="2" width="51.5546875" bestFit="1" customWidth="1"/>
    <col min="3" max="3" width="21" bestFit="1" customWidth="1"/>
    <col min="4" max="4" width="22.6640625" bestFit="1" customWidth="1"/>
    <col min="5" max="5" width="12.44140625" bestFit="1" customWidth="1"/>
    <col min="6" max="6" width="20.6640625" bestFit="1" customWidth="1"/>
    <col min="7" max="7" width="19.5546875" customWidth="1"/>
    <col min="8" max="8" width="13.88671875" bestFit="1" customWidth="1"/>
    <col min="9" max="9" width="14.109375" bestFit="1" customWidth="1"/>
  </cols>
  <sheetData>
    <row r="1" spans="1:9" x14ac:dyDescent="0.3">
      <c r="A1" t="s">
        <v>57</v>
      </c>
    </row>
    <row r="2" spans="1:9" ht="15" thickBot="1" x14ac:dyDescent="0.35"/>
    <row r="3" spans="1:9" x14ac:dyDescent="0.3">
      <c r="A3" s="62" t="s">
        <v>58</v>
      </c>
      <c r="B3" s="62"/>
    </row>
    <row r="4" spans="1:9" x14ac:dyDescent="0.3">
      <c r="A4" s="59" t="s">
        <v>59</v>
      </c>
      <c r="B4" s="59">
        <v>0.99655216216910525</v>
      </c>
    </row>
    <row r="5" spans="1:9" x14ac:dyDescent="0.3">
      <c r="A5" s="59" t="s">
        <v>60</v>
      </c>
      <c r="B5" s="59">
        <v>0.99311621192391875</v>
      </c>
    </row>
    <row r="6" spans="1:9" x14ac:dyDescent="0.3">
      <c r="A6" s="59" t="s">
        <v>61</v>
      </c>
      <c r="B6" s="59">
        <v>0.99225573841440862</v>
      </c>
    </row>
    <row r="7" spans="1:9" x14ac:dyDescent="0.3">
      <c r="A7" s="59" t="s">
        <v>62</v>
      </c>
      <c r="B7" s="59">
        <v>1.3500255332746351</v>
      </c>
    </row>
    <row r="8" spans="1:9" ht="15" thickBot="1" x14ac:dyDescent="0.35">
      <c r="A8" s="60" t="s">
        <v>63</v>
      </c>
      <c r="B8" s="60">
        <v>10</v>
      </c>
    </row>
    <row r="10" spans="1:9" ht="15" thickBot="1" x14ac:dyDescent="0.35">
      <c r="A10" t="s">
        <v>64</v>
      </c>
      <c r="D10">
        <f>C14/B14</f>
        <v>235.34444444444443</v>
      </c>
      <c r="F10">
        <f>_xlfn.F.DIST.RT(E12,1,8)</f>
        <v>6.1569750078648062E-10</v>
      </c>
    </row>
    <row r="11" spans="1:9" x14ac:dyDescent="0.3">
      <c r="A11" s="61"/>
      <c r="B11" s="61" t="s">
        <v>69</v>
      </c>
      <c r="C11" s="61" t="s">
        <v>70</v>
      </c>
      <c r="D11" s="61" t="s">
        <v>71</v>
      </c>
      <c r="E11" s="61" t="s">
        <v>72</v>
      </c>
      <c r="F11" s="61" t="s">
        <v>73</v>
      </c>
    </row>
    <row r="12" spans="1:9" x14ac:dyDescent="0.3">
      <c r="A12" s="59" t="s">
        <v>65</v>
      </c>
      <c r="B12" s="59">
        <v>1</v>
      </c>
      <c r="C12" s="59">
        <v>2103.5194484760523</v>
      </c>
      <c r="D12" s="59">
        <v>2103.5194484760523</v>
      </c>
      <c r="E12" s="59">
        <v>1154.1508261994861</v>
      </c>
      <c r="F12" s="124">
        <v>6.1569750078648062E-10</v>
      </c>
    </row>
    <row r="13" spans="1:9" x14ac:dyDescent="0.3">
      <c r="A13" s="59" t="s">
        <v>66</v>
      </c>
      <c r="B13" s="59">
        <v>8</v>
      </c>
      <c r="C13" s="59">
        <v>14.580551523947705</v>
      </c>
      <c r="D13" s="59">
        <v>1.8225689404934631</v>
      </c>
      <c r="E13" s="59"/>
      <c r="F13" s="59"/>
    </row>
    <row r="14" spans="1:9" ht="15" thickBot="1" x14ac:dyDescent="0.35">
      <c r="A14" s="60" t="s">
        <v>67</v>
      </c>
      <c r="B14" s="60">
        <v>9</v>
      </c>
      <c r="C14" s="60">
        <v>2118.1</v>
      </c>
      <c r="D14" s="60"/>
      <c r="E14" s="60"/>
      <c r="F14" s="60"/>
    </row>
    <row r="15" spans="1:9" ht="15" thickBot="1" x14ac:dyDescent="0.35"/>
    <row r="16" spans="1:9" x14ac:dyDescent="0.3">
      <c r="A16" s="61"/>
      <c r="B16" s="61" t="s">
        <v>74</v>
      </c>
      <c r="C16" s="61" t="s">
        <v>62</v>
      </c>
      <c r="D16" s="61" t="s">
        <v>75</v>
      </c>
      <c r="E16" s="61" t="s">
        <v>76</v>
      </c>
      <c r="F16" s="61" t="s">
        <v>77</v>
      </c>
      <c r="G16" s="61" t="s">
        <v>78</v>
      </c>
      <c r="H16" s="61" t="s">
        <v>142</v>
      </c>
      <c r="I16" s="61" t="s">
        <v>143</v>
      </c>
    </row>
    <row r="17" spans="1:9" x14ac:dyDescent="0.3">
      <c r="A17" s="59" t="s">
        <v>68</v>
      </c>
      <c r="B17" s="59">
        <v>5.4306966618287476</v>
      </c>
      <c r="C17" s="59">
        <v>1.3154148651069717</v>
      </c>
      <c r="D17" s="59">
        <v>4.1285048587215973</v>
      </c>
      <c r="E17" s="59">
        <v>3.3052532126861983E-3</v>
      </c>
      <c r="F17" s="59">
        <v>2.3973445433830389</v>
      </c>
      <c r="G17" s="59">
        <v>8.4640487802744566</v>
      </c>
      <c r="H17" s="59">
        <v>2.9846195308801073</v>
      </c>
      <c r="I17" s="59">
        <v>7.8767737927773878</v>
      </c>
    </row>
    <row r="18" spans="1:9" ht="15" thickBot="1" x14ac:dyDescent="0.35">
      <c r="A18" s="60" t="s">
        <v>2</v>
      </c>
      <c r="B18" s="60">
        <v>1.3813497822931782</v>
      </c>
      <c r="C18" s="60">
        <v>4.0660468668584381E-2</v>
      </c>
      <c r="D18" s="60">
        <v>33.972795383946341</v>
      </c>
      <c r="E18" s="125">
        <v>6.1569750078648062E-10</v>
      </c>
      <c r="F18" s="60">
        <v>1.287586573404083</v>
      </c>
      <c r="G18" s="60">
        <v>1.4751129911822733</v>
      </c>
      <c r="H18" s="60">
        <v>1.3057396875754255</v>
      </c>
      <c r="I18" s="60">
        <v>1.4569598770109309</v>
      </c>
    </row>
    <row r="19" spans="1:9" x14ac:dyDescent="0.3">
      <c r="E19">
        <f>_xlfn.T.DIST.2T(D17,8)</f>
        <v>3.3052532126861983E-3</v>
      </c>
    </row>
    <row r="20" spans="1:9" x14ac:dyDescent="0.3">
      <c r="E20">
        <f>_xlfn.T.DIST.2T(D18,8)</f>
        <v>6.1569750078648062E-10</v>
      </c>
    </row>
    <row r="22" spans="1:9" x14ac:dyDescent="0.3">
      <c r="A22" t="s">
        <v>79</v>
      </c>
      <c r="F22" t="s">
        <v>84</v>
      </c>
    </row>
    <row r="23" spans="1:9" ht="15" thickBot="1" x14ac:dyDescent="0.35"/>
    <row r="24" spans="1:9" x14ac:dyDescent="0.3">
      <c r="A24" s="61" t="s">
        <v>80</v>
      </c>
      <c r="B24" s="61" t="s">
        <v>81</v>
      </c>
      <c r="C24" s="61" t="s">
        <v>82</v>
      </c>
      <c r="D24" s="61" t="s">
        <v>83</v>
      </c>
      <c r="F24" s="61" t="s">
        <v>85</v>
      </c>
      <c r="G24" s="120" t="s">
        <v>3</v>
      </c>
    </row>
    <row r="25" spans="1:9" x14ac:dyDescent="0.3">
      <c r="A25" s="59">
        <v>1</v>
      </c>
      <c r="B25" s="59">
        <v>41.345791001451381</v>
      </c>
      <c r="C25" s="59">
        <v>1.6542089985486186</v>
      </c>
      <c r="D25" s="59">
        <v>1.2996447528695552</v>
      </c>
      <c r="E25">
        <f>C25/SQRT(C$13/9)</f>
        <v>1.2996447528695563</v>
      </c>
      <c r="F25" s="59">
        <v>5</v>
      </c>
      <c r="G25" s="59">
        <v>26</v>
      </c>
    </row>
    <row r="26" spans="1:9" x14ac:dyDescent="0.3">
      <c r="A26" s="59">
        <v>2</v>
      </c>
      <c r="B26" s="59">
        <v>30.294992743105954</v>
      </c>
      <c r="C26" s="59">
        <v>-2.2949927431059542</v>
      </c>
      <c r="D26" s="59">
        <v>-1.8030824878043346</v>
      </c>
      <c r="E26">
        <f>C26/SQRT(C$13/9)</f>
        <v>-1.8030824878043363</v>
      </c>
      <c r="F26" s="59">
        <v>15</v>
      </c>
      <c r="G26" s="59">
        <v>28</v>
      </c>
    </row>
    <row r="27" spans="1:9" x14ac:dyDescent="0.3">
      <c r="A27" s="59">
        <v>3</v>
      </c>
      <c r="B27" s="59">
        <v>51.015239477503627</v>
      </c>
      <c r="C27" s="59">
        <v>-1.5239477503627086E-2</v>
      </c>
      <c r="D27" s="59">
        <v>-1.197303786367987E-2</v>
      </c>
      <c r="E27">
        <f t="shared" ref="E26:E34" si="0">C27/SQRT(C$13/9)</f>
        <v>-1.197303786367988E-2</v>
      </c>
      <c r="F27" s="59">
        <v>25</v>
      </c>
      <c r="G27" s="59">
        <v>33</v>
      </c>
    </row>
    <row r="28" spans="1:9" x14ac:dyDescent="0.3">
      <c r="A28" s="59">
        <v>4</v>
      </c>
      <c r="B28" s="59">
        <v>63.447387518142229</v>
      </c>
      <c r="C28" s="59">
        <v>-1.4473875181422287</v>
      </c>
      <c r="D28" s="59">
        <v>-1.1371535247195965</v>
      </c>
      <c r="E28">
        <f t="shared" si="0"/>
        <v>-1.1371535247195974</v>
      </c>
      <c r="F28" s="59">
        <v>35</v>
      </c>
      <c r="G28" s="59">
        <v>43</v>
      </c>
    </row>
    <row r="29" spans="1:9" x14ac:dyDescent="0.3">
      <c r="A29" s="59">
        <v>5</v>
      </c>
      <c r="B29" s="59">
        <v>62.066037735849051</v>
      </c>
      <c r="C29" s="59">
        <v>0.9339622641509493</v>
      </c>
      <c r="D29" s="59">
        <v>0.73377617764559355</v>
      </c>
      <c r="E29">
        <f t="shared" si="0"/>
        <v>0.73377617764559422</v>
      </c>
      <c r="F29" s="59">
        <v>45</v>
      </c>
      <c r="G29" s="59">
        <v>43</v>
      </c>
    </row>
    <row r="30" spans="1:9" x14ac:dyDescent="0.3">
      <c r="A30" s="59">
        <v>6</v>
      </c>
      <c r="B30" s="59">
        <v>66.210087082728592</v>
      </c>
      <c r="C30" s="59">
        <v>0.78991291727140833</v>
      </c>
      <c r="D30" s="59">
        <v>0.62060246260079566</v>
      </c>
      <c r="E30">
        <f t="shared" si="0"/>
        <v>0.62060246260079621</v>
      </c>
      <c r="F30" s="59">
        <v>55</v>
      </c>
      <c r="G30" s="59">
        <v>51</v>
      </c>
    </row>
    <row r="31" spans="1:9" x14ac:dyDescent="0.3">
      <c r="A31" s="59">
        <v>7</v>
      </c>
      <c r="B31" s="59">
        <v>26.15094339622642</v>
      </c>
      <c r="C31" s="59">
        <v>-0.15094339622642039</v>
      </c>
      <c r="D31" s="59">
        <v>-0.11859008931646298</v>
      </c>
      <c r="E31">
        <f t="shared" si="0"/>
        <v>-0.11859008931646309</v>
      </c>
      <c r="F31" s="59">
        <v>65</v>
      </c>
      <c r="G31" s="59">
        <v>61</v>
      </c>
    </row>
    <row r="32" spans="1:9" x14ac:dyDescent="0.3">
      <c r="A32" s="59">
        <v>8</v>
      </c>
      <c r="B32" s="59">
        <v>42.727140783744559</v>
      </c>
      <c r="C32" s="59">
        <v>0.27285921625544063</v>
      </c>
      <c r="D32" s="59">
        <v>0.21437439222590474</v>
      </c>
      <c r="E32">
        <f t="shared" si="0"/>
        <v>0.2143743922259049</v>
      </c>
      <c r="F32" s="59">
        <v>75</v>
      </c>
      <c r="G32" s="59">
        <v>62</v>
      </c>
    </row>
    <row r="33" spans="1:7" x14ac:dyDescent="0.3">
      <c r="A33" s="59">
        <v>9</v>
      </c>
      <c r="B33" s="59">
        <v>62.066037735849051</v>
      </c>
      <c r="C33" s="59">
        <v>-1.0660377358490507</v>
      </c>
      <c r="D33" s="59">
        <v>-0.83754250579748579</v>
      </c>
      <c r="E33">
        <f t="shared" si="0"/>
        <v>-0.83754250579748657</v>
      </c>
      <c r="F33" s="59">
        <v>85</v>
      </c>
      <c r="G33" s="59">
        <v>63</v>
      </c>
    </row>
    <row r="34" spans="1:7" ht="15" thickBot="1" x14ac:dyDescent="0.35">
      <c r="A34" s="60">
        <v>10</v>
      </c>
      <c r="B34" s="60">
        <v>31.676342525399132</v>
      </c>
      <c r="C34" s="60">
        <v>1.3236574746008678</v>
      </c>
      <c r="D34" s="60">
        <v>1.0399438601597135</v>
      </c>
      <c r="E34">
        <f t="shared" si="0"/>
        <v>1.0399438601597144</v>
      </c>
      <c r="F34" s="60">
        <v>95</v>
      </c>
      <c r="G34" s="60">
        <v>67</v>
      </c>
    </row>
    <row r="37" spans="1:7" x14ac:dyDescent="0.3">
      <c r="B37" s="126"/>
      <c r="C37" s="126"/>
      <c r="D37" s="126"/>
      <c r="E37" s="126"/>
      <c r="F37" s="126"/>
      <c r="G37" s="126"/>
    </row>
  </sheetData>
  <sortState ref="G25:G34">
    <sortCondition ref="G25"/>
  </sortState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АД_РЕГРЕССИЯ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</dc:creator>
  <cp:lastModifiedBy>Натали</cp:lastModifiedBy>
  <cp:revision/>
  <dcterms:created xsi:type="dcterms:W3CDTF">2023-09-15T08:19:40Z</dcterms:created>
  <dcterms:modified xsi:type="dcterms:W3CDTF">2024-03-14T14:47:13Z</dcterms:modified>
</cp:coreProperties>
</file>