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Общее задание" sheetId="1" r:id="rId1"/>
    <sheet name="ИЗ" sheetId="2" r:id="rId2"/>
    <sheet name="АД_РЕГРЕССИЯ" sheetId="7" r:id="rId3"/>
    <sheet name="АД_КОРРЕЛЯЦИЯ" sheetId="9" r:id="rId4"/>
    <sheet name="АД_РЕГРЕССИЯ_БЕЗ_Х3" sheetId="14" r:id="rId5"/>
    <sheet name="АД_КОРРЕЛЯЦИЯ_БЕЗ_Х3" sheetId="15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6" i="1" l="1"/>
  <c r="E38" i="2" l="1"/>
  <c r="D38" i="2"/>
  <c r="B38" i="2"/>
  <c r="C38" i="2"/>
  <c r="J80" i="1" l="1"/>
  <c r="J81" i="1"/>
  <c r="B35" i="2" l="1"/>
  <c r="C35" i="2"/>
  <c r="D35" i="2"/>
  <c r="E35" i="2"/>
  <c r="B36" i="2"/>
  <c r="C36" i="2"/>
  <c r="D36" i="2"/>
  <c r="E36" i="2"/>
  <c r="B37" i="2"/>
  <c r="C37" i="2"/>
  <c r="D37" i="2"/>
  <c r="E37" i="2"/>
  <c r="E4" i="15" l="1"/>
  <c r="E3" i="15"/>
  <c r="D3" i="15"/>
  <c r="E2" i="15"/>
  <c r="D2" i="15"/>
  <c r="C2" i="15"/>
  <c r="F5" i="9"/>
  <c r="F4" i="9"/>
  <c r="E4" i="9"/>
  <c r="F3" i="9"/>
  <c r="E3" i="9"/>
  <c r="F2" i="9"/>
  <c r="E2" i="9"/>
  <c r="D3" i="9"/>
  <c r="D2" i="9"/>
  <c r="C2" i="9"/>
  <c r="B123" i="1" l="1"/>
  <c r="P41" i="2" l="1"/>
  <c r="C58" i="2" l="1"/>
  <c r="C57" i="2"/>
  <c r="C41" i="2" a="1"/>
  <c r="C41" i="2" s="1"/>
  <c r="J44" i="2" l="1"/>
  <c r="B99" i="2" s="1"/>
  <c r="B88" i="2"/>
  <c r="F41" i="2"/>
  <c r="J41" i="2" s="1"/>
  <c r="E44" i="2"/>
  <c r="E41" i="2"/>
  <c r="D44" i="2"/>
  <c r="F43" i="2"/>
  <c r="E43" i="2"/>
  <c r="D43" i="2"/>
  <c r="E45" i="2"/>
  <c r="E42" i="2"/>
  <c r="M41" i="2" s="1"/>
  <c r="C43" i="2"/>
  <c r="C56" i="2" s="1"/>
  <c r="F45" i="2"/>
  <c r="F42" i="2"/>
  <c r="D45" i="2"/>
  <c r="D42" i="2"/>
  <c r="M42" i="2" s="1"/>
  <c r="C45" i="2"/>
  <c r="C42" i="2"/>
  <c r="M43" i="2" s="1"/>
  <c r="D41" i="2"/>
  <c r="F44" i="2"/>
  <c r="C44" i="2"/>
  <c r="B378" i="1"/>
  <c r="B376" i="1"/>
  <c r="J42" i="2" l="1"/>
  <c r="P42" i="2" s="1"/>
  <c r="B86" i="2"/>
  <c r="J43" i="2"/>
  <c r="B87" i="2"/>
  <c r="P44" i="2"/>
  <c r="C55" i="2"/>
  <c r="P43" i="2"/>
  <c r="B98" i="2"/>
  <c r="B97" i="2" l="1"/>
  <c r="B379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C365" i="1"/>
  <c r="C366" i="1"/>
  <c r="F366" i="1" s="1"/>
  <c r="C367" i="1"/>
  <c r="F367" i="1" s="1"/>
  <c r="C368" i="1"/>
  <c r="F368" i="1" s="1"/>
  <c r="C369" i="1"/>
  <c r="E369" i="1" s="1"/>
  <c r="C370" i="1"/>
  <c r="E370" i="1" s="1"/>
  <c r="C371" i="1"/>
  <c r="F371" i="1" s="1"/>
  <c r="C372" i="1"/>
  <c r="F372" i="1" s="1"/>
  <c r="C373" i="1"/>
  <c r="F373" i="1" s="1"/>
  <c r="C374" i="1"/>
  <c r="F374" i="1" s="1"/>
  <c r="C375" i="1"/>
  <c r="F375" i="1" s="1"/>
  <c r="C364" i="1"/>
  <c r="D376" i="1" l="1"/>
  <c r="B377" i="1" s="1"/>
  <c r="B381" i="1"/>
  <c r="C383" i="1"/>
  <c r="C376" i="1"/>
  <c r="E365" i="1"/>
  <c r="F365" i="1"/>
  <c r="E364" i="1"/>
  <c r="E373" i="1"/>
  <c r="E372" i="1"/>
  <c r="E371" i="1"/>
  <c r="F370" i="1"/>
  <c r="E368" i="1"/>
  <c r="E375" i="1"/>
  <c r="F369" i="1"/>
  <c r="E367" i="1"/>
  <c r="F364" i="1"/>
  <c r="E374" i="1"/>
  <c r="C378" i="1"/>
  <c r="C379" i="1" s="1"/>
  <c r="E366" i="1"/>
  <c r="B165" i="1"/>
  <c r="B164" i="1"/>
  <c r="F376" i="1" l="1"/>
  <c r="B380" i="1" s="1"/>
  <c r="C382" i="1" s="1"/>
  <c r="E376" i="1"/>
  <c r="C377" i="1" s="1"/>
  <c r="E209" i="1"/>
  <c r="N203" i="1"/>
  <c r="N198" i="1"/>
  <c r="N193" i="1"/>
  <c r="N188" i="1"/>
  <c r="B124" i="1"/>
  <c r="D149" i="1" l="1"/>
  <c r="C148" i="1"/>
  <c r="B147" i="1"/>
  <c r="E141" i="1"/>
  <c r="D153" i="1" s="1"/>
  <c r="D140" i="1"/>
  <c r="D157" i="1" s="1"/>
  <c r="C139" i="1"/>
  <c r="C152" i="1" s="1"/>
  <c r="B138" i="1"/>
  <c r="C156" i="1" l="1"/>
  <c r="B155" i="1"/>
  <c r="B151" i="1"/>
  <c r="F144" i="1"/>
  <c r="C29" i="1" l="1"/>
  <c r="C28" i="1" s="1"/>
  <c r="D29" i="1"/>
  <c r="D28" i="1" s="1"/>
  <c r="E29" i="1"/>
  <c r="E28" i="1" s="1"/>
  <c r="F29" i="1"/>
  <c r="F28" i="1" s="1"/>
  <c r="H14" i="1" l="1"/>
  <c r="H15" i="1"/>
  <c r="H16" i="1"/>
  <c r="H17" i="1"/>
  <c r="H18" i="1"/>
  <c r="H19" i="1"/>
  <c r="H20" i="1"/>
  <c r="H21" i="1"/>
  <c r="H22" i="1"/>
  <c r="H23" i="1"/>
  <c r="H24" i="1"/>
  <c r="H25" i="1"/>
  <c r="H13" i="1"/>
  <c r="G14" i="1"/>
  <c r="G15" i="1"/>
  <c r="G16" i="1"/>
  <c r="G17" i="1"/>
  <c r="G18" i="1"/>
  <c r="G19" i="1"/>
  <c r="G20" i="1"/>
  <c r="G21" i="1"/>
  <c r="G22" i="1"/>
  <c r="G23" i="1"/>
  <c r="G24" i="1"/>
  <c r="G25" i="1"/>
  <c r="G13" i="1"/>
  <c r="B61" i="1" a="1"/>
  <c r="C61" i="1" s="1"/>
  <c r="U14" i="1"/>
  <c r="U15" i="1"/>
  <c r="U16" i="1"/>
  <c r="U17" i="1"/>
  <c r="U18" i="1"/>
  <c r="U19" i="1"/>
  <c r="U20" i="1"/>
  <c r="U21" i="1"/>
  <c r="U22" i="1"/>
  <c r="U23" i="1"/>
  <c r="U24" i="1"/>
  <c r="U25" i="1"/>
  <c r="U13" i="1"/>
  <c r="T14" i="1"/>
  <c r="T15" i="1"/>
  <c r="T16" i="1"/>
  <c r="T17" i="1"/>
  <c r="T18" i="1"/>
  <c r="T19" i="1"/>
  <c r="T20" i="1"/>
  <c r="T21" i="1"/>
  <c r="T22" i="1"/>
  <c r="T23" i="1"/>
  <c r="T24" i="1"/>
  <c r="T25" i="1"/>
  <c r="T13" i="1"/>
  <c r="S14" i="1"/>
  <c r="S15" i="1"/>
  <c r="S16" i="1"/>
  <c r="S17" i="1"/>
  <c r="S18" i="1"/>
  <c r="S19" i="1"/>
  <c r="S20" i="1"/>
  <c r="S21" i="1"/>
  <c r="S22" i="1"/>
  <c r="S23" i="1"/>
  <c r="S24" i="1"/>
  <c r="S25" i="1"/>
  <c r="S13" i="1"/>
  <c r="R14" i="1"/>
  <c r="R15" i="1"/>
  <c r="R16" i="1"/>
  <c r="R17" i="1"/>
  <c r="R18" i="1"/>
  <c r="R19" i="1"/>
  <c r="R20" i="1"/>
  <c r="R21" i="1"/>
  <c r="R22" i="1"/>
  <c r="R23" i="1"/>
  <c r="R24" i="1"/>
  <c r="R25" i="1"/>
  <c r="R13" i="1"/>
  <c r="B29" i="1"/>
  <c r="B28" i="1" s="1"/>
  <c r="C27" i="1"/>
  <c r="A80" i="1" s="1"/>
  <c r="D27" i="1"/>
  <c r="B80" i="1" s="1"/>
  <c r="E27" i="1"/>
  <c r="C80" i="1" s="1"/>
  <c r="F27" i="1"/>
  <c r="D80" i="1" s="1"/>
  <c r="B27" i="1"/>
  <c r="C26" i="1"/>
  <c r="C34" i="1" s="1"/>
  <c r="D26" i="1"/>
  <c r="B36" i="1" s="1"/>
  <c r="E26" i="1"/>
  <c r="B37" i="1" s="1"/>
  <c r="F26" i="1"/>
  <c r="B38" i="1" s="1"/>
  <c r="B26" i="1"/>
  <c r="B40" i="1" s="1"/>
  <c r="K14" i="1"/>
  <c r="K15" i="1"/>
  <c r="K16" i="1"/>
  <c r="K17" i="1"/>
  <c r="K18" i="1"/>
  <c r="K19" i="1"/>
  <c r="K20" i="1"/>
  <c r="K21" i="1"/>
  <c r="K22" i="1"/>
  <c r="K23" i="1"/>
  <c r="K24" i="1"/>
  <c r="K25" i="1"/>
  <c r="K13" i="1"/>
  <c r="Q14" i="1"/>
  <c r="Q15" i="1"/>
  <c r="Q16" i="1"/>
  <c r="Q17" i="1"/>
  <c r="Q18" i="1"/>
  <c r="Q19" i="1"/>
  <c r="Q20" i="1"/>
  <c r="Q21" i="1"/>
  <c r="Q22" i="1"/>
  <c r="Q23" i="1"/>
  <c r="Q24" i="1"/>
  <c r="Q25" i="1"/>
  <c r="Q13" i="1"/>
  <c r="P14" i="1"/>
  <c r="P15" i="1"/>
  <c r="P16" i="1"/>
  <c r="P17" i="1"/>
  <c r="P18" i="1"/>
  <c r="P19" i="1"/>
  <c r="P20" i="1"/>
  <c r="P21" i="1"/>
  <c r="P22" i="1"/>
  <c r="P23" i="1"/>
  <c r="P24" i="1"/>
  <c r="P25" i="1"/>
  <c r="P13" i="1"/>
  <c r="O14" i="1"/>
  <c r="O15" i="1"/>
  <c r="O16" i="1"/>
  <c r="O17" i="1"/>
  <c r="O18" i="1"/>
  <c r="O19" i="1"/>
  <c r="O20" i="1"/>
  <c r="O21" i="1"/>
  <c r="O22" i="1"/>
  <c r="O23" i="1"/>
  <c r="O24" i="1"/>
  <c r="O25" i="1"/>
  <c r="O13" i="1"/>
  <c r="N14" i="1"/>
  <c r="N15" i="1"/>
  <c r="N16" i="1"/>
  <c r="N17" i="1"/>
  <c r="N18" i="1"/>
  <c r="N19" i="1"/>
  <c r="N20" i="1"/>
  <c r="N21" i="1"/>
  <c r="N22" i="1"/>
  <c r="N23" i="1"/>
  <c r="N24" i="1"/>
  <c r="N25" i="1"/>
  <c r="N13" i="1"/>
  <c r="M14" i="1"/>
  <c r="M15" i="1"/>
  <c r="M16" i="1"/>
  <c r="M17" i="1"/>
  <c r="M18" i="1"/>
  <c r="M19" i="1"/>
  <c r="M20" i="1"/>
  <c r="M21" i="1"/>
  <c r="M22" i="1"/>
  <c r="M23" i="1"/>
  <c r="M24" i="1"/>
  <c r="M25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13" i="1"/>
  <c r="J14" i="1"/>
  <c r="J15" i="1"/>
  <c r="J16" i="1"/>
  <c r="J17" i="1"/>
  <c r="J18" i="1"/>
  <c r="J19" i="1"/>
  <c r="J20" i="1"/>
  <c r="J21" i="1"/>
  <c r="J22" i="1"/>
  <c r="J23" i="1"/>
  <c r="J24" i="1"/>
  <c r="J25" i="1"/>
  <c r="J13" i="1"/>
  <c r="I14" i="1"/>
  <c r="I15" i="1"/>
  <c r="I16" i="1"/>
  <c r="I17" i="1"/>
  <c r="I18" i="1"/>
  <c r="I19" i="1"/>
  <c r="I20" i="1"/>
  <c r="I21" i="1"/>
  <c r="I22" i="1"/>
  <c r="I23" i="1"/>
  <c r="I24" i="1"/>
  <c r="I25" i="1"/>
  <c r="I13" i="1"/>
  <c r="B241" i="1" l="1"/>
  <c r="D34" i="1"/>
  <c r="E34" i="1"/>
  <c r="B35" i="1"/>
  <c r="Z17" i="1"/>
  <c r="Z18" i="1"/>
  <c r="Z20" i="1"/>
  <c r="Z21" i="1"/>
  <c r="Z22" i="1"/>
  <c r="Z23" i="1"/>
  <c r="Z24" i="1"/>
  <c r="Z25" i="1"/>
  <c r="Z14" i="1"/>
  <c r="Z13" i="1"/>
  <c r="Z15" i="1"/>
  <c r="Z16" i="1"/>
  <c r="Z19" i="1"/>
  <c r="I27" i="1"/>
  <c r="R26" i="1"/>
  <c r="B41" i="1" s="1"/>
  <c r="T27" i="1"/>
  <c r="B96" i="1" s="1"/>
  <c r="S27" i="1"/>
  <c r="B95" i="1" s="1"/>
  <c r="O27" i="1"/>
  <c r="B102" i="1" s="1"/>
  <c r="U26" i="1"/>
  <c r="B44" i="1" s="1"/>
  <c r="H27" i="1"/>
  <c r="L26" i="1"/>
  <c r="C36" i="1" s="1"/>
  <c r="N26" i="1"/>
  <c r="F35" i="1" s="1"/>
  <c r="K27" i="1"/>
  <c r="F34" i="1"/>
  <c r="J26" i="1"/>
  <c r="F38" i="1" s="1"/>
  <c r="O26" i="1"/>
  <c r="E36" i="1" s="1"/>
  <c r="I26" i="1"/>
  <c r="E37" i="1" s="1"/>
  <c r="L27" i="1"/>
  <c r="B99" i="1" s="1"/>
  <c r="P27" i="1"/>
  <c r="B103" i="1" s="1"/>
  <c r="T26" i="1"/>
  <c r="B43" i="1" s="1"/>
  <c r="R27" i="1"/>
  <c r="M27" i="1"/>
  <c r="B100" i="1" s="1"/>
  <c r="J27" i="1"/>
  <c r="Q27" i="1"/>
  <c r="B104" i="1" s="1"/>
  <c r="S26" i="1"/>
  <c r="B42" i="1" s="1"/>
  <c r="G26" i="1"/>
  <c r="C35" i="1" s="1"/>
  <c r="U27" i="1"/>
  <c r="B97" i="1" s="1"/>
  <c r="M26" i="1"/>
  <c r="E35" i="1" s="1"/>
  <c r="K26" i="1"/>
  <c r="P26" i="1"/>
  <c r="N27" i="1"/>
  <c r="B101" i="1" s="1"/>
  <c r="Q26" i="1"/>
  <c r="H26" i="1"/>
  <c r="D36" i="1" s="1"/>
  <c r="G27" i="1"/>
  <c r="D63" i="1"/>
  <c r="F65" i="1"/>
  <c r="D65" i="1"/>
  <c r="E65" i="1"/>
  <c r="B63" i="1"/>
  <c r="C65" i="1"/>
  <c r="E62" i="1"/>
  <c r="F64" i="1"/>
  <c r="E64" i="1"/>
  <c r="D64" i="1"/>
  <c r="C64" i="1"/>
  <c r="E61" i="1"/>
  <c r="F63" i="1"/>
  <c r="D61" i="1"/>
  <c r="B61" i="1"/>
  <c r="C63" i="1"/>
  <c r="G80" i="1" s="1"/>
  <c r="F62" i="1"/>
  <c r="B65" i="1"/>
  <c r="D62" i="1"/>
  <c r="C62" i="1"/>
  <c r="B62" i="1"/>
  <c r="F61" i="1"/>
  <c r="B64" i="1"/>
  <c r="E63" i="1"/>
  <c r="K81" i="1" l="1"/>
  <c r="K80" i="1"/>
  <c r="B240" i="1"/>
  <c r="B242" i="1"/>
  <c r="B239" i="1"/>
  <c r="G173" i="1"/>
  <c r="C173" i="1"/>
  <c r="E173" i="1"/>
  <c r="A173" i="1"/>
  <c r="E198" i="1"/>
  <c r="C200" i="1" s="1"/>
  <c r="E193" i="1"/>
  <c r="C195" i="1" s="1"/>
  <c r="B121" i="1"/>
  <c r="E203" i="1"/>
  <c r="C205" i="1" s="1"/>
  <c r="D193" i="1"/>
  <c r="C194" i="1" s="1"/>
  <c r="E204" i="1"/>
  <c r="D205" i="1" s="1"/>
  <c r="D188" i="1"/>
  <c r="C189" i="1" s="1"/>
  <c r="D198" i="1"/>
  <c r="C199" i="1" s="1"/>
  <c r="D203" i="1"/>
  <c r="C204" i="1" s="1"/>
  <c r="E194" i="1"/>
  <c r="D195" i="1" s="1"/>
  <c r="E189" i="1"/>
  <c r="D190" i="1" s="1"/>
  <c r="E188" i="1"/>
  <c r="C190" i="1" s="1"/>
  <c r="E199" i="1"/>
  <c r="D200" i="1" s="1"/>
  <c r="D192" i="1"/>
  <c r="B194" i="1" s="1"/>
  <c r="E202" i="1"/>
  <c r="B205" i="1" s="1"/>
  <c r="E192" i="1"/>
  <c r="B195" i="1" s="1"/>
  <c r="E197" i="1"/>
  <c r="B200" i="1" s="1"/>
  <c r="D202" i="1"/>
  <c r="B204" i="1" s="1"/>
  <c r="D197" i="1"/>
  <c r="B199" i="1" s="1"/>
  <c r="D106" i="1"/>
  <c r="B108" i="1" s="1"/>
  <c r="C187" i="1"/>
  <c r="F106" i="1"/>
  <c r="B110" i="1" s="1"/>
  <c r="E187" i="1"/>
  <c r="B190" i="1" s="1"/>
  <c r="E106" i="1"/>
  <c r="B109" i="1" s="1"/>
  <c r="D187" i="1"/>
  <c r="B189" i="1" s="1"/>
  <c r="B94" i="1"/>
  <c r="E80" i="1"/>
  <c r="E114" i="1"/>
  <c r="F109" i="1"/>
  <c r="E110" i="1" s="1"/>
  <c r="E112" i="1"/>
  <c r="F107" i="1"/>
  <c r="C110" i="1" s="1"/>
  <c r="D112" i="1"/>
  <c r="E107" i="1"/>
  <c r="C109" i="1" s="1"/>
  <c r="E113" i="1"/>
  <c r="F108" i="1"/>
  <c r="D110" i="1" s="1"/>
  <c r="C112" i="1"/>
  <c r="C138" i="1" s="1"/>
  <c r="D107" i="1"/>
  <c r="C108" i="1" s="1"/>
  <c r="Z26" i="1"/>
  <c r="D113" i="1"/>
  <c r="E108" i="1"/>
  <c r="D109" i="1" s="1"/>
  <c r="D35" i="1"/>
  <c r="Z27" i="1"/>
  <c r="C38" i="1"/>
  <c r="D37" i="1"/>
  <c r="V20" i="1"/>
  <c r="V14" i="1"/>
  <c r="AA14" i="1" s="1"/>
  <c r="V21" i="1"/>
  <c r="V24" i="1"/>
  <c r="V13" i="1"/>
  <c r="AA13" i="1" s="1"/>
  <c r="V17" i="1"/>
  <c r="V18" i="1"/>
  <c r="V22" i="1"/>
  <c r="V25" i="1"/>
  <c r="V23" i="1"/>
  <c r="V15" i="1"/>
  <c r="V16" i="1"/>
  <c r="V19" i="1"/>
  <c r="F36" i="1"/>
  <c r="D38" i="1"/>
  <c r="C37" i="1"/>
  <c r="E38" i="1"/>
  <c r="F37" i="1"/>
  <c r="M81" i="1" l="1"/>
  <c r="M80" i="1"/>
  <c r="L81" i="1"/>
  <c r="L80" i="1"/>
  <c r="C202" i="1"/>
  <c r="C197" i="1"/>
  <c r="C106" i="1"/>
  <c r="B107" i="1" s="1"/>
  <c r="C192" i="1"/>
  <c r="B188" i="1"/>
  <c r="G188" i="1" s="1"/>
  <c r="A185" i="1" s="1"/>
  <c r="W20" i="1"/>
  <c r="X20" i="1" s="1"/>
  <c r="AA20" i="1"/>
  <c r="W23" i="1"/>
  <c r="X23" i="1" s="1"/>
  <c r="AA23" i="1"/>
  <c r="W22" i="1"/>
  <c r="X22" i="1" s="1"/>
  <c r="AA22" i="1"/>
  <c r="W17" i="1"/>
  <c r="Y17" i="1" s="1"/>
  <c r="AA17" i="1"/>
  <c r="W16" i="1"/>
  <c r="X16" i="1" s="1"/>
  <c r="AA16" i="1"/>
  <c r="W25" i="1"/>
  <c r="Y25" i="1" s="1"/>
  <c r="AA25" i="1"/>
  <c r="W24" i="1"/>
  <c r="X24" i="1" s="1"/>
  <c r="AA24" i="1"/>
  <c r="W19" i="1"/>
  <c r="X19" i="1" s="1"/>
  <c r="AA19" i="1"/>
  <c r="W21" i="1"/>
  <c r="X21" i="1" s="1"/>
  <c r="AA21" i="1"/>
  <c r="W15" i="1"/>
  <c r="X15" i="1" s="1"/>
  <c r="AA15" i="1"/>
  <c r="W18" i="1"/>
  <c r="X18" i="1" s="1"/>
  <c r="AA18" i="1"/>
  <c r="C155" i="1"/>
  <c r="C151" i="1"/>
  <c r="B115" i="1"/>
  <c r="E138" i="1"/>
  <c r="D151" i="1" s="1"/>
  <c r="D147" i="1"/>
  <c r="C114" i="1"/>
  <c r="C140" i="1" s="1"/>
  <c r="C157" i="1" s="1"/>
  <c r="D139" i="1"/>
  <c r="D156" i="1" s="1"/>
  <c r="C115" i="1"/>
  <c r="C141" i="1" s="1"/>
  <c r="C153" i="1" s="1"/>
  <c r="E139" i="1"/>
  <c r="D152" i="1" s="1"/>
  <c r="B114" i="1"/>
  <c r="C147" i="1"/>
  <c r="D138" i="1"/>
  <c r="D155" i="1" s="1"/>
  <c r="D115" i="1"/>
  <c r="E140" i="1"/>
  <c r="D148" i="1"/>
  <c r="B113" i="1"/>
  <c r="B46" i="1" a="1"/>
  <c r="W13" i="1"/>
  <c r="Y13" i="1" s="1"/>
  <c r="V26" i="1"/>
  <c r="V27" i="1"/>
  <c r="W14" i="1"/>
  <c r="H108" i="1" l="1"/>
  <c r="B198" i="1"/>
  <c r="G198" i="1" s="1"/>
  <c r="C185" i="1" s="1"/>
  <c r="Y23" i="1"/>
  <c r="B203" i="1"/>
  <c r="G203" i="1" s="1"/>
  <c r="D185" i="1" s="1"/>
  <c r="Y20" i="1"/>
  <c r="Y19" i="1"/>
  <c r="Y22" i="1"/>
  <c r="B193" i="1"/>
  <c r="G193" i="1" s="1"/>
  <c r="B185" i="1" s="1"/>
  <c r="X17" i="1"/>
  <c r="Y24" i="1"/>
  <c r="AA27" i="1"/>
  <c r="Y18" i="1"/>
  <c r="Y15" i="1"/>
  <c r="Y21" i="1"/>
  <c r="X25" i="1"/>
  <c r="Y16" i="1"/>
  <c r="AA26" i="1"/>
  <c r="B148" i="1"/>
  <c r="B140" i="1"/>
  <c r="B157" i="1" s="1"/>
  <c r="G113" i="1"/>
  <c r="B139" i="1"/>
  <c r="B141" i="1"/>
  <c r="B153" i="1" s="1"/>
  <c r="B149" i="1"/>
  <c r="C149" i="1"/>
  <c r="D141" i="1"/>
  <c r="B46" i="1"/>
  <c r="D46" i="1"/>
  <c r="D50" i="1"/>
  <c r="B47" i="1"/>
  <c r="F48" i="1"/>
  <c r="D48" i="1"/>
  <c r="C49" i="1"/>
  <c r="F50" i="1"/>
  <c r="F49" i="1"/>
  <c r="D49" i="1"/>
  <c r="E47" i="1"/>
  <c r="C47" i="1"/>
  <c r="B50" i="1"/>
  <c r="E49" i="1"/>
  <c r="C46" i="1"/>
  <c r="D47" i="1"/>
  <c r="F47" i="1"/>
  <c r="E46" i="1"/>
  <c r="B49" i="1"/>
  <c r="B48" i="1"/>
  <c r="C48" i="1"/>
  <c r="F46" i="1"/>
  <c r="C50" i="1"/>
  <c r="E50" i="1"/>
  <c r="E48" i="1"/>
  <c r="X14" i="1"/>
  <c r="Y14" i="1"/>
  <c r="X13" i="1"/>
  <c r="W27" i="1"/>
  <c r="W26" i="1"/>
  <c r="F148" i="1" l="1"/>
  <c r="G140" i="1"/>
  <c r="B133" i="1" s="1"/>
  <c r="B156" i="1"/>
  <c r="F156" i="1" s="1"/>
  <c r="B152" i="1"/>
  <c r="F152" i="1" s="1"/>
  <c r="D89" i="1"/>
  <c r="X27" i="1"/>
  <c r="X26" i="1"/>
  <c r="Y27" i="1"/>
  <c r="Y26" i="1"/>
  <c r="B52" i="1" a="1"/>
  <c r="D85" i="1" l="1"/>
  <c r="D87" i="1"/>
  <c r="D88" i="1" s="1"/>
  <c r="B130" i="1" s="1"/>
  <c r="B159" i="1" s="1"/>
  <c r="A169" i="1" s="1"/>
  <c r="D182" i="1"/>
  <c r="D86" i="1"/>
  <c r="B122" i="1" s="1"/>
  <c r="B136" i="1"/>
  <c r="B135" i="1"/>
  <c r="B134" i="1"/>
  <c r="B52" i="1"/>
  <c r="B55" i="1"/>
  <c r="B229" i="1" s="1"/>
  <c r="B56" i="1"/>
  <c r="B230" i="1" s="1"/>
  <c r="B53" i="1"/>
  <c r="B227" i="1" s="1"/>
  <c r="B54" i="1"/>
  <c r="B228" i="1" s="1"/>
  <c r="C249" i="1" l="1"/>
  <c r="A209" i="1"/>
  <c r="D255" i="1"/>
  <c r="C255" i="1"/>
  <c r="B255" i="1"/>
  <c r="A255" i="1"/>
  <c r="D209" i="1"/>
  <c r="E217" i="1" s="1"/>
  <c r="C209" i="1"/>
  <c r="D217" i="1" s="1"/>
  <c r="B209" i="1"/>
  <c r="C217" i="1" s="1"/>
  <c r="B217" i="1"/>
  <c r="B160" i="1"/>
  <c r="B162" i="1"/>
  <c r="B161" i="1"/>
  <c r="E216" i="1" l="1"/>
  <c r="C172" i="1"/>
  <c r="G172" i="1"/>
  <c r="A172" i="1"/>
  <c r="E172" i="1"/>
  <c r="B216" i="1"/>
  <c r="E169" i="1"/>
  <c r="G169" i="1"/>
  <c r="C169" i="1"/>
  <c r="D216" i="1"/>
  <c r="G171" i="1"/>
  <c r="A171" i="1"/>
  <c r="C171" i="1"/>
  <c r="E171" i="1"/>
  <c r="C216" i="1"/>
  <c r="C170" i="1"/>
  <c r="E170" i="1"/>
  <c r="A170" i="1" s="1"/>
  <c r="G170" i="1"/>
</calcChain>
</file>

<file path=xl/sharedStrings.xml><?xml version="1.0" encoding="utf-8"?>
<sst xmlns="http://schemas.openxmlformats.org/spreadsheetml/2006/main" count="428" uniqueCount="270">
  <si>
    <t>Вариант 10</t>
  </si>
  <si>
    <t>По тринадцати коммерческим банкам имеются данные, характеризующие зависимость годовой прибыли от размера собственного капитала, общей суммы привлеченных средств и
среднегодовых ставок по рублевым депозитам и краткосрочным кредитам:</t>
  </si>
  <si>
    <t>Пункт 1.</t>
  </si>
  <si>
    <t xml:space="preserve"> Постройте уравнение множественной регрессии методом МНК для данных из индивидуального варианта </t>
  </si>
  <si>
    <t>y (прибыль, млн. руб.)</t>
  </si>
  <si>
    <t xml:space="preserve">x1 (Собств. капитал (млн. 
руб.) 
</t>
  </si>
  <si>
    <t xml:space="preserve">x2 (Привлеченные 
средства (млн. 
руб.) 
</t>
  </si>
  <si>
    <t xml:space="preserve">x3 (Депозит.ставка   (% го- довых) 
</t>
  </si>
  <si>
    <t xml:space="preserve">x4 (Кредит.
Ставка (% го- 
довых) 
</t>
  </si>
  <si>
    <r>
      <t>x</t>
    </r>
    <r>
      <rPr>
        <b/>
        <sz val="8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² </t>
    </r>
  </si>
  <si>
    <r>
      <t>x</t>
    </r>
    <r>
      <rPr>
        <b/>
        <sz val="8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 xml:space="preserve">² </t>
    </r>
  </si>
  <si>
    <r>
      <t>x</t>
    </r>
    <r>
      <rPr>
        <b/>
        <sz val="8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 xml:space="preserve">² </t>
    </r>
  </si>
  <si>
    <r>
      <t>x</t>
    </r>
    <r>
      <rPr>
        <b/>
        <sz val="8"/>
        <color theme="1"/>
        <rFont val="Calibri"/>
        <family val="2"/>
        <charset val="204"/>
        <scheme val="minor"/>
      </rPr>
      <t>4</t>
    </r>
    <r>
      <rPr>
        <b/>
        <sz val="11"/>
        <color theme="1"/>
        <rFont val="Calibri"/>
        <family val="2"/>
        <charset val="204"/>
        <scheme val="minor"/>
      </rPr>
      <t xml:space="preserve">² </t>
    </r>
  </si>
  <si>
    <t>y²</t>
  </si>
  <si>
    <t>ŷₓ = a+b1x1+b2x2+b3x3+b4x4 = 316,235438 + 0,03874189 x1 - 0,03559905 x2 + 28,152708 x3 - 30,56271 x4</t>
  </si>
  <si>
    <t xml:space="preserve">ε=y-ŷₓ  
</t>
  </si>
  <si>
    <t xml:space="preserve">εₓ²=(y-ŷₓ)² </t>
  </si>
  <si>
    <r>
      <t>A</t>
    </r>
    <r>
      <rPr>
        <b/>
        <sz val="9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=ABS((y-ŷₓ)/y)*100 (%)</t>
    </r>
  </si>
  <si>
    <t>(y - ȳ)²</t>
  </si>
  <si>
    <t>(ŷₓ   - ȳ)²</t>
  </si>
  <si>
    <t>СУММ</t>
  </si>
  <si>
    <t>СРЗНАЧ</t>
  </si>
  <si>
    <t>σ</t>
  </si>
  <si>
    <t xml:space="preserve">σ² </t>
  </si>
  <si>
    <t>Решение системы линейных нормальных уравнений методом обратной матрицы</t>
  </si>
  <si>
    <t>A*X = B</t>
  </si>
  <si>
    <t>A =</t>
  </si>
  <si>
    <t>B =</t>
  </si>
  <si>
    <t>a</t>
  </si>
  <si>
    <t>b1</t>
  </si>
  <si>
    <t>b2</t>
  </si>
  <si>
    <t>b3</t>
  </si>
  <si>
    <t>b4</t>
  </si>
  <si>
    <t>Пункт 2. ЛИНЕЙН</t>
  </si>
  <si>
    <t>ŷₓ = 316,235438 + 0,03874189 * x1 - 0,03559905 * x2 + 28,152708 * x3 - 30,56271 * x4</t>
  </si>
  <si>
    <t xml:space="preserve">Пункт 3. Дать словесную интерпретацию каждому из коэффициентов регрессии. </t>
  </si>
  <si>
    <t>Пункт 4. Рассчитать прогнозируемое значение результирующего показателя, при значениях
 факторов, указанных в Индивидуальном задании.</t>
  </si>
  <si>
    <r>
      <rPr>
        <b/>
        <sz val="11"/>
        <color theme="1"/>
        <rFont val="Calibri"/>
        <family val="2"/>
        <charset val="204"/>
      </rPr>
      <t>x</t>
    </r>
    <r>
      <rPr>
        <b/>
        <sz val="9"/>
        <color theme="1"/>
        <rFont val="Calibri"/>
        <family val="2"/>
        <charset val="204"/>
        <scheme val="minor"/>
      </rPr>
      <t xml:space="preserve">1p </t>
    </r>
    <r>
      <rPr>
        <b/>
        <sz val="11"/>
        <color theme="1"/>
        <rFont val="Calibri"/>
        <family val="2"/>
        <charset val="204"/>
        <scheme val="minor"/>
      </rPr>
      <t xml:space="preserve">(собственныйкапитал (млн. руб.) 
</t>
    </r>
  </si>
  <si>
    <r>
      <t>x</t>
    </r>
    <r>
      <rPr>
        <b/>
        <sz val="9"/>
        <color theme="1"/>
        <rFont val="Calibri"/>
        <family val="2"/>
        <charset val="204"/>
        <scheme val="minor"/>
      </rPr>
      <t xml:space="preserve">2p </t>
    </r>
    <r>
      <rPr>
        <b/>
        <sz val="11"/>
        <color theme="1"/>
        <rFont val="Calibri"/>
        <family val="2"/>
        <charset val="204"/>
        <scheme val="minor"/>
      </rPr>
      <t xml:space="preserve">(привлеч.
средства (млн. руб.) 
</t>
    </r>
  </si>
  <si>
    <r>
      <t>x</t>
    </r>
    <r>
      <rPr>
        <b/>
        <sz val="9"/>
        <color theme="1"/>
        <rFont val="Calibri"/>
        <family val="2"/>
        <charset val="204"/>
        <scheme val="minor"/>
      </rPr>
      <t xml:space="preserve">3p </t>
    </r>
    <r>
      <rPr>
        <b/>
        <sz val="11"/>
        <color theme="1"/>
        <rFont val="Calibri"/>
        <family val="2"/>
        <charset val="204"/>
        <scheme val="minor"/>
      </rPr>
      <t xml:space="preserve">(депозитная ставка (% годовых) 
</t>
    </r>
  </si>
  <si>
    <r>
      <t>x</t>
    </r>
    <r>
      <rPr>
        <b/>
        <sz val="9"/>
        <color theme="1"/>
        <rFont val="Calibri"/>
        <family val="2"/>
        <charset val="204"/>
        <scheme val="minor"/>
      </rPr>
      <t>4p</t>
    </r>
    <r>
      <rPr>
        <b/>
        <sz val="11"/>
        <color theme="1"/>
        <rFont val="Calibri"/>
        <family val="2"/>
        <charset val="204"/>
        <scheme val="minor"/>
      </rPr>
      <t xml:space="preserve"> (кредитная
ставка (% годовых) 
</t>
    </r>
  </si>
  <si>
    <r>
      <t>y</t>
    </r>
    <r>
      <rPr>
        <b/>
        <sz val="9"/>
        <color theme="1"/>
        <rFont val="Calibri"/>
        <family val="2"/>
        <charset val="204"/>
        <scheme val="minor"/>
      </rPr>
      <t>p</t>
    </r>
  </si>
  <si>
    <t xml:space="preserve">Пункт 5. Определите стандартную ошибку регрессии и коэффициент детерминации.
Сделайте выводы об адекватности уравнения регрессии эмпирическим данным. </t>
  </si>
  <si>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 79,9% вариации результата объясняется вариацией представленных в уравнении признаков, что указывает на весьма тесную связь признаков с результатом.</t>
    </r>
  </si>
  <si>
    <t>где</t>
  </si>
  <si>
    <t>определитель матрицы парных коэффициентов корреляции;</t>
  </si>
  <si>
    <t xml:space="preserve"> определитель матрицы межфакторной корреляции.</t>
  </si>
  <si>
    <r>
      <t>r</t>
    </r>
    <r>
      <rPr>
        <sz val="8"/>
        <color theme="1"/>
        <rFont val="Calibri"/>
        <family val="2"/>
        <charset val="204"/>
        <scheme val="minor"/>
      </rPr>
      <t>yx1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</si>
  <si>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r</t>
    </r>
    <r>
      <rPr>
        <sz val="8"/>
        <color theme="1"/>
        <rFont val="Calibri"/>
        <family val="2"/>
        <charset val="204"/>
        <scheme val="minor"/>
      </rPr>
      <t>yx2</t>
    </r>
  </si>
  <si>
    <r>
      <t>r</t>
    </r>
    <r>
      <rPr>
        <sz val="8"/>
        <color theme="1"/>
        <rFont val="Calibri"/>
        <family val="2"/>
        <charset val="204"/>
        <scheme val="minor"/>
      </rPr>
      <t>yx3</t>
    </r>
  </si>
  <si>
    <r>
      <t>r</t>
    </r>
    <r>
      <rPr>
        <sz val="8"/>
        <color theme="1"/>
        <rFont val="Calibri"/>
        <family val="2"/>
        <charset val="204"/>
        <scheme val="minor"/>
      </rPr>
      <t>yx4</t>
    </r>
  </si>
  <si>
    <r>
      <t>r</t>
    </r>
    <r>
      <rPr>
        <sz val="8"/>
        <color theme="1"/>
        <rFont val="Calibri"/>
        <family val="2"/>
        <charset val="204"/>
        <scheme val="minor"/>
      </rPr>
      <t>x1x2</t>
    </r>
  </si>
  <si>
    <r>
      <t>r</t>
    </r>
    <r>
      <rPr>
        <sz val="8"/>
        <color theme="1"/>
        <rFont val="Calibri"/>
        <family val="2"/>
        <charset val="204"/>
        <scheme val="minor"/>
      </rPr>
      <t>x1x3</t>
    </r>
  </si>
  <si>
    <r>
      <t>r</t>
    </r>
    <r>
      <rPr>
        <sz val="8"/>
        <color theme="1"/>
        <rFont val="Calibri"/>
        <family val="2"/>
        <charset val="204"/>
        <scheme val="minor"/>
      </rPr>
      <t>x1x4</t>
    </r>
  </si>
  <si>
    <r>
      <t>r</t>
    </r>
    <r>
      <rPr>
        <sz val="8"/>
        <color theme="1"/>
        <rFont val="Calibri"/>
        <family val="2"/>
        <charset val="204"/>
        <scheme val="minor"/>
      </rPr>
      <t>x2x3</t>
    </r>
  </si>
  <si>
    <r>
      <t>r</t>
    </r>
    <r>
      <rPr>
        <sz val="8"/>
        <color theme="1"/>
        <rFont val="Calibri"/>
        <family val="2"/>
        <charset val="204"/>
        <scheme val="minor"/>
      </rPr>
      <t>x2x4</t>
    </r>
  </si>
  <si>
    <r>
      <t>r</t>
    </r>
    <r>
      <rPr>
        <sz val="8"/>
        <color theme="1"/>
        <rFont val="Calibri"/>
        <family val="2"/>
        <charset val="204"/>
        <scheme val="minor"/>
      </rPr>
      <t>x3x4</t>
    </r>
  </si>
  <si>
    <t>△r =</t>
  </si>
  <si>
    <t>=</t>
  </si>
  <si>
    <t>△r11 =</t>
  </si>
  <si>
    <t>Пункт 6. Проверьте значимость коэффициента детерминации. Сделайте вывод об адекватности уравнения регрессии данным генеральной совокупности.</t>
  </si>
  <si>
    <t>F</t>
  </si>
  <si>
    <t>вывод: Fфакт &gt; Fтабл, следовательно, уравнение регрессии в целом статистически значимо</t>
  </si>
  <si>
    <t>Пункт 7. Определите стандартные ошибки каждого из коэффициентов регрессии.</t>
  </si>
  <si>
    <r>
      <t xml:space="preserve">R² </t>
    </r>
    <r>
      <rPr>
        <sz val="8"/>
        <color theme="1"/>
        <rFont val="Calibri"/>
        <family val="2"/>
        <charset val="204"/>
        <scheme val="minor"/>
      </rPr>
      <t>x1 x2x3x4</t>
    </r>
  </si>
  <si>
    <r>
      <t xml:space="preserve">R² </t>
    </r>
    <r>
      <rPr>
        <sz val="8"/>
        <color theme="1"/>
        <rFont val="Calibri"/>
        <family val="2"/>
        <charset val="204"/>
        <scheme val="minor"/>
      </rPr>
      <t>x2 x1x3x4</t>
    </r>
  </si>
  <si>
    <r>
      <t xml:space="preserve">R² </t>
    </r>
    <r>
      <rPr>
        <sz val="8"/>
        <color theme="1"/>
        <rFont val="Calibri"/>
        <family val="2"/>
        <charset val="204"/>
        <scheme val="minor"/>
      </rPr>
      <t>x3 x1x2x4</t>
    </r>
  </si>
  <si>
    <r>
      <t xml:space="preserve">R² </t>
    </r>
    <r>
      <rPr>
        <sz val="8"/>
        <color theme="1"/>
        <rFont val="Calibri"/>
        <family val="2"/>
        <charset val="204"/>
        <scheme val="minor"/>
      </rPr>
      <t>x4 x1x2x3</t>
    </r>
  </si>
  <si>
    <t>△r22 =</t>
  </si>
  <si>
    <t>△r33 =</t>
  </si>
  <si>
    <t>△r44 =</t>
  </si>
  <si>
    <t xml:space="preserve">Доверительные интервалы при α = 0,05 </t>
  </si>
  <si>
    <t>Доверительные интервалы при α = 0,1</t>
  </si>
  <si>
    <t>≤ b1 ≤</t>
  </si>
  <si>
    <t>≤ b2 ≤</t>
  </si>
  <si>
    <t>≤ b3 ≤</t>
  </si>
  <si>
    <t>≤ b4 ≤</t>
  </si>
  <si>
    <t>≤ а ≤</t>
  </si>
  <si>
    <t>Пункт 8. Проверьте значимость каждого из коэффициентов регрессии любым способом (не менее 2-х способов).</t>
  </si>
  <si>
    <t>1 способ) частный F-критерий</t>
  </si>
  <si>
    <t xml:space="preserve">проверка значимости всех коэффициентов регрессии в предположении, что каждый соответствующий фактор вводился в уравнение множественной регрессии последним </t>
  </si>
  <si>
    <r>
      <t>R</t>
    </r>
    <r>
      <rPr>
        <sz val="11"/>
        <color theme="1"/>
        <rFont val="Calibri"/>
        <family val="2"/>
        <charset val="204"/>
      </rPr>
      <t>²</t>
    </r>
    <r>
      <rPr>
        <sz val="9"/>
        <color theme="1"/>
        <rFont val="Calibri"/>
        <family val="2"/>
        <charset val="204"/>
        <scheme val="minor"/>
      </rPr>
      <t>yx2x3x4</t>
    </r>
  </si>
  <si>
    <r>
      <t>R</t>
    </r>
    <r>
      <rPr>
        <sz val="11"/>
        <color theme="1"/>
        <rFont val="Calibri"/>
        <family val="2"/>
        <charset val="204"/>
      </rPr>
      <t>²</t>
    </r>
    <r>
      <rPr>
        <sz val="9"/>
        <color theme="1"/>
        <rFont val="Calibri"/>
        <family val="2"/>
        <charset val="204"/>
        <scheme val="minor"/>
      </rPr>
      <t>yx1x3x4</t>
    </r>
  </si>
  <si>
    <r>
      <t>R</t>
    </r>
    <r>
      <rPr>
        <sz val="11"/>
        <color theme="1"/>
        <rFont val="Calibri"/>
        <family val="2"/>
        <charset val="204"/>
      </rPr>
      <t>²</t>
    </r>
    <r>
      <rPr>
        <sz val="9"/>
        <color theme="1"/>
        <rFont val="Calibri"/>
        <family val="2"/>
        <charset val="204"/>
        <scheme val="minor"/>
      </rPr>
      <t>yx1x2x4</t>
    </r>
  </si>
  <si>
    <r>
      <t>R</t>
    </r>
    <r>
      <rPr>
        <sz val="11"/>
        <color theme="1"/>
        <rFont val="Calibri"/>
        <family val="2"/>
        <charset val="204"/>
      </rPr>
      <t>²</t>
    </r>
    <r>
      <rPr>
        <sz val="9"/>
        <color theme="1"/>
        <rFont val="Calibri"/>
        <family val="2"/>
        <charset val="204"/>
        <scheme val="minor"/>
      </rPr>
      <t>yx1x2x3</t>
    </r>
  </si>
  <si>
    <t xml:space="preserve">(без x1)  </t>
  </si>
  <si>
    <t xml:space="preserve">(без x2)  </t>
  </si>
  <si>
    <t xml:space="preserve">(без x3)  </t>
  </si>
  <si>
    <t xml:space="preserve">(без x4)  </t>
  </si>
  <si>
    <r>
      <t>частный F</t>
    </r>
    <r>
      <rPr>
        <sz val="9"/>
        <color theme="1"/>
        <rFont val="Calibri"/>
        <family val="2"/>
        <charset val="204"/>
        <scheme val="minor"/>
      </rPr>
      <t>табл(α=0,05, k1=4, k2=13-4-1=8)</t>
    </r>
  </si>
  <si>
    <t>2 способ) t-критерий Стьюдента</t>
  </si>
  <si>
    <r>
      <t>t</t>
    </r>
    <r>
      <rPr>
        <sz val="9"/>
        <color theme="1"/>
        <rFont val="Calibri"/>
        <family val="2"/>
        <charset val="204"/>
        <scheme val="minor"/>
      </rPr>
      <t>табл (α = 0,05)</t>
    </r>
  </si>
  <si>
    <t>Пункт 9. Определите, какой из факторов сильнее влияет на результирующий показатель (4 способа).</t>
  </si>
  <si>
    <t>1 способ) стандартизованные коэффициенты</t>
  </si>
  <si>
    <t>уравнение множественной регрессии в стандартизованном масштабе:</t>
  </si>
  <si>
    <t> β2</t>
  </si>
  <si>
    <t> β3</t>
  </si>
  <si>
    <t> β4</t>
  </si>
  <si>
    <r>
      <t>t</t>
    </r>
    <r>
      <rPr>
        <b/>
        <sz val="8"/>
        <color theme="1"/>
        <rFont val="Calibri"/>
        <family val="2"/>
        <charset val="204"/>
      </rPr>
      <t>y</t>
    </r>
    <r>
      <rPr>
        <b/>
        <sz val="11"/>
        <color theme="1"/>
        <rFont val="Calibri"/>
        <family val="2"/>
        <charset val="204"/>
      </rPr>
      <t xml:space="preserve"> = 0,6333605 t</t>
    </r>
    <r>
      <rPr>
        <b/>
        <sz val="8"/>
        <color theme="1"/>
        <rFont val="Calibri"/>
        <family val="2"/>
        <charset val="204"/>
      </rPr>
      <t>x1</t>
    </r>
    <r>
      <rPr>
        <b/>
        <sz val="11"/>
        <color theme="1"/>
        <rFont val="Calibri"/>
        <family val="2"/>
        <charset val="204"/>
      </rPr>
      <t xml:space="preserve"> - 0,49066927 t</t>
    </r>
    <r>
      <rPr>
        <b/>
        <sz val="8"/>
        <color theme="1"/>
        <rFont val="Calibri"/>
        <family val="2"/>
        <charset val="204"/>
      </rPr>
      <t>x2</t>
    </r>
    <r>
      <rPr>
        <b/>
        <sz val="11"/>
        <color theme="1"/>
        <rFont val="Calibri"/>
        <family val="2"/>
        <charset val="204"/>
      </rPr>
      <t xml:space="preserve"> + 0,374659877 t</t>
    </r>
    <r>
      <rPr>
        <b/>
        <sz val="8"/>
        <color theme="1"/>
        <rFont val="Calibri"/>
        <family val="2"/>
        <charset val="204"/>
      </rPr>
      <t xml:space="preserve">x3 </t>
    </r>
    <r>
      <rPr>
        <b/>
        <sz val="11"/>
        <color theme="1"/>
        <rFont val="Calibri"/>
        <family val="2"/>
        <charset val="204"/>
      </rPr>
      <t>- 0,62446471 t</t>
    </r>
    <r>
      <rPr>
        <b/>
        <sz val="8"/>
        <color theme="1"/>
        <rFont val="Calibri"/>
        <family val="2"/>
        <charset val="204"/>
      </rPr>
      <t>x4</t>
    </r>
  </si>
  <si>
    <t>2 способ) средние коэффициенты эластичности</t>
  </si>
  <si>
    <r>
      <rPr>
        <sz val="16"/>
        <color theme="1"/>
        <rFont val="Calibri"/>
        <family val="2"/>
        <charset val="204"/>
      </rPr>
      <t>э̅</t>
    </r>
    <r>
      <rPr>
        <sz val="9"/>
        <color theme="1"/>
        <rFont val="Calibri"/>
        <family val="2"/>
        <charset val="204"/>
      </rPr>
      <t>1</t>
    </r>
  </si>
  <si>
    <r>
      <t>э̅</t>
    </r>
    <r>
      <rPr>
        <sz val="9"/>
        <color theme="1"/>
        <rFont val="Calibri"/>
        <family val="2"/>
        <charset val="204"/>
      </rPr>
      <t>2</t>
    </r>
  </si>
  <si>
    <r>
      <t>э̅</t>
    </r>
    <r>
      <rPr>
        <sz val="9"/>
        <color theme="1"/>
        <rFont val="Calibri"/>
        <family val="2"/>
        <charset val="204"/>
      </rPr>
      <t>3</t>
    </r>
  </si>
  <si>
    <r>
      <t>э̅</t>
    </r>
    <r>
      <rPr>
        <sz val="9"/>
        <color theme="1"/>
        <rFont val="Calibri"/>
        <family val="2"/>
        <charset val="204"/>
      </rPr>
      <t>4</t>
    </r>
  </si>
  <si>
    <t xml:space="preserve">3 способ) Частные коэффициенты корреляции </t>
  </si>
  <si>
    <r>
      <t>R²</t>
    </r>
    <r>
      <rPr>
        <sz val="9"/>
        <color theme="1"/>
        <rFont val="Calibri"/>
        <family val="2"/>
        <charset val="204"/>
        <scheme val="minor"/>
      </rPr>
      <t>yx2x3x4</t>
    </r>
  </si>
  <si>
    <r>
      <t>R²</t>
    </r>
    <r>
      <rPr>
        <sz val="9"/>
        <color theme="1"/>
        <rFont val="Calibri"/>
        <family val="2"/>
        <charset val="204"/>
        <scheme val="minor"/>
      </rPr>
      <t>yx1x3x4</t>
    </r>
  </si>
  <si>
    <r>
      <t>R²</t>
    </r>
    <r>
      <rPr>
        <sz val="9"/>
        <color theme="1"/>
        <rFont val="Calibri"/>
        <family val="2"/>
        <charset val="204"/>
        <scheme val="minor"/>
      </rPr>
      <t>yx1x2x4</t>
    </r>
  </si>
  <si>
    <r>
      <t>R²</t>
    </r>
    <r>
      <rPr>
        <sz val="9"/>
        <color theme="1"/>
        <rFont val="Calibri"/>
        <family val="2"/>
        <charset val="204"/>
        <scheme val="minor"/>
      </rPr>
      <t>yx1x2x3</t>
    </r>
  </si>
  <si>
    <r>
      <t>без введения x</t>
    </r>
    <r>
      <rPr>
        <sz val="9"/>
        <color theme="1"/>
        <rFont val="Calibri"/>
        <family val="2"/>
        <charset val="204"/>
        <scheme val="minor"/>
      </rPr>
      <t>i</t>
    </r>
  </si>
  <si>
    <r>
      <rPr>
        <sz val="14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>yx1 ∙ x2x3x4</t>
    </r>
  </si>
  <si>
    <r>
      <rPr>
        <sz val="14"/>
        <color theme="1"/>
        <rFont val="Calibri"/>
        <family val="2"/>
        <charset val="204"/>
        <scheme val="minor"/>
      </rPr>
      <t>r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>yx2 ∙ x1x3x4</t>
    </r>
  </si>
  <si>
    <r>
      <rPr>
        <sz val="14"/>
        <color theme="1"/>
        <rFont val="Calibri"/>
        <family val="2"/>
        <charset val="204"/>
        <scheme val="minor"/>
      </rPr>
      <t>r</t>
    </r>
    <r>
      <rPr>
        <sz val="9"/>
        <color theme="1"/>
        <rFont val="Calibri"/>
        <family val="2"/>
        <charset val="204"/>
        <scheme val="minor"/>
      </rPr>
      <t xml:space="preserve"> yx3 ∙ x1x2x4</t>
    </r>
  </si>
  <si>
    <r>
      <rPr>
        <sz val="14"/>
        <color theme="1"/>
        <rFont val="Calibri"/>
        <family val="2"/>
        <charset val="204"/>
        <scheme val="minor"/>
      </rPr>
      <t xml:space="preserve">r </t>
    </r>
    <r>
      <rPr>
        <sz val="8"/>
        <color theme="1"/>
        <rFont val="Calibri"/>
        <family val="2"/>
        <charset val="204"/>
        <scheme val="minor"/>
      </rPr>
      <t>yx4 ∙ x1x2x3</t>
    </r>
  </si>
  <si>
    <r>
      <rPr>
        <sz val="12"/>
        <color theme="1"/>
        <rFont val="Calibri"/>
        <family val="2"/>
        <charset val="204"/>
        <scheme val="minor"/>
      </rPr>
      <t>r</t>
    </r>
    <r>
      <rPr>
        <sz val="9"/>
        <color theme="1"/>
        <rFont val="Calibri"/>
        <family val="2"/>
        <charset val="204"/>
        <scheme val="minor"/>
      </rPr>
      <t>yx1∙x2x3x4</t>
    </r>
    <r>
      <rPr>
        <sz val="11"/>
        <color theme="1"/>
        <rFont val="Calibri"/>
        <family val="2"/>
        <charset val="204"/>
        <scheme val="minor"/>
      </rPr>
      <t xml:space="preserve"> &gt;</t>
    </r>
    <r>
      <rPr>
        <sz val="12"/>
        <color theme="1"/>
        <rFont val="Calibri"/>
        <family val="2"/>
        <charset val="204"/>
        <scheme val="minor"/>
      </rPr>
      <t xml:space="preserve"> r</t>
    </r>
    <r>
      <rPr>
        <sz val="9"/>
        <color theme="1"/>
        <rFont val="Calibri"/>
        <family val="2"/>
        <charset val="204"/>
        <scheme val="minor"/>
      </rPr>
      <t xml:space="preserve">yx4∙x1x2x3 </t>
    </r>
    <r>
      <rPr>
        <sz val="11"/>
        <color theme="1"/>
        <rFont val="Calibri"/>
        <family val="2"/>
        <charset val="204"/>
        <scheme val="minor"/>
      </rPr>
      <t>&gt;</t>
    </r>
    <r>
      <rPr>
        <sz val="12"/>
        <color theme="1"/>
        <rFont val="Calibri"/>
        <family val="2"/>
        <charset val="204"/>
        <scheme val="minor"/>
      </rPr>
      <t xml:space="preserve"> r</t>
    </r>
    <r>
      <rPr>
        <sz val="9"/>
        <color theme="1"/>
        <rFont val="Calibri"/>
        <family val="2"/>
        <charset val="204"/>
        <scheme val="minor"/>
      </rPr>
      <t>yx2∙x1x3x4</t>
    </r>
    <r>
      <rPr>
        <sz val="11"/>
        <color theme="1"/>
        <rFont val="Calibri"/>
        <family val="2"/>
        <charset val="204"/>
        <scheme val="minor"/>
      </rPr>
      <t xml:space="preserve"> &gt;</t>
    </r>
    <r>
      <rPr>
        <sz val="12"/>
        <color theme="1"/>
        <rFont val="Calibri"/>
        <family val="2"/>
        <charset val="204"/>
        <scheme val="minor"/>
      </rPr>
      <t xml:space="preserve"> r</t>
    </r>
    <r>
      <rPr>
        <sz val="9"/>
        <color theme="1"/>
        <rFont val="Calibri"/>
        <family val="2"/>
        <charset val="204"/>
        <scheme val="minor"/>
      </rPr>
      <t>yx3∙x1x2x4</t>
    </r>
  </si>
  <si>
    <r>
      <rPr>
        <b/>
        <sz val="11"/>
        <color theme="1"/>
        <rFont val="Calibri"/>
        <family val="2"/>
        <charset val="204"/>
        <scheme val="minor"/>
      </rPr>
      <t xml:space="preserve">вывод: </t>
    </r>
    <r>
      <rPr>
        <sz val="11"/>
        <color theme="1"/>
        <rFont val="Calibri"/>
        <family val="2"/>
        <charset val="204"/>
        <scheme val="minor"/>
      </rPr>
      <t xml:space="preserve">ранжирование факторов по тесноте их связи с результатом в убывающнем порядке выглядит следующим образом: </t>
    </r>
    <r>
      <rPr>
        <b/>
        <sz val="11"/>
        <color theme="1"/>
        <rFont val="Calibri"/>
        <family val="2"/>
        <charset val="204"/>
        <scheme val="minor"/>
      </rPr>
      <t>x1, x4, x2, x3</t>
    </r>
  </si>
  <si>
    <t>4 способ) коэффициенты парной корреляции</t>
  </si>
  <si>
    <r>
      <t>r</t>
    </r>
    <r>
      <rPr>
        <sz val="9"/>
        <color theme="1"/>
        <rFont val="Calibri"/>
        <family val="2"/>
        <charset val="204"/>
        <scheme val="minor"/>
      </rPr>
      <t xml:space="preserve">yx1 </t>
    </r>
  </si>
  <si>
    <r>
      <t>r</t>
    </r>
    <r>
      <rPr>
        <sz val="9"/>
        <color theme="1"/>
        <rFont val="Calibri"/>
        <family val="2"/>
        <charset val="204"/>
        <scheme val="minor"/>
      </rPr>
      <t>yx2</t>
    </r>
  </si>
  <si>
    <r>
      <t>r</t>
    </r>
    <r>
      <rPr>
        <sz val="9"/>
        <color theme="1"/>
        <rFont val="Calibri"/>
        <family val="2"/>
        <charset val="204"/>
        <scheme val="minor"/>
      </rPr>
      <t>yx3</t>
    </r>
  </si>
  <si>
    <r>
      <t>r</t>
    </r>
    <r>
      <rPr>
        <sz val="9"/>
        <color theme="1"/>
        <rFont val="Calibri"/>
        <family val="2"/>
        <charset val="204"/>
        <scheme val="minor"/>
      </rPr>
      <t>yx4</t>
    </r>
  </si>
  <si>
    <t>Пункт 10. Совпадает ли ваш вывод с результатами, полученными в п. 8?</t>
  </si>
  <si>
    <t>Вывод не полностью совпадает. Третий признак-фактор следует исключить</t>
  </si>
  <si>
    <t>Пункт 11. Выполните проверку рассчитанных вами показателей с помощью режима «Регрессия»</t>
  </si>
  <si>
    <t>см. лист АД_РЕГРЕССИЯ</t>
  </si>
  <si>
    <t>остаточная</t>
  </si>
  <si>
    <t>Пункт 12. Постройте диагностическую диаграмму. Проверьте выполнение предпосылок МНК. Сделайте вывод.</t>
  </si>
  <si>
    <t>Предпосылки МНК</t>
  </si>
  <si>
    <t>1. Случайный характер остатков</t>
  </si>
  <si>
    <t>2. Нулевая средняя величина остатков, не зависящая от x</t>
  </si>
  <si>
    <t>3. Гомоскедастичность: дисперсия каждого отклонения е одинакова для всех значений х</t>
  </si>
  <si>
    <t>4. Отстутствие автокорреляции остатков: значения остатков распределены независимо друг от друга</t>
  </si>
  <si>
    <t>5. Остатки подчиняются нормальному распределению</t>
  </si>
  <si>
    <t>Проверка:  построение графика зависимости остатков от ŷₓ</t>
  </si>
  <si>
    <t>Проверка:  построение графика зависимости остатков от x</t>
  </si>
  <si>
    <t>∑(𝑦−ŷₓ))/𝑛</t>
  </si>
  <si>
    <t>3. Гомоскедастичность: дисперсия каждого отклонения одинакова для всех значений х</t>
  </si>
  <si>
    <t xml:space="preserve">Пункт 13. Обобщите выводы о качестве построенного уравнения регрессии: </t>
  </si>
  <si>
    <t xml:space="preserve">а) о точности прогнозов, сделанных на основе уравнения регрессии; </t>
  </si>
  <si>
    <t>б) об адекватности уравнения данным генеральной совокупности;</t>
  </si>
  <si>
    <t xml:space="preserve">в) о необходимости исключения факторов из уравнения регрессии; </t>
  </si>
  <si>
    <t>г) о других проблемах и способах их решения.</t>
  </si>
  <si>
    <t>Пункт 14. Если необходимо исключить факторы из уравнения регрессии, запишите вид нового уравнения, которое вы предлагаете построить. Получите уравнение множественной регрессии только со статистическими значимыми факторами</t>
  </si>
  <si>
    <t>Пункт 15. Выполните все задания из индивидуального варианта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</si>
  <si>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</si>
  <si>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</si>
  <si>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</si>
  <si>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</si>
  <si>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</si>
  <si>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</si>
  <si>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</si>
  <si>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</si>
  <si>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</si>
  <si>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</si>
  <si>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</si>
  <si>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</si>
  <si>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</si>
  <si>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</si>
  <si>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</si>
  <si>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</si>
  <si>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</si>
  <si>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</si>
  <si>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</si>
  <si>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</si>
  <si>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Y-пересечение</t>
  </si>
  <si>
    <t>ВЫВОД ОСТАТКА</t>
  </si>
  <si>
    <t>ВЫВОД ВЕРОЯТНОСТИ</t>
  </si>
  <si>
    <t>Наблюдение</t>
  </si>
  <si>
    <t>Предсказанное y (прибыль, млн. руб.)</t>
  </si>
  <si>
    <t>Остатки</t>
  </si>
  <si>
    <t>Стандартные остатки</t>
  </si>
  <si>
    <t>Персентиль</t>
  </si>
  <si>
    <r>
      <t>ε</t>
    </r>
    <r>
      <rPr>
        <sz val="9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=y-ŷₓ  
</t>
    </r>
  </si>
  <si>
    <r>
      <t>ε</t>
    </r>
    <r>
      <rPr>
        <sz val="8"/>
        <color theme="1"/>
        <rFont val="Calibri"/>
        <family val="2"/>
        <charset val="204"/>
        <scheme val="minor"/>
      </rPr>
      <t>i-1</t>
    </r>
  </si>
  <si>
    <r>
      <t>σ</t>
    </r>
    <r>
      <rPr>
        <sz val="12"/>
        <color rgb="FF000000"/>
        <rFont val="Calibri"/>
        <family val="2"/>
        <charset val="204"/>
      </rPr>
      <t>²</t>
    </r>
  </si>
  <si>
    <r>
      <t>ε</t>
    </r>
    <r>
      <rPr>
        <sz val="9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²=(y-ŷₓ)² </t>
    </r>
  </si>
  <si>
    <t>5. Предпосылка о нормальном распределении</t>
  </si>
  <si>
    <t>Выводы о качестве построенного уравнения регрессии:</t>
  </si>
  <si>
    <t xml:space="preserve">а) Коэффициент детерминации показывает, что уравнением регрессии объясняется 79,9% вариации результирующего показателя у. </t>
  </si>
  <si>
    <t>Можно сказать, что прогнозы, сделанные на основе уравнения регрессии, довольно точны.</t>
  </si>
  <si>
    <t>2. Построить линейную регрессионную модель годовой прибыли банка только с существенно влияющими на ее изменение факторами. Оценить параметры модели.</t>
  </si>
  <si>
    <t xml:space="preserve">3. Значимо ли статистически уравнение регрессии второй модели? </t>
  </si>
  <si>
    <t>4. Имеют ли остатки второй регрессии одинаковую дисперсию?</t>
  </si>
  <si>
    <t>5. Используя вторую модель, сравнить силу влияния факторов на годовую прибыль банка.</t>
  </si>
  <si>
    <t>1. Построить линейную регрессионную модель годовой прибыли банка с полным набором факторов. Оценить параметры модели.</t>
  </si>
  <si>
    <r>
      <t>|t</t>
    </r>
    <r>
      <rPr>
        <vertAlign val="subscript"/>
        <sz val="12"/>
        <color theme="1"/>
        <rFont val="Calibri"/>
        <family val="2"/>
        <charset val="204"/>
        <scheme val="minor"/>
      </rPr>
      <t>b1</t>
    </r>
    <r>
      <rPr>
        <sz val="12"/>
        <color theme="1"/>
        <rFont val="Calibri"/>
        <family val="2"/>
        <charset val="204"/>
        <scheme val="minor"/>
      </rPr>
      <t>| &gt; |t</t>
    </r>
    <r>
      <rPr>
        <vertAlign val="subscript"/>
        <sz val="12"/>
        <color theme="1"/>
        <rFont val="Calibri"/>
        <family val="2"/>
        <charset val="204"/>
        <scheme val="minor"/>
      </rPr>
      <t>b4</t>
    </r>
    <r>
      <rPr>
        <sz val="12"/>
        <color theme="1"/>
        <rFont val="Calibri"/>
        <family val="2"/>
        <charset val="204"/>
        <scheme val="minor"/>
      </rPr>
      <t>| &gt; |t</t>
    </r>
    <r>
      <rPr>
        <vertAlign val="subscript"/>
        <sz val="12"/>
        <color theme="1"/>
        <rFont val="Calibri"/>
        <family val="2"/>
        <charset val="204"/>
        <scheme val="minor"/>
      </rPr>
      <t>b2</t>
    </r>
    <r>
      <rPr>
        <sz val="12"/>
        <color theme="1"/>
        <rFont val="Calibri"/>
        <family val="2"/>
        <charset val="204"/>
        <scheme val="minor"/>
      </rPr>
      <t>| &gt; |t</t>
    </r>
    <r>
      <rPr>
        <vertAlign val="subscript"/>
        <sz val="12"/>
        <color theme="1"/>
        <rFont val="Calibri"/>
        <family val="2"/>
        <charset val="204"/>
        <scheme val="minor"/>
      </rPr>
      <t>b3</t>
    </r>
    <r>
      <rPr>
        <sz val="12"/>
        <color theme="1"/>
        <rFont val="Calibri"/>
        <family val="2"/>
        <charset val="204"/>
        <scheme val="minor"/>
      </rPr>
      <t>|</t>
    </r>
  </si>
  <si>
    <t>(показывают, на сколько единиц изменится в среднем результат, если соответствующий фактор изменится на одну единицу при неизменном среднем уровне других факторов)</t>
  </si>
  <si>
    <t>(показывают, на сколько процентов в среднем изменится результат, при изменении соответствующего фактора на 1%)</t>
  </si>
  <si>
    <r>
      <rPr>
        <b/>
        <sz val="11"/>
        <color theme="1"/>
        <rFont val="Calibri"/>
        <family val="2"/>
        <charset val="204"/>
        <scheme val="minor"/>
      </rPr>
      <t>вывод</t>
    </r>
    <r>
      <rPr>
        <sz val="11"/>
        <color theme="1"/>
        <rFont val="Calibri"/>
        <family val="2"/>
        <charset val="204"/>
        <scheme val="minor"/>
      </rPr>
      <t>:  |</t>
    </r>
    <r>
      <rPr>
        <b/>
        <sz val="11"/>
        <color theme="1"/>
        <rFont val="Calibri"/>
        <family val="2"/>
        <charset val="204"/>
        <scheme val="minor"/>
      </rPr>
      <t>β1|&gt; |β4|&gt; |β2|&gt; |β3|</t>
    </r>
    <r>
      <rPr>
        <sz val="11"/>
        <color theme="1"/>
        <rFont val="Calibri"/>
        <family val="2"/>
        <charset val="204"/>
        <scheme val="minor"/>
      </rPr>
      <t>, следовательно, ранжирование факторов по силе влияния на результат в убывающнем порядке выглядит следующим образом:</t>
    </r>
    <r>
      <rPr>
        <b/>
        <sz val="11"/>
        <color theme="1"/>
        <rFont val="Calibri"/>
        <family val="2"/>
        <charset val="204"/>
        <scheme val="minor"/>
      </rPr>
      <t xml:space="preserve">  x1, x4, x2, x3 </t>
    </r>
  </si>
  <si>
    <r>
      <t>|э̅</t>
    </r>
    <r>
      <rPr>
        <sz val="10"/>
        <color theme="1"/>
        <rFont val="Calibri"/>
        <family val="2"/>
        <charset val="204"/>
      </rPr>
      <t>4|</t>
    </r>
    <r>
      <rPr>
        <sz val="14"/>
        <color theme="1"/>
        <rFont val="Calibri"/>
        <family val="2"/>
        <charset val="204"/>
      </rPr>
      <t xml:space="preserve"> &gt; |э̅</t>
    </r>
    <r>
      <rPr>
        <sz val="10"/>
        <color theme="1"/>
        <rFont val="Calibri"/>
        <family val="2"/>
        <charset val="204"/>
      </rPr>
      <t>3|</t>
    </r>
    <r>
      <rPr>
        <sz val="14"/>
        <color theme="1"/>
        <rFont val="Calibri"/>
        <family val="2"/>
        <charset val="204"/>
      </rPr>
      <t xml:space="preserve"> &gt; |э̅</t>
    </r>
    <r>
      <rPr>
        <sz val="10"/>
        <color theme="1"/>
        <rFont val="Calibri"/>
        <family val="2"/>
        <charset val="204"/>
      </rPr>
      <t>1|</t>
    </r>
    <r>
      <rPr>
        <sz val="14"/>
        <color theme="1"/>
        <rFont val="Calibri"/>
        <family val="2"/>
        <charset val="204"/>
      </rPr>
      <t xml:space="preserve"> &gt; |э̅</t>
    </r>
    <r>
      <rPr>
        <sz val="10"/>
        <color theme="1"/>
        <rFont val="Calibri"/>
        <family val="2"/>
        <charset val="204"/>
      </rPr>
      <t>2</t>
    </r>
    <r>
      <rPr>
        <b/>
        <sz val="12"/>
        <color theme="1"/>
        <rFont val="Calibri"/>
        <family val="2"/>
        <charset val="204"/>
      </rPr>
      <t>|</t>
    </r>
  </si>
  <si>
    <t>частные r</t>
  </si>
  <si>
    <r>
      <t>|r</t>
    </r>
    <r>
      <rPr>
        <sz val="9"/>
        <color theme="1"/>
        <rFont val="Calibri"/>
        <family val="2"/>
        <charset val="204"/>
        <scheme val="minor"/>
      </rPr>
      <t>yx1|</t>
    </r>
    <r>
      <rPr>
        <sz val="11"/>
        <color theme="1"/>
        <rFont val="Calibri"/>
        <family val="2"/>
        <charset val="204"/>
        <scheme val="minor"/>
      </rPr>
      <t xml:space="preserve"> &gt; |r</t>
    </r>
    <r>
      <rPr>
        <sz val="9"/>
        <color theme="1"/>
        <rFont val="Calibri"/>
        <family val="2"/>
        <charset val="204"/>
        <scheme val="minor"/>
      </rPr>
      <t>yx4|</t>
    </r>
    <r>
      <rPr>
        <sz val="11"/>
        <color theme="1"/>
        <rFont val="Calibri"/>
        <family val="2"/>
        <charset val="204"/>
        <scheme val="minor"/>
      </rPr>
      <t xml:space="preserve"> &gt; |r</t>
    </r>
    <r>
      <rPr>
        <sz val="9"/>
        <color theme="1"/>
        <rFont val="Calibri"/>
        <family val="2"/>
        <charset val="204"/>
        <scheme val="minor"/>
      </rPr>
      <t>yx3|</t>
    </r>
    <r>
      <rPr>
        <sz val="11"/>
        <color theme="1"/>
        <rFont val="Calibri"/>
        <family val="2"/>
        <charset val="204"/>
        <scheme val="minor"/>
      </rPr>
      <t xml:space="preserve"> &gt; |r</t>
    </r>
    <r>
      <rPr>
        <sz val="9"/>
        <color theme="1"/>
        <rFont val="Calibri"/>
        <family val="2"/>
        <charset val="204"/>
        <scheme val="minor"/>
      </rPr>
      <t>yx2|</t>
    </r>
  </si>
  <si>
    <t>cov (встроен)</t>
  </si>
  <si>
    <t>σ² (встроен)</t>
  </si>
  <si>
    <t>в) Фактор Х3 оказывает наименьшее влияние на модель, следует его иcключить из модели (этот фактор статистически незначим, проверка по t-критерию Стьюдента и частному F-критерию Фишера</t>
  </si>
  <si>
    <t>б) Проверив значимость коэффициента детерминации на уровне 0,05, получили Fфакт &gt; Fтабл, что говорит об адекватности уравнения данным генеральной совокупности</t>
  </si>
  <si>
    <t>Нижние 90,0%</t>
  </si>
  <si>
    <t>Верхние 90,0%</t>
  </si>
  <si>
    <t>Исключение фактора х3</t>
  </si>
  <si>
    <t>При отборе факторов также рекомендуется пользоваться следующим правилом: число включаемых факторов обычно в 6–7 раз меньше объема совокупности, по которой строится регрессия.</t>
  </si>
  <si>
    <t>Фактор х3 статистически незначим, существенно не влияет на признак-результат</t>
  </si>
  <si>
    <t>Характеризуют тесноту связи между результатом и соответствующим фактором при элиминировании (устранении влияния) других факторов, включенных в уравнение регрессии. Показатели частной корреляции представляют собой отношение сокращения остаточной дисперсии за счет дополнительного включения в анализ нового фактора к остаточной дисперсии, имевшей место до введения его в модель.</t>
  </si>
  <si>
    <r>
      <t>m</t>
    </r>
    <r>
      <rPr>
        <sz val="9"/>
        <color theme="1"/>
        <rFont val="Calibri"/>
        <family val="2"/>
        <charset val="204"/>
        <scheme val="minor"/>
      </rPr>
      <t>a</t>
    </r>
  </si>
  <si>
    <r>
      <t>r</t>
    </r>
    <r>
      <rPr>
        <sz val="11"/>
        <color theme="1"/>
        <rFont val="Calibri"/>
        <family val="2"/>
        <charset val="204"/>
      </rPr>
      <t>²</t>
    </r>
  </si>
  <si>
    <r>
      <t>F</t>
    </r>
    <r>
      <rPr>
        <sz val="10"/>
        <color theme="1"/>
        <rFont val="Calibri"/>
        <family val="2"/>
        <charset val="204"/>
        <scheme val="minor"/>
      </rPr>
      <t>факт</t>
    </r>
  </si>
  <si>
    <t>факторн</t>
  </si>
  <si>
    <t>Статистическая значимость уравнения регрессии</t>
  </si>
  <si>
    <t>Fфакт &gt; Fтабл, уравнение в целом статистически значимо</t>
  </si>
  <si>
    <t>Имеют ли остатки одинаковую дисперсию?</t>
  </si>
  <si>
    <t>график зависимости остатков от теоретических значений результативного признака</t>
  </si>
  <si>
    <t>Используя вторую модель, сравнить силу влияния факторов на годовую прибыль банка</t>
  </si>
  <si>
    <t> β1</t>
  </si>
  <si>
    <t>Пункт 15. Выполните все задания из индивидуального варианта (вариант №10)</t>
  </si>
  <si>
    <r>
      <rPr>
        <sz val="14"/>
        <color rgb="FF000000"/>
        <rFont val="Calibri"/>
        <family val="2"/>
        <charset val="204"/>
      </rPr>
      <t>r</t>
    </r>
    <r>
      <rPr>
        <sz val="10"/>
        <color rgb="FF000000"/>
        <rFont val="Calibri"/>
        <family val="2"/>
        <charset val="204"/>
      </rPr>
      <t>eiej</t>
    </r>
    <r>
      <rPr>
        <sz val="11"/>
        <color rgb="FF000000"/>
        <rFont val="Calibri"/>
        <family val="2"/>
        <charset val="204"/>
      </rPr>
      <t xml:space="preserve"> </t>
    </r>
    <r>
      <rPr>
        <sz val="12"/>
        <color rgb="FF000000"/>
        <rFont val="Calibri"/>
        <family val="2"/>
      </rPr>
      <t>(встроенная)</t>
    </r>
  </si>
  <si>
    <t>См. лист ИЗ</t>
  </si>
  <si>
    <t>вывод: коэффициент несущественно отличен от нуля, автокорреляции нет, предпосылка выполняется</t>
  </si>
  <si>
    <t>Чем ближе к нулю определитель матрицы межфакторной корреляции, тем сильнее мультиколлинеарность факторов и ненадежнее результаты множественной регрессии. И, наоборот, чем ближе к единице определитель матрицы межфакторной корреляции, тем меньше мультиколлинеарность факторов.</t>
  </si>
  <si>
    <r>
      <t>x</t>
    </r>
    <r>
      <rPr>
        <b/>
        <sz val="8"/>
        <color theme="1"/>
        <rFont val="Calibri"/>
        <family val="2"/>
        <charset val="204"/>
        <scheme val="minor"/>
      </rPr>
      <t>1∙</t>
    </r>
    <r>
      <rPr>
        <b/>
        <sz val="11"/>
        <color theme="1"/>
        <rFont val="Calibri"/>
        <family val="2"/>
        <charset val="204"/>
        <scheme val="minor"/>
      </rPr>
      <t>x</t>
    </r>
    <r>
      <rPr>
        <b/>
        <sz val="8"/>
        <color theme="1"/>
        <rFont val="Calibri"/>
        <family val="2"/>
        <charset val="204"/>
        <scheme val="minor"/>
      </rPr>
      <t>2</t>
    </r>
  </si>
  <si>
    <r>
      <t>x</t>
    </r>
    <r>
      <rPr>
        <b/>
        <sz val="8"/>
        <color theme="1"/>
        <rFont val="Calibri"/>
        <family val="2"/>
        <charset val="204"/>
        <scheme val="minor"/>
      </rPr>
      <t>1∙</t>
    </r>
    <r>
      <rPr>
        <b/>
        <sz val="11"/>
        <color theme="1"/>
        <rFont val="Calibri"/>
        <family val="2"/>
        <charset val="204"/>
        <scheme val="minor"/>
      </rPr>
      <t>x</t>
    </r>
    <r>
      <rPr>
        <b/>
        <sz val="8"/>
        <color theme="1"/>
        <rFont val="Calibri"/>
        <family val="2"/>
        <charset val="204"/>
        <scheme val="minor"/>
      </rPr>
      <t>3</t>
    </r>
  </si>
  <si>
    <r>
      <t>x</t>
    </r>
    <r>
      <rPr>
        <b/>
        <sz val="8"/>
        <color theme="1"/>
        <rFont val="Calibri"/>
        <family val="2"/>
        <charset val="204"/>
        <scheme val="minor"/>
      </rPr>
      <t>1∙</t>
    </r>
    <r>
      <rPr>
        <b/>
        <sz val="11"/>
        <color theme="1"/>
        <rFont val="Calibri"/>
        <family val="2"/>
        <charset val="204"/>
        <scheme val="minor"/>
      </rPr>
      <t>x</t>
    </r>
    <r>
      <rPr>
        <b/>
        <sz val="8"/>
        <color theme="1"/>
        <rFont val="Calibri"/>
        <family val="2"/>
        <charset val="204"/>
        <scheme val="minor"/>
      </rPr>
      <t>4</t>
    </r>
  </si>
  <si>
    <r>
      <t>x</t>
    </r>
    <r>
      <rPr>
        <b/>
        <sz val="8"/>
        <color theme="1"/>
        <rFont val="Calibri"/>
        <family val="2"/>
        <charset val="204"/>
        <scheme val="minor"/>
      </rPr>
      <t>2∙</t>
    </r>
    <r>
      <rPr>
        <b/>
        <sz val="11"/>
        <color theme="1"/>
        <rFont val="Calibri"/>
        <family val="2"/>
        <charset val="204"/>
        <scheme val="minor"/>
      </rPr>
      <t>x</t>
    </r>
    <r>
      <rPr>
        <b/>
        <sz val="8"/>
        <color theme="1"/>
        <rFont val="Calibri"/>
        <family val="2"/>
        <charset val="204"/>
        <scheme val="minor"/>
      </rPr>
      <t>3</t>
    </r>
  </si>
  <si>
    <r>
      <t>x</t>
    </r>
    <r>
      <rPr>
        <b/>
        <sz val="8"/>
        <color theme="1"/>
        <rFont val="Calibri"/>
        <family val="2"/>
        <charset val="204"/>
        <scheme val="minor"/>
      </rPr>
      <t>2∙</t>
    </r>
    <r>
      <rPr>
        <b/>
        <sz val="11"/>
        <color theme="1"/>
        <rFont val="Calibri"/>
        <family val="2"/>
        <charset val="204"/>
        <scheme val="minor"/>
      </rPr>
      <t>x</t>
    </r>
    <r>
      <rPr>
        <b/>
        <sz val="8"/>
        <color theme="1"/>
        <rFont val="Calibri"/>
        <family val="2"/>
        <charset val="204"/>
        <scheme val="minor"/>
      </rPr>
      <t>4</t>
    </r>
  </si>
  <si>
    <r>
      <t>x</t>
    </r>
    <r>
      <rPr>
        <b/>
        <sz val="8"/>
        <color theme="1"/>
        <rFont val="Calibri"/>
        <family val="2"/>
        <charset val="204"/>
        <scheme val="minor"/>
      </rPr>
      <t>3∙</t>
    </r>
    <r>
      <rPr>
        <b/>
        <sz val="11"/>
        <color theme="1"/>
        <rFont val="Calibri"/>
        <family val="2"/>
        <charset val="204"/>
        <scheme val="minor"/>
      </rPr>
      <t>x</t>
    </r>
    <r>
      <rPr>
        <b/>
        <sz val="8"/>
        <color theme="1"/>
        <rFont val="Calibri"/>
        <family val="2"/>
        <charset val="204"/>
        <scheme val="minor"/>
      </rPr>
      <t>4</t>
    </r>
  </si>
  <si>
    <r>
      <t>y∙x</t>
    </r>
    <r>
      <rPr>
        <b/>
        <sz val="9"/>
        <color theme="1"/>
        <rFont val="Calibri"/>
        <family val="2"/>
        <charset val="204"/>
        <scheme val="minor"/>
      </rPr>
      <t>1</t>
    </r>
  </si>
  <si>
    <r>
      <t>y∙x</t>
    </r>
    <r>
      <rPr>
        <b/>
        <sz val="9"/>
        <color theme="1"/>
        <rFont val="Calibri"/>
        <family val="2"/>
        <charset val="204"/>
        <scheme val="minor"/>
      </rPr>
      <t>2</t>
    </r>
  </si>
  <si>
    <r>
      <t>y∙x</t>
    </r>
    <r>
      <rPr>
        <b/>
        <sz val="9"/>
        <color theme="1"/>
        <rFont val="Calibri"/>
        <family val="2"/>
        <charset val="204"/>
        <scheme val="minor"/>
      </rPr>
      <t>3</t>
    </r>
  </si>
  <si>
    <r>
      <t>y∙x</t>
    </r>
    <r>
      <rPr>
        <b/>
        <sz val="9"/>
        <color theme="1"/>
        <rFont val="Calibri"/>
        <family val="2"/>
        <charset val="204"/>
        <scheme val="minor"/>
      </rPr>
      <t>4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</si>
  <si>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</si>
  <si>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</si>
  <si>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</si>
  <si>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b1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</si>
  <si>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b2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</si>
  <si>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b4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</si>
  <si>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табл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</si>
  <si>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b1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</si>
  <si>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b2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</si>
  <si>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b4</t>
    </r>
  </si>
  <si>
    <t>ŷₓ  = 582,73716 + 0,02979 x1 - 0,03244 x2 - 24,69844 x4</t>
  </si>
  <si>
    <t>параметры признаются статистически значимыми</t>
  </si>
  <si>
    <r>
      <t>|t</t>
    </r>
    <r>
      <rPr>
        <vertAlign val="subscript"/>
        <sz val="11"/>
        <color theme="1"/>
        <rFont val="Calibri"/>
        <family val="2"/>
        <charset val="204"/>
        <scheme val="minor"/>
      </rPr>
      <t>b1</t>
    </r>
    <r>
      <rPr>
        <sz val="11"/>
        <color theme="1"/>
        <rFont val="Calibri"/>
        <family val="2"/>
        <charset val="204"/>
        <scheme val="minor"/>
      </rPr>
      <t>| &gt; |t</t>
    </r>
    <r>
      <rPr>
        <vertAlign val="subscript"/>
        <sz val="11"/>
        <color theme="1"/>
        <rFont val="Calibri"/>
        <family val="2"/>
        <charset val="204"/>
        <scheme val="minor"/>
      </rPr>
      <t>табл</t>
    </r>
    <r>
      <rPr>
        <sz val="11"/>
        <color theme="1"/>
        <rFont val="Calibri"/>
        <family val="2"/>
        <charset val="204"/>
        <scheme val="minor"/>
      </rPr>
      <t>|, |t</t>
    </r>
    <r>
      <rPr>
        <vertAlign val="subscript"/>
        <sz val="11"/>
        <color theme="1"/>
        <rFont val="Calibri"/>
        <family val="2"/>
        <charset val="204"/>
        <scheme val="minor"/>
      </rPr>
      <t>b2</t>
    </r>
    <r>
      <rPr>
        <sz val="11"/>
        <color theme="1"/>
        <rFont val="Calibri"/>
        <family val="2"/>
        <charset val="204"/>
        <scheme val="minor"/>
      </rPr>
      <t>| &gt; |t</t>
    </r>
    <r>
      <rPr>
        <vertAlign val="subscript"/>
        <sz val="11"/>
        <color theme="1"/>
        <rFont val="Calibri"/>
        <family val="2"/>
        <charset val="204"/>
        <scheme val="minor"/>
      </rPr>
      <t>табл</t>
    </r>
    <r>
      <rPr>
        <sz val="11"/>
        <color theme="1"/>
        <rFont val="Calibri"/>
        <family val="2"/>
        <charset val="204"/>
        <scheme val="minor"/>
      </rPr>
      <t>|, |t</t>
    </r>
    <r>
      <rPr>
        <vertAlign val="subscript"/>
        <sz val="11"/>
        <color theme="1"/>
        <rFont val="Calibri"/>
        <family val="2"/>
        <charset val="204"/>
        <scheme val="minor"/>
      </rPr>
      <t>b4</t>
    </r>
    <r>
      <rPr>
        <sz val="11"/>
        <color theme="1"/>
        <rFont val="Calibri"/>
        <family val="2"/>
        <charset val="204"/>
        <scheme val="minor"/>
      </rPr>
      <t>| &gt; |t</t>
    </r>
    <r>
      <rPr>
        <vertAlign val="subscript"/>
        <sz val="11"/>
        <color theme="1"/>
        <rFont val="Calibri"/>
        <family val="2"/>
        <charset val="204"/>
        <scheme val="minor"/>
      </rPr>
      <t>табл</t>
    </r>
    <r>
      <rPr>
        <sz val="11"/>
        <color theme="1"/>
        <rFont val="Calibri"/>
        <family val="2"/>
        <charset val="204"/>
        <scheme val="minor"/>
      </rPr>
      <t>|,</t>
    </r>
  </si>
  <si>
    <t>остатки выстраиваются в горизонтальную линию, имеют одинаковую дисперсию (гомоскедастичны)</t>
  </si>
  <si>
    <r>
      <t>э̅</t>
    </r>
    <r>
      <rPr>
        <sz val="10"/>
        <color theme="1"/>
        <rFont val="Calibri"/>
        <family val="2"/>
        <charset val="204"/>
      </rPr>
      <t>4</t>
    </r>
  </si>
  <si>
    <r>
      <rPr>
        <b/>
        <sz val="11"/>
        <color theme="1"/>
        <rFont val="Calibri"/>
        <family val="2"/>
        <charset val="204"/>
      </rPr>
      <t>вывод:</t>
    </r>
    <r>
      <rPr>
        <b/>
        <sz val="14"/>
        <color theme="1"/>
        <rFont val="Calibri"/>
        <family val="2"/>
        <charset val="204"/>
      </rPr>
      <t>|э̅</t>
    </r>
    <r>
      <rPr>
        <b/>
        <sz val="10"/>
        <color theme="1"/>
        <rFont val="Calibri"/>
        <family val="2"/>
        <charset val="204"/>
      </rPr>
      <t>4|</t>
    </r>
    <r>
      <rPr>
        <b/>
        <sz val="14"/>
        <color theme="1"/>
        <rFont val="Calibri"/>
        <family val="2"/>
        <charset val="204"/>
      </rPr>
      <t xml:space="preserve"> &gt; |э̅</t>
    </r>
    <r>
      <rPr>
        <b/>
        <sz val="10"/>
        <color theme="1"/>
        <rFont val="Calibri"/>
        <family val="2"/>
        <charset val="204"/>
      </rPr>
      <t>1|</t>
    </r>
    <r>
      <rPr>
        <b/>
        <sz val="14"/>
        <color theme="1"/>
        <rFont val="Calibri"/>
        <family val="2"/>
        <charset val="204"/>
      </rPr>
      <t xml:space="preserve"> &gt; |э̅</t>
    </r>
    <r>
      <rPr>
        <b/>
        <sz val="10"/>
        <color theme="1"/>
        <rFont val="Calibri"/>
        <family val="2"/>
        <charset val="204"/>
      </rPr>
      <t>2</t>
    </r>
    <r>
      <rPr>
        <b/>
        <sz val="12"/>
        <color theme="1"/>
        <rFont val="Calibri"/>
        <family val="2"/>
        <charset val="204"/>
      </rPr>
      <t>|</t>
    </r>
  </si>
  <si>
    <t>при увеличении только депозитной ставки на 1% годовых (неизменных остальных факторах), прибыль увеличится в среднем на 28,153 млн руб</t>
  </si>
  <si>
    <t>при увеличении только привлеченных средств на 1 млн руб. (неизменных остальных факторах), прибыль уменьшится в среднем на 0,0355991 млн руб</t>
  </si>
  <si>
    <t>при увеличении только кредитной ставки на 1% годовых (неизменных остальных факторах), прибыль уменьшится в среднем на 30,563 млн руб</t>
  </si>
  <si>
    <t>при увеличении только собственнного капитала на 1 млн руб. (неизменных остальных факторах), прибыль увеличится в среднем на 0,0387419 млн руб</t>
  </si>
  <si>
    <t>Рассчет прогнозируемого значения прибыли, при условии, что прогнозные значения факторов x1, x2, x3, x4 составят 80% от их средних значений:</t>
  </si>
  <si>
    <r>
      <rPr>
        <sz val="12"/>
        <color theme="1"/>
        <rFont val="Calibri"/>
        <family val="2"/>
        <charset val="204"/>
        <scheme val="minor"/>
      </rPr>
      <t>t</t>
    </r>
    <r>
      <rPr>
        <sz val="9"/>
        <color theme="1"/>
        <rFont val="Calibri"/>
        <family val="2"/>
        <charset val="204"/>
        <scheme val="minor"/>
      </rPr>
      <t>табл (α = 0,05 )</t>
    </r>
  </si>
  <si>
    <r>
      <rPr>
        <sz val="12"/>
        <color theme="1"/>
        <rFont val="Calibri"/>
        <family val="2"/>
        <charset val="204"/>
        <scheme val="minor"/>
      </rPr>
      <t>t</t>
    </r>
    <r>
      <rPr>
        <sz val="9"/>
        <color theme="1"/>
        <rFont val="Calibri"/>
        <family val="2"/>
        <charset val="204"/>
        <scheme val="minor"/>
      </rPr>
      <t>табл (α = 0,1 )</t>
    </r>
  </si>
  <si>
    <r>
      <rPr>
        <b/>
        <sz val="12"/>
        <color theme="1"/>
        <rFont val="Calibri"/>
        <family val="2"/>
        <charset val="204"/>
        <scheme val="minor"/>
      </rPr>
      <t>вывод:</t>
    </r>
    <r>
      <rPr>
        <sz val="12"/>
        <color theme="1"/>
        <rFont val="Calibri"/>
        <family val="2"/>
        <charset val="204"/>
        <scheme val="minor"/>
      </rPr>
      <t xml:space="preserve"> F</t>
    </r>
    <r>
      <rPr>
        <sz val="11"/>
        <color theme="1"/>
        <rFont val="Calibri"/>
        <family val="2"/>
        <charset val="204"/>
        <scheme val="minor"/>
      </rPr>
      <t>x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&gt; F</t>
    </r>
    <r>
      <rPr>
        <sz val="11"/>
        <color theme="1"/>
        <rFont val="Calibri"/>
        <family val="2"/>
        <charset val="204"/>
        <scheme val="minor"/>
      </rPr>
      <t>табл</t>
    </r>
    <r>
      <rPr>
        <sz val="12"/>
        <color theme="1"/>
        <rFont val="Calibri"/>
        <family val="2"/>
        <charset val="204"/>
        <scheme val="minor"/>
      </rPr>
      <t>, F</t>
    </r>
    <r>
      <rPr>
        <sz val="11"/>
        <color theme="1"/>
        <rFont val="Calibri"/>
        <family val="2"/>
        <charset val="204"/>
        <scheme val="minor"/>
      </rPr>
      <t>x</t>
    </r>
    <r>
      <rPr>
        <sz val="9"/>
        <color theme="1"/>
        <rFont val="Calibri"/>
        <family val="2"/>
        <charset val="204"/>
        <scheme val="minor"/>
      </rPr>
      <t>2</t>
    </r>
    <r>
      <rPr>
        <sz val="12"/>
        <color theme="1"/>
        <rFont val="Calibri"/>
        <family val="2"/>
        <charset val="204"/>
        <scheme val="minor"/>
      </rPr>
      <t xml:space="preserve"> &gt; F</t>
    </r>
    <r>
      <rPr>
        <sz val="11"/>
        <color theme="1"/>
        <rFont val="Calibri"/>
        <family val="2"/>
        <charset val="204"/>
        <scheme val="minor"/>
      </rPr>
      <t>табл</t>
    </r>
    <r>
      <rPr>
        <sz val="12"/>
        <color theme="1"/>
        <rFont val="Calibri"/>
        <family val="2"/>
        <charset val="204"/>
        <scheme val="minor"/>
      </rPr>
      <t xml:space="preserve">, </t>
    </r>
    <r>
      <rPr>
        <b/>
        <i/>
        <sz val="12"/>
        <color theme="1"/>
        <rFont val="Calibri"/>
        <family val="2"/>
        <charset val="204"/>
        <scheme val="minor"/>
      </rPr>
      <t>F</t>
    </r>
    <r>
      <rPr>
        <b/>
        <i/>
        <sz val="11"/>
        <color theme="1"/>
        <rFont val="Calibri"/>
        <family val="2"/>
        <charset val="204"/>
        <scheme val="minor"/>
      </rPr>
      <t>x</t>
    </r>
    <r>
      <rPr>
        <b/>
        <i/>
        <sz val="9"/>
        <color theme="1"/>
        <rFont val="Calibri"/>
        <family val="2"/>
        <charset val="204"/>
        <scheme val="minor"/>
      </rPr>
      <t>3</t>
    </r>
    <r>
      <rPr>
        <b/>
        <i/>
        <sz val="12"/>
        <color theme="1"/>
        <rFont val="Calibri"/>
        <family val="2"/>
        <charset val="204"/>
        <scheme val="minor"/>
      </rPr>
      <t xml:space="preserve"> &lt; F</t>
    </r>
    <r>
      <rPr>
        <b/>
        <i/>
        <sz val="11"/>
        <color theme="1"/>
        <rFont val="Calibri"/>
        <family val="2"/>
        <charset val="204"/>
        <scheme val="minor"/>
      </rPr>
      <t>табл</t>
    </r>
    <r>
      <rPr>
        <b/>
        <i/>
        <sz val="12"/>
        <color theme="1"/>
        <rFont val="Calibri"/>
        <family val="2"/>
        <charset val="204"/>
        <scheme val="minor"/>
      </rPr>
      <t>,</t>
    </r>
    <r>
      <rPr>
        <sz val="12"/>
        <color theme="1"/>
        <rFont val="Calibri"/>
        <family val="2"/>
        <charset val="204"/>
        <scheme val="minor"/>
      </rPr>
      <t xml:space="preserve"> F</t>
    </r>
    <r>
      <rPr>
        <sz val="11"/>
        <color theme="1"/>
        <rFont val="Calibri"/>
        <family val="2"/>
        <charset val="204"/>
        <scheme val="minor"/>
      </rPr>
      <t>x</t>
    </r>
    <r>
      <rPr>
        <sz val="9"/>
        <color theme="1"/>
        <rFont val="Calibri"/>
        <family val="2"/>
        <charset val="204"/>
        <scheme val="minor"/>
      </rPr>
      <t>4</t>
    </r>
    <r>
      <rPr>
        <sz val="12"/>
        <color theme="1"/>
        <rFont val="Calibri"/>
        <family val="2"/>
        <charset val="204"/>
        <scheme val="minor"/>
      </rPr>
      <t xml:space="preserve"> &gt; F</t>
    </r>
    <r>
      <rPr>
        <sz val="11"/>
        <color theme="1"/>
        <rFont val="Calibri"/>
        <family val="2"/>
        <charset val="204"/>
        <scheme val="minor"/>
      </rPr>
      <t>табл</t>
    </r>
    <r>
      <rPr>
        <sz val="12"/>
        <color theme="1"/>
        <rFont val="Calibri"/>
        <family val="2"/>
        <charset val="204"/>
        <scheme val="minor"/>
      </rPr>
      <t>, поэтому включение факторов x1, x2, x4 в модель статистически оправдано и коэффициенты чистой регрессии b1, b2, b4 статистически значимы, а вот дополнительное включение фактора x3, после того, как уже введены факторы x1, x2, x4, нецелесообразно.</t>
    </r>
  </si>
  <si>
    <r>
      <rPr>
        <b/>
        <sz val="12"/>
        <color theme="1"/>
        <rFont val="Calibri"/>
        <family val="2"/>
        <charset val="204"/>
        <scheme val="minor"/>
      </rPr>
      <t>вывод:</t>
    </r>
    <r>
      <rPr>
        <sz val="12"/>
        <color theme="1"/>
        <rFont val="Calibri"/>
        <family val="2"/>
        <charset val="204"/>
        <scheme val="minor"/>
      </rPr>
      <t xml:space="preserve"> |t</t>
    </r>
    <r>
      <rPr>
        <sz val="9"/>
        <color theme="1"/>
        <rFont val="Calibri"/>
        <family val="2"/>
        <charset val="204"/>
        <scheme val="minor"/>
      </rPr>
      <t>b1|</t>
    </r>
    <r>
      <rPr>
        <sz val="12"/>
        <color theme="1"/>
        <rFont val="Calibri"/>
        <family val="2"/>
        <charset val="204"/>
        <scheme val="minor"/>
      </rPr>
      <t xml:space="preserve"> &gt; t</t>
    </r>
    <r>
      <rPr>
        <sz val="10"/>
        <color theme="1"/>
        <rFont val="Calibri"/>
        <family val="2"/>
        <charset val="204"/>
        <scheme val="minor"/>
      </rPr>
      <t>табл</t>
    </r>
    <r>
      <rPr>
        <sz val="12"/>
        <color theme="1"/>
        <rFont val="Calibri"/>
        <family val="2"/>
        <charset val="204"/>
        <scheme val="minor"/>
      </rPr>
      <t>, |t</t>
    </r>
    <r>
      <rPr>
        <sz val="9"/>
        <color theme="1"/>
        <rFont val="Calibri"/>
        <family val="2"/>
        <charset val="204"/>
        <scheme val="minor"/>
      </rPr>
      <t xml:space="preserve">b2|  </t>
    </r>
    <r>
      <rPr>
        <sz val="12"/>
        <color theme="1"/>
        <rFont val="Calibri"/>
        <family val="2"/>
        <charset val="204"/>
        <scheme val="minor"/>
      </rPr>
      <t>&gt; t</t>
    </r>
    <r>
      <rPr>
        <sz val="10"/>
        <color theme="1"/>
        <rFont val="Calibri"/>
        <family val="2"/>
        <charset val="204"/>
        <scheme val="minor"/>
      </rPr>
      <t>табл</t>
    </r>
    <r>
      <rPr>
        <sz val="12"/>
        <color theme="1"/>
        <rFont val="Calibri"/>
        <family val="2"/>
        <charset val="204"/>
        <scheme val="minor"/>
      </rPr>
      <t>, |</t>
    </r>
    <r>
      <rPr>
        <b/>
        <sz val="12"/>
        <color theme="1"/>
        <rFont val="Calibri"/>
        <family val="2"/>
        <charset val="204"/>
        <scheme val="minor"/>
      </rPr>
      <t>t</t>
    </r>
    <r>
      <rPr>
        <b/>
        <sz val="9"/>
        <color theme="1"/>
        <rFont val="Calibri"/>
        <family val="2"/>
        <charset val="204"/>
        <scheme val="minor"/>
      </rPr>
      <t>b3|</t>
    </r>
    <r>
      <rPr>
        <b/>
        <sz val="12"/>
        <color theme="1"/>
        <rFont val="Calibri"/>
        <family val="2"/>
        <charset val="204"/>
        <scheme val="minor"/>
      </rPr>
      <t xml:space="preserve"> &lt; t</t>
    </r>
    <r>
      <rPr>
        <b/>
        <sz val="10"/>
        <color theme="1"/>
        <rFont val="Calibri"/>
        <family val="2"/>
        <charset val="204"/>
        <scheme val="minor"/>
      </rPr>
      <t>табл</t>
    </r>
    <r>
      <rPr>
        <sz val="12"/>
        <color theme="1"/>
        <rFont val="Calibri"/>
        <family val="2"/>
        <charset val="204"/>
        <scheme val="minor"/>
      </rPr>
      <t>, t</t>
    </r>
    <r>
      <rPr>
        <sz val="9"/>
        <color theme="1"/>
        <rFont val="Calibri"/>
        <family val="2"/>
        <charset val="204"/>
        <scheme val="minor"/>
      </rPr>
      <t>b4</t>
    </r>
    <r>
      <rPr>
        <sz val="12"/>
        <color theme="1"/>
        <rFont val="Calibri"/>
        <family val="2"/>
        <charset val="204"/>
        <scheme val="minor"/>
      </rPr>
      <t xml:space="preserve"> &gt; t</t>
    </r>
    <r>
      <rPr>
        <sz val="10"/>
        <color theme="1"/>
        <rFont val="Calibri"/>
        <family val="2"/>
        <charset val="204"/>
        <scheme val="minor"/>
      </rPr>
      <t>табл</t>
    </r>
    <r>
      <rPr>
        <sz val="12"/>
        <color theme="1"/>
        <rFont val="Calibri"/>
        <family val="2"/>
        <charset val="204"/>
        <scheme val="minor"/>
      </rPr>
      <t>, поэтому включение факторов x1, x2, x4 в модель статистически оправдано и коэффициенты чистой регрессии b1, b2, b4 статистически значимы, а включение фактора x3 нецелесообразно.</t>
    </r>
  </si>
  <si>
    <t>Исключение фактора Х3:</t>
  </si>
  <si>
    <t>Модель без Х3:</t>
  </si>
  <si>
    <r>
      <t>F</t>
    </r>
    <r>
      <rPr>
        <sz val="9"/>
        <color rgb="FF000000"/>
        <rFont val="Calibri"/>
        <family val="2"/>
        <charset val="204"/>
        <scheme val="minor"/>
      </rPr>
      <t>табл</t>
    </r>
    <r>
      <rPr>
        <sz val="11"/>
        <color rgb="FF000000"/>
        <rFont val="Calibri"/>
        <family val="2"/>
        <charset val="204"/>
        <scheme val="minor"/>
      </rPr>
      <t>(α=0,05)</t>
    </r>
  </si>
  <si>
    <t>Fтабл(α=0,1)</t>
  </si>
  <si>
    <r>
      <t>t</t>
    </r>
    <r>
      <rPr>
        <sz val="9"/>
        <color theme="1"/>
        <rFont val="Calibri"/>
        <family val="2"/>
        <charset val="204"/>
        <scheme val="minor"/>
      </rPr>
      <t xml:space="preserve"> табл</t>
    </r>
  </si>
  <si>
    <r>
      <t>m</t>
    </r>
    <r>
      <rPr>
        <b/>
        <sz val="8"/>
        <color theme="1"/>
        <rFont val="Calibri"/>
        <family val="2"/>
        <charset val="204"/>
        <scheme val="minor"/>
      </rPr>
      <t>yp</t>
    </r>
  </si>
  <si>
    <t>α = 0,1</t>
  </si>
  <si>
    <t>α = 0,05</t>
  </si>
  <si>
    <t>Доверительные интервалы</t>
  </si>
  <si>
    <t xml:space="preserve">Л.Р №3, Атанова Натали, 221-363, дата выполнения: 06.10.2023, дата проверки: 27.10.2023
</t>
  </si>
  <si>
    <t>Пункт 2.</t>
  </si>
  <si>
    <t>Первоначальная модель с полным набором факторов:</t>
  </si>
  <si>
    <r>
      <t>t</t>
    </r>
    <r>
      <rPr>
        <b/>
        <sz val="8"/>
        <color theme="1"/>
        <rFont val="Calibri"/>
        <family val="2"/>
        <charset val="204"/>
      </rPr>
      <t>y</t>
    </r>
    <r>
      <rPr>
        <b/>
        <sz val="11"/>
        <color theme="1"/>
        <rFont val="Calibri"/>
        <family val="2"/>
        <charset val="204"/>
      </rPr>
      <t xml:space="preserve"> = 0,487064 t</t>
    </r>
    <r>
      <rPr>
        <b/>
        <sz val="8"/>
        <color theme="1"/>
        <rFont val="Calibri"/>
        <family val="2"/>
        <charset val="204"/>
      </rPr>
      <t>x1</t>
    </r>
    <r>
      <rPr>
        <b/>
        <sz val="11"/>
        <color theme="1"/>
        <rFont val="Calibri"/>
        <family val="2"/>
        <charset val="204"/>
      </rPr>
      <t xml:space="preserve"> - 0,44707 t</t>
    </r>
    <r>
      <rPr>
        <b/>
        <sz val="8"/>
        <color theme="1"/>
        <rFont val="Calibri"/>
        <family val="2"/>
        <charset val="204"/>
      </rPr>
      <t>x2</t>
    </r>
    <r>
      <rPr>
        <b/>
        <sz val="11"/>
        <color theme="1"/>
        <rFont val="Calibri"/>
        <family val="2"/>
        <charset val="204"/>
      </rPr>
      <t xml:space="preserve"> - 0,50464 t</t>
    </r>
    <r>
      <rPr>
        <b/>
        <sz val="8"/>
        <color theme="1"/>
        <rFont val="Calibri"/>
        <family val="2"/>
        <charset val="204"/>
      </rPr>
      <t>x4</t>
    </r>
  </si>
  <si>
    <r>
      <t>|</t>
    </r>
    <r>
      <rPr>
        <b/>
        <sz val="11"/>
        <color theme="1"/>
        <rFont val="Calibri"/>
        <family val="2"/>
        <charset val="204"/>
        <scheme val="minor"/>
      </rPr>
      <t>β4|&gt; |β1|&gt; |β2|</t>
    </r>
    <r>
      <rPr>
        <sz val="11"/>
        <color theme="1"/>
        <rFont val="Calibri"/>
        <family val="2"/>
        <charset val="204"/>
        <scheme val="minor"/>
      </rPr>
      <t/>
    </r>
  </si>
  <si>
    <t>вывод: факторы можно ранжировать по силе влияния на результат следующим образом: х2, х4, х1 (см. лист АД_РЕГРЕССИЯ_БЕЗ_Х3)</t>
  </si>
  <si>
    <t>Пункт 3.</t>
  </si>
  <si>
    <t>Пункт 4</t>
  </si>
  <si>
    <t>Пункт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</si>
</sst>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00"/>
  </numFmts>
  <fonts count="4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rgb="FF444444"/>
      <name val="Arial"/>
      <family val="2"/>
      <charset val="204"/>
    </font>
    <font>
      <b/>
      <sz val="8"/>
      <color rgb="FF444444"/>
      <name val="Calibri"/>
      <family val="2"/>
      <charset val="204"/>
      <scheme val="minor"/>
    </font>
    <font>
      <sz val="11"/>
      <color rgb="FF444444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8"/>
      <color rgb="FF202124"/>
      <name val="Arial"/>
      <family val="2"/>
      <charset val="204"/>
    </font>
    <font>
      <b/>
      <sz val="13"/>
      <color theme="1"/>
      <name val="Calibri"/>
      <family val="2"/>
      <charset val="204"/>
      <scheme val="minor"/>
    </font>
    <font>
      <b/>
      <sz val="10"/>
      <color rgb="FF202124"/>
      <name val="Calibri"/>
      <family val="2"/>
      <charset val="204"/>
      <scheme val="minor"/>
    </font>
    <font>
      <b/>
      <sz val="10"/>
      <color rgb="FF202124"/>
      <name val="Cambria"/>
      <family val="1"/>
      <charset val="204"/>
      <scheme val="major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8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charset val="204"/>
    </font>
    <font>
      <vertAlign val="subscript"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</font>
    <font>
      <b/>
      <sz val="14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F4D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6" fillId="2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horizontal="left" indent="1"/>
    </xf>
    <xf numFmtId="0" fontId="7" fillId="2" borderId="0" xfId="0" applyFont="1" applyFill="1"/>
    <xf numFmtId="0" fontId="6" fillId="2" borderId="0" xfId="0" applyFont="1" applyFill="1" applyAlignment="1">
      <alignment vertical="center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20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3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6" fillId="0" borderId="19" xfId="0" applyFont="1" applyBorder="1"/>
    <xf numFmtId="0" fontId="7" fillId="0" borderId="0" xfId="0" applyFont="1" applyBorder="1"/>
    <xf numFmtId="0" fontId="36" fillId="0" borderId="1" xfId="0" applyFont="1" applyBorder="1" applyAlignment="1">
      <alignment horizontal="center"/>
    </xf>
    <xf numFmtId="0" fontId="7" fillId="0" borderId="0" xfId="0" applyFont="1" applyAlignment="1">
      <alignment horizontal="left" indent="1"/>
    </xf>
    <xf numFmtId="0" fontId="6" fillId="0" borderId="19" xfId="0" applyFont="1" applyBorder="1" applyAlignment="1">
      <alignment horizontal="left" indent="1"/>
    </xf>
    <xf numFmtId="0" fontId="0" fillId="0" borderId="0" xfId="0" applyFill="1" applyBorder="1" applyAlignment="1"/>
    <xf numFmtId="0" fontId="0" fillId="0" borderId="13" xfId="0" applyFill="1" applyBorder="1" applyAlignment="1"/>
    <xf numFmtId="0" fontId="18" fillId="0" borderId="14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Continuous"/>
    </xf>
    <xf numFmtId="0" fontId="0" fillId="0" borderId="0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vertical="center" indent="1"/>
    </xf>
    <xf numFmtId="0" fontId="7" fillId="0" borderId="19" xfId="0" applyFont="1" applyBorder="1" applyAlignment="1">
      <alignment horizontal="left" vertical="center" indent="1"/>
    </xf>
    <xf numFmtId="0" fontId="25" fillId="0" borderId="0" xfId="0" applyFont="1" applyAlignment="1">
      <alignment horizontal="left" indent="1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7" fillId="0" borderId="19" xfId="0" applyFont="1" applyBorder="1" applyAlignment="1">
      <alignment horizontal="left" vertical="center" indent="2"/>
    </xf>
    <xf numFmtId="0" fontId="0" fillId="0" borderId="0" xfId="0" applyAlignment="1"/>
    <xf numFmtId="0" fontId="18" fillId="0" borderId="14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/>
    <xf numFmtId="0" fontId="29" fillId="0" borderId="0" xfId="0" applyFont="1" applyAlignment="1">
      <alignment horizontal="left" indent="1"/>
    </xf>
    <xf numFmtId="0" fontId="1" fillId="0" borderId="1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/>
    </xf>
    <xf numFmtId="0" fontId="29" fillId="0" borderId="0" xfId="0" applyFont="1" applyAlignment="1">
      <alignment horizontal="left" indent="2"/>
    </xf>
    <xf numFmtId="0" fontId="6" fillId="0" borderId="0" xfId="0" applyFont="1"/>
    <xf numFmtId="0" fontId="0" fillId="0" borderId="0" xfId="0" applyAlignment="1">
      <alignment vertical="center" wrapText="1"/>
    </xf>
    <xf numFmtId="0" fontId="31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left" vertical="center" wrapText="1" indent="2"/>
    </xf>
    <xf numFmtId="0" fontId="7" fillId="0" borderId="0" xfId="0" applyFont="1" applyAlignment="1">
      <alignment horizontal="left" vertical="center" indent="2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28" fillId="2" borderId="3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 wrapText="1" indent="1"/>
    </xf>
    <xf numFmtId="0" fontId="0" fillId="3" borderId="0" xfId="0" applyFill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22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37" fillId="4" borderId="5" xfId="0" applyFont="1" applyFill="1" applyBorder="1" applyAlignment="1">
      <alignment horizontal="center" vertical="center"/>
    </xf>
    <xf numFmtId="0" fontId="37" fillId="4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8F4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y-GB"/>
              <a:t>График остатков (зависимость  </a:t>
            </a:r>
            <a:r>
              <a:rPr lang="el-GR"/>
              <a:t>ε=</a:t>
            </a:r>
            <a:r>
              <a:rPr lang="cy-GB"/>
              <a:t>y-ŷₓ от ŷₓ)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'Общее задание'!$V$13:$V$25</c:f>
              <c:numCache>
                <c:formatCode>General</c:formatCode>
                <c:ptCount val="13"/>
                <c:pt idx="0">
                  <c:v>182.03968773048291</c:v>
                </c:pt>
                <c:pt idx="1">
                  <c:v>32.12310718388278</c:v>
                </c:pt>
                <c:pt idx="2">
                  <c:v>84.187494253174009</c:v>
                </c:pt>
                <c:pt idx="3">
                  <c:v>158.87090744886024</c:v>
                </c:pt>
                <c:pt idx="4">
                  <c:v>121.6526467919457</c:v>
                </c:pt>
                <c:pt idx="5">
                  <c:v>233.63123963361693</c:v>
                </c:pt>
                <c:pt idx="6">
                  <c:v>232.14106050119688</c:v>
                </c:pt>
                <c:pt idx="7">
                  <c:v>242.27424425249075</c:v>
                </c:pt>
                <c:pt idx="8">
                  <c:v>186.59107410173726</c:v>
                </c:pt>
                <c:pt idx="9">
                  <c:v>166.16417978537322</c:v>
                </c:pt>
                <c:pt idx="10">
                  <c:v>178.86414237665508</c:v>
                </c:pt>
                <c:pt idx="11">
                  <c:v>280.09371395108121</c:v>
                </c:pt>
                <c:pt idx="12">
                  <c:v>325.36650198950559</c:v>
                </c:pt>
              </c:numCache>
            </c:numRef>
          </c:xVal>
          <c:yVal>
            <c:numRef>
              <c:f>'Общее задание'!$W$13:$W$25</c:f>
              <c:numCache>
                <c:formatCode>General</c:formatCode>
                <c:ptCount val="13"/>
                <c:pt idx="0">
                  <c:v>-67.03968773048291</c:v>
                </c:pt>
                <c:pt idx="1">
                  <c:v>47.87689281611722</c:v>
                </c:pt>
                <c:pt idx="2">
                  <c:v>12.812505746825991</c:v>
                </c:pt>
                <c:pt idx="3">
                  <c:v>-66.870907448860237</c:v>
                </c:pt>
                <c:pt idx="4">
                  <c:v>7.3473532080543009</c:v>
                </c:pt>
                <c:pt idx="5">
                  <c:v>-10.631239633616929</c:v>
                </c:pt>
                <c:pt idx="6">
                  <c:v>18.858939498803124</c:v>
                </c:pt>
                <c:pt idx="7">
                  <c:v>24.725755747509254</c:v>
                </c:pt>
                <c:pt idx="8">
                  <c:v>-49.591074101737263</c:v>
                </c:pt>
                <c:pt idx="9">
                  <c:v>-3.1641797853732214</c:v>
                </c:pt>
                <c:pt idx="10">
                  <c:v>46.135857623344918</c:v>
                </c:pt>
                <c:pt idx="11">
                  <c:v>-2.0937139510812131</c:v>
                </c:pt>
                <c:pt idx="12">
                  <c:v>41.633498010494407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B4-4268-B2F7-421A9F977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714368"/>
        <c:axId val="846842112"/>
      </c:scatterChart>
      <c:valAx>
        <c:axId val="84471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6842112"/>
        <c:crosses val="autoZero"/>
        <c:crossBetween val="midCat"/>
      </c:valAx>
      <c:valAx>
        <c:axId val="84684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71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зависимость остатков от  </a:t>
            </a:r>
            <a:r>
              <a:rPr lang="en-US"/>
              <a:t>x1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'Общее задание'!$C$13:$C$25</c:f>
              <c:numCache>
                <c:formatCode>General</c:formatCode>
                <c:ptCount val="13"/>
                <c:pt idx="0">
                  <c:v>4428</c:v>
                </c:pt>
                <c:pt idx="1">
                  <c:v>3756</c:v>
                </c:pt>
                <c:pt idx="2">
                  <c:v>2970</c:v>
                </c:pt>
                <c:pt idx="3">
                  <c:v>6231</c:v>
                </c:pt>
                <c:pt idx="4">
                  <c:v>3960</c:v>
                </c:pt>
                <c:pt idx="5">
                  <c:v>7354</c:v>
                </c:pt>
                <c:pt idx="6">
                  <c:v>4662</c:v>
                </c:pt>
                <c:pt idx="7">
                  <c:v>4760</c:v>
                </c:pt>
                <c:pt idx="8">
                  <c:v>4569</c:v>
                </c:pt>
                <c:pt idx="9">
                  <c:v>5274</c:v>
                </c:pt>
                <c:pt idx="10">
                  <c:v>5418</c:v>
                </c:pt>
                <c:pt idx="11">
                  <c:v>5359</c:v>
                </c:pt>
                <c:pt idx="12">
                  <c:v>8254</c:v>
                </c:pt>
              </c:numCache>
            </c:numRef>
          </c:xVal>
          <c:yVal>
            <c:numRef>
              <c:f>'Общее задание'!$W$13:$W$25</c:f>
              <c:numCache>
                <c:formatCode>General</c:formatCode>
                <c:ptCount val="13"/>
                <c:pt idx="0">
                  <c:v>-67.03968773048291</c:v>
                </c:pt>
                <c:pt idx="1">
                  <c:v>47.87689281611722</c:v>
                </c:pt>
                <c:pt idx="2">
                  <c:v>12.812505746825991</c:v>
                </c:pt>
                <c:pt idx="3">
                  <c:v>-66.870907448860237</c:v>
                </c:pt>
                <c:pt idx="4">
                  <c:v>7.3473532080543009</c:v>
                </c:pt>
                <c:pt idx="5">
                  <c:v>-10.631239633616929</c:v>
                </c:pt>
                <c:pt idx="6">
                  <c:v>18.858939498803124</c:v>
                </c:pt>
                <c:pt idx="7">
                  <c:v>24.725755747509254</c:v>
                </c:pt>
                <c:pt idx="8">
                  <c:v>-49.591074101737263</c:v>
                </c:pt>
                <c:pt idx="9">
                  <c:v>-3.1641797853732214</c:v>
                </c:pt>
                <c:pt idx="10">
                  <c:v>46.135857623344918</c:v>
                </c:pt>
                <c:pt idx="11">
                  <c:v>-2.0937139510812131</c:v>
                </c:pt>
                <c:pt idx="12">
                  <c:v>41.633498010494407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C38-4C55-9909-3FB956EA8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06144"/>
        <c:axId val="138408320"/>
      </c:scatterChart>
      <c:valAx>
        <c:axId val="13840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408320"/>
        <c:crosses val="autoZero"/>
        <c:crossBetween val="midCat"/>
      </c:valAx>
      <c:valAx>
        <c:axId val="1384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40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зависимость остатков от х2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'Общее задание'!$D$13:$D$25</c:f>
              <c:numCache>
                <c:formatCode>General</c:formatCode>
                <c:ptCount val="13"/>
                <c:pt idx="0">
                  <c:v>3278</c:v>
                </c:pt>
                <c:pt idx="1">
                  <c:v>5696</c:v>
                </c:pt>
                <c:pt idx="2">
                  <c:v>2210</c:v>
                </c:pt>
                <c:pt idx="3">
                  <c:v>5823</c:v>
                </c:pt>
                <c:pt idx="4">
                  <c:v>4569</c:v>
                </c:pt>
                <c:pt idx="5">
                  <c:v>2896</c:v>
                </c:pt>
                <c:pt idx="6">
                  <c:v>3526</c:v>
                </c:pt>
                <c:pt idx="7">
                  <c:v>2259</c:v>
                </c:pt>
                <c:pt idx="8">
                  <c:v>4596</c:v>
                </c:pt>
                <c:pt idx="9">
                  <c:v>3271</c:v>
                </c:pt>
                <c:pt idx="10">
                  <c:v>4596</c:v>
                </c:pt>
                <c:pt idx="11">
                  <c:v>3256</c:v>
                </c:pt>
                <c:pt idx="12">
                  <c:v>5189</c:v>
                </c:pt>
              </c:numCache>
            </c:numRef>
          </c:xVal>
          <c:yVal>
            <c:numRef>
              <c:f>'Общее задание'!$W$13:$W$25</c:f>
              <c:numCache>
                <c:formatCode>General</c:formatCode>
                <c:ptCount val="13"/>
                <c:pt idx="0">
                  <c:v>-67.03968773048291</c:v>
                </c:pt>
                <c:pt idx="1">
                  <c:v>47.87689281611722</c:v>
                </c:pt>
                <c:pt idx="2">
                  <c:v>12.812505746825991</c:v>
                </c:pt>
                <c:pt idx="3">
                  <c:v>-66.870907448860237</c:v>
                </c:pt>
                <c:pt idx="4">
                  <c:v>7.3473532080543009</c:v>
                </c:pt>
                <c:pt idx="5">
                  <c:v>-10.631239633616929</c:v>
                </c:pt>
                <c:pt idx="6">
                  <c:v>18.858939498803124</c:v>
                </c:pt>
                <c:pt idx="7">
                  <c:v>24.725755747509254</c:v>
                </c:pt>
                <c:pt idx="8">
                  <c:v>-49.591074101737263</c:v>
                </c:pt>
                <c:pt idx="9">
                  <c:v>-3.1641797853732214</c:v>
                </c:pt>
                <c:pt idx="10">
                  <c:v>46.135857623344918</c:v>
                </c:pt>
                <c:pt idx="11">
                  <c:v>-2.0937139510812131</c:v>
                </c:pt>
                <c:pt idx="12">
                  <c:v>41.633498010494407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F9A-4EA6-BDCE-9D1AA1CA1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7360"/>
        <c:axId val="174209280"/>
      </c:scatterChart>
      <c:valAx>
        <c:axId val="17420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209280"/>
        <c:crosses val="autoZero"/>
        <c:crossBetween val="midCat"/>
      </c:valAx>
      <c:valAx>
        <c:axId val="1742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207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зависимость остатков от х3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'Общее задание'!$E$13:$E$25</c:f>
              <c:numCache>
                <c:formatCode>General</c:formatCode>
                <c:ptCount val="13"/>
                <c:pt idx="0">
                  <c:v>12.5</c:v>
                </c:pt>
                <c:pt idx="1">
                  <c:v>11.7</c:v>
                </c:pt>
                <c:pt idx="2">
                  <c:v>11.2</c:v>
                </c:pt>
                <c:pt idx="3">
                  <c:v>9.6999999999999993</c:v>
                </c:pt>
                <c:pt idx="4">
                  <c:v>13.5</c:v>
                </c:pt>
                <c:pt idx="5">
                  <c:v>10.8</c:v>
                </c:pt>
                <c:pt idx="6">
                  <c:v>12.1</c:v>
                </c:pt>
                <c:pt idx="7">
                  <c:v>11.7</c:v>
                </c:pt>
                <c:pt idx="8">
                  <c:v>13.7</c:v>
                </c:pt>
                <c:pt idx="9">
                  <c:v>12.5</c:v>
                </c:pt>
                <c:pt idx="10">
                  <c:v>12.8</c:v>
                </c:pt>
                <c:pt idx="11">
                  <c:v>11.2</c:v>
                </c:pt>
                <c:pt idx="12">
                  <c:v>10.4</c:v>
                </c:pt>
              </c:numCache>
            </c:numRef>
          </c:xVal>
          <c:yVal>
            <c:numRef>
              <c:f>'Общее задание'!$W$13:$W$25</c:f>
              <c:numCache>
                <c:formatCode>General</c:formatCode>
                <c:ptCount val="13"/>
                <c:pt idx="0">
                  <c:v>-67.03968773048291</c:v>
                </c:pt>
                <c:pt idx="1">
                  <c:v>47.87689281611722</c:v>
                </c:pt>
                <c:pt idx="2">
                  <c:v>12.812505746825991</c:v>
                </c:pt>
                <c:pt idx="3">
                  <c:v>-66.870907448860237</c:v>
                </c:pt>
                <c:pt idx="4">
                  <c:v>7.3473532080543009</c:v>
                </c:pt>
                <c:pt idx="5">
                  <c:v>-10.631239633616929</c:v>
                </c:pt>
                <c:pt idx="6">
                  <c:v>18.858939498803124</c:v>
                </c:pt>
                <c:pt idx="7">
                  <c:v>24.725755747509254</c:v>
                </c:pt>
                <c:pt idx="8">
                  <c:v>-49.591074101737263</c:v>
                </c:pt>
                <c:pt idx="9">
                  <c:v>-3.1641797853732214</c:v>
                </c:pt>
                <c:pt idx="10">
                  <c:v>46.135857623344918</c:v>
                </c:pt>
                <c:pt idx="11">
                  <c:v>-2.0937139510812131</c:v>
                </c:pt>
                <c:pt idx="12">
                  <c:v>41.633498010494407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39A-454C-9C2D-2BFDD5B1F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29184"/>
        <c:axId val="220955008"/>
      </c:scatterChart>
      <c:valAx>
        <c:axId val="17522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955008"/>
        <c:crosses val="autoZero"/>
        <c:crossBetween val="midCat"/>
      </c:valAx>
      <c:valAx>
        <c:axId val="22095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22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зависимость остатков от х4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'Общее задание'!$F$13:$F$25</c:f>
              <c:numCache>
                <c:formatCode>General</c:formatCode>
                <c:ptCount val="13"/>
                <c:pt idx="0">
                  <c:v>17.7</c:v>
                </c:pt>
                <c:pt idx="1">
                  <c:v>18.2</c:v>
                </c:pt>
                <c:pt idx="2">
                  <c:v>19.100000000000001</c:v>
                </c:pt>
                <c:pt idx="3">
                  <c:v>15.2</c:v>
                </c:pt>
                <c:pt idx="4">
                  <c:v>18.5</c:v>
                </c:pt>
                <c:pt idx="5">
                  <c:v>18.600000000000001</c:v>
                </c:pt>
                <c:pt idx="6">
                  <c:v>15.7</c:v>
                </c:pt>
                <c:pt idx="7">
                  <c:v>16.600000000000001</c:v>
                </c:pt>
                <c:pt idx="8">
                  <c:v>17.3</c:v>
                </c:pt>
                <c:pt idx="9">
                  <c:v>19.3</c:v>
                </c:pt>
                <c:pt idx="10">
                  <c:v>17.8</c:v>
                </c:pt>
                <c:pt idx="11">
                  <c:v>14.5</c:v>
                </c:pt>
                <c:pt idx="12">
                  <c:v>13.7</c:v>
                </c:pt>
              </c:numCache>
            </c:numRef>
          </c:xVal>
          <c:yVal>
            <c:numRef>
              <c:f>'Общее задание'!$W$13:$W$25</c:f>
              <c:numCache>
                <c:formatCode>General</c:formatCode>
                <c:ptCount val="13"/>
                <c:pt idx="0">
                  <c:v>-67.03968773048291</c:v>
                </c:pt>
                <c:pt idx="1">
                  <c:v>47.87689281611722</c:v>
                </c:pt>
                <c:pt idx="2">
                  <c:v>12.812505746825991</c:v>
                </c:pt>
                <c:pt idx="3">
                  <c:v>-66.870907448860237</c:v>
                </c:pt>
                <c:pt idx="4">
                  <c:v>7.3473532080543009</c:v>
                </c:pt>
                <c:pt idx="5">
                  <c:v>-10.631239633616929</c:v>
                </c:pt>
                <c:pt idx="6">
                  <c:v>18.858939498803124</c:v>
                </c:pt>
                <c:pt idx="7">
                  <c:v>24.725755747509254</c:v>
                </c:pt>
                <c:pt idx="8">
                  <c:v>-49.591074101737263</c:v>
                </c:pt>
                <c:pt idx="9">
                  <c:v>-3.1641797853732214</c:v>
                </c:pt>
                <c:pt idx="10">
                  <c:v>46.135857623344918</c:v>
                </c:pt>
                <c:pt idx="11">
                  <c:v>-2.0937139510812131</c:v>
                </c:pt>
                <c:pt idx="12">
                  <c:v>41.633498010494407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15-45E6-BEB7-896CC212F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508736"/>
        <c:axId val="241510656"/>
      </c:scatterChart>
      <c:valAx>
        <c:axId val="2415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1510656"/>
        <c:crosses val="autoZero"/>
        <c:crossBetween val="midCat"/>
      </c:valAx>
      <c:valAx>
        <c:axId val="24151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15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АД_РЕГРЕССИЯ!$F$28:$F$40</c:f>
              <c:numCache>
                <c:formatCode>General</c:formatCode>
                <c:ptCount val="13"/>
                <c:pt idx="0">
                  <c:v>3.8461538461538463</c:v>
                </c:pt>
                <c:pt idx="1">
                  <c:v>11.538461538461538</c:v>
                </c:pt>
                <c:pt idx="2">
                  <c:v>19.23076923076923</c:v>
                </c:pt>
                <c:pt idx="3">
                  <c:v>26.923076923076923</c:v>
                </c:pt>
                <c:pt idx="4">
                  <c:v>34.615384615384613</c:v>
                </c:pt>
                <c:pt idx="5">
                  <c:v>42.307692307692307</c:v>
                </c:pt>
                <c:pt idx="6">
                  <c:v>50</c:v>
                </c:pt>
                <c:pt idx="7">
                  <c:v>57.692307692307693</c:v>
                </c:pt>
                <c:pt idx="8">
                  <c:v>65.384615384615387</c:v>
                </c:pt>
                <c:pt idx="9">
                  <c:v>73.076923076923066</c:v>
                </c:pt>
                <c:pt idx="10">
                  <c:v>80.769230769230759</c:v>
                </c:pt>
                <c:pt idx="11">
                  <c:v>88.461538461538453</c:v>
                </c:pt>
                <c:pt idx="12">
                  <c:v>96.153846153846146</c:v>
                </c:pt>
              </c:numCache>
            </c:numRef>
          </c:xVal>
          <c:yVal>
            <c:numRef>
              <c:f>АД_РЕГРЕССИЯ!$G$28:$G$40</c:f>
              <c:numCache>
                <c:formatCode>General</c:formatCode>
                <c:ptCount val="13"/>
                <c:pt idx="0">
                  <c:v>80</c:v>
                </c:pt>
                <c:pt idx="1">
                  <c:v>92</c:v>
                </c:pt>
                <c:pt idx="2">
                  <c:v>97</c:v>
                </c:pt>
                <c:pt idx="3">
                  <c:v>115</c:v>
                </c:pt>
                <c:pt idx="4">
                  <c:v>129</c:v>
                </c:pt>
                <c:pt idx="5">
                  <c:v>137</c:v>
                </c:pt>
                <c:pt idx="6">
                  <c:v>163</c:v>
                </c:pt>
                <c:pt idx="7">
                  <c:v>223</c:v>
                </c:pt>
                <c:pt idx="8">
                  <c:v>225</c:v>
                </c:pt>
                <c:pt idx="9">
                  <c:v>251</c:v>
                </c:pt>
                <c:pt idx="10">
                  <c:v>267</c:v>
                </c:pt>
                <c:pt idx="11">
                  <c:v>278</c:v>
                </c:pt>
                <c:pt idx="12">
                  <c:v>367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316736"/>
        <c:axId val="279318912"/>
      </c:scatterChart>
      <c:valAx>
        <c:axId val="27931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9318912"/>
        <c:crosses val="autoZero"/>
        <c:crossBetween val="midCat"/>
      </c:valAx>
      <c:valAx>
        <c:axId val="279318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ru-RU"/>
                  <a:t>прибыль, млн. руб.)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9316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y-GB" sz="1200"/>
              <a:t>График остатков (зависимость  </a:t>
            </a:r>
            <a:r>
              <a:rPr lang="el-GR" sz="1200"/>
              <a:t>ε=</a:t>
            </a:r>
            <a:r>
              <a:rPr lang="cy-GB" sz="1200"/>
              <a:t>y-ŷₓ от ŷₓ)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'Общее задание'!$V$13:$V$25</c:f>
              <c:numCache>
                <c:formatCode>General</c:formatCode>
                <c:ptCount val="13"/>
                <c:pt idx="0">
                  <c:v>182.03968773048291</c:v>
                </c:pt>
                <c:pt idx="1">
                  <c:v>32.12310718388278</c:v>
                </c:pt>
                <c:pt idx="2">
                  <c:v>84.187494253174009</c:v>
                </c:pt>
                <c:pt idx="3">
                  <c:v>158.87090744886024</c:v>
                </c:pt>
                <c:pt idx="4">
                  <c:v>121.6526467919457</c:v>
                </c:pt>
                <c:pt idx="5">
                  <c:v>233.63123963361693</c:v>
                </c:pt>
                <c:pt idx="6">
                  <c:v>232.14106050119688</c:v>
                </c:pt>
                <c:pt idx="7">
                  <c:v>242.27424425249075</c:v>
                </c:pt>
                <c:pt idx="8">
                  <c:v>186.59107410173726</c:v>
                </c:pt>
                <c:pt idx="9">
                  <c:v>166.16417978537322</c:v>
                </c:pt>
                <c:pt idx="10">
                  <c:v>178.86414237665508</c:v>
                </c:pt>
                <c:pt idx="11">
                  <c:v>280.09371395108121</c:v>
                </c:pt>
                <c:pt idx="12">
                  <c:v>325.36650198950559</c:v>
                </c:pt>
              </c:numCache>
            </c:numRef>
          </c:xVal>
          <c:yVal>
            <c:numRef>
              <c:f>'Общее задание'!$W$13:$W$25</c:f>
              <c:numCache>
                <c:formatCode>General</c:formatCode>
                <c:ptCount val="13"/>
                <c:pt idx="0">
                  <c:v>-67.03968773048291</c:v>
                </c:pt>
                <c:pt idx="1">
                  <c:v>47.87689281611722</c:v>
                </c:pt>
                <c:pt idx="2">
                  <c:v>12.812505746825991</c:v>
                </c:pt>
                <c:pt idx="3">
                  <c:v>-66.870907448860237</c:v>
                </c:pt>
                <c:pt idx="4">
                  <c:v>7.3473532080543009</c:v>
                </c:pt>
                <c:pt idx="5">
                  <c:v>-10.631239633616929</c:v>
                </c:pt>
                <c:pt idx="6">
                  <c:v>18.858939498803124</c:v>
                </c:pt>
                <c:pt idx="7">
                  <c:v>24.725755747509254</c:v>
                </c:pt>
                <c:pt idx="8">
                  <c:v>-49.591074101737263</c:v>
                </c:pt>
                <c:pt idx="9">
                  <c:v>-3.1641797853732214</c:v>
                </c:pt>
                <c:pt idx="10">
                  <c:v>46.135857623344918</c:v>
                </c:pt>
                <c:pt idx="11">
                  <c:v>-2.0937139510812131</c:v>
                </c:pt>
                <c:pt idx="12">
                  <c:v>41.633498010494407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B4-4268-B2F7-421A9F977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376256"/>
        <c:axId val="279378176"/>
      </c:scatterChart>
      <c:valAx>
        <c:axId val="27937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9378176"/>
        <c:crosses val="autoZero"/>
        <c:crossBetween val="midCat"/>
      </c:valAx>
      <c:valAx>
        <c:axId val="2793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937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ИЗ!$A$65:$A$77</c:f>
              <c:numCache>
                <c:formatCode>General</c:formatCode>
                <c:ptCount val="13"/>
                <c:pt idx="0">
                  <c:v>171.17401402934286</c:v>
                </c:pt>
                <c:pt idx="1">
                  <c:v>60.373986446235676</c:v>
                </c:pt>
                <c:pt idx="2">
                  <c:v>127.79929421396906</c:v>
                </c:pt>
                <c:pt idx="3">
                  <c:v>204.08792805724971</c:v>
                </c:pt>
                <c:pt idx="4">
                  <c:v>95.59742762249806</c:v>
                </c:pt>
                <c:pt idx="5">
                  <c:v>248.5105627712619</c:v>
                </c:pt>
                <c:pt idx="6">
                  <c:v>219.49840276166032</c:v>
                </c:pt>
                <c:pt idx="7">
                  <c:v>241.28572403353667</c:v>
                </c:pt>
                <c:pt idx="8">
                  <c:v>142.50379936021915</c:v>
                </c:pt>
                <c:pt idx="9">
                  <c:v>157.08853416556315</c:v>
                </c:pt>
                <c:pt idx="10">
                  <c:v>155.44893460538532</c:v>
                </c:pt>
                <c:pt idx="11">
                  <c:v>278.66000967436196</c:v>
                </c:pt>
                <c:pt idx="12">
                  <c:v>321.97138225871703</c:v>
                </c:pt>
              </c:numCache>
            </c:numRef>
          </c:xVal>
          <c:yVal>
            <c:numRef>
              <c:f>ИЗ!$B$65:$B$77</c:f>
              <c:numCache>
                <c:formatCode>General</c:formatCode>
                <c:ptCount val="13"/>
                <c:pt idx="0">
                  <c:v>-56.174014029342857</c:v>
                </c:pt>
                <c:pt idx="1">
                  <c:v>19.626013553764324</c:v>
                </c:pt>
                <c:pt idx="2">
                  <c:v>-30.799294213969063</c:v>
                </c:pt>
                <c:pt idx="3">
                  <c:v>-112.08792805724971</c:v>
                </c:pt>
                <c:pt idx="4">
                  <c:v>33.40257237750194</c:v>
                </c:pt>
                <c:pt idx="5">
                  <c:v>-25.510562771261903</c:v>
                </c:pt>
                <c:pt idx="6">
                  <c:v>31.501597238339684</c:v>
                </c:pt>
                <c:pt idx="7">
                  <c:v>25.714275966463333</c:v>
                </c:pt>
                <c:pt idx="8">
                  <c:v>-5.5037993602191477</c:v>
                </c:pt>
                <c:pt idx="9">
                  <c:v>5.9114658344368536</c:v>
                </c:pt>
                <c:pt idx="10">
                  <c:v>69.551065394614682</c:v>
                </c:pt>
                <c:pt idx="11">
                  <c:v>-0.66000967436195879</c:v>
                </c:pt>
                <c:pt idx="12">
                  <c:v>45.028617741282972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388544"/>
        <c:axId val="321390080"/>
      </c:scatterChart>
      <c:valAx>
        <c:axId val="32138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1390080"/>
        <c:crosses val="autoZero"/>
        <c:crossBetween val="midCat"/>
      </c:valAx>
      <c:valAx>
        <c:axId val="321390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1388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x1 (</a:t>
            </a:r>
            <a:r>
              <a:rPr lang="ru-RU"/>
              <a:t>Собств. капитал (млн. 
руб.) 
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'Общее задание'!$C$13:$C$25</c:f>
              <c:numCache>
                <c:formatCode>General</c:formatCode>
                <c:ptCount val="13"/>
                <c:pt idx="0">
                  <c:v>4428</c:v>
                </c:pt>
                <c:pt idx="1">
                  <c:v>3756</c:v>
                </c:pt>
                <c:pt idx="2">
                  <c:v>2970</c:v>
                </c:pt>
                <c:pt idx="3">
                  <c:v>6231</c:v>
                </c:pt>
                <c:pt idx="4">
                  <c:v>3960</c:v>
                </c:pt>
                <c:pt idx="5">
                  <c:v>7354</c:v>
                </c:pt>
                <c:pt idx="6">
                  <c:v>4662</c:v>
                </c:pt>
                <c:pt idx="7">
                  <c:v>4760</c:v>
                </c:pt>
                <c:pt idx="8">
                  <c:v>4569</c:v>
                </c:pt>
                <c:pt idx="9">
                  <c:v>5274</c:v>
                </c:pt>
                <c:pt idx="10">
                  <c:v>5418</c:v>
                </c:pt>
                <c:pt idx="11">
                  <c:v>5359</c:v>
                </c:pt>
                <c:pt idx="12">
                  <c:v>8254</c:v>
                </c:pt>
              </c:numCache>
            </c:numRef>
          </c:xVal>
          <c:yVal>
            <c:numRef>
              <c:f>АД_РЕГРЕССИЯ!$C$28:$C$40</c:f>
              <c:numCache>
                <c:formatCode>General</c:formatCode>
                <c:ptCount val="13"/>
                <c:pt idx="0">
                  <c:v>-67.03968773048291</c:v>
                </c:pt>
                <c:pt idx="1">
                  <c:v>47.87689281611722</c:v>
                </c:pt>
                <c:pt idx="2">
                  <c:v>12.812505746825991</c:v>
                </c:pt>
                <c:pt idx="3">
                  <c:v>-66.870907448860237</c:v>
                </c:pt>
                <c:pt idx="4">
                  <c:v>7.3473532080543009</c:v>
                </c:pt>
                <c:pt idx="5">
                  <c:v>-10.631239633616929</c:v>
                </c:pt>
                <c:pt idx="6">
                  <c:v>18.858939498803124</c:v>
                </c:pt>
                <c:pt idx="7">
                  <c:v>24.725755747509254</c:v>
                </c:pt>
                <c:pt idx="8">
                  <c:v>-49.591074101737263</c:v>
                </c:pt>
                <c:pt idx="9">
                  <c:v>-3.1641797853732214</c:v>
                </c:pt>
                <c:pt idx="10">
                  <c:v>46.135857623344918</c:v>
                </c:pt>
                <c:pt idx="11">
                  <c:v>-2.0937139510812131</c:v>
                </c:pt>
                <c:pt idx="12">
                  <c:v>41.633498010494407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707840"/>
        <c:axId val="322709760"/>
      </c:scatterChart>
      <c:valAx>
        <c:axId val="32270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 (</a:t>
                </a:r>
                <a:r>
                  <a:rPr lang="ru-RU"/>
                  <a:t>Собств. капитал (млн. 
руб.)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2709760"/>
        <c:crosses val="autoZero"/>
        <c:crossBetween val="midCat"/>
      </c:valAx>
      <c:valAx>
        <c:axId val="322709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2707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x2 (</a:t>
            </a:r>
            <a:r>
              <a:rPr lang="ru-RU"/>
              <a:t>Привлеченные 
средства (млн. 
руб.) 
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'Общее задание'!$D$13:$D$25</c:f>
              <c:numCache>
                <c:formatCode>General</c:formatCode>
                <c:ptCount val="13"/>
                <c:pt idx="0">
                  <c:v>3278</c:v>
                </c:pt>
                <c:pt idx="1">
                  <c:v>5696</c:v>
                </c:pt>
                <c:pt idx="2">
                  <c:v>2210</c:v>
                </c:pt>
                <c:pt idx="3">
                  <c:v>5823</c:v>
                </c:pt>
                <c:pt idx="4">
                  <c:v>4569</c:v>
                </c:pt>
                <c:pt idx="5">
                  <c:v>2896</c:v>
                </c:pt>
                <c:pt idx="6">
                  <c:v>3526</c:v>
                </c:pt>
                <c:pt idx="7">
                  <c:v>2259</c:v>
                </c:pt>
                <c:pt idx="8">
                  <c:v>4596</c:v>
                </c:pt>
                <c:pt idx="9">
                  <c:v>3271</c:v>
                </c:pt>
                <c:pt idx="10">
                  <c:v>4596</c:v>
                </c:pt>
                <c:pt idx="11">
                  <c:v>3256</c:v>
                </c:pt>
                <c:pt idx="12">
                  <c:v>5189</c:v>
                </c:pt>
              </c:numCache>
            </c:numRef>
          </c:xVal>
          <c:yVal>
            <c:numRef>
              <c:f>АД_РЕГРЕССИЯ!$C$28:$C$40</c:f>
              <c:numCache>
                <c:formatCode>General</c:formatCode>
                <c:ptCount val="13"/>
                <c:pt idx="0">
                  <c:v>-67.03968773048291</c:v>
                </c:pt>
                <c:pt idx="1">
                  <c:v>47.87689281611722</c:v>
                </c:pt>
                <c:pt idx="2">
                  <c:v>12.812505746825991</c:v>
                </c:pt>
                <c:pt idx="3">
                  <c:v>-66.870907448860237</c:v>
                </c:pt>
                <c:pt idx="4">
                  <c:v>7.3473532080543009</c:v>
                </c:pt>
                <c:pt idx="5">
                  <c:v>-10.631239633616929</c:v>
                </c:pt>
                <c:pt idx="6">
                  <c:v>18.858939498803124</c:v>
                </c:pt>
                <c:pt idx="7">
                  <c:v>24.725755747509254</c:v>
                </c:pt>
                <c:pt idx="8">
                  <c:v>-49.591074101737263</c:v>
                </c:pt>
                <c:pt idx="9">
                  <c:v>-3.1641797853732214</c:v>
                </c:pt>
                <c:pt idx="10">
                  <c:v>46.135857623344918</c:v>
                </c:pt>
                <c:pt idx="11">
                  <c:v>-2.0937139510812131</c:v>
                </c:pt>
                <c:pt idx="12">
                  <c:v>41.633498010494407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750720"/>
        <c:axId val="323326336"/>
      </c:scatterChart>
      <c:valAx>
        <c:axId val="32275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 (</a:t>
                </a:r>
                <a:r>
                  <a:rPr lang="ru-RU"/>
                  <a:t>Привлеченные 
средства (млн. 
руб.)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326336"/>
        <c:crosses val="autoZero"/>
        <c:crossBetween val="midCat"/>
      </c:valAx>
      <c:valAx>
        <c:axId val="323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2750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x3 (</a:t>
            </a:r>
            <a:r>
              <a:rPr lang="ru-RU"/>
              <a:t>Депозит.ставка   (% го- довых) 
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'Общее задание'!$E$13:$E$25</c:f>
              <c:numCache>
                <c:formatCode>General</c:formatCode>
                <c:ptCount val="13"/>
                <c:pt idx="0">
                  <c:v>12.5</c:v>
                </c:pt>
                <c:pt idx="1">
                  <c:v>11.7</c:v>
                </c:pt>
                <c:pt idx="2">
                  <c:v>11.2</c:v>
                </c:pt>
                <c:pt idx="3">
                  <c:v>9.6999999999999993</c:v>
                </c:pt>
                <c:pt idx="4">
                  <c:v>13.5</c:v>
                </c:pt>
                <c:pt idx="5">
                  <c:v>10.8</c:v>
                </c:pt>
                <c:pt idx="6">
                  <c:v>12.1</c:v>
                </c:pt>
                <c:pt idx="7">
                  <c:v>11.7</c:v>
                </c:pt>
                <c:pt idx="8">
                  <c:v>13.7</c:v>
                </c:pt>
                <c:pt idx="9">
                  <c:v>12.5</c:v>
                </c:pt>
                <c:pt idx="10">
                  <c:v>12.8</c:v>
                </c:pt>
                <c:pt idx="11">
                  <c:v>11.2</c:v>
                </c:pt>
                <c:pt idx="12">
                  <c:v>10.4</c:v>
                </c:pt>
              </c:numCache>
            </c:numRef>
          </c:xVal>
          <c:yVal>
            <c:numRef>
              <c:f>АД_РЕГРЕССИЯ!$C$28:$C$40</c:f>
              <c:numCache>
                <c:formatCode>General</c:formatCode>
                <c:ptCount val="13"/>
                <c:pt idx="0">
                  <c:v>-67.03968773048291</c:v>
                </c:pt>
                <c:pt idx="1">
                  <c:v>47.87689281611722</c:v>
                </c:pt>
                <c:pt idx="2">
                  <c:v>12.812505746825991</c:v>
                </c:pt>
                <c:pt idx="3">
                  <c:v>-66.870907448860237</c:v>
                </c:pt>
                <c:pt idx="4">
                  <c:v>7.3473532080543009</c:v>
                </c:pt>
                <c:pt idx="5">
                  <c:v>-10.631239633616929</c:v>
                </c:pt>
                <c:pt idx="6">
                  <c:v>18.858939498803124</c:v>
                </c:pt>
                <c:pt idx="7">
                  <c:v>24.725755747509254</c:v>
                </c:pt>
                <c:pt idx="8">
                  <c:v>-49.591074101737263</c:v>
                </c:pt>
                <c:pt idx="9">
                  <c:v>-3.1641797853732214</c:v>
                </c:pt>
                <c:pt idx="10">
                  <c:v>46.135857623344918</c:v>
                </c:pt>
                <c:pt idx="11">
                  <c:v>-2.0937139510812131</c:v>
                </c:pt>
                <c:pt idx="12">
                  <c:v>41.633498010494407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658112"/>
        <c:axId val="323660032"/>
      </c:scatterChart>
      <c:valAx>
        <c:axId val="32365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x3 (</a:t>
                </a:r>
                <a:r>
                  <a:rPr lang="ru-RU"/>
                  <a:t>Депозит.ставка   (% го- довых)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660032"/>
        <c:crosses val="autoZero"/>
        <c:crossBetween val="midCat"/>
      </c:valAx>
      <c:valAx>
        <c:axId val="323660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658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x4 (</a:t>
            </a:r>
            <a:r>
              <a:rPr lang="ru-RU"/>
              <a:t>Кредит.
Ставка (% го- 
довых) 
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'Общее задание'!$F$13:$F$25</c:f>
              <c:numCache>
                <c:formatCode>General</c:formatCode>
                <c:ptCount val="13"/>
                <c:pt idx="0">
                  <c:v>17.7</c:v>
                </c:pt>
                <c:pt idx="1">
                  <c:v>18.2</c:v>
                </c:pt>
                <c:pt idx="2">
                  <c:v>19.100000000000001</c:v>
                </c:pt>
                <c:pt idx="3">
                  <c:v>15.2</c:v>
                </c:pt>
                <c:pt idx="4">
                  <c:v>18.5</c:v>
                </c:pt>
                <c:pt idx="5">
                  <c:v>18.600000000000001</c:v>
                </c:pt>
                <c:pt idx="6">
                  <c:v>15.7</c:v>
                </c:pt>
                <c:pt idx="7">
                  <c:v>16.600000000000001</c:v>
                </c:pt>
                <c:pt idx="8">
                  <c:v>17.3</c:v>
                </c:pt>
                <c:pt idx="9">
                  <c:v>19.3</c:v>
                </c:pt>
                <c:pt idx="10">
                  <c:v>17.8</c:v>
                </c:pt>
                <c:pt idx="11">
                  <c:v>14.5</c:v>
                </c:pt>
                <c:pt idx="12">
                  <c:v>13.7</c:v>
                </c:pt>
              </c:numCache>
            </c:numRef>
          </c:xVal>
          <c:yVal>
            <c:numRef>
              <c:f>АД_РЕГРЕССИЯ!$C$28:$C$40</c:f>
              <c:numCache>
                <c:formatCode>General</c:formatCode>
                <c:ptCount val="13"/>
                <c:pt idx="0">
                  <c:v>-67.03968773048291</c:v>
                </c:pt>
                <c:pt idx="1">
                  <c:v>47.87689281611722</c:v>
                </c:pt>
                <c:pt idx="2">
                  <c:v>12.812505746825991</c:v>
                </c:pt>
                <c:pt idx="3">
                  <c:v>-66.870907448860237</c:v>
                </c:pt>
                <c:pt idx="4">
                  <c:v>7.3473532080543009</c:v>
                </c:pt>
                <c:pt idx="5">
                  <c:v>-10.631239633616929</c:v>
                </c:pt>
                <c:pt idx="6">
                  <c:v>18.858939498803124</c:v>
                </c:pt>
                <c:pt idx="7">
                  <c:v>24.725755747509254</c:v>
                </c:pt>
                <c:pt idx="8">
                  <c:v>-49.591074101737263</c:v>
                </c:pt>
                <c:pt idx="9">
                  <c:v>-3.1641797853732214</c:v>
                </c:pt>
                <c:pt idx="10">
                  <c:v>46.135857623344918</c:v>
                </c:pt>
                <c:pt idx="11">
                  <c:v>-2.0937139510812131</c:v>
                </c:pt>
                <c:pt idx="12">
                  <c:v>41.633498010494407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676416"/>
        <c:axId val="342139264"/>
      </c:scatterChart>
      <c:valAx>
        <c:axId val="32367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x4 (</a:t>
                </a:r>
                <a:r>
                  <a:rPr lang="ru-RU"/>
                  <a:t>Кредит.
Ставка (% го- 
довых)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139264"/>
        <c:crosses val="autoZero"/>
        <c:crossBetween val="midCat"/>
      </c:valAx>
      <c:valAx>
        <c:axId val="342139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676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x1 (</a:t>
            </a:r>
            <a:r>
              <a:rPr lang="ru-RU"/>
              <a:t>Собств. капитал (млн. 
руб.) 
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(прибыль, млн. руб.)</c:v>
          </c:tx>
          <c:spPr>
            <a:ln w="28575">
              <a:noFill/>
            </a:ln>
          </c:spPr>
          <c:xVal>
            <c:numRef>
              <c:f>'Общее задание'!$C$13:$C$25</c:f>
              <c:numCache>
                <c:formatCode>General</c:formatCode>
                <c:ptCount val="13"/>
                <c:pt idx="0">
                  <c:v>4428</c:v>
                </c:pt>
                <c:pt idx="1">
                  <c:v>3756</c:v>
                </c:pt>
                <c:pt idx="2">
                  <c:v>2970</c:v>
                </c:pt>
                <c:pt idx="3">
                  <c:v>6231</c:v>
                </c:pt>
                <c:pt idx="4">
                  <c:v>3960</c:v>
                </c:pt>
                <c:pt idx="5">
                  <c:v>7354</c:v>
                </c:pt>
                <c:pt idx="6">
                  <c:v>4662</c:v>
                </c:pt>
                <c:pt idx="7">
                  <c:v>4760</c:v>
                </c:pt>
                <c:pt idx="8">
                  <c:v>4569</c:v>
                </c:pt>
                <c:pt idx="9">
                  <c:v>5274</c:v>
                </c:pt>
                <c:pt idx="10">
                  <c:v>5418</c:v>
                </c:pt>
                <c:pt idx="11">
                  <c:v>5359</c:v>
                </c:pt>
                <c:pt idx="12">
                  <c:v>8254</c:v>
                </c:pt>
              </c:numCache>
            </c:numRef>
          </c:xVal>
          <c:yVal>
            <c:numRef>
              <c:f>'Общее задание'!$B$13:$B$25</c:f>
              <c:numCache>
                <c:formatCode>General</c:formatCode>
                <c:ptCount val="13"/>
                <c:pt idx="0">
                  <c:v>115</c:v>
                </c:pt>
                <c:pt idx="1">
                  <c:v>80</c:v>
                </c:pt>
                <c:pt idx="2">
                  <c:v>97</c:v>
                </c:pt>
                <c:pt idx="3">
                  <c:v>92</c:v>
                </c:pt>
                <c:pt idx="4">
                  <c:v>129</c:v>
                </c:pt>
                <c:pt idx="5">
                  <c:v>223</c:v>
                </c:pt>
                <c:pt idx="6">
                  <c:v>251</c:v>
                </c:pt>
                <c:pt idx="7">
                  <c:v>267</c:v>
                </c:pt>
                <c:pt idx="8">
                  <c:v>137</c:v>
                </c:pt>
                <c:pt idx="9">
                  <c:v>163</c:v>
                </c:pt>
                <c:pt idx="10">
                  <c:v>225</c:v>
                </c:pt>
                <c:pt idx="11">
                  <c:v>278</c:v>
                </c:pt>
                <c:pt idx="12">
                  <c:v>367</c:v>
                </c:pt>
              </c:numCache>
            </c:numRef>
          </c:yVal>
          <c:smooth val="0"/>
        </c:ser>
        <c:ser>
          <c:idx val="1"/>
          <c:order val="1"/>
          <c:tx>
            <c:v>Предсказанное y (прибыль, млн. руб.)</c:v>
          </c:tx>
          <c:spPr>
            <a:ln w="28575">
              <a:noFill/>
            </a:ln>
          </c:spPr>
          <c:xVal>
            <c:numRef>
              <c:f>'Общее задание'!$C$13:$C$25</c:f>
              <c:numCache>
                <c:formatCode>General</c:formatCode>
                <c:ptCount val="13"/>
                <c:pt idx="0">
                  <c:v>4428</c:v>
                </c:pt>
                <c:pt idx="1">
                  <c:v>3756</c:v>
                </c:pt>
                <c:pt idx="2">
                  <c:v>2970</c:v>
                </c:pt>
                <c:pt idx="3">
                  <c:v>6231</c:v>
                </c:pt>
                <c:pt idx="4">
                  <c:v>3960</c:v>
                </c:pt>
                <c:pt idx="5">
                  <c:v>7354</c:v>
                </c:pt>
                <c:pt idx="6">
                  <c:v>4662</c:v>
                </c:pt>
                <c:pt idx="7">
                  <c:v>4760</c:v>
                </c:pt>
                <c:pt idx="8">
                  <c:v>4569</c:v>
                </c:pt>
                <c:pt idx="9">
                  <c:v>5274</c:v>
                </c:pt>
                <c:pt idx="10">
                  <c:v>5418</c:v>
                </c:pt>
                <c:pt idx="11">
                  <c:v>5359</c:v>
                </c:pt>
                <c:pt idx="12">
                  <c:v>8254</c:v>
                </c:pt>
              </c:numCache>
            </c:numRef>
          </c:xVal>
          <c:yVal>
            <c:numRef>
              <c:f>АД_РЕГРЕССИЯ!$B$28:$B$40</c:f>
              <c:numCache>
                <c:formatCode>General</c:formatCode>
                <c:ptCount val="13"/>
                <c:pt idx="0">
                  <c:v>182.03968773048291</c:v>
                </c:pt>
                <c:pt idx="1">
                  <c:v>32.12310718388278</c:v>
                </c:pt>
                <c:pt idx="2">
                  <c:v>84.187494253174009</c:v>
                </c:pt>
                <c:pt idx="3">
                  <c:v>158.87090744886024</c:v>
                </c:pt>
                <c:pt idx="4">
                  <c:v>121.6526467919457</c:v>
                </c:pt>
                <c:pt idx="5">
                  <c:v>233.63123963361693</c:v>
                </c:pt>
                <c:pt idx="6">
                  <c:v>232.14106050119688</c:v>
                </c:pt>
                <c:pt idx="7">
                  <c:v>242.27424425249075</c:v>
                </c:pt>
                <c:pt idx="8">
                  <c:v>186.59107410173726</c:v>
                </c:pt>
                <c:pt idx="9">
                  <c:v>166.16417978537322</c:v>
                </c:pt>
                <c:pt idx="10">
                  <c:v>178.86414237665508</c:v>
                </c:pt>
                <c:pt idx="11">
                  <c:v>280.09371395108121</c:v>
                </c:pt>
                <c:pt idx="12">
                  <c:v>325.36650198950559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934400"/>
        <c:axId val="378936320"/>
      </c:scatterChart>
      <c:valAx>
        <c:axId val="37893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 (</a:t>
                </a:r>
                <a:r>
                  <a:rPr lang="ru-RU"/>
                  <a:t>Собств. капитал (млн. 
руб.)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8936320"/>
        <c:crosses val="autoZero"/>
        <c:crossBetween val="midCat"/>
      </c:valAx>
      <c:valAx>
        <c:axId val="378936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ru-RU"/>
                  <a:t>прибыль, млн.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89344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x2 (</a:t>
            </a:r>
            <a:r>
              <a:rPr lang="ru-RU"/>
              <a:t>Привлеченные 
средства (млн. 
руб.) 
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(прибыль, млн. руб.)</c:v>
          </c:tx>
          <c:spPr>
            <a:ln w="28575">
              <a:noFill/>
            </a:ln>
          </c:spPr>
          <c:xVal>
            <c:numRef>
              <c:f>'Общее задание'!$D$13:$D$25</c:f>
              <c:numCache>
                <c:formatCode>General</c:formatCode>
                <c:ptCount val="13"/>
                <c:pt idx="0">
                  <c:v>3278</c:v>
                </c:pt>
                <c:pt idx="1">
                  <c:v>5696</c:v>
                </c:pt>
                <c:pt idx="2">
                  <c:v>2210</c:v>
                </c:pt>
                <c:pt idx="3">
                  <c:v>5823</c:v>
                </c:pt>
                <c:pt idx="4">
                  <c:v>4569</c:v>
                </c:pt>
                <c:pt idx="5">
                  <c:v>2896</c:v>
                </c:pt>
                <c:pt idx="6">
                  <c:v>3526</c:v>
                </c:pt>
                <c:pt idx="7">
                  <c:v>2259</c:v>
                </c:pt>
                <c:pt idx="8">
                  <c:v>4596</c:v>
                </c:pt>
                <c:pt idx="9">
                  <c:v>3271</c:v>
                </c:pt>
                <c:pt idx="10">
                  <c:v>4596</c:v>
                </c:pt>
                <c:pt idx="11">
                  <c:v>3256</c:v>
                </c:pt>
                <c:pt idx="12">
                  <c:v>5189</c:v>
                </c:pt>
              </c:numCache>
            </c:numRef>
          </c:xVal>
          <c:yVal>
            <c:numRef>
              <c:f>'Общее задание'!$B$13:$B$25</c:f>
              <c:numCache>
                <c:formatCode>General</c:formatCode>
                <c:ptCount val="13"/>
                <c:pt idx="0">
                  <c:v>115</c:v>
                </c:pt>
                <c:pt idx="1">
                  <c:v>80</c:v>
                </c:pt>
                <c:pt idx="2">
                  <c:v>97</c:v>
                </c:pt>
                <c:pt idx="3">
                  <c:v>92</c:v>
                </c:pt>
                <c:pt idx="4">
                  <c:v>129</c:v>
                </c:pt>
                <c:pt idx="5">
                  <c:v>223</c:v>
                </c:pt>
                <c:pt idx="6">
                  <c:v>251</c:v>
                </c:pt>
                <c:pt idx="7">
                  <c:v>267</c:v>
                </c:pt>
                <c:pt idx="8">
                  <c:v>137</c:v>
                </c:pt>
                <c:pt idx="9">
                  <c:v>163</c:v>
                </c:pt>
                <c:pt idx="10">
                  <c:v>225</c:v>
                </c:pt>
                <c:pt idx="11">
                  <c:v>278</c:v>
                </c:pt>
                <c:pt idx="12">
                  <c:v>367</c:v>
                </c:pt>
              </c:numCache>
            </c:numRef>
          </c:yVal>
          <c:smooth val="0"/>
        </c:ser>
        <c:ser>
          <c:idx val="1"/>
          <c:order val="1"/>
          <c:tx>
            <c:v>Предсказанное y (прибыль, млн. руб.)</c:v>
          </c:tx>
          <c:spPr>
            <a:ln w="28575">
              <a:noFill/>
            </a:ln>
          </c:spPr>
          <c:xVal>
            <c:numRef>
              <c:f>'Общее задание'!$D$13:$D$25</c:f>
              <c:numCache>
                <c:formatCode>General</c:formatCode>
                <c:ptCount val="13"/>
                <c:pt idx="0">
                  <c:v>3278</c:v>
                </c:pt>
                <c:pt idx="1">
                  <c:v>5696</c:v>
                </c:pt>
                <c:pt idx="2">
                  <c:v>2210</c:v>
                </c:pt>
                <c:pt idx="3">
                  <c:v>5823</c:v>
                </c:pt>
                <c:pt idx="4">
                  <c:v>4569</c:v>
                </c:pt>
                <c:pt idx="5">
                  <c:v>2896</c:v>
                </c:pt>
                <c:pt idx="6">
                  <c:v>3526</c:v>
                </c:pt>
                <c:pt idx="7">
                  <c:v>2259</c:v>
                </c:pt>
                <c:pt idx="8">
                  <c:v>4596</c:v>
                </c:pt>
                <c:pt idx="9">
                  <c:v>3271</c:v>
                </c:pt>
                <c:pt idx="10">
                  <c:v>4596</c:v>
                </c:pt>
                <c:pt idx="11">
                  <c:v>3256</c:v>
                </c:pt>
                <c:pt idx="12">
                  <c:v>5189</c:v>
                </c:pt>
              </c:numCache>
            </c:numRef>
          </c:xVal>
          <c:yVal>
            <c:numRef>
              <c:f>АД_РЕГРЕССИЯ!$B$28:$B$40</c:f>
              <c:numCache>
                <c:formatCode>General</c:formatCode>
                <c:ptCount val="13"/>
                <c:pt idx="0">
                  <c:v>182.03968773048291</c:v>
                </c:pt>
                <c:pt idx="1">
                  <c:v>32.12310718388278</c:v>
                </c:pt>
                <c:pt idx="2">
                  <c:v>84.187494253174009</c:v>
                </c:pt>
                <c:pt idx="3">
                  <c:v>158.87090744886024</c:v>
                </c:pt>
                <c:pt idx="4">
                  <c:v>121.6526467919457</c:v>
                </c:pt>
                <c:pt idx="5">
                  <c:v>233.63123963361693</c:v>
                </c:pt>
                <c:pt idx="6">
                  <c:v>232.14106050119688</c:v>
                </c:pt>
                <c:pt idx="7">
                  <c:v>242.27424425249075</c:v>
                </c:pt>
                <c:pt idx="8">
                  <c:v>186.59107410173726</c:v>
                </c:pt>
                <c:pt idx="9">
                  <c:v>166.16417978537322</c:v>
                </c:pt>
                <c:pt idx="10">
                  <c:v>178.86414237665508</c:v>
                </c:pt>
                <c:pt idx="11">
                  <c:v>280.09371395108121</c:v>
                </c:pt>
                <c:pt idx="12">
                  <c:v>325.36650198950559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567360"/>
        <c:axId val="381569280"/>
      </c:scatterChart>
      <c:valAx>
        <c:axId val="38156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 (</a:t>
                </a:r>
                <a:r>
                  <a:rPr lang="ru-RU"/>
                  <a:t>Привлеченные 
средства (млн. 
руб.)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1569280"/>
        <c:crosses val="autoZero"/>
        <c:crossBetween val="midCat"/>
      </c:valAx>
      <c:valAx>
        <c:axId val="381569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ru-RU"/>
                  <a:t>прибыль, млн.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1567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x3 (</a:t>
            </a:r>
            <a:r>
              <a:rPr lang="ru-RU"/>
              <a:t>Депозит.ставка   (% го- довых) 
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(прибыль, млн. руб.)</c:v>
          </c:tx>
          <c:spPr>
            <a:ln w="28575">
              <a:noFill/>
            </a:ln>
          </c:spPr>
          <c:xVal>
            <c:numRef>
              <c:f>'Общее задание'!$E$13:$E$25</c:f>
              <c:numCache>
                <c:formatCode>General</c:formatCode>
                <c:ptCount val="13"/>
                <c:pt idx="0">
                  <c:v>12.5</c:v>
                </c:pt>
                <c:pt idx="1">
                  <c:v>11.7</c:v>
                </c:pt>
                <c:pt idx="2">
                  <c:v>11.2</c:v>
                </c:pt>
                <c:pt idx="3">
                  <c:v>9.6999999999999993</c:v>
                </c:pt>
                <c:pt idx="4">
                  <c:v>13.5</c:v>
                </c:pt>
                <c:pt idx="5">
                  <c:v>10.8</c:v>
                </c:pt>
                <c:pt idx="6">
                  <c:v>12.1</c:v>
                </c:pt>
                <c:pt idx="7">
                  <c:v>11.7</c:v>
                </c:pt>
                <c:pt idx="8">
                  <c:v>13.7</c:v>
                </c:pt>
                <c:pt idx="9">
                  <c:v>12.5</c:v>
                </c:pt>
                <c:pt idx="10">
                  <c:v>12.8</c:v>
                </c:pt>
                <c:pt idx="11">
                  <c:v>11.2</c:v>
                </c:pt>
                <c:pt idx="12">
                  <c:v>10.4</c:v>
                </c:pt>
              </c:numCache>
            </c:numRef>
          </c:xVal>
          <c:yVal>
            <c:numRef>
              <c:f>'Общее задание'!$B$13:$B$25</c:f>
              <c:numCache>
                <c:formatCode>General</c:formatCode>
                <c:ptCount val="13"/>
                <c:pt idx="0">
                  <c:v>115</c:v>
                </c:pt>
                <c:pt idx="1">
                  <c:v>80</c:v>
                </c:pt>
                <c:pt idx="2">
                  <c:v>97</c:v>
                </c:pt>
                <c:pt idx="3">
                  <c:v>92</c:v>
                </c:pt>
                <c:pt idx="4">
                  <c:v>129</c:v>
                </c:pt>
                <c:pt idx="5">
                  <c:v>223</c:v>
                </c:pt>
                <c:pt idx="6">
                  <c:v>251</c:v>
                </c:pt>
                <c:pt idx="7">
                  <c:v>267</c:v>
                </c:pt>
                <c:pt idx="8">
                  <c:v>137</c:v>
                </c:pt>
                <c:pt idx="9">
                  <c:v>163</c:v>
                </c:pt>
                <c:pt idx="10">
                  <c:v>225</c:v>
                </c:pt>
                <c:pt idx="11">
                  <c:v>278</c:v>
                </c:pt>
                <c:pt idx="12">
                  <c:v>367</c:v>
                </c:pt>
              </c:numCache>
            </c:numRef>
          </c:yVal>
          <c:smooth val="0"/>
        </c:ser>
        <c:ser>
          <c:idx val="1"/>
          <c:order val="1"/>
          <c:tx>
            <c:v>Предсказанное y (прибыль, млн. руб.)</c:v>
          </c:tx>
          <c:spPr>
            <a:ln w="28575">
              <a:noFill/>
            </a:ln>
          </c:spPr>
          <c:xVal>
            <c:numRef>
              <c:f>'Общее задание'!$E$13:$E$25</c:f>
              <c:numCache>
                <c:formatCode>General</c:formatCode>
                <c:ptCount val="13"/>
                <c:pt idx="0">
                  <c:v>12.5</c:v>
                </c:pt>
                <c:pt idx="1">
                  <c:v>11.7</c:v>
                </c:pt>
                <c:pt idx="2">
                  <c:v>11.2</c:v>
                </c:pt>
                <c:pt idx="3">
                  <c:v>9.6999999999999993</c:v>
                </c:pt>
                <c:pt idx="4">
                  <c:v>13.5</c:v>
                </c:pt>
                <c:pt idx="5">
                  <c:v>10.8</c:v>
                </c:pt>
                <c:pt idx="6">
                  <c:v>12.1</c:v>
                </c:pt>
                <c:pt idx="7">
                  <c:v>11.7</c:v>
                </c:pt>
                <c:pt idx="8">
                  <c:v>13.7</c:v>
                </c:pt>
                <c:pt idx="9">
                  <c:v>12.5</c:v>
                </c:pt>
                <c:pt idx="10">
                  <c:v>12.8</c:v>
                </c:pt>
                <c:pt idx="11">
                  <c:v>11.2</c:v>
                </c:pt>
                <c:pt idx="12">
                  <c:v>10.4</c:v>
                </c:pt>
              </c:numCache>
            </c:numRef>
          </c:xVal>
          <c:yVal>
            <c:numRef>
              <c:f>АД_РЕГРЕССИЯ!$B$28:$B$40</c:f>
              <c:numCache>
                <c:formatCode>General</c:formatCode>
                <c:ptCount val="13"/>
                <c:pt idx="0">
                  <c:v>182.03968773048291</c:v>
                </c:pt>
                <c:pt idx="1">
                  <c:v>32.12310718388278</c:v>
                </c:pt>
                <c:pt idx="2">
                  <c:v>84.187494253174009</c:v>
                </c:pt>
                <c:pt idx="3">
                  <c:v>158.87090744886024</c:v>
                </c:pt>
                <c:pt idx="4">
                  <c:v>121.6526467919457</c:v>
                </c:pt>
                <c:pt idx="5">
                  <c:v>233.63123963361693</c:v>
                </c:pt>
                <c:pt idx="6">
                  <c:v>232.14106050119688</c:v>
                </c:pt>
                <c:pt idx="7">
                  <c:v>242.27424425249075</c:v>
                </c:pt>
                <c:pt idx="8">
                  <c:v>186.59107410173726</c:v>
                </c:pt>
                <c:pt idx="9">
                  <c:v>166.16417978537322</c:v>
                </c:pt>
                <c:pt idx="10">
                  <c:v>178.86414237665508</c:v>
                </c:pt>
                <c:pt idx="11">
                  <c:v>280.09371395108121</c:v>
                </c:pt>
                <c:pt idx="12">
                  <c:v>325.36650198950559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822720"/>
        <c:axId val="395707904"/>
      </c:scatterChart>
      <c:valAx>
        <c:axId val="39182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x3 (</a:t>
                </a:r>
                <a:r>
                  <a:rPr lang="ru-RU"/>
                  <a:t>Депозит.ставка   (% го- довых)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5707904"/>
        <c:crosses val="autoZero"/>
        <c:crossBetween val="midCat"/>
      </c:valAx>
      <c:valAx>
        <c:axId val="395707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ru-RU"/>
                  <a:t>прибыль, млн.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1822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x4 (</a:t>
            </a:r>
            <a:r>
              <a:rPr lang="ru-RU"/>
              <a:t>Кредит.
Ставка (% го- 
довых) 
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(прибыль, млн. руб.)</c:v>
          </c:tx>
          <c:spPr>
            <a:ln w="28575">
              <a:noFill/>
            </a:ln>
          </c:spPr>
          <c:xVal>
            <c:numRef>
              <c:f>'Общее задание'!$F$13:$F$25</c:f>
              <c:numCache>
                <c:formatCode>General</c:formatCode>
                <c:ptCount val="13"/>
                <c:pt idx="0">
                  <c:v>17.7</c:v>
                </c:pt>
                <c:pt idx="1">
                  <c:v>18.2</c:v>
                </c:pt>
                <c:pt idx="2">
                  <c:v>19.100000000000001</c:v>
                </c:pt>
                <c:pt idx="3">
                  <c:v>15.2</c:v>
                </c:pt>
                <c:pt idx="4">
                  <c:v>18.5</c:v>
                </c:pt>
                <c:pt idx="5">
                  <c:v>18.600000000000001</c:v>
                </c:pt>
                <c:pt idx="6">
                  <c:v>15.7</c:v>
                </c:pt>
                <c:pt idx="7">
                  <c:v>16.600000000000001</c:v>
                </c:pt>
                <c:pt idx="8">
                  <c:v>17.3</c:v>
                </c:pt>
                <c:pt idx="9">
                  <c:v>19.3</c:v>
                </c:pt>
                <c:pt idx="10">
                  <c:v>17.8</c:v>
                </c:pt>
                <c:pt idx="11">
                  <c:v>14.5</c:v>
                </c:pt>
                <c:pt idx="12">
                  <c:v>13.7</c:v>
                </c:pt>
              </c:numCache>
            </c:numRef>
          </c:xVal>
          <c:yVal>
            <c:numRef>
              <c:f>'Общее задание'!$B$13:$B$25</c:f>
              <c:numCache>
                <c:formatCode>General</c:formatCode>
                <c:ptCount val="13"/>
                <c:pt idx="0">
                  <c:v>115</c:v>
                </c:pt>
                <c:pt idx="1">
                  <c:v>80</c:v>
                </c:pt>
                <c:pt idx="2">
                  <c:v>97</c:v>
                </c:pt>
                <c:pt idx="3">
                  <c:v>92</c:v>
                </c:pt>
                <c:pt idx="4">
                  <c:v>129</c:v>
                </c:pt>
                <c:pt idx="5">
                  <c:v>223</c:v>
                </c:pt>
                <c:pt idx="6">
                  <c:v>251</c:v>
                </c:pt>
                <c:pt idx="7">
                  <c:v>267</c:v>
                </c:pt>
                <c:pt idx="8">
                  <c:v>137</c:v>
                </c:pt>
                <c:pt idx="9">
                  <c:v>163</c:v>
                </c:pt>
                <c:pt idx="10">
                  <c:v>225</c:v>
                </c:pt>
                <c:pt idx="11">
                  <c:v>278</c:v>
                </c:pt>
                <c:pt idx="12">
                  <c:v>367</c:v>
                </c:pt>
              </c:numCache>
            </c:numRef>
          </c:yVal>
          <c:smooth val="0"/>
        </c:ser>
        <c:ser>
          <c:idx val="1"/>
          <c:order val="1"/>
          <c:tx>
            <c:v>Предсказанное y (прибыль, млн. руб.)</c:v>
          </c:tx>
          <c:spPr>
            <a:ln w="28575">
              <a:noFill/>
            </a:ln>
          </c:spPr>
          <c:xVal>
            <c:numRef>
              <c:f>'Общее задание'!$F$13:$F$25</c:f>
              <c:numCache>
                <c:formatCode>General</c:formatCode>
                <c:ptCount val="13"/>
                <c:pt idx="0">
                  <c:v>17.7</c:v>
                </c:pt>
                <c:pt idx="1">
                  <c:v>18.2</c:v>
                </c:pt>
                <c:pt idx="2">
                  <c:v>19.100000000000001</c:v>
                </c:pt>
                <c:pt idx="3">
                  <c:v>15.2</c:v>
                </c:pt>
                <c:pt idx="4">
                  <c:v>18.5</c:v>
                </c:pt>
                <c:pt idx="5">
                  <c:v>18.600000000000001</c:v>
                </c:pt>
                <c:pt idx="6">
                  <c:v>15.7</c:v>
                </c:pt>
                <c:pt idx="7">
                  <c:v>16.600000000000001</c:v>
                </c:pt>
                <c:pt idx="8">
                  <c:v>17.3</c:v>
                </c:pt>
                <c:pt idx="9">
                  <c:v>19.3</c:v>
                </c:pt>
                <c:pt idx="10">
                  <c:v>17.8</c:v>
                </c:pt>
                <c:pt idx="11">
                  <c:v>14.5</c:v>
                </c:pt>
                <c:pt idx="12">
                  <c:v>13.7</c:v>
                </c:pt>
              </c:numCache>
            </c:numRef>
          </c:xVal>
          <c:yVal>
            <c:numRef>
              <c:f>АД_РЕГРЕССИЯ!$B$28:$B$40</c:f>
              <c:numCache>
                <c:formatCode>General</c:formatCode>
                <c:ptCount val="13"/>
                <c:pt idx="0">
                  <c:v>182.03968773048291</c:v>
                </c:pt>
                <c:pt idx="1">
                  <c:v>32.12310718388278</c:v>
                </c:pt>
                <c:pt idx="2">
                  <c:v>84.187494253174009</c:v>
                </c:pt>
                <c:pt idx="3">
                  <c:v>158.87090744886024</c:v>
                </c:pt>
                <c:pt idx="4">
                  <c:v>121.6526467919457</c:v>
                </c:pt>
                <c:pt idx="5">
                  <c:v>233.63123963361693</c:v>
                </c:pt>
                <c:pt idx="6">
                  <c:v>232.14106050119688</c:v>
                </c:pt>
                <c:pt idx="7">
                  <c:v>242.27424425249075</c:v>
                </c:pt>
                <c:pt idx="8">
                  <c:v>186.59107410173726</c:v>
                </c:pt>
                <c:pt idx="9">
                  <c:v>166.16417978537322</c:v>
                </c:pt>
                <c:pt idx="10">
                  <c:v>178.86414237665508</c:v>
                </c:pt>
                <c:pt idx="11">
                  <c:v>280.09371395108121</c:v>
                </c:pt>
                <c:pt idx="12">
                  <c:v>325.36650198950559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737728"/>
        <c:axId val="398918400"/>
      </c:scatterChart>
      <c:valAx>
        <c:axId val="39573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x4 (</a:t>
                </a:r>
                <a:r>
                  <a:rPr lang="ru-RU"/>
                  <a:t>Кредит.
Ставка (% го- 
довых)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8918400"/>
        <c:crosses val="autoZero"/>
        <c:crossBetween val="midCat"/>
      </c:valAx>
      <c:valAx>
        <c:axId val="398918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ru-RU"/>
                  <a:t>прибыль, млн.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5737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АД_РЕГРЕССИЯ!$F$28:$F$40</c:f>
              <c:numCache>
                <c:formatCode>General</c:formatCode>
                <c:ptCount val="13"/>
                <c:pt idx="0">
                  <c:v>3.8461538461538463</c:v>
                </c:pt>
                <c:pt idx="1">
                  <c:v>11.538461538461538</c:v>
                </c:pt>
                <c:pt idx="2">
                  <c:v>19.23076923076923</c:v>
                </c:pt>
                <c:pt idx="3">
                  <c:v>26.923076923076923</c:v>
                </c:pt>
                <c:pt idx="4">
                  <c:v>34.615384615384613</c:v>
                </c:pt>
                <c:pt idx="5">
                  <c:v>42.307692307692307</c:v>
                </c:pt>
                <c:pt idx="6">
                  <c:v>50</c:v>
                </c:pt>
                <c:pt idx="7">
                  <c:v>57.692307692307693</c:v>
                </c:pt>
                <c:pt idx="8">
                  <c:v>65.384615384615387</c:v>
                </c:pt>
                <c:pt idx="9">
                  <c:v>73.076923076923066</c:v>
                </c:pt>
                <c:pt idx="10">
                  <c:v>80.769230769230759</c:v>
                </c:pt>
                <c:pt idx="11">
                  <c:v>88.461538461538453</c:v>
                </c:pt>
                <c:pt idx="12">
                  <c:v>96.153846153846146</c:v>
                </c:pt>
              </c:numCache>
            </c:numRef>
          </c:xVal>
          <c:yVal>
            <c:numRef>
              <c:f>АД_РЕГРЕССИЯ!$G$28:$G$40</c:f>
              <c:numCache>
                <c:formatCode>General</c:formatCode>
                <c:ptCount val="13"/>
                <c:pt idx="0">
                  <c:v>80</c:v>
                </c:pt>
                <c:pt idx="1">
                  <c:v>92</c:v>
                </c:pt>
                <c:pt idx="2">
                  <c:v>97</c:v>
                </c:pt>
                <c:pt idx="3">
                  <c:v>115</c:v>
                </c:pt>
                <c:pt idx="4">
                  <c:v>129</c:v>
                </c:pt>
                <c:pt idx="5">
                  <c:v>137</c:v>
                </c:pt>
                <c:pt idx="6">
                  <c:v>163</c:v>
                </c:pt>
                <c:pt idx="7">
                  <c:v>223</c:v>
                </c:pt>
                <c:pt idx="8">
                  <c:v>225</c:v>
                </c:pt>
                <c:pt idx="9">
                  <c:v>251</c:v>
                </c:pt>
                <c:pt idx="10">
                  <c:v>267</c:v>
                </c:pt>
                <c:pt idx="11">
                  <c:v>278</c:v>
                </c:pt>
                <c:pt idx="12">
                  <c:v>367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939264"/>
        <c:axId val="398941184"/>
      </c:scatterChart>
      <c:valAx>
        <c:axId val="39893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941184"/>
        <c:crosses val="autoZero"/>
        <c:crossBetween val="midCat"/>
      </c:valAx>
      <c:valAx>
        <c:axId val="398941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ru-RU"/>
                  <a:t>прибыль, млн. руб.)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939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x1 (</a:t>
            </a:r>
            <a:r>
              <a:rPr lang="ru-RU"/>
              <a:t>Собств. капитал (млн. 
руб.) 
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ИЗ!$C$22:$C$34</c:f>
              <c:numCache>
                <c:formatCode>General</c:formatCode>
                <c:ptCount val="13"/>
                <c:pt idx="0">
                  <c:v>4428</c:v>
                </c:pt>
                <c:pt idx="1">
                  <c:v>3756</c:v>
                </c:pt>
                <c:pt idx="2">
                  <c:v>2970</c:v>
                </c:pt>
                <c:pt idx="3">
                  <c:v>6231</c:v>
                </c:pt>
                <c:pt idx="4">
                  <c:v>3960</c:v>
                </c:pt>
                <c:pt idx="5">
                  <c:v>7354</c:v>
                </c:pt>
                <c:pt idx="6">
                  <c:v>4662</c:v>
                </c:pt>
                <c:pt idx="7">
                  <c:v>4760</c:v>
                </c:pt>
                <c:pt idx="8">
                  <c:v>4569</c:v>
                </c:pt>
                <c:pt idx="9">
                  <c:v>5274</c:v>
                </c:pt>
                <c:pt idx="10">
                  <c:v>5418</c:v>
                </c:pt>
                <c:pt idx="11">
                  <c:v>5359</c:v>
                </c:pt>
                <c:pt idx="12">
                  <c:v>8254</c:v>
                </c:pt>
              </c:numCache>
            </c:numRef>
          </c:xVal>
          <c:yVal>
            <c:numRef>
              <c:f>АД_РЕГРЕССИЯ_БЕЗ_Х3!$C$27:$C$39</c:f>
              <c:numCache>
                <c:formatCode>General</c:formatCode>
                <c:ptCount val="13"/>
                <c:pt idx="0">
                  <c:v>-56.174014029342857</c:v>
                </c:pt>
                <c:pt idx="1">
                  <c:v>19.626013553764324</c:v>
                </c:pt>
                <c:pt idx="2">
                  <c:v>-30.799294213969063</c:v>
                </c:pt>
                <c:pt idx="3">
                  <c:v>-112.08792805724971</c:v>
                </c:pt>
                <c:pt idx="4">
                  <c:v>33.40257237750194</c:v>
                </c:pt>
                <c:pt idx="5">
                  <c:v>-25.510562771261903</c:v>
                </c:pt>
                <c:pt idx="6">
                  <c:v>31.501597238339684</c:v>
                </c:pt>
                <c:pt idx="7">
                  <c:v>25.714275966463333</c:v>
                </c:pt>
                <c:pt idx="8">
                  <c:v>-5.5037993602191477</c:v>
                </c:pt>
                <c:pt idx="9">
                  <c:v>5.9114658344368536</c:v>
                </c:pt>
                <c:pt idx="10">
                  <c:v>69.551065394614682</c:v>
                </c:pt>
                <c:pt idx="11">
                  <c:v>-0.66000967436195879</c:v>
                </c:pt>
                <c:pt idx="12">
                  <c:v>45.028617741282972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124992"/>
        <c:axId val="433006080"/>
      </c:scatterChart>
      <c:valAx>
        <c:axId val="42912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 (</a:t>
                </a:r>
                <a:r>
                  <a:rPr lang="ru-RU"/>
                  <a:t>Собств. капитал (млн. 
руб.)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3006080"/>
        <c:crosses val="autoZero"/>
        <c:crossBetween val="midCat"/>
      </c:valAx>
      <c:valAx>
        <c:axId val="433006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9124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x2 (</a:t>
            </a:r>
            <a:r>
              <a:rPr lang="ru-RU"/>
              <a:t>Привлеченные 
средства (млн. 
руб.) 
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ИЗ!$D$22:$D$34</c:f>
              <c:numCache>
                <c:formatCode>General</c:formatCode>
                <c:ptCount val="13"/>
                <c:pt idx="0">
                  <c:v>3278</c:v>
                </c:pt>
                <c:pt idx="1">
                  <c:v>5696</c:v>
                </c:pt>
                <c:pt idx="2">
                  <c:v>2210</c:v>
                </c:pt>
                <c:pt idx="3">
                  <c:v>5823</c:v>
                </c:pt>
                <c:pt idx="4">
                  <c:v>4569</c:v>
                </c:pt>
                <c:pt idx="5">
                  <c:v>2896</c:v>
                </c:pt>
                <c:pt idx="6">
                  <c:v>3526</c:v>
                </c:pt>
                <c:pt idx="7">
                  <c:v>2259</c:v>
                </c:pt>
                <c:pt idx="8">
                  <c:v>4596</c:v>
                </c:pt>
                <c:pt idx="9">
                  <c:v>3271</c:v>
                </c:pt>
                <c:pt idx="10">
                  <c:v>4596</c:v>
                </c:pt>
                <c:pt idx="11">
                  <c:v>3256</c:v>
                </c:pt>
                <c:pt idx="12">
                  <c:v>5189</c:v>
                </c:pt>
              </c:numCache>
            </c:numRef>
          </c:xVal>
          <c:yVal>
            <c:numRef>
              <c:f>АД_РЕГРЕССИЯ_БЕЗ_Х3!$C$27:$C$39</c:f>
              <c:numCache>
                <c:formatCode>General</c:formatCode>
                <c:ptCount val="13"/>
                <c:pt idx="0">
                  <c:v>-56.174014029342857</c:v>
                </c:pt>
                <c:pt idx="1">
                  <c:v>19.626013553764324</c:v>
                </c:pt>
                <c:pt idx="2">
                  <c:v>-30.799294213969063</c:v>
                </c:pt>
                <c:pt idx="3">
                  <c:v>-112.08792805724971</c:v>
                </c:pt>
                <c:pt idx="4">
                  <c:v>33.40257237750194</c:v>
                </c:pt>
                <c:pt idx="5">
                  <c:v>-25.510562771261903</c:v>
                </c:pt>
                <c:pt idx="6">
                  <c:v>31.501597238339684</c:v>
                </c:pt>
                <c:pt idx="7">
                  <c:v>25.714275966463333</c:v>
                </c:pt>
                <c:pt idx="8">
                  <c:v>-5.5037993602191477</c:v>
                </c:pt>
                <c:pt idx="9">
                  <c:v>5.9114658344368536</c:v>
                </c:pt>
                <c:pt idx="10">
                  <c:v>69.551065394614682</c:v>
                </c:pt>
                <c:pt idx="11">
                  <c:v>-0.66000967436195879</c:v>
                </c:pt>
                <c:pt idx="12">
                  <c:v>45.028617741282972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618752"/>
        <c:axId val="436620672"/>
      </c:scatterChart>
      <c:valAx>
        <c:axId val="43661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 (</a:t>
                </a:r>
                <a:r>
                  <a:rPr lang="ru-RU"/>
                  <a:t>Привлеченные 
средства (млн. 
руб.)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6620672"/>
        <c:crosses val="autoZero"/>
        <c:crossBetween val="midCat"/>
      </c:valAx>
      <c:valAx>
        <c:axId val="436620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6618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x4 (</a:t>
            </a:r>
            <a:r>
              <a:rPr lang="ru-RU"/>
              <a:t>Кредит.
Ставка (% го- 
довых) 
 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ИЗ!$E$22:$E$34</c:f>
              <c:numCache>
                <c:formatCode>General</c:formatCode>
                <c:ptCount val="13"/>
                <c:pt idx="0">
                  <c:v>17.7</c:v>
                </c:pt>
                <c:pt idx="1">
                  <c:v>18.2</c:v>
                </c:pt>
                <c:pt idx="2">
                  <c:v>19.100000000000001</c:v>
                </c:pt>
                <c:pt idx="3">
                  <c:v>15.2</c:v>
                </c:pt>
                <c:pt idx="4">
                  <c:v>18.5</c:v>
                </c:pt>
                <c:pt idx="5">
                  <c:v>18.600000000000001</c:v>
                </c:pt>
                <c:pt idx="6">
                  <c:v>15.7</c:v>
                </c:pt>
                <c:pt idx="7">
                  <c:v>16.600000000000001</c:v>
                </c:pt>
                <c:pt idx="8">
                  <c:v>17.3</c:v>
                </c:pt>
                <c:pt idx="9">
                  <c:v>19.3</c:v>
                </c:pt>
                <c:pt idx="10">
                  <c:v>17.8</c:v>
                </c:pt>
                <c:pt idx="11">
                  <c:v>14.5</c:v>
                </c:pt>
                <c:pt idx="12">
                  <c:v>13.7</c:v>
                </c:pt>
              </c:numCache>
            </c:numRef>
          </c:xVal>
          <c:yVal>
            <c:numRef>
              <c:f>АД_РЕГРЕССИЯ_БЕЗ_Х3!$C$27:$C$39</c:f>
              <c:numCache>
                <c:formatCode>General</c:formatCode>
                <c:ptCount val="13"/>
                <c:pt idx="0">
                  <c:v>-56.174014029342857</c:v>
                </c:pt>
                <c:pt idx="1">
                  <c:v>19.626013553764324</c:v>
                </c:pt>
                <c:pt idx="2">
                  <c:v>-30.799294213969063</c:v>
                </c:pt>
                <c:pt idx="3">
                  <c:v>-112.08792805724971</c:v>
                </c:pt>
                <c:pt idx="4">
                  <c:v>33.40257237750194</c:v>
                </c:pt>
                <c:pt idx="5">
                  <c:v>-25.510562771261903</c:v>
                </c:pt>
                <c:pt idx="6">
                  <c:v>31.501597238339684</c:v>
                </c:pt>
                <c:pt idx="7">
                  <c:v>25.714275966463333</c:v>
                </c:pt>
                <c:pt idx="8">
                  <c:v>-5.5037993602191477</c:v>
                </c:pt>
                <c:pt idx="9">
                  <c:v>5.9114658344368536</c:v>
                </c:pt>
                <c:pt idx="10">
                  <c:v>69.551065394614682</c:v>
                </c:pt>
                <c:pt idx="11">
                  <c:v>-0.66000967436195879</c:v>
                </c:pt>
                <c:pt idx="12">
                  <c:v>45.028617741282972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115712"/>
        <c:axId val="438142464"/>
      </c:scatterChart>
      <c:valAx>
        <c:axId val="43811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x4 (</a:t>
                </a:r>
                <a:r>
                  <a:rPr lang="ru-RU"/>
                  <a:t>Кредит.
Ставка (% го- 
довых)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142464"/>
        <c:crosses val="autoZero"/>
        <c:crossBetween val="midCat"/>
      </c:valAx>
      <c:valAx>
        <c:axId val="438142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115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x1 (</a:t>
            </a:r>
            <a:r>
              <a:rPr lang="ru-RU"/>
              <a:t>Собств. капитал (млн. 
руб.) 
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(прибыль, млн. руб.)</c:v>
          </c:tx>
          <c:spPr>
            <a:ln w="28575">
              <a:noFill/>
            </a:ln>
          </c:spPr>
          <c:xVal>
            <c:numRef>
              <c:f>ИЗ!$C$22:$C$34</c:f>
              <c:numCache>
                <c:formatCode>General</c:formatCode>
                <c:ptCount val="13"/>
                <c:pt idx="0">
                  <c:v>4428</c:v>
                </c:pt>
                <c:pt idx="1">
                  <c:v>3756</c:v>
                </c:pt>
                <c:pt idx="2">
                  <c:v>2970</c:v>
                </c:pt>
                <c:pt idx="3">
                  <c:v>6231</c:v>
                </c:pt>
                <c:pt idx="4">
                  <c:v>3960</c:v>
                </c:pt>
                <c:pt idx="5">
                  <c:v>7354</c:v>
                </c:pt>
                <c:pt idx="6">
                  <c:v>4662</c:v>
                </c:pt>
                <c:pt idx="7">
                  <c:v>4760</c:v>
                </c:pt>
                <c:pt idx="8">
                  <c:v>4569</c:v>
                </c:pt>
                <c:pt idx="9">
                  <c:v>5274</c:v>
                </c:pt>
                <c:pt idx="10">
                  <c:v>5418</c:v>
                </c:pt>
                <c:pt idx="11">
                  <c:v>5359</c:v>
                </c:pt>
                <c:pt idx="12">
                  <c:v>8254</c:v>
                </c:pt>
              </c:numCache>
            </c:numRef>
          </c:xVal>
          <c:yVal>
            <c:numRef>
              <c:f>ИЗ!$B$22:$B$34</c:f>
              <c:numCache>
                <c:formatCode>General</c:formatCode>
                <c:ptCount val="13"/>
                <c:pt idx="0">
                  <c:v>115</c:v>
                </c:pt>
                <c:pt idx="1">
                  <c:v>80</c:v>
                </c:pt>
                <c:pt idx="2">
                  <c:v>97</c:v>
                </c:pt>
                <c:pt idx="3">
                  <c:v>92</c:v>
                </c:pt>
                <c:pt idx="4">
                  <c:v>129</c:v>
                </c:pt>
                <c:pt idx="5">
                  <c:v>223</c:v>
                </c:pt>
                <c:pt idx="6">
                  <c:v>251</c:v>
                </c:pt>
                <c:pt idx="7">
                  <c:v>267</c:v>
                </c:pt>
                <c:pt idx="8">
                  <c:v>137</c:v>
                </c:pt>
                <c:pt idx="9">
                  <c:v>163</c:v>
                </c:pt>
                <c:pt idx="10">
                  <c:v>225</c:v>
                </c:pt>
                <c:pt idx="11">
                  <c:v>278</c:v>
                </c:pt>
                <c:pt idx="12">
                  <c:v>367</c:v>
                </c:pt>
              </c:numCache>
            </c:numRef>
          </c:yVal>
          <c:smooth val="0"/>
        </c:ser>
        <c:ser>
          <c:idx val="1"/>
          <c:order val="1"/>
          <c:tx>
            <c:v>Предсказанное y (прибыль, млн. руб.)</c:v>
          </c:tx>
          <c:spPr>
            <a:ln w="28575">
              <a:noFill/>
            </a:ln>
          </c:spPr>
          <c:xVal>
            <c:numRef>
              <c:f>ИЗ!$C$22:$C$34</c:f>
              <c:numCache>
                <c:formatCode>General</c:formatCode>
                <c:ptCount val="13"/>
                <c:pt idx="0">
                  <c:v>4428</c:v>
                </c:pt>
                <c:pt idx="1">
                  <c:v>3756</c:v>
                </c:pt>
                <c:pt idx="2">
                  <c:v>2970</c:v>
                </c:pt>
                <c:pt idx="3">
                  <c:v>6231</c:v>
                </c:pt>
                <c:pt idx="4">
                  <c:v>3960</c:v>
                </c:pt>
                <c:pt idx="5">
                  <c:v>7354</c:v>
                </c:pt>
                <c:pt idx="6">
                  <c:v>4662</c:v>
                </c:pt>
                <c:pt idx="7">
                  <c:v>4760</c:v>
                </c:pt>
                <c:pt idx="8">
                  <c:v>4569</c:v>
                </c:pt>
                <c:pt idx="9">
                  <c:v>5274</c:v>
                </c:pt>
                <c:pt idx="10">
                  <c:v>5418</c:v>
                </c:pt>
                <c:pt idx="11">
                  <c:v>5359</c:v>
                </c:pt>
                <c:pt idx="12">
                  <c:v>8254</c:v>
                </c:pt>
              </c:numCache>
            </c:numRef>
          </c:xVal>
          <c:yVal>
            <c:numRef>
              <c:f>АД_РЕГРЕССИЯ_БЕЗ_Х3!$B$27:$B$39</c:f>
              <c:numCache>
                <c:formatCode>General</c:formatCode>
                <c:ptCount val="13"/>
                <c:pt idx="0">
                  <c:v>171.17401402934286</c:v>
                </c:pt>
                <c:pt idx="1">
                  <c:v>60.373986446235676</c:v>
                </c:pt>
                <c:pt idx="2">
                  <c:v>127.79929421396906</c:v>
                </c:pt>
                <c:pt idx="3">
                  <c:v>204.08792805724971</c:v>
                </c:pt>
                <c:pt idx="4">
                  <c:v>95.59742762249806</c:v>
                </c:pt>
                <c:pt idx="5">
                  <c:v>248.5105627712619</c:v>
                </c:pt>
                <c:pt idx="6">
                  <c:v>219.49840276166032</c:v>
                </c:pt>
                <c:pt idx="7">
                  <c:v>241.28572403353667</c:v>
                </c:pt>
                <c:pt idx="8">
                  <c:v>142.50379936021915</c:v>
                </c:pt>
                <c:pt idx="9">
                  <c:v>157.08853416556315</c:v>
                </c:pt>
                <c:pt idx="10">
                  <c:v>155.44893460538532</c:v>
                </c:pt>
                <c:pt idx="11">
                  <c:v>278.66000967436196</c:v>
                </c:pt>
                <c:pt idx="12">
                  <c:v>321.97138225871703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167808"/>
        <c:axId val="438169984"/>
      </c:scatterChart>
      <c:valAx>
        <c:axId val="438167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 (</a:t>
                </a:r>
                <a:r>
                  <a:rPr lang="ru-RU"/>
                  <a:t>Собств. капитал (млн. 
руб.)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169984"/>
        <c:crosses val="autoZero"/>
        <c:crossBetween val="midCat"/>
      </c:valAx>
      <c:valAx>
        <c:axId val="438169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ru-RU"/>
                  <a:t>прибыль, млн.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8167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x2 (</a:t>
            </a:r>
            <a:r>
              <a:rPr lang="ru-RU"/>
              <a:t>Привлеченные 
средства (млн. 
руб.) 
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(прибыль, млн. руб.)</c:v>
          </c:tx>
          <c:spPr>
            <a:ln w="28575">
              <a:noFill/>
            </a:ln>
          </c:spPr>
          <c:xVal>
            <c:numRef>
              <c:f>ИЗ!$D$22:$D$34</c:f>
              <c:numCache>
                <c:formatCode>General</c:formatCode>
                <c:ptCount val="13"/>
                <c:pt idx="0">
                  <c:v>3278</c:v>
                </c:pt>
                <c:pt idx="1">
                  <c:v>5696</c:v>
                </c:pt>
                <c:pt idx="2">
                  <c:v>2210</c:v>
                </c:pt>
                <c:pt idx="3">
                  <c:v>5823</c:v>
                </c:pt>
                <c:pt idx="4">
                  <c:v>4569</c:v>
                </c:pt>
                <c:pt idx="5">
                  <c:v>2896</c:v>
                </c:pt>
                <c:pt idx="6">
                  <c:v>3526</c:v>
                </c:pt>
                <c:pt idx="7">
                  <c:v>2259</c:v>
                </c:pt>
                <c:pt idx="8">
                  <c:v>4596</c:v>
                </c:pt>
                <c:pt idx="9">
                  <c:v>3271</c:v>
                </c:pt>
                <c:pt idx="10">
                  <c:v>4596</c:v>
                </c:pt>
                <c:pt idx="11">
                  <c:v>3256</c:v>
                </c:pt>
                <c:pt idx="12">
                  <c:v>5189</c:v>
                </c:pt>
              </c:numCache>
            </c:numRef>
          </c:xVal>
          <c:yVal>
            <c:numRef>
              <c:f>ИЗ!$B$22:$B$34</c:f>
              <c:numCache>
                <c:formatCode>General</c:formatCode>
                <c:ptCount val="13"/>
                <c:pt idx="0">
                  <c:v>115</c:v>
                </c:pt>
                <c:pt idx="1">
                  <c:v>80</c:v>
                </c:pt>
                <c:pt idx="2">
                  <c:v>97</c:v>
                </c:pt>
                <c:pt idx="3">
                  <c:v>92</c:v>
                </c:pt>
                <c:pt idx="4">
                  <c:v>129</c:v>
                </c:pt>
                <c:pt idx="5">
                  <c:v>223</c:v>
                </c:pt>
                <c:pt idx="6">
                  <c:v>251</c:v>
                </c:pt>
                <c:pt idx="7">
                  <c:v>267</c:v>
                </c:pt>
                <c:pt idx="8">
                  <c:v>137</c:v>
                </c:pt>
                <c:pt idx="9">
                  <c:v>163</c:v>
                </c:pt>
                <c:pt idx="10">
                  <c:v>225</c:v>
                </c:pt>
                <c:pt idx="11">
                  <c:v>278</c:v>
                </c:pt>
                <c:pt idx="12">
                  <c:v>367</c:v>
                </c:pt>
              </c:numCache>
            </c:numRef>
          </c:yVal>
          <c:smooth val="0"/>
        </c:ser>
        <c:ser>
          <c:idx val="1"/>
          <c:order val="1"/>
          <c:tx>
            <c:v>Предсказанное y (прибыль, млн. руб.)</c:v>
          </c:tx>
          <c:spPr>
            <a:ln w="28575">
              <a:noFill/>
            </a:ln>
          </c:spPr>
          <c:xVal>
            <c:numRef>
              <c:f>ИЗ!$D$22:$D$34</c:f>
              <c:numCache>
                <c:formatCode>General</c:formatCode>
                <c:ptCount val="13"/>
                <c:pt idx="0">
                  <c:v>3278</c:v>
                </c:pt>
                <c:pt idx="1">
                  <c:v>5696</c:v>
                </c:pt>
                <c:pt idx="2">
                  <c:v>2210</c:v>
                </c:pt>
                <c:pt idx="3">
                  <c:v>5823</c:v>
                </c:pt>
                <c:pt idx="4">
                  <c:v>4569</c:v>
                </c:pt>
                <c:pt idx="5">
                  <c:v>2896</c:v>
                </c:pt>
                <c:pt idx="6">
                  <c:v>3526</c:v>
                </c:pt>
                <c:pt idx="7">
                  <c:v>2259</c:v>
                </c:pt>
                <c:pt idx="8">
                  <c:v>4596</c:v>
                </c:pt>
                <c:pt idx="9">
                  <c:v>3271</c:v>
                </c:pt>
                <c:pt idx="10">
                  <c:v>4596</c:v>
                </c:pt>
                <c:pt idx="11">
                  <c:v>3256</c:v>
                </c:pt>
                <c:pt idx="12">
                  <c:v>5189</c:v>
                </c:pt>
              </c:numCache>
            </c:numRef>
          </c:xVal>
          <c:yVal>
            <c:numRef>
              <c:f>АД_РЕГРЕССИЯ_БЕЗ_Х3!$B$27:$B$39</c:f>
              <c:numCache>
                <c:formatCode>General</c:formatCode>
                <c:ptCount val="13"/>
                <c:pt idx="0">
                  <c:v>171.17401402934286</c:v>
                </c:pt>
                <c:pt idx="1">
                  <c:v>60.373986446235676</c:v>
                </c:pt>
                <c:pt idx="2">
                  <c:v>127.79929421396906</c:v>
                </c:pt>
                <c:pt idx="3">
                  <c:v>204.08792805724971</c:v>
                </c:pt>
                <c:pt idx="4">
                  <c:v>95.59742762249806</c:v>
                </c:pt>
                <c:pt idx="5">
                  <c:v>248.5105627712619</c:v>
                </c:pt>
                <c:pt idx="6">
                  <c:v>219.49840276166032</c:v>
                </c:pt>
                <c:pt idx="7">
                  <c:v>241.28572403353667</c:v>
                </c:pt>
                <c:pt idx="8">
                  <c:v>142.50379936021915</c:v>
                </c:pt>
                <c:pt idx="9">
                  <c:v>157.08853416556315</c:v>
                </c:pt>
                <c:pt idx="10">
                  <c:v>155.44893460538532</c:v>
                </c:pt>
                <c:pt idx="11">
                  <c:v>278.66000967436196</c:v>
                </c:pt>
                <c:pt idx="12">
                  <c:v>321.97138225871703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50752"/>
        <c:axId val="442252672"/>
      </c:scatterChart>
      <c:valAx>
        <c:axId val="44225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 (</a:t>
                </a:r>
                <a:r>
                  <a:rPr lang="ru-RU"/>
                  <a:t>Привлеченные 
средства (млн. 
руб.)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2252672"/>
        <c:crosses val="autoZero"/>
        <c:crossBetween val="midCat"/>
      </c:valAx>
      <c:valAx>
        <c:axId val="442252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ru-RU"/>
                  <a:t>прибыль, млн.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2250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x4 (</a:t>
            </a:r>
            <a:r>
              <a:rPr lang="ru-RU"/>
              <a:t>Кредит.
Ставка (% го- 
довых) 
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(прибыль, млн. руб.)</c:v>
          </c:tx>
          <c:spPr>
            <a:ln w="28575">
              <a:noFill/>
            </a:ln>
          </c:spPr>
          <c:xVal>
            <c:numRef>
              <c:f>ИЗ!$E$22:$E$34</c:f>
              <c:numCache>
                <c:formatCode>General</c:formatCode>
                <c:ptCount val="13"/>
                <c:pt idx="0">
                  <c:v>17.7</c:v>
                </c:pt>
                <c:pt idx="1">
                  <c:v>18.2</c:v>
                </c:pt>
                <c:pt idx="2">
                  <c:v>19.100000000000001</c:v>
                </c:pt>
                <c:pt idx="3">
                  <c:v>15.2</c:v>
                </c:pt>
                <c:pt idx="4">
                  <c:v>18.5</c:v>
                </c:pt>
                <c:pt idx="5">
                  <c:v>18.600000000000001</c:v>
                </c:pt>
                <c:pt idx="6">
                  <c:v>15.7</c:v>
                </c:pt>
                <c:pt idx="7">
                  <c:v>16.600000000000001</c:v>
                </c:pt>
                <c:pt idx="8">
                  <c:v>17.3</c:v>
                </c:pt>
                <c:pt idx="9">
                  <c:v>19.3</c:v>
                </c:pt>
                <c:pt idx="10">
                  <c:v>17.8</c:v>
                </c:pt>
                <c:pt idx="11">
                  <c:v>14.5</c:v>
                </c:pt>
                <c:pt idx="12">
                  <c:v>13.7</c:v>
                </c:pt>
              </c:numCache>
            </c:numRef>
          </c:xVal>
          <c:yVal>
            <c:numRef>
              <c:f>ИЗ!$B$22:$B$34</c:f>
              <c:numCache>
                <c:formatCode>General</c:formatCode>
                <c:ptCount val="13"/>
                <c:pt idx="0">
                  <c:v>115</c:v>
                </c:pt>
                <c:pt idx="1">
                  <c:v>80</c:v>
                </c:pt>
                <c:pt idx="2">
                  <c:v>97</c:v>
                </c:pt>
                <c:pt idx="3">
                  <c:v>92</c:v>
                </c:pt>
                <c:pt idx="4">
                  <c:v>129</c:v>
                </c:pt>
                <c:pt idx="5">
                  <c:v>223</c:v>
                </c:pt>
                <c:pt idx="6">
                  <c:v>251</c:v>
                </c:pt>
                <c:pt idx="7">
                  <c:v>267</c:v>
                </c:pt>
                <c:pt idx="8">
                  <c:v>137</c:v>
                </c:pt>
                <c:pt idx="9">
                  <c:v>163</c:v>
                </c:pt>
                <c:pt idx="10">
                  <c:v>225</c:v>
                </c:pt>
                <c:pt idx="11">
                  <c:v>278</c:v>
                </c:pt>
                <c:pt idx="12">
                  <c:v>367</c:v>
                </c:pt>
              </c:numCache>
            </c:numRef>
          </c:yVal>
          <c:smooth val="0"/>
        </c:ser>
        <c:ser>
          <c:idx val="1"/>
          <c:order val="1"/>
          <c:tx>
            <c:v>Предсказанное y (прибыль, млн. руб.)</c:v>
          </c:tx>
          <c:spPr>
            <a:ln w="28575">
              <a:noFill/>
            </a:ln>
          </c:spPr>
          <c:xVal>
            <c:numRef>
              <c:f>ИЗ!$E$22:$E$34</c:f>
              <c:numCache>
                <c:formatCode>General</c:formatCode>
                <c:ptCount val="13"/>
                <c:pt idx="0">
                  <c:v>17.7</c:v>
                </c:pt>
                <c:pt idx="1">
                  <c:v>18.2</c:v>
                </c:pt>
                <c:pt idx="2">
                  <c:v>19.100000000000001</c:v>
                </c:pt>
                <c:pt idx="3">
                  <c:v>15.2</c:v>
                </c:pt>
                <c:pt idx="4">
                  <c:v>18.5</c:v>
                </c:pt>
                <c:pt idx="5">
                  <c:v>18.600000000000001</c:v>
                </c:pt>
                <c:pt idx="6">
                  <c:v>15.7</c:v>
                </c:pt>
                <c:pt idx="7">
                  <c:v>16.600000000000001</c:v>
                </c:pt>
                <c:pt idx="8">
                  <c:v>17.3</c:v>
                </c:pt>
                <c:pt idx="9">
                  <c:v>19.3</c:v>
                </c:pt>
                <c:pt idx="10">
                  <c:v>17.8</c:v>
                </c:pt>
                <c:pt idx="11">
                  <c:v>14.5</c:v>
                </c:pt>
                <c:pt idx="12">
                  <c:v>13.7</c:v>
                </c:pt>
              </c:numCache>
            </c:numRef>
          </c:xVal>
          <c:yVal>
            <c:numRef>
              <c:f>АД_РЕГРЕССИЯ_БЕЗ_Х3!$B$27:$B$39</c:f>
              <c:numCache>
                <c:formatCode>General</c:formatCode>
                <c:ptCount val="13"/>
                <c:pt idx="0">
                  <c:v>171.17401402934286</c:v>
                </c:pt>
                <c:pt idx="1">
                  <c:v>60.373986446235676</c:v>
                </c:pt>
                <c:pt idx="2">
                  <c:v>127.79929421396906</c:v>
                </c:pt>
                <c:pt idx="3">
                  <c:v>204.08792805724971</c:v>
                </c:pt>
                <c:pt idx="4">
                  <c:v>95.59742762249806</c:v>
                </c:pt>
                <c:pt idx="5">
                  <c:v>248.5105627712619</c:v>
                </c:pt>
                <c:pt idx="6">
                  <c:v>219.49840276166032</c:v>
                </c:pt>
                <c:pt idx="7">
                  <c:v>241.28572403353667</c:v>
                </c:pt>
                <c:pt idx="8">
                  <c:v>142.50379936021915</c:v>
                </c:pt>
                <c:pt idx="9">
                  <c:v>157.08853416556315</c:v>
                </c:pt>
                <c:pt idx="10">
                  <c:v>155.44893460538532</c:v>
                </c:pt>
                <c:pt idx="11">
                  <c:v>278.66000967436196</c:v>
                </c:pt>
                <c:pt idx="12">
                  <c:v>321.97138225871703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933568"/>
        <c:axId val="521935488"/>
      </c:scatterChart>
      <c:valAx>
        <c:axId val="52193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x4 (</a:t>
                </a:r>
                <a:r>
                  <a:rPr lang="ru-RU"/>
                  <a:t>Кредит.
Ставка (% го- 
довых) 
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1935488"/>
        <c:crosses val="autoZero"/>
        <c:crossBetween val="midCat"/>
      </c:valAx>
      <c:valAx>
        <c:axId val="521935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ru-RU"/>
                  <a:t>прибыль, млн.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1933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АД_РЕГРЕССИЯ_БЕЗ_Х3!$F$27:$F$39</c:f>
              <c:numCache>
                <c:formatCode>General</c:formatCode>
                <c:ptCount val="13"/>
                <c:pt idx="0">
                  <c:v>3.8461538461538463</c:v>
                </c:pt>
                <c:pt idx="1">
                  <c:v>11.538461538461538</c:v>
                </c:pt>
                <c:pt idx="2">
                  <c:v>19.23076923076923</c:v>
                </c:pt>
                <c:pt idx="3">
                  <c:v>26.923076923076923</c:v>
                </c:pt>
                <c:pt idx="4">
                  <c:v>34.615384615384613</c:v>
                </c:pt>
                <c:pt idx="5">
                  <c:v>42.307692307692307</c:v>
                </c:pt>
                <c:pt idx="6">
                  <c:v>50</c:v>
                </c:pt>
                <c:pt idx="7">
                  <c:v>57.692307692307693</c:v>
                </c:pt>
                <c:pt idx="8">
                  <c:v>65.384615384615387</c:v>
                </c:pt>
                <c:pt idx="9">
                  <c:v>73.076923076923066</c:v>
                </c:pt>
                <c:pt idx="10">
                  <c:v>80.769230769230759</c:v>
                </c:pt>
                <c:pt idx="11">
                  <c:v>88.461538461538453</c:v>
                </c:pt>
                <c:pt idx="12">
                  <c:v>96.153846153846146</c:v>
                </c:pt>
              </c:numCache>
            </c:numRef>
          </c:xVal>
          <c:yVal>
            <c:numRef>
              <c:f>АД_РЕГРЕССИЯ_БЕЗ_Х3!$G$27:$G$39</c:f>
              <c:numCache>
                <c:formatCode>General</c:formatCode>
                <c:ptCount val="13"/>
                <c:pt idx="0">
                  <c:v>80</c:v>
                </c:pt>
                <c:pt idx="1">
                  <c:v>92</c:v>
                </c:pt>
                <c:pt idx="2">
                  <c:v>97</c:v>
                </c:pt>
                <c:pt idx="3">
                  <c:v>115</c:v>
                </c:pt>
                <c:pt idx="4">
                  <c:v>129</c:v>
                </c:pt>
                <c:pt idx="5">
                  <c:v>137</c:v>
                </c:pt>
                <c:pt idx="6">
                  <c:v>163</c:v>
                </c:pt>
                <c:pt idx="7">
                  <c:v>223</c:v>
                </c:pt>
                <c:pt idx="8">
                  <c:v>225</c:v>
                </c:pt>
                <c:pt idx="9">
                  <c:v>251</c:v>
                </c:pt>
                <c:pt idx="10">
                  <c:v>267</c:v>
                </c:pt>
                <c:pt idx="11">
                  <c:v>278</c:v>
                </c:pt>
                <c:pt idx="12">
                  <c:v>367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964544"/>
        <c:axId val="521970816"/>
      </c:scatterChart>
      <c:valAx>
        <c:axId val="52196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1970816"/>
        <c:crosses val="autoZero"/>
        <c:crossBetween val="midCat"/>
      </c:valAx>
      <c:valAx>
        <c:axId val="521970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ru-RU"/>
                  <a:t>прибыль, млн. руб.)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1964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26" Type="http://schemas.openxmlformats.org/officeDocument/2006/relationships/image" Target="../media/image24.png"/><Relationship Id="rId39" Type="http://schemas.openxmlformats.org/officeDocument/2006/relationships/image" Target="../media/image30.png"/><Relationship Id="rId3" Type="http://schemas.microsoft.com/office/2007/relationships/hdphoto" Target="../media/hdphoto1.wdp"/><Relationship Id="rId21" Type="http://schemas.openxmlformats.org/officeDocument/2006/relationships/image" Target="../media/image19.png"/><Relationship Id="rId34" Type="http://schemas.openxmlformats.org/officeDocument/2006/relationships/chart" Target="../charts/chart5.xml"/><Relationship Id="rId42" Type="http://schemas.openxmlformats.org/officeDocument/2006/relationships/image" Target="../media/image33.pn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5" Type="http://schemas.openxmlformats.org/officeDocument/2006/relationships/image" Target="../media/image23.png"/><Relationship Id="rId33" Type="http://schemas.openxmlformats.org/officeDocument/2006/relationships/chart" Target="../charts/chart4.xml"/><Relationship Id="rId38" Type="http://schemas.openxmlformats.org/officeDocument/2006/relationships/image" Target="../media/image29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29" Type="http://schemas.openxmlformats.org/officeDocument/2006/relationships/image" Target="../media/image27.png"/><Relationship Id="rId41" Type="http://schemas.openxmlformats.org/officeDocument/2006/relationships/image" Target="../media/image3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24" Type="http://schemas.openxmlformats.org/officeDocument/2006/relationships/image" Target="../media/image22.png"/><Relationship Id="rId32" Type="http://schemas.openxmlformats.org/officeDocument/2006/relationships/chart" Target="../charts/chart3.xml"/><Relationship Id="rId37" Type="http://schemas.openxmlformats.org/officeDocument/2006/relationships/chart" Target="../charts/chart7.xml"/><Relationship Id="rId40" Type="http://schemas.openxmlformats.org/officeDocument/2006/relationships/image" Target="../media/image31.png"/><Relationship Id="rId5" Type="http://schemas.microsoft.com/office/2007/relationships/hdphoto" Target="../media/hdphoto2.wdp"/><Relationship Id="rId15" Type="http://schemas.openxmlformats.org/officeDocument/2006/relationships/image" Target="../media/image13.png"/><Relationship Id="rId23" Type="http://schemas.openxmlformats.org/officeDocument/2006/relationships/image" Target="../media/image21.png"/><Relationship Id="rId28" Type="http://schemas.openxmlformats.org/officeDocument/2006/relationships/image" Target="../media/image26.png"/><Relationship Id="rId36" Type="http://schemas.openxmlformats.org/officeDocument/2006/relationships/chart" Target="../charts/chart6.xml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31" Type="http://schemas.openxmlformats.org/officeDocument/2006/relationships/chart" Target="../charts/chart2.xml"/><Relationship Id="rId4" Type="http://schemas.openxmlformats.org/officeDocument/2006/relationships/image" Target="../media/image3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Relationship Id="rId22" Type="http://schemas.openxmlformats.org/officeDocument/2006/relationships/image" Target="../media/image20.png"/><Relationship Id="rId27" Type="http://schemas.openxmlformats.org/officeDocument/2006/relationships/image" Target="../media/image25.png"/><Relationship Id="rId30" Type="http://schemas.openxmlformats.org/officeDocument/2006/relationships/chart" Target="../charts/chart1.xml"/><Relationship Id="rId35" Type="http://schemas.openxmlformats.org/officeDocument/2006/relationships/image" Target="../media/image28.png"/><Relationship Id="rId43" Type="http://schemas.openxmlformats.org/officeDocument/2006/relationships/image" Target="../media/image3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23.png"/><Relationship Id="rId1" Type="http://schemas.openxmlformats.org/officeDocument/2006/relationships/image" Target="../media/image35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289560</xdr:colOff>
      <xdr:row>2</xdr:row>
      <xdr:rowOff>1066800</xdr:rowOff>
    </xdr:from>
    <xdr:to>
      <xdr:col>9</xdr:col>
      <xdr:colOff>627829</xdr:colOff>
      <xdr:row>4</xdr:row>
      <xdr:rowOff>15506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5380" y="1821180"/>
          <a:ext cx="6548569" cy="3071126"/>
        </a:xfrm>
        <a:prstGeom prst="rect">
          <a:avLst/>
        </a:prstGeom>
      </xdr:spPr>
    </xdr:pic>
    <xdr:clientData/>
  </xdr:twoCellAnchor>
  <xdr:oneCellAnchor>
    <xdr:from>
      <xdr:col>10</xdr:col>
      <xdr:colOff>600635</xdr:colOff>
      <xdr:row>3</xdr:row>
      <xdr:rowOff>1456765</xdr:rowOff>
    </xdr:from>
    <xdr:ext cx="914400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041341" y="3007659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600635</xdr:colOff>
      <xdr:row>3</xdr:row>
      <xdr:rowOff>1456765</xdr:rowOff>
    </xdr:from>
    <xdr:ext cx="914400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041341" y="3007659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331694</xdr:colOff>
      <xdr:row>6</xdr:row>
      <xdr:rowOff>411480</xdr:rowOff>
    </xdr:from>
    <xdr:ext cx="45719" cy="45822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529034" y="5387340"/>
          <a:ext cx="45719" cy="4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0</xdr:col>
      <xdr:colOff>130436</xdr:colOff>
      <xdr:row>7</xdr:row>
      <xdr:rowOff>117438</xdr:rowOff>
    </xdr:from>
    <xdr:to>
      <xdr:col>6</xdr:col>
      <xdr:colOff>20618</xdr:colOff>
      <xdr:row>7</xdr:row>
      <xdr:rowOff>1047078</xdr:rowOff>
    </xdr:to>
    <xdr:pic>
      <xdr:nvPicPr>
        <xdr:cNvPr id="11" name="Рисунок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8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36" y="5619078"/>
          <a:ext cx="4507902" cy="929640"/>
        </a:xfrm>
        <a:prstGeom prst="rect">
          <a:avLst/>
        </a:prstGeom>
        <a:noFill/>
      </xdr:spPr>
    </xdr:pic>
    <xdr:clientData/>
  </xdr:twoCellAnchor>
  <xdr:twoCellAnchor>
    <xdr:from>
      <xdr:col>0</xdr:col>
      <xdr:colOff>91440</xdr:colOff>
      <xdr:row>8</xdr:row>
      <xdr:rowOff>160020</xdr:rowOff>
    </xdr:from>
    <xdr:to>
      <xdr:col>7</xdr:col>
      <xdr:colOff>350520</xdr:colOff>
      <xdr:row>8</xdr:row>
      <xdr:rowOff>975360</xdr:rowOff>
    </xdr:to>
    <xdr:pic>
      <xdr:nvPicPr>
        <xdr:cNvPr id="19" name="Рисунок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harpenSoften amount="8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6758940"/>
          <a:ext cx="57607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525780</xdr:colOff>
      <xdr:row>38</xdr:row>
      <xdr:rowOff>95250</xdr:rowOff>
    </xdr:from>
    <xdr:ext cx="1760220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736080" y="14199870"/>
          <a:ext cx="1760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525780</xdr:colOff>
      <xdr:row>38</xdr:row>
      <xdr:rowOff>110490</xdr:rowOff>
    </xdr:from>
    <xdr:ext cx="914400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766560" y="1421511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525780</xdr:colOff>
      <xdr:row>38</xdr:row>
      <xdr:rowOff>110490</xdr:rowOff>
    </xdr:from>
    <xdr:ext cx="914400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6766560" y="1421511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0</xdr:colOff>
      <xdr:row>52</xdr:row>
      <xdr:rowOff>163830</xdr:rowOff>
    </xdr:from>
    <xdr:ext cx="944880" cy="2556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=""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0" y="18512790"/>
              <a:ext cx="944880" cy="2556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00" b="1" i="0">
                        <a:latin typeface="Cambria Math"/>
                      </a:rPr>
                      <m:t>𝐗</m:t>
                    </m:r>
                    <m:r>
                      <a:rPr lang="en-US" sz="1000" b="1" i="0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ru-RU" sz="1000" b="1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000" b="1" i="0">
                            <a:latin typeface="Cambria Math"/>
                          </a:rPr>
                          <m:t>𝐀</m:t>
                        </m:r>
                      </m:e>
                      <m:sup>
                        <m:r>
                          <a:rPr lang="en-US" sz="1000" b="1" i="0">
                            <a:latin typeface="Cambria Math"/>
                          </a:rPr>
                          <m:t>−</m:t>
                        </m:r>
                        <m:r>
                          <a:rPr lang="en-US" sz="1000" b="1" i="0">
                            <a:latin typeface="Cambria Math"/>
                          </a:rPr>
                          <m:t>𝟏</m:t>
                        </m:r>
                      </m:sup>
                    </m:sSup>
                    <m:r>
                      <a:rPr lang="en-US" sz="1000" b="1" i="0">
                        <a:latin typeface="Cambria Math"/>
                      </a:rPr>
                      <m:t>∗</m:t>
                    </m:r>
                    <m:r>
                      <a:rPr lang="en-US" sz="1000" b="1" i="0">
                        <a:latin typeface="Cambria Math"/>
                      </a:rPr>
                      <m:t>𝐁</m:t>
                    </m:r>
                  </m:oMath>
                </m:oMathPara>
              </a14:m>
              <a:endParaRPr lang="ru-RU" sz="1000" b="1" i="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0" y="18512790"/>
              <a:ext cx="944880" cy="2556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000" b="1" i="0">
                  <a:latin typeface="Cambria Math"/>
                </a:rPr>
                <a:t>𝐗=𝐀</a:t>
              </a:r>
              <a:r>
                <a:rPr lang="ru-RU" sz="1000" b="1" i="0">
                  <a:latin typeface="Cambria Math"/>
                </a:rPr>
                <a:t>^(</a:t>
              </a:r>
              <a:r>
                <a:rPr lang="en-US" sz="1000" b="1" i="0">
                  <a:latin typeface="Cambria Math"/>
                </a:rPr>
                <a:t>−𝟏</a:t>
              </a:r>
              <a:r>
                <a:rPr lang="ru-RU" sz="1000" b="1" i="0">
                  <a:latin typeface="Cambria Math"/>
                </a:rPr>
                <a:t>)</a:t>
              </a:r>
              <a:r>
                <a:rPr lang="en-US" sz="1000" b="1" i="0">
                  <a:latin typeface="Cambria Math"/>
                </a:rPr>
                <a:t>∗𝐁</a:t>
              </a:r>
              <a:endParaRPr lang="ru-RU" sz="1000" b="1" i="0"/>
            </a:p>
          </xdr:txBody>
        </xdr:sp>
      </mc:Fallback>
    </mc:AlternateContent>
    <xdr:clientData/>
  </xdr:oneCellAnchor>
  <xdr:oneCellAnchor>
    <xdr:from>
      <xdr:col>0</xdr:col>
      <xdr:colOff>190500</xdr:colOff>
      <xdr:row>46</xdr:row>
      <xdr:rowOff>148590</xdr:rowOff>
    </xdr:from>
    <xdr:ext cx="548640" cy="2719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=""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190500" y="16097250"/>
              <a:ext cx="548640" cy="2719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ru-RU" sz="1100" b="1" i="1">
                          <a:latin typeface="Cambria Math"/>
                        </a:rPr>
                      </m:ctrlPr>
                    </m:sSupPr>
                    <m:e>
                      <m:r>
                        <a:rPr lang="en-US" sz="1100" b="1" i="0">
                          <a:latin typeface="Cambria Math"/>
                        </a:rPr>
                        <m:t>𝐀</m:t>
                      </m:r>
                    </m:e>
                    <m:sup>
                      <m:r>
                        <a:rPr lang="en-US" sz="1100" b="1" i="0">
                          <a:latin typeface="Cambria Math"/>
                        </a:rPr>
                        <m:t>−</m:t>
                      </m:r>
                      <m:r>
                        <a:rPr lang="en-US" sz="1100" b="1" i="0">
                          <a:latin typeface="Cambria Math"/>
                        </a:rPr>
                        <m:t>𝟏</m:t>
                      </m:r>
                    </m:sup>
                  </m:sSup>
                </m:oMath>
              </a14:m>
              <a:r>
                <a:rPr lang="ru-RU" sz="1100" b="1" i="0"/>
                <a:t> =</a:t>
              </a: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16000000}"/>
                </a:ext>
              </a:extLst>
            </xdr:cNvPr>
            <xdr:cNvSpPr txBox="1"/>
          </xdr:nvSpPr>
          <xdr:spPr>
            <a:xfrm>
              <a:off x="190500" y="16097250"/>
              <a:ext cx="548640" cy="2719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1" i="0">
                  <a:latin typeface="Cambria Math"/>
                </a:rPr>
                <a:t>𝐀</a:t>
              </a:r>
              <a:r>
                <a:rPr lang="ru-RU" sz="1100" b="1" i="0">
                  <a:latin typeface="Cambria Math"/>
                </a:rPr>
                <a:t>^(</a:t>
              </a:r>
              <a:r>
                <a:rPr lang="en-US" sz="1100" b="1" i="0">
                  <a:latin typeface="Cambria Math"/>
                </a:rPr>
                <a:t>−𝟏</a:t>
              </a:r>
              <a:r>
                <a:rPr lang="ru-RU" sz="1100" b="1" i="0">
                  <a:latin typeface="Cambria Math"/>
                </a:rPr>
                <a:t>)</a:t>
              </a:r>
              <a:r>
                <a:rPr lang="ru-RU" sz="1100" b="1" i="0"/>
                <a:t> =</a:t>
              </a:r>
            </a:p>
          </xdr:txBody>
        </xdr:sp>
      </mc:Fallback>
    </mc:AlternateContent>
    <xdr:clientData/>
  </xdr:oneCellAnchor>
  <xdr:twoCellAnchor>
    <xdr:from>
      <xdr:col>0</xdr:col>
      <xdr:colOff>228600</xdr:colOff>
      <xdr:row>31</xdr:row>
      <xdr:rowOff>274320</xdr:rowOff>
    </xdr:from>
    <xdr:to>
      <xdr:col>7</xdr:col>
      <xdr:colOff>487680</xdr:colOff>
      <xdr:row>31</xdr:row>
      <xdr:rowOff>1089660</xdr:rowOff>
    </xdr:to>
    <xdr:pic>
      <xdr:nvPicPr>
        <xdr:cNvPr id="25" name="Рисунок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harpenSoften amount="8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3281660"/>
          <a:ext cx="602742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197223</xdr:colOff>
      <xdr:row>83</xdr:row>
      <xdr:rowOff>161365</xdr:rowOff>
    </xdr:from>
    <xdr:ext cx="1717715" cy="5307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=""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197223" y="26645835"/>
              <a:ext cx="1717715" cy="53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500">
                  <a:latin typeface="+mn-lt"/>
                </a:rPr>
                <a:t>s</a:t>
              </a:r>
              <a:r>
                <a:rPr lang="en-US" sz="1500" baseline="0"/>
                <a:t> = 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400" i="1" baseline="0">
                          <a:latin typeface="Cambria Math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400" i="1" baseline="0">
                              <a:latin typeface="Cambria Math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en-US" sz="1400" i="1" baseline="0">
                                  <a:latin typeface="Cambria Math"/>
                                </a:rPr>
                              </m:ctrlPr>
                            </m:sSupPr>
                            <m:e>
                              <m:nary>
                                <m:naryPr>
                                  <m:chr m:val="∑"/>
                                  <m:subHide m:val="on"/>
                                  <m:supHide m:val="on"/>
                                  <m:ctrlPr>
                                    <a:rPr lang="en-US" sz="105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/>
                                <m:sup/>
                                <m:e>
                                  <m:r>
                                    <a:rPr lang="en-US" sz="105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(</m:t>
                                  </m:r>
                                  <m:r>
                                    <a:rPr lang="en-US" sz="105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  <m:r>
                                    <a:rPr lang="en-US" sz="105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n-US" sz="1050" b="0" i="1" baseline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050" b="0" i="1" baseline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ŷ</m:t>
                                      </m:r>
                                    </m:e>
                                    <m:sub>
                                      <m:r>
                                        <a:rPr lang="en-US" sz="1050" b="0" i="1" baseline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  <m:r>
                                        <a:rPr lang="en-US" sz="1050" b="0" i="1" baseline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  <m:r>
                                        <a:rPr lang="en-US" sz="1050" b="0" i="1" baseline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  <m:r>
                                        <a:rPr lang="en-US" sz="1050" b="0" i="1" baseline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2…</m:t>
                                      </m:r>
                                      <m:r>
                                        <a:rPr lang="en-US" sz="1050" b="0" i="1" baseline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𝑥𝑚</m:t>
                                      </m:r>
                                    </m:sub>
                                  </m:sSub>
                                  <m:r>
                                    <a:rPr lang="en-US" sz="105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)</m:t>
                                  </m:r>
                                </m:e>
                              </m:nary>
                            </m:e>
                            <m:sup>
                              <m:r>
                                <a:rPr lang="ru-RU" sz="1400" b="0" i="1" baseline="0">
                                  <a:latin typeface="Cambria Math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US" sz="1400" b="0" i="1" baseline="0">
                              <a:latin typeface="Cambria Math"/>
                            </a:rPr>
                            <m:t>𝑛</m:t>
                          </m:r>
                          <m:r>
                            <a:rPr lang="en-US" sz="1400" b="0" i="1" baseline="0">
                              <a:latin typeface="Cambria Math"/>
                            </a:rPr>
                            <m:t>−</m:t>
                          </m:r>
                          <m:r>
                            <a:rPr lang="en-US" sz="1400" b="0" i="1" baseline="0">
                              <a:latin typeface="Cambria Math"/>
                            </a:rPr>
                            <m:t>𝑚</m:t>
                          </m:r>
                          <m:r>
                            <a:rPr lang="en-US" sz="1400" b="0" i="1" baseline="0">
                              <a:latin typeface="Cambria Math"/>
                            </a:rPr>
                            <m:t>−1</m:t>
                          </m:r>
                        </m:den>
                      </m:f>
                    </m:e>
                  </m:rad>
                </m:oMath>
              </a14:m>
              <a:endParaRPr lang="ru-RU" sz="15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197223" y="26645835"/>
              <a:ext cx="1717715" cy="53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500">
                  <a:latin typeface="+mn-lt"/>
                </a:rPr>
                <a:t>s</a:t>
              </a:r>
              <a:r>
                <a:rPr lang="en-US" sz="1500" baseline="0"/>
                <a:t> = </a:t>
              </a:r>
              <a:r>
                <a:rPr lang="en-US" sz="1400" i="0" baseline="0">
                  <a:latin typeface="Cambria Math"/>
                </a:rPr>
                <a:t>√(</a:t>
              </a:r>
              <a:r>
                <a:rPr lang="en-US" sz="105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</a:t>
              </a:r>
              <a:r>
                <a:rPr lang="en-US" sz="105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</a:t>
              </a:r>
              <a:r>
                <a:rPr lang="en-US" sz="105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(𝑦−ŷ</a:t>
              </a:r>
              <a:r>
                <a:rPr lang="en-US" sz="105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_(𝑥1𝑥2…𝑥𝑚)</a:t>
              </a:r>
              <a:r>
                <a:rPr lang="en-US" sz="105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)〗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ru-RU" sz="1400" b="0" i="0" baseline="0">
                  <a:latin typeface="Cambria Math"/>
                </a:rPr>
                <a:t>2</a:t>
              </a:r>
              <a:r>
                <a:rPr lang="en-US" sz="1400" b="0" i="0" baseline="0">
                  <a:latin typeface="Cambria Math"/>
                </a:rPr>
                <a:t>/(𝑛−𝑚−1))</a:t>
              </a:r>
              <a:endParaRPr lang="ru-RU" sz="1500"/>
            </a:p>
          </xdr:txBody>
        </xdr:sp>
      </mc:Fallback>
    </mc:AlternateContent>
    <xdr:clientData/>
  </xdr:oneCellAnchor>
  <xdr:twoCellAnchor editAs="oneCell">
    <xdr:from>
      <xdr:col>0</xdr:col>
      <xdr:colOff>99060</xdr:colOff>
      <xdr:row>85</xdr:row>
      <xdr:rowOff>53340</xdr:rowOff>
    </xdr:from>
    <xdr:to>
      <xdr:col>2</xdr:col>
      <xdr:colOff>512449</xdr:colOff>
      <xdr:row>85</xdr:row>
      <xdr:rowOff>655385</xdr:rowOff>
    </xdr:to>
    <xdr:pic>
      <xdr:nvPicPr>
        <xdr:cNvPr id="24" name="Рисунок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060" y="24772620"/>
          <a:ext cx="2089096" cy="602045"/>
        </a:xfrm>
        <a:prstGeom prst="rect">
          <a:avLst/>
        </a:prstGeom>
      </xdr:spPr>
    </xdr:pic>
    <xdr:clientData/>
  </xdr:twoCellAnchor>
  <xdr:twoCellAnchor editAs="oneCell">
    <xdr:from>
      <xdr:col>0</xdr:col>
      <xdr:colOff>134470</xdr:colOff>
      <xdr:row>86</xdr:row>
      <xdr:rowOff>44823</xdr:rowOff>
    </xdr:from>
    <xdr:to>
      <xdr:col>1</xdr:col>
      <xdr:colOff>717177</xdr:colOff>
      <xdr:row>86</xdr:row>
      <xdr:rowOff>571597</xdr:rowOff>
    </xdr:to>
    <xdr:pic>
      <xdr:nvPicPr>
        <xdr:cNvPr id="27" name="Рисунок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470" y="25414941"/>
          <a:ext cx="1425389" cy="526774"/>
        </a:xfrm>
        <a:prstGeom prst="rect">
          <a:avLst/>
        </a:prstGeom>
      </xdr:spPr>
    </xdr:pic>
    <xdr:clientData/>
  </xdr:twoCellAnchor>
  <xdr:twoCellAnchor editAs="oneCell">
    <xdr:from>
      <xdr:col>0</xdr:col>
      <xdr:colOff>815787</xdr:colOff>
      <xdr:row>86</xdr:row>
      <xdr:rowOff>815789</xdr:rowOff>
    </xdr:from>
    <xdr:to>
      <xdr:col>2</xdr:col>
      <xdr:colOff>645703</xdr:colOff>
      <xdr:row>86</xdr:row>
      <xdr:rowOff>1169848</xdr:rowOff>
    </xdr:to>
    <xdr:pic>
      <xdr:nvPicPr>
        <xdr:cNvPr id="28" name="Рисунок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5787" y="26185907"/>
          <a:ext cx="1506071" cy="354059"/>
        </a:xfrm>
        <a:prstGeom prst="rect">
          <a:avLst/>
        </a:prstGeom>
      </xdr:spPr>
    </xdr:pic>
    <xdr:clientData/>
  </xdr:twoCellAnchor>
  <xdr:oneCellAnchor>
    <xdr:from>
      <xdr:col>10</xdr:col>
      <xdr:colOff>331694</xdr:colOff>
      <xdr:row>87</xdr:row>
      <xdr:rowOff>22412</xdr:rowOff>
    </xdr:from>
    <xdr:ext cx="914400" cy="264560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8041341" y="26557941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331694</xdr:colOff>
      <xdr:row>87</xdr:row>
      <xdr:rowOff>22412</xdr:rowOff>
    </xdr:from>
    <xdr:ext cx="914400" cy="264560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8041341" y="26557941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331694</xdr:colOff>
      <xdr:row>87</xdr:row>
      <xdr:rowOff>22412</xdr:rowOff>
    </xdr:from>
    <xdr:ext cx="914400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041341" y="26557941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0</xdr:col>
      <xdr:colOff>224117</xdr:colOff>
      <xdr:row>87</xdr:row>
      <xdr:rowOff>35859</xdr:rowOff>
    </xdr:from>
    <xdr:to>
      <xdr:col>1</xdr:col>
      <xdr:colOff>44432</xdr:colOff>
      <xdr:row>87</xdr:row>
      <xdr:rowOff>470237</xdr:rowOff>
    </xdr:to>
    <xdr:pic>
      <xdr:nvPicPr>
        <xdr:cNvPr id="1025" name="Рисунок 1024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4117" y="26571388"/>
          <a:ext cx="662997" cy="434378"/>
        </a:xfrm>
        <a:prstGeom prst="rect">
          <a:avLst/>
        </a:prstGeom>
      </xdr:spPr>
    </xdr:pic>
    <xdr:clientData/>
  </xdr:twoCellAnchor>
  <xdr:twoCellAnchor editAs="oneCell">
    <xdr:from>
      <xdr:col>0</xdr:col>
      <xdr:colOff>91441</xdr:colOff>
      <xdr:row>88</xdr:row>
      <xdr:rowOff>7621</xdr:rowOff>
    </xdr:from>
    <xdr:to>
      <xdr:col>1</xdr:col>
      <xdr:colOff>770313</xdr:colOff>
      <xdr:row>88</xdr:row>
      <xdr:rowOff>584795</xdr:rowOff>
    </xdr:to>
    <xdr:pic>
      <xdr:nvPicPr>
        <xdr:cNvPr id="1026" name="Рисунок 1025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441" y="27607261"/>
          <a:ext cx="1523999" cy="5771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43070</xdr:rowOff>
    </xdr:from>
    <xdr:to>
      <xdr:col>3</xdr:col>
      <xdr:colOff>65986</xdr:colOff>
      <xdr:row>89</xdr:row>
      <xdr:rowOff>1427590</xdr:rowOff>
    </xdr:to>
    <xdr:pic>
      <xdr:nvPicPr>
        <xdr:cNvPr id="1029" name="Рисунок 1028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0263990"/>
          <a:ext cx="2527246" cy="1384520"/>
        </a:xfrm>
        <a:prstGeom prst="rect">
          <a:avLst/>
        </a:prstGeom>
      </xdr:spPr>
    </xdr:pic>
    <xdr:clientData/>
  </xdr:twoCellAnchor>
  <xdr:twoCellAnchor editAs="oneCell">
    <xdr:from>
      <xdr:col>4</xdr:col>
      <xdr:colOff>270558</xdr:colOff>
      <xdr:row>89</xdr:row>
      <xdr:rowOff>116871</xdr:rowOff>
    </xdr:from>
    <xdr:to>
      <xdr:col>7</xdr:col>
      <xdr:colOff>265490</xdr:colOff>
      <xdr:row>89</xdr:row>
      <xdr:rowOff>1352505</xdr:rowOff>
    </xdr:to>
    <xdr:pic>
      <xdr:nvPicPr>
        <xdr:cNvPr id="1030" name="Рисунок 1029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70018" y="30337791"/>
          <a:ext cx="2380440" cy="1235634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92</xdr:row>
      <xdr:rowOff>38100</xdr:rowOff>
    </xdr:from>
    <xdr:to>
      <xdr:col>1</xdr:col>
      <xdr:colOff>640206</xdr:colOff>
      <xdr:row>92</xdr:row>
      <xdr:rowOff>624891</xdr:rowOff>
    </xdr:to>
    <xdr:pic>
      <xdr:nvPicPr>
        <xdr:cNvPr id="1031" name="Рисунок 1030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480" y="31706820"/>
          <a:ext cx="1455546" cy="58679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97</xdr:row>
      <xdr:rowOff>30480</xdr:rowOff>
    </xdr:from>
    <xdr:to>
      <xdr:col>1</xdr:col>
      <xdr:colOff>701040</xdr:colOff>
      <xdr:row>97</xdr:row>
      <xdr:rowOff>577207</xdr:rowOff>
    </xdr:to>
    <xdr:pic>
      <xdr:nvPicPr>
        <xdr:cNvPr id="1033" name="Рисунок 1032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860" y="33573720"/>
          <a:ext cx="1524000" cy="546727"/>
        </a:xfrm>
        <a:prstGeom prst="rect">
          <a:avLst/>
        </a:prstGeom>
      </xdr:spPr>
    </xdr:pic>
    <xdr:clientData/>
  </xdr:twoCellAnchor>
  <xdr:oneCellAnchor>
    <xdr:from>
      <xdr:col>8</xdr:col>
      <xdr:colOff>289560</xdr:colOff>
      <xdr:row>101</xdr:row>
      <xdr:rowOff>118110</xdr:rowOff>
    </xdr:from>
    <xdr:ext cx="1409700" cy="264560"/>
    <xdr:sp macro="" textlink="">
      <xdr:nvSpPr>
        <xdr:cNvPr id="1034" name="TextBox 1033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6766560" y="32404050"/>
          <a:ext cx="1409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247059</xdr:colOff>
      <xdr:row>121</xdr:row>
      <xdr:rowOff>156965</xdr:rowOff>
    </xdr:from>
    <xdr:ext cx="101284" cy="115178"/>
    <xdr:sp macro="" textlink="">
      <xdr:nvSpPr>
        <xdr:cNvPr id="1037" name="TextBox 1036">
          <a:extLst>
            <a:ext uri="{FF2B5EF4-FFF2-40B4-BE49-F238E27FC236}">
              <a16:creationId xmlns="" xmlns:a16="http://schemas.microsoft.com/office/drawing/2014/main" id="{00000000-0008-0000-0000-00000D040000}"/>
            </a:ext>
          </a:extLst>
        </xdr:cNvPr>
        <xdr:cNvSpPr txBox="1"/>
      </xdr:nvSpPr>
      <xdr:spPr>
        <a:xfrm flipV="1">
          <a:off x="5145630" y="35611736"/>
          <a:ext cx="101284" cy="1151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200" i="0"/>
        </a:p>
      </xdr:txBody>
    </xdr:sp>
    <xdr:clientData/>
  </xdr:oneCellAnchor>
  <xdr:oneCellAnchor>
    <xdr:from>
      <xdr:col>0</xdr:col>
      <xdr:colOff>0</xdr:colOff>
      <xdr:row>157</xdr:row>
      <xdr:rowOff>188422</xdr:rowOff>
    </xdr:from>
    <xdr:ext cx="914400" cy="2832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8" name="TextBox 1037">
              <a:extLst>
                <a:ext uri="{FF2B5EF4-FFF2-40B4-BE49-F238E27FC236}">
                  <a16:creationId xmlns="" xmlns:a16="http://schemas.microsoft.com/office/drawing/2014/main" id="{00000000-0008-0000-0000-00000E040000}"/>
                </a:ext>
              </a:extLst>
            </xdr:cNvPr>
            <xdr:cNvSpPr txBox="1"/>
          </xdr:nvSpPr>
          <xdr:spPr>
            <a:xfrm>
              <a:off x="0" y="42974722"/>
              <a:ext cx="914400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𝑚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38" name="TextBox 1037"/>
            <xdr:cNvSpPr txBox="1"/>
          </xdr:nvSpPr>
          <xdr:spPr>
            <a:xfrm>
              <a:off x="0" y="42974722"/>
              <a:ext cx="914400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𝑚</a:t>
              </a:r>
              <a:r>
                <a:rPr lang="ru-RU" sz="1100" b="0" i="0">
                  <a:latin typeface="Cambria Math"/>
                </a:rPr>
                <a:t>_(</a:t>
              </a:r>
              <a:r>
                <a:rPr lang="en-US" sz="1100" b="0" i="0">
                  <a:latin typeface="Cambria Math"/>
                </a:rPr>
                <a:t>𝑏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1 </a:t>
              </a:r>
              <a:r>
                <a:rPr lang="ru-RU" sz="1100" b="0" i="0">
                  <a:latin typeface="Cambria Math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158</xdr:row>
      <xdr:rowOff>240376</xdr:rowOff>
    </xdr:from>
    <xdr:ext cx="914400" cy="2832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9" name="TextBox 1038">
              <a:extLst>
                <a:ext uri="{FF2B5EF4-FFF2-40B4-BE49-F238E27FC236}">
                  <a16:creationId xmlns="" xmlns:a16="http://schemas.microsoft.com/office/drawing/2014/main" id="{00000000-0008-0000-0000-00000F040000}"/>
                </a:ext>
              </a:extLst>
            </xdr:cNvPr>
            <xdr:cNvSpPr txBox="1"/>
          </xdr:nvSpPr>
          <xdr:spPr>
            <a:xfrm>
              <a:off x="0" y="43217176"/>
              <a:ext cx="914400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𝑚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39" name="TextBox 1038"/>
            <xdr:cNvSpPr txBox="1"/>
          </xdr:nvSpPr>
          <xdr:spPr>
            <a:xfrm>
              <a:off x="0" y="43217176"/>
              <a:ext cx="914400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𝑚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𝑏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159</xdr:row>
      <xdr:rowOff>243840</xdr:rowOff>
    </xdr:from>
    <xdr:ext cx="914400" cy="2832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0" name="TextBox 1039">
              <a:extLst>
                <a:ext uri="{FF2B5EF4-FFF2-40B4-BE49-F238E27FC236}">
                  <a16:creationId xmlns="" xmlns:a16="http://schemas.microsoft.com/office/drawing/2014/main" id="{00000000-0008-0000-0000-000010040000}"/>
                </a:ext>
              </a:extLst>
            </xdr:cNvPr>
            <xdr:cNvSpPr txBox="1"/>
          </xdr:nvSpPr>
          <xdr:spPr>
            <a:xfrm>
              <a:off x="0" y="43472100"/>
              <a:ext cx="914400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𝑚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40" name="TextBox 1039"/>
            <xdr:cNvSpPr txBox="1"/>
          </xdr:nvSpPr>
          <xdr:spPr>
            <a:xfrm>
              <a:off x="0" y="43472100"/>
              <a:ext cx="914400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𝑚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𝑏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160</xdr:row>
      <xdr:rowOff>233448</xdr:rowOff>
    </xdr:from>
    <xdr:ext cx="914400" cy="2832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1" name="TextBox 1040">
              <a:extLst>
                <a:ext uri="{FF2B5EF4-FFF2-40B4-BE49-F238E27FC236}">
                  <a16:creationId xmlns="" xmlns:a16="http://schemas.microsoft.com/office/drawing/2014/main" id="{00000000-0008-0000-0000-000011040000}"/>
                </a:ext>
              </a:extLst>
            </xdr:cNvPr>
            <xdr:cNvSpPr txBox="1"/>
          </xdr:nvSpPr>
          <xdr:spPr>
            <a:xfrm>
              <a:off x="0" y="43713168"/>
              <a:ext cx="914400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𝑚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41" name="TextBox 1040"/>
            <xdr:cNvSpPr txBox="1"/>
          </xdr:nvSpPr>
          <xdr:spPr>
            <a:xfrm>
              <a:off x="0" y="43713168"/>
              <a:ext cx="914400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𝑚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𝑏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0</xdr:col>
      <xdr:colOff>30480</xdr:colOff>
      <xdr:row>128</xdr:row>
      <xdr:rowOff>104347</xdr:rowOff>
    </xdr:from>
    <xdr:to>
      <xdr:col>3</xdr:col>
      <xdr:colOff>182880</xdr:colOff>
      <xdr:row>128</xdr:row>
      <xdr:rowOff>825588</xdr:rowOff>
    </xdr:to>
    <xdr:pic>
      <xdr:nvPicPr>
        <xdr:cNvPr id="1042" name="Рисунок 1041">
          <a:extLst>
            <a:ext uri="{FF2B5EF4-FFF2-40B4-BE49-F238E27FC236}">
              <a16:creationId xmlns=""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480" y="35948827"/>
          <a:ext cx="2613660" cy="721241"/>
        </a:xfrm>
        <a:prstGeom prst="rect">
          <a:avLst/>
        </a:prstGeom>
      </xdr:spPr>
    </xdr:pic>
    <xdr:clientData/>
  </xdr:twoCellAnchor>
  <xdr:twoCellAnchor editAs="oneCell">
    <xdr:from>
      <xdr:col>3</xdr:col>
      <xdr:colOff>441960</xdr:colOff>
      <xdr:row>128</xdr:row>
      <xdr:rowOff>24155</xdr:rowOff>
    </xdr:from>
    <xdr:to>
      <xdr:col>12</xdr:col>
      <xdr:colOff>484544</xdr:colOff>
      <xdr:row>128</xdr:row>
      <xdr:rowOff>1004171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11780" y="35868635"/>
          <a:ext cx="6969612" cy="980016"/>
        </a:xfrm>
        <a:prstGeom prst="rect">
          <a:avLst/>
        </a:prstGeom>
      </xdr:spPr>
    </xdr:pic>
    <xdr:clientData/>
  </xdr:twoCellAnchor>
  <xdr:oneCellAnchor>
    <xdr:from>
      <xdr:col>10</xdr:col>
      <xdr:colOff>331694</xdr:colOff>
      <xdr:row>31</xdr:row>
      <xdr:rowOff>121023</xdr:rowOff>
    </xdr:from>
    <xdr:ext cx="914400" cy="718466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8041341" y="13048129"/>
          <a:ext cx="914400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4000"/>
        </a:p>
      </xdr:txBody>
    </xdr:sp>
    <xdr:clientData/>
  </xdr:oneCellAnchor>
  <xdr:oneCellAnchor>
    <xdr:from>
      <xdr:col>21</xdr:col>
      <xdr:colOff>220041</xdr:colOff>
      <xdr:row>110</xdr:row>
      <xdr:rowOff>41563</xdr:rowOff>
    </xdr:from>
    <xdr:ext cx="209449" cy="295239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5557023" y="33458727"/>
          <a:ext cx="209449" cy="295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endParaRPr lang="ru-RU" sz="1200"/>
        </a:p>
      </xdr:txBody>
    </xdr:sp>
    <xdr:clientData/>
  </xdr:oneCellAnchor>
  <xdr:oneCellAnchor>
    <xdr:from>
      <xdr:col>0</xdr:col>
      <xdr:colOff>0</xdr:colOff>
      <xdr:row>130</xdr:row>
      <xdr:rowOff>190501</xdr:rowOff>
    </xdr:from>
    <xdr:ext cx="1676400" cy="4711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=""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0" y="42801541"/>
              <a:ext cx="1676400" cy="471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latin typeface="Cambria Math"/>
                          </a:rPr>
                        </m:ctrlPr>
                      </m:sSubSupPr>
                      <m:e>
                        <m:r>
                          <a:rPr lang="en-US" sz="1200" b="0" i="1">
                            <a:latin typeface="Cambria Math"/>
                          </a:rPr>
                          <m:t>𝑅</m:t>
                        </m:r>
                        <m:r>
                          <a:rPr lang="en-US" sz="1200" b="0" i="1">
                            <a:latin typeface="Cambria Math"/>
                          </a:rPr>
                          <m:t>²</m:t>
                        </m:r>
                      </m:e>
                      <m:sub>
                        <m:sSub>
                          <m:sSubPr>
                            <m:ctrlPr>
                              <a:rPr lang="ru-RU" sz="12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ru-RU" sz="12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…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𝑚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 =</m:t>
                        </m:r>
                      </m:sub>
                      <m:sup/>
                    </m:sSubSup>
                    <m:r>
                      <a:rPr lang="en-US" sz="1200" b="0" i="1">
                        <a:latin typeface="Cambria Math"/>
                      </a:rPr>
                      <m:t> 1−</m:t>
                    </m:r>
                    <m:f>
                      <m:fPr>
                        <m:ctrlPr>
                          <a:rPr lang="en-US" sz="12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</a:rPr>
                          <m:t>△</m:t>
                        </m:r>
                        <m:r>
                          <a:rPr lang="en-US" sz="1200" b="0" i="1">
                            <a:latin typeface="Cambria Math"/>
                          </a:rPr>
                          <m:t>𝑟</m:t>
                        </m:r>
                        <m:r>
                          <a:rPr lang="en-US" sz="1200" b="0" i="1">
                            <a:latin typeface="Cambria Math"/>
                          </a:rPr>
                          <m:t> </m:t>
                        </m:r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△</m:t>
                            </m:r>
                            <m:r>
                              <a:rPr lang="en-US" sz="12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F000000}"/>
                </a:ext>
              </a:extLst>
            </xdr:cNvPr>
            <xdr:cNvSpPr txBox="1"/>
          </xdr:nvSpPr>
          <xdr:spPr>
            <a:xfrm>
              <a:off x="0" y="42801541"/>
              <a:ext cx="1676400" cy="471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200" i="0">
                  <a:latin typeface="Cambria Math"/>
                </a:rPr>
                <a:t>〖</a:t>
              </a:r>
              <a:r>
                <a:rPr lang="en-US" sz="1200" b="0" i="0">
                  <a:latin typeface="Cambria Math"/>
                </a:rPr>
                <a:t>𝑅²</a:t>
              </a:r>
              <a:r>
                <a:rPr lang="ru-RU" sz="1200" b="0" i="0">
                  <a:latin typeface="Cambria Math"/>
                </a:rPr>
                <a:t>〗_(</a:t>
              </a:r>
              <a:r>
                <a:rPr lang="en-US" sz="1200" b="0" i="0">
                  <a:latin typeface="Cambria Math"/>
                </a:rPr>
                <a:t>𝑥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ru-RU" sz="1200" b="0" i="0">
                  <a:latin typeface="Cambria Math"/>
                </a:rPr>
                <a:t> </a:t>
              </a:r>
              <a:r>
                <a:rPr lang="en-US" sz="1200" b="0" i="0">
                  <a:latin typeface="Cambria Math"/>
                </a:rPr>
                <a:t>𝑥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1…𝑥_𝑚  =</a:t>
              </a:r>
              <a:r>
                <a:rPr lang="ru-RU" sz="1200" b="0" i="0">
                  <a:latin typeface="Cambria Math"/>
                </a:rPr>
                <a:t>)</a:t>
              </a:r>
              <a:r>
                <a:rPr lang="en-US" sz="1200" b="0" i="0">
                  <a:latin typeface="Cambria Math"/>
                </a:rPr>
                <a:t>^   1−(△𝑟 )/〖△𝑟〗_𝑖𝑖 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0</xdr:col>
      <xdr:colOff>121921</xdr:colOff>
      <xdr:row>129</xdr:row>
      <xdr:rowOff>22860</xdr:rowOff>
    </xdr:from>
    <xdr:to>
      <xdr:col>0</xdr:col>
      <xdr:colOff>716281</xdr:colOff>
      <xdr:row>129</xdr:row>
      <xdr:rowOff>410434</xdr:rowOff>
    </xdr:to>
    <xdr:pic>
      <xdr:nvPicPr>
        <xdr:cNvPr id="48" name="Рисунок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1" y="37048440"/>
          <a:ext cx="594360" cy="387574"/>
        </a:xfrm>
        <a:prstGeom prst="rect">
          <a:avLst/>
        </a:prstGeom>
      </xdr:spPr>
    </xdr:pic>
    <xdr:clientData/>
  </xdr:twoCellAnchor>
  <xdr:oneCellAnchor>
    <xdr:from>
      <xdr:col>0</xdr:col>
      <xdr:colOff>121920</xdr:colOff>
      <xdr:row>174</xdr:row>
      <xdr:rowOff>0</xdr:rowOff>
    </xdr:from>
    <xdr:ext cx="45719" cy="23027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21920" y="50726340"/>
          <a:ext cx="45719" cy="2302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0</xdr:col>
      <xdr:colOff>0</xdr:colOff>
      <xdr:row>225</xdr:row>
      <xdr:rowOff>38100</xdr:rowOff>
    </xdr:from>
    <xdr:to>
      <xdr:col>3</xdr:col>
      <xdr:colOff>99282</xdr:colOff>
      <xdr:row>225</xdr:row>
      <xdr:rowOff>419133</xdr:rowOff>
    </xdr:to>
    <xdr:pic>
      <xdr:nvPicPr>
        <xdr:cNvPr id="17" name="Рисунок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4160400"/>
          <a:ext cx="2560542" cy="381033"/>
        </a:xfrm>
        <a:prstGeom prst="rect">
          <a:avLst/>
        </a:prstGeom>
      </xdr:spPr>
    </xdr:pic>
    <xdr:clientData/>
  </xdr:twoCellAnchor>
  <xdr:twoCellAnchor editAs="oneCell">
    <xdr:from>
      <xdr:col>4</xdr:col>
      <xdr:colOff>632460</xdr:colOff>
      <xdr:row>225</xdr:row>
      <xdr:rowOff>21378</xdr:rowOff>
    </xdr:from>
    <xdr:to>
      <xdr:col>6</xdr:col>
      <xdr:colOff>563880</xdr:colOff>
      <xdr:row>225</xdr:row>
      <xdr:rowOff>487045</xdr:rowOff>
    </xdr:to>
    <xdr:pic>
      <xdr:nvPicPr>
        <xdr:cNvPr id="18" name="Рисунок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23360" y="64143678"/>
          <a:ext cx="1524000" cy="465667"/>
        </a:xfrm>
        <a:prstGeom prst="rect">
          <a:avLst/>
        </a:prstGeom>
      </xdr:spPr>
    </xdr:pic>
    <xdr:clientData/>
  </xdr:twoCellAnchor>
  <xdr:twoCellAnchor editAs="oneCell">
    <xdr:from>
      <xdr:col>3</xdr:col>
      <xdr:colOff>632460</xdr:colOff>
      <xdr:row>225</xdr:row>
      <xdr:rowOff>22860</xdr:rowOff>
    </xdr:from>
    <xdr:to>
      <xdr:col>4</xdr:col>
      <xdr:colOff>434340</xdr:colOff>
      <xdr:row>225</xdr:row>
      <xdr:rowOff>476281</xdr:rowOff>
    </xdr:to>
    <xdr:pic>
      <xdr:nvPicPr>
        <xdr:cNvPr id="53" name="Рисунок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93720" y="64145160"/>
          <a:ext cx="731520" cy="453421"/>
        </a:xfrm>
        <a:prstGeom prst="rect">
          <a:avLst/>
        </a:prstGeom>
      </xdr:spPr>
    </xdr:pic>
    <xdr:clientData/>
  </xdr:twoCellAnchor>
  <xdr:twoCellAnchor editAs="oneCell">
    <xdr:from>
      <xdr:col>0</xdr:col>
      <xdr:colOff>83821</xdr:colOff>
      <xdr:row>226</xdr:row>
      <xdr:rowOff>15240</xdr:rowOff>
    </xdr:from>
    <xdr:to>
      <xdr:col>0</xdr:col>
      <xdr:colOff>784860</xdr:colOff>
      <xdr:row>226</xdr:row>
      <xdr:rowOff>432237</xdr:rowOff>
    </xdr:to>
    <xdr:pic>
      <xdr:nvPicPr>
        <xdr:cNvPr id="32" name="Рисунок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3821" y="66720720"/>
          <a:ext cx="701039" cy="416997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236</xdr:row>
      <xdr:rowOff>13518</xdr:rowOff>
    </xdr:from>
    <xdr:to>
      <xdr:col>1</xdr:col>
      <xdr:colOff>60960</xdr:colOff>
      <xdr:row>236</xdr:row>
      <xdr:rowOff>518161</xdr:rowOff>
    </xdr:to>
    <xdr:pic>
      <xdr:nvPicPr>
        <xdr:cNvPr id="33" name="Рисунок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340" y="49977858"/>
          <a:ext cx="853440" cy="504643"/>
        </a:xfrm>
        <a:prstGeom prst="rect">
          <a:avLst/>
        </a:prstGeom>
      </xdr:spPr>
    </xdr:pic>
    <xdr:clientData/>
  </xdr:twoCellAnchor>
  <xdr:oneCellAnchor>
    <xdr:from>
      <xdr:col>7</xdr:col>
      <xdr:colOff>396240</xdr:colOff>
      <xdr:row>232</xdr:row>
      <xdr:rowOff>310685</xdr:rowOff>
    </xdr:from>
    <xdr:ext cx="533400" cy="291295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4000000}"/>
            </a:ext>
          </a:extLst>
        </xdr:cNvPr>
        <xdr:cNvSpPr txBox="1"/>
      </xdr:nvSpPr>
      <xdr:spPr>
        <a:xfrm flipV="1">
          <a:off x="6118860" y="69469805"/>
          <a:ext cx="533400" cy="291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200" i="0"/>
        </a:p>
      </xdr:txBody>
    </xdr:sp>
    <xdr:clientData/>
  </xdr:oneCellAnchor>
  <xdr:oneCellAnchor>
    <xdr:from>
      <xdr:col>5</xdr:col>
      <xdr:colOff>0</xdr:colOff>
      <xdr:row>237</xdr:row>
      <xdr:rowOff>0</xdr:rowOff>
    </xdr:from>
    <xdr:ext cx="914400" cy="264560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6000000}"/>
            </a:ext>
          </a:extLst>
        </xdr:cNvPr>
        <xdr:cNvSpPr txBox="1"/>
      </xdr:nvSpPr>
      <xdr:spPr>
        <a:xfrm>
          <a:off x="4213860" y="714375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762001</xdr:colOff>
      <xdr:row>232</xdr:row>
      <xdr:rowOff>228600</xdr:rowOff>
    </xdr:from>
    <xdr:ext cx="121920" cy="211220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7000000}"/>
            </a:ext>
          </a:extLst>
        </xdr:cNvPr>
        <xdr:cNvSpPr txBox="1"/>
      </xdr:nvSpPr>
      <xdr:spPr>
        <a:xfrm>
          <a:off x="9304021" y="69387720"/>
          <a:ext cx="121920" cy="211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143691</xdr:colOff>
      <xdr:row>232</xdr:row>
      <xdr:rowOff>388620</xdr:rowOff>
    </xdr:from>
    <xdr:ext cx="138249" cy="142640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9000000}"/>
            </a:ext>
          </a:extLst>
        </xdr:cNvPr>
        <xdr:cNvSpPr txBox="1"/>
      </xdr:nvSpPr>
      <xdr:spPr>
        <a:xfrm>
          <a:off x="9470571" y="69547740"/>
          <a:ext cx="138249" cy="142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762000</xdr:colOff>
      <xdr:row>232</xdr:row>
      <xdr:rowOff>373380</xdr:rowOff>
    </xdr:from>
    <xdr:ext cx="163286" cy="142640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2A000000}"/>
            </a:ext>
          </a:extLst>
        </xdr:cNvPr>
        <xdr:cNvSpPr txBox="1"/>
      </xdr:nvSpPr>
      <xdr:spPr>
        <a:xfrm>
          <a:off x="8511540" y="69532500"/>
          <a:ext cx="163286" cy="142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0</xdr:col>
      <xdr:colOff>0</xdr:colOff>
      <xdr:row>179</xdr:row>
      <xdr:rowOff>59169</xdr:rowOff>
    </xdr:from>
    <xdr:to>
      <xdr:col>3</xdr:col>
      <xdr:colOff>601980</xdr:colOff>
      <xdr:row>179</xdr:row>
      <xdr:rowOff>695937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584251"/>
          <a:ext cx="3060102" cy="636768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216</xdr:row>
      <xdr:rowOff>30478</xdr:rowOff>
    </xdr:from>
    <xdr:to>
      <xdr:col>0</xdr:col>
      <xdr:colOff>768246</xdr:colOff>
      <xdr:row>216</xdr:row>
      <xdr:rowOff>396239</xdr:rowOff>
    </xdr:to>
    <xdr:pic>
      <xdr:nvPicPr>
        <xdr:cNvPr id="10" name="Рисунок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5720" y="63962278"/>
          <a:ext cx="722526" cy="365761"/>
        </a:xfrm>
        <a:prstGeom prst="rect">
          <a:avLst/>
        </a:prstGeom>
      </xdr:spPr>
    </xdr:pic>
    <xdr:clientData/>
  </xdr:twoCellAnchor>
  <xdr:oneCellAnchor>
    <xdr:from>
      <xdr:col>0</xdr:col>
      <xdr:colOff>251460</xdr:colOff>
      <xdr:row>207</xdr:row>
      <xdr:rowOff>7620</xdr:rowOff>
    </xdr:from>
    <xdr:ext cx="403860" cy="2931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=""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251460" y="50413920"/>
              <a:ext cx="403860" cy="2931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𝐹</m:t>
                        </m:r>
                      </m:e>
                      <m:sub>
                        <m:sSub>
                          <m:sSubPr>
                            <m:ctrlPr>
                              <a:rPr lang="ru-RU" sz="12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251460" y="50413920"/>
              <a:ext cx="403860" cy="2931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𝐹</a:t>
              </a:r>
              <a:r>
                <a:rPr lang="ru-RU" sz="1200" b="0" i="0">
                  <a:latin typeface="Cambria Math"/>
                </a:rPr>
                <a:t>_(</a:t>
              </a:r>
              <a:r>
                <a:rPr lang="en-US" sz="1200" b="0" i="0">
                  <a:latin typeface="Cambria Math"/>
                </a:rPr>
                <a:t>𝑥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1 </a:t>
              </a:r>
              <a:r>
                <a:rPr lang="ru-RU" sz="1200" b="0" i="0">
                  <a:latin typeface="Cambria Math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0</xdr:col>
      <xdr:colOff>152400</xdr:colOff>
      <xdr:row>181</xdr:row>
      <xdr:rowOff>42442</xdr:rowOff>
    </xdr:from>
    <xdr:to>
      <xdr:col>2</xdr:col>
      <xdr:colOff>498435</xdr:colOff>
      <xdr:row>181</xdr:row>
      <xdr:rowOff>624839</xdr:rowOff>
    </xdr:to>
    <xdr:pic>
      <xdr:nvPicPr>
        <xdr:cNvPr id="59" name="Рисунок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51888922"/>
          <a:ext cx="2022435" cy="582397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215</xdr:row>
      <xdr:rowOff>53340</xdr:rowOff>
    </xdr:from>
    <xdr:to>
      <xdr:col>0</xdr:col>
      <xdr:colOff>662940</xdr:colOff>
      <xdr:row>216</xdr:row>
      <xdr:rowOff>3202</xdr:rowOff>
    </xdr:to>
    <xdr:pic>
      <xdr:nvPicPr>
        <xdr:cNvPr id="26" name="Рисунок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" y="63695580"/>
          <a:ext cx="601980" cy="454687"/>
        </a:xfrm>
        <a:prstGeom prst="rect">
          <a:avLst/>
        </a:prstGeom>
      </xdr:spPr>
    </xdr:pic>
    <xdr:clientData/>
  </xdr:twoCellAnchor>
  <xdr:oneCellAnchor>
    <xdr:from>
      <xdr:col>1</xdr:col>
      <xdr:colOff>205740</xdr:colOff>
      <xdr:row>214</xdr:row>
      <xdr:rowOff>22860</xdr:rowOff>
    </xdr:from>
    <xdr:ext cx="426720" cy="2764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=""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1051560" y="63162180"/>
              <a:ext cx="426720" cy="276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28000000}"/>
                </a:ext>
              </a:extLst>
            </xdr:cNvPr>
            <xdr:cNvSpPr txBox="1"/>
          </xdr:nvSpPr>
          <xdr:spPr>
            <a:xfrm>
              <a:off x="1051560" y="63162180"/>
              <a:ext cx="426720" cy="276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𝑡</a:t>
              </a:r>
              <a:r>
                <a:rPr lang="ru-RU" sz="1100" b="0" i="0">
                  <a:latin typeface="Cambria Math"/>
                </a:rPr>
                <a:t>_(</a:t>
              </a:r>
              <a:r>
                <a:rPr lang="en-US" sz="1100" b="0" i="0">
                  <a:latin typeface="Cambria Math"/>
                </a:rPr>
                <a:t>𝑏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1 </a:t>
              </a:r>
              <a:r>
                <a:rPr lang="ru-RU" sz="1100" b="0" i="0">
                  <a:latin typeface="Cambria Math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243840</xdr:colOff>
      <xdr:row>214</xdr:row>
      <xdr:rowOff>22860</xdr:rowOff>
    </xdr:from>
    <xdr:ext cx="342900" cy="2832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="" xmlns:a16="http://schemas.microsoft.com/office/drawing/2014/main" id="{00000000-0008-0000-0000-00002B000000}"/>
                </a:ext>
              </a:extLst>
            </xdr:cNvPr>
            <xdr:cNvSpPr txBox="1"/>
          </xdr:nvSpPr>
          <xdr:spPr>
            <a:xfrm>
              <a:off x="1920240" y="63162180"/>
              <a:ext cx="342900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2B000000}"/>
                </a:ext>
              </a:extLst>
            </xdr:cNvPr>
            <xdr:cNvSpPr txBox="1"/>
          </xdr:nvSpPr>
          <xdr:spPr>
            <a:xfrm>
              <a:off x="1920240" y="63162180"/>
              <a:ext cx="342900" cy="2832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𝑏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274320</xdr:colOff>
      <xdr:row>214</xdr:row>
      <xdr:rowOff>15240</xdr:rowOff>
    </xdr:from>
    <xdr:ext cx="335280" cy="2870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="" xmlns:a16="http://schemas.microsoft.com/office/drawing/2014/main" id="{00000000-0008-0000-0000-00002C000000}"/>
                </a:ext>
              </a:extLst>
            </xdr:cNvPr>
            <xdr:cNvSpPr txBox="1"/>
          </xdr:nvSpPr>
          <xdr:spPr>
            <a:xfrm>
              <a:off x="2735580" y="63154560"/>
              <a:ext cx="335280" cy="287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2C000000}"/>
                </a:ext>
              </a:extLst>
            </xdr:cNvPr>
            <xdr:cNvSpPr txBox="1"/>
          </xdr:nvSpPr>
          <xdr:spPr>
            <a:xfrm>
              <a:off x="2735580" y="63154560"/>
              <a:ext cx="335280" cy="2870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𝑏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281940</xdr:colOff>
      <xdr:row>214</xdr:row>
      <xdr:rowOff>30480</xdr:rowOff>
    </xdr:from>
    <xdr:ext cx="342900" cy="2764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="" xmlns:a16="http://schemas.microsoft.com/office/drawing/2014/main" id="{00000000-0008-0000-0000-00002D000000}"/>
                </a:ext>
              </a:extLst>
            </xdr:cNvPr>
            <xdr:cNvSpPr txBox="1"/>
          </xdr:nvSpPr>
          <xdr:spPr>
            <a:xfrm>
              <a:off x="3672840" y="63169800"/>
              <a:ext cx="342900" cy="276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2D000000}"/>
                </a:ext>
              </a:extLst>
            </xdr:cNvPr>
            <xdr:cNvSpPr txBox="1"/>
          </xdr:nvSpPr>
          <xdr:spPr>
            <a:xfrm>
              <a:off x="3672840" y="63169800"/>
              <a:ext cx="342900" cy="276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𝑏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207</xdr:row>
      <xdr:rowOff>22860</xdr:rowOff>
    </xdr:from>
    <xdr:ext cx="350520" cy="2764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="" xmlns:a16="http://schemas.microsoft.com/office/drawing/2014/main" id="{00000000-0008-0000-0000-000031000000}"/>
                </a:ext>
              </a:extLst>
            </xdr:cNvPr>
            <xdr:cNvSpPr txBox="1"/>
          </xdr:nvSpPr>
          <xdr:spPr>
            <a:xfrm>
              <a:off x="1036320" y="50429160"/>
              <a:ext cx="350520" cy="276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>
              <a:off x="1036320" y="50429160"/>
              <a:ext cx="350520" cy="276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175260</xdr:colOff>
      <xdr:row>207</xdr:row>
      <xdr:rowOff>15240</xdr:rowOff>
    </xdr:from>
    <xdr:ext cx="396240" cy="277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="" xmlns:a16="http://schemas.microsoft.com/office/drawing/2014/main" id="{00000000-0008-0000-0000-000032000000}"/>
                </a:ext>
              </a:extLst>
            </xdr:cNvPr>
            <xdr:cNvSpPr txBox="1"/>
          </xdr:nvSpPr>
          <xdr:spPr>
            <a:xfrm>
              <a:off x="1760220" y="50421540"/>
              <a:ext cx="396240" cy="277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>
              <a:off x="1760220" y="50421540"/>
              <a:ext cx="396240" cy="277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251460</xdr:colOff>
      <xdr:row>207</xdr:row>
      <xdr:rowOff>0</xdr:rowOff>
    </xdr:from>
    <xdr:ext cx="381000" cy="279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="" xmlns:a16="http://schemas.microsoft.com/office/drawing/2014/main" id="{00000000-0008-0000-0000-000033000000}"/>
                </a:ext>
              </a:extLst>
            </xdr:cNvPr>
            <xdr:cNvSpPr txBox="1"/>
          </xdr:nvSpPr>
          <xdr:spPr>
            <a:xfrm>
              <a:off x="2621280" y="50406300"/>
              <a:ext cx="381000" cy="279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𝐹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>
              <a:off x="2621280" y="50406300"/>
              <a:ext cx="381000" cy="279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0</xdr:col>
      <xdr:colOff>121920</xdr:colOff>
      <xdr:row>118</xdr:row>
      <xdr:rowOff>83820</xdr:rowOff>
    </xdr:from>
    <xdr:to>
      <xdr:col>2</xdr:col>
      <xdr:colOff>724097</xdr:colOff>
      <xdr:row>118</xdr:row>
      <xdr:rowOff>655370</xdr:rowOff>
    </xdr:to>
    <xdr:pic>
      <xdr:nvPicPr>
        <xdr:cNvPr id="52" name="Рисунок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" y="37871400"/>
          <a:ext cx="2278577" cy="571550"/>
        </a:xfrm>
        <a:prstGeom prst="rect">
          <a:avLst/>
        </a:prstGeom>
      </xdr:spPr>
    </xdr:pic>
    <xdr:clientData/>
  </xdr:twoCellAnchor>
  <xdr:twoCellAnchor editAs="oneCell">
    <xdr:from>
      <xdr:col>3</xdr:col>
      <xdr:colOff>167641</xdr:colOff>
      <xdr:row>118</xdr:row>
      <xdr:rowOff>15240</xdr:rowOff>
    </xdr:from>
    <xdr:to>
      <xdr:col>11</xdr:col>
      <xdr:colOff>403412</xdr:colOff>
      <xdr:row>118</xdr:row>
      <xdr:rowOff>726850</xdr:rowOff>
    </xdr:to>
    <xdr:pic>
      <xdr:nvPicPr>
        <xdr:cNvPr id="54" name="Рисунок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37461" y="37802820"/>
          <a:ext cx="6377940" cy="711610"/>
        </a:xfrm>
        <a:prstGeom prst="rect">
          <a:avLst/>
        </a:prstGeom>
      </xdr:spPr>
    </xdr:pic>
    <xdr:clientData/>
  </xdr:twoCellAnchor>
  <xdr:oneCellAnchor>
    <xdr:from>
      <xdr:col>0</xdr:col>
      <xdr:colOff>841786</xdr:colOff>
      <xdr:row>182</xdr:row>
      <xdr:rowOff>171899</xdr:rowOff>
    </xdr:from>
    <xdr:ext cx="1706880" cy="4387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="" xmlns:a16="http://schemas.microsoft.com/office/drawing/2014/main" id="{00000000-0008-0000-0000-000037000000}"/>
                </a:ext>
              </a:extLst>
            </xdr:cNvPr>
            <xdr:cNvSpPr txBox="1"/>
          </xdr:nvSpPr>
          <xdr:spPr>
            <a:xfrm>
              <a:off x="841786" y="54898739"/>
              <a:ext cx="1706880" cy="4387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²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𝑦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…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𝑚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=</m:t>
                        </m:r>
                      </m:sub>
                      <m:sup/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1−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△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𝑟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△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5" name="TextBox 54"/>
            <xdr:cNvSpPr txBox="1"/>
          </xdr:nvSpPr>
          <xdr:spPr>
            <a:xfrm>
              <a:off x="841786" y="54898739"/>
              <a:ext cx="1706880" cy="4387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𝑅²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1…𝑥_𝑚  =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   1−(△𝑟 )/〖△𝑟〗_11 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1</xdr:col>
      <xdr:colOff>582447</xdr:colOff>
      <xdr:row>206</xdr:row>
      <xdr:rowOff>53341</xdr:rowOff>
    </xdr:from>
    <xdr:to>
      <xdr:col>4</xdr:col>
      <xdr:colOff>775764</xdr:colOff>
      <xdr:row>206</xdr:row>
      <xdr:rowOff>624841</xdr:rowOff>
    </xdr:to>
    <xdr:pic>
      <xdr:nvPicPr>
        <xdr:cNvPr id="72" name="Рисунок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28267" y="60083701"/>
          <a:ext cx="2738397" cy="571500"/>
        </a:xfrm>
        <a:prstGeom prst="rect">
          <a:avLst/>
        </a:prstGeom>
      </xdr:spPr>
    </xdr:pic>
    <xdr:clientData/>
  </xdr:twoCellAnchor>
  <xdr:twoCellAnchor editAs="oneCell">
    <xdr:from>
      <xdr:col>3</xdr:col>
      <xdr:colOff>899160</xdr:colOff>
      <xdr:row>179</xdr:row>
      <xdr:rowOff>69862</xdr:rowOff>
    </xdr:from>
    <xdr:to>
      <xdr:col>12</xdr:col>
      <xdr:colOff>304352</xdr:colOff>
      <xdr:row>179</xdr:row>
      <xdr:rowOff>666643</xdr:rowOff>
    </xdr:to>
    <xdr:pic>
      <xdr:nvPicPr>
        <xdr:cNvPr id="56" name="Рисунок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" y="53798482"/>
          <a:ext cx="6331772" cy="596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246</xdr:row>
      <xdr:rowOff>38100</xdr:rowOff>
    </xdr:from>
    <xdr:to>
      <xdr:col>3</xdr:col>
      <xdr:colOff>746246</xdr:colOff>
      <xdr:row>246</xdr:row>
      <xdr:rowOff>746760</xdr:rowOff>
    </xdr:to>
    <xdr:pic>
      <xdr:nvPicPr>
        <xdr:cNvPr id="57" name="Рисунок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74515980"/>
          <a:ext cx="3207506" cy="708660"/>
        </a:xfrm>
        <a:prstGeom prst="rect">
          <a:avLst/>
        </a:prstGeom>
      </xdr:spPr>
    </xdr:pic>
    <xdr:clientData/>
  </xdr:twoCellAnchor>
  <xdr:twoCellAnchor editAs="oneCell">
    <xdr:from>
      <xdr:col>3</xdr:col>
      <xdr:colOff>864523</xdr:colOff>
      <xdr:row>246</xdr:row>
      <xdr:rowOff>81190</xdr:rowOff>
    </xdr:from>
    <xdr:to>
      <xdr:col>14</xdr:col>
      <xdr:colOff>357130</xdr:colOff>
      <xdr:row>246</xdr:row>
      <xdr:rowOff>640080</xdr:rowOff>
    </xdr:to>
    <xdr:pic>
      <xdr:nvPicPr>
        <xdr:cNvPr id="58" name="Рисунок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25783" y="74559070"/>
          <a:ext cx="7806027" cy="558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68580</xdr:rowOff>
    </xdr:from>
    <xdr:to>
      <xdr:col>1</xdr:col>
      <xdr:colOff>794779</xdr:colOff>
      <xdr:row>248</xdr:row>
      <xdr:rowOff>541020</xdr:rowOff>
    </xdr:to>
    <xdr:pic>
      <xdr:nvPicPr>
        <xdr:cNvPr id="77" name="Рисунок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9644240"/>
          <a:ext cx="1640599" cy="472440"/>
        </a:xfrm>
        <a:prstGeom prst="rect">
          <a:avLst/>
        </a:prstGeom>
      </xdr:spPr>
    </xdr:pic>
    <xdr:clientData/>
  </xdr:twoCellAnchor>
  <xdr:twoCellAnchor editAs="oneCell">
    <xdr:from>
      <xdr:col>0</xdr:col>
      <xdr:colOff>243840</xdr:colOff>
      <xdr:row>262</xdr:row>
      <xdr:rowOff>45720</xdr:rowOff>
    </xdr:from>
    <xdr:to>
      <xdr:col>1</xdr:col>
      <xdr:colOff>480060</xdr:colOff>
      <xdr:row>262</xdr:row>
      <xdr:rowOff>481935</xdr:rowOff>
    </xdr:to>
    <xdr:pic>
      <xdr:nvPicPr>
        <xdr:cNvPr id="75" name="Рисунок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3840" y="83835240"/>
          <a:ext cx="1082040" cy="43621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5</xdr:col>
      <xdr:colOff>0</xdr:colOff>
      <xdr:row>301</xdr:row>
      <xdr:rowOff>38100</xdr:rowOff>
    </xdr:to>
    <xdr:graphicFrame macro="">
      <xdr:nvGraphicFramePr>
        <xdr:cNvPr id="34" name="Диаграмма 33">
          <a:extLst>
            <a:ext uri="{FF2B5EF4-FFF2-40B4-BE49-F238E27FC236}">
              <a16:creationId xmlns="" xmlns:a16="http://schemas.microsoft.com/office/drawing/2014/main" id="{346BCEC5-3F39-F9EF-EA40-EF8A944EB84E}"/>
            </a:ext>
            <a:ext uri="{147F2762-F138-4A5C-976F-8EAC2B608ADB}">
              <a16:predDERef xmlns="" xmlns:a16="http://schemas.microsoft.com/office/drawing/2014/main" pred="{00000000-0008-0000-0000-00004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0</xdr:colOff>
      <xdr:row>306</xdr:row>
      <xdr:rowOff>28575</xdr:rowOff>
    </xdr:from>
    <xdr:to>
      <xdr:col>5</xdr:col>
      <xdr:colOff>476250</xdr:colOff>
      <xdr:row>320</xdr:row>
      <xdr:rowOff>104775</xdr:rowOff>
    </xdr:to>
    <xdr:graphicFrame macro="">
      <xdr:nvGraphicFramePr>
        <xdr:cNvPr id="46" name="Диаграмма 45">
          <a:extLst>
            <a:ext uri="{FF2B5EF4-FFF2-40B4-BE49-F238E27FC236}">
              <a16:creationId xmlns="" xmlns:a16="http://schemas.microsoft.com/office/drawing/2014/main" id="{7576634F-A64F-9783-1796-0DFF6FA8EB14}"/>
            </a:ext>
            <a:ext uri="{147F2762-F138-4A5C-976F-8EAC2B608ADB}">
              <a16:predDERef xmlns="" xmlns:a16="http://schemas.microsoft.com/office/drawing/2014/main" pred="{346BCEC5-3F39-F9EF-EA40-EF8A944EB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</xdr:col>
      <xdr:colOff>714375</xdr:colOff>
      <xdr:row>306</xdr:row>
      <xdr:rowOff>28575</xdr:rowOff>
    </xdr:from>
    <xdr:to>
      <xdr:col>12</xdr:col>
      <xdr:colOff>295275</xdr:colOff>
      <xdr:row>320</xdr:row>
      <xdr:rowOff>104775</xdr:rowOff>
    </xdr:to>
    <xdr:graphicFrame macro="">
      <xdr:nvGraphicFramePr>
        <xdr:cNvPr id="47" name="Диаграмма 46">
          <a:extLst>
            <a:ext uri="{FF2B5EF4-FFF2-40B4-BE49-F238E27FC236}">
              <a16:creationId xmlns="" xmlns:a16="http://schemas.microsoft.com/office/drawing/2014/main" id="{8840DE09-2BBE-BADC-E3DE-72189F66CD1D}"/>
            </a:ext>
            <a:ext uri="{147F2762-F138-4A5C-976F-8EAC2B608ADB}">
              <a16:predDERef xmlns="" xmlns:a16="http://schemas.microsoft.com/office/drawing/2014/main" pred="{7576634F-A64F-9783-1796-0DFF6FA8E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0</xdr:colOff>
      <xdr:row>321</xdr:row>
      <xdr:rowOff>57150</xdr:rowOff>
    </xdr:from>
    <xdr:to>
      <xdr:col>5</xdr:col>
      <xdr:colOff>476250</xdr:colOff>
      <xdr:row>335</xdr:row>
      <xdr:rowOff>142875</xdr:rowOff>
    </xdr:to>
    <xdr:graphicFrame macro="">
      <xdr:nvGraphicFramePr>
        <xdr:cNvPr id="60" name="Диаграмма 59">
          <a:extLst>
            <a:ext uri="{FF2B5EF4-FFF2-40B4-BE49-F238E27FC236}">
              <a16:creationId xmlns="" xmlns:a16="http://schemas.microsoft.com/office/drawing/2014/main" id="{5111CA6D-CB91-35C9-150A-2DB9F3EAFC92}"/>
            </a:ext>
            <a:ext uri="{147F2762-F138-4A5C-976F-8EAC2B608ADB}">
              <a16:predDERef xmlns="" xmlns:a16="http://schemas.microsoft.com/office/drawing/2014/main" pred="{8840DE09-2BBE-BADC-E3DE-72189F66C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5</xdr:col>
      <xdr:colOff>708660</xdr:colOff>
      <xdr:row>321</xdr:row>
      <xdr:rowOff>70485</xdr:rowOff>
    </xdr:from>
    <xdr:to>
      <xdr:col>12</xdr:col>
      <xdr:colOff>289560</xdr:colOff>
      <xdr:row>335</xdr:row>
      <xdr:rowOff>156210</xdr:rowOff>
    </xdr:to>
    <xdr:graphicFrame macro="">
      <xdr:nvGraphicFramePr>
        <xdr:cNvPr id="61" name="Диаграмма 60">
          <a:extLst>
            <a:ext uri="{FF2B5EF4-FFF2-40B4-BE49-F238E27FC236}">
              <a16:creationId xmlns="" xmlns:a16="http://schemas.microsoft.com/office/drawing/2014/main" id="{2D69DBDD-FF39-2CED-FFDD-1920582B7406}"/>
            </a:ext>
            <a:ext uri="{147F2762-F138-4A5C-976F-8EAC2B608ADB}">
              <a16:predDERef xmlns="" xmlns:a16="http://schemas.microsoft.com/office/drawing/2014/main" pred="{5111CA6D-CB91-35C9-150A-2DB9F3EAF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 editAs="oneCell">
    <xdr:from>
      <xdr:col>0</xdr:col>
      <xdr:colOff>281940</xdr:colOff>
      <xdr:row>359</xdr:row>
      <xdr:rowOff>60960</xdr:rowOff>
    </xdr:from>
    <xdr:to>
      <xdr:col>1</xdr:col>
      <xdr:colOff>571499</xdr:colOff>
      <xdr:row>359</xdr:row>
      <xdr:rowOff>594926</xdr:rowOff>
    </xdr:to>
    <xdr:pic>
      <xdr:nvPicPr>
        <xdr:cNvPr id="81" name="Рисунок 80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81940" y="105300780"/>
          <a:ext cx="1135379" cy="533966"/>
        </a:xfrm>
        <a:prstGeom prst="rect">
          <a:avLst/>
        </a:prstGeom>
      </xdr:spPr>
    </xdr:pic>
    <xdr:clientData/>
  </xdr:twoCellAnchor>
  <xdr:oneCellAnchor>
    <xdr:from>
      <xdr:col>5</xdr:col>
      <xdr:colOff>68580</xdr:colOff>
      <xdr:row>361</xdr:row>
      <xdr:rowOff>0</xdr:rowOff>
    </xdr:from>
    <xdr:ext cx="70866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/>
            <xdr:cNvSpPr txBox="1"/>
          </xdr:nvSpPr>
          <xdr:spPr>
            <a:xfrm>
              <a:off x="3459480" y="106078020"/>
              <a:ext cx="7086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𝜀</m:t>
                        </m:r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2" name="TextBox 61"/>
            <xdr:cNvSpPr txBox="1"/>
          </xdr:nvSpPr>
          <xdr:spPr>
            <a:xfrm>
              <a:off x="3459480" y="106078020"/>
              <a:ext cx="7086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〖𝜀∙𝜀〗_(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𝑖−1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259080</xdr:colOff>
      <xdr:row>360</xdr:row>
      <xdr:rowOff>167640</xdr:rowOff>
    </xdr:from>
    <xdr:ext cx="533400" cy="2768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/>
            <xdr:cNvSpPr txBox="1"/>
          </xdr:nvSpPr>
          <xdr:spPr>
            <a:xfrm>
              <a:off x="2720340" y="106062780"/>
              <a:ext cx="533400" cy="276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−1</m:t>
                        </m:r>
                      </m:sub>
                      <m:sup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63" name="TextBox 62"/>
            <xdr:cNvSpPr txBox="1"/>
          </xdr:nvSpPr>
          <xdr:spPr>
            <a:xfrm>
              <a:off x="2720340" y="106062780"/>
              <a:ext cx="533400" cy="276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𝜀_(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𝑖−1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378</xdr:row>
      <xdr:rowOff>195468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0" y="110228268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𝑐𝑜𝑣</m:t>
                    </m:r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,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0" y="110228268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𝑐𝑜𝑣(𝜀_𝑖,𝜀_(𝑖−1))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89647</xdr:colOff>
      <xdr:row>381</xdr:row>
      <xdr:rowOff>89647</xdr:rowOff>
    </xdr:from>
    <xdr:ext cx="1506071" cy="502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/>
            <xdr:cNvSpPr txBox="1"/>
          </xdr:nvSpPr>
          <xdr:spPr>
            <a:xfrm>
              <a:off x="89647" y="105111176"/>
              <a:ext cx="1506071" cy="502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𝑒𝑖𝑒𝑗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𝑐𝑜𝑣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−1</m:t>
                            </m:r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sub>
                        </m:sSub>
                      </m:den>
                    </m:f>
                  </m:oMath>
                </m:oMathPara>
              </a14:m>
              <a:endParaRPr lang="ru-RU">
                <a:effectLst/>
              </a:endParaRPr>
            </a:p>
            <a:p>
              <a:endParaRPr lang="ru-RU" sz="1100"/>
            </a:p>
          </xdr:txBody>
        </xdr:sp>
      </mc:Choice>
      <mc:Fallback xmlns="">
        <xdr:sp macro="" textlink="">
          <xdr:nvSpPr>
            <xdr:cNvPr id="65" name="TextBox 64"/>
            <xdr:cNvSpPr txBox="1"/>
          </xdr:nvSpPr>
          <xdr:spPr>
            <a:xfrm>
              <a:off x="89647" y="105111176"/>
              <a:ext cx="1506071" cy="502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𝑒𝑖𝑒𝑗=(𝑐𝑜𝑣(𝜀_𝑖,𝜀_(𝑖−1)))/(𝜎_(𝜀_𝑖 )∙𝜎_(𝜀_(𝑖−1) ) )</a:t>
              </a:r>
              <a:endParaRPr lang="ru-RU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121920</xdr:colOff>
      <xdr:row>388</xdr:row>
      <xdr:rowOff>83820</xdr:rowOff>
    </xdr:from>
    <xdr:to>
      <xdr:col>5</xdr:col>
      <xdr:colOff>563880</xdr:colOff>
      <xdr:row>403</xdr:row>
      <xdr:rowOff>106680</xdr:rowOff>
    </xdr:to>
    <xdr:graphicFrame macro="">
      <xdr:nvGraphicFramePr>
        <xdr:cNvPr id="87" name="Диаграмма 8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190500</xdr:colOff>
      <xdr:row>341</xdr:row>
      <xdr:rowOff>83820</xdr:rowOff>
    </xdr:from>
    <xdr:to>
      <xdr:col>4</xdr:col>
      <xdr:colOff>304800</xdr:colOff>
      <xdr:row>356</xdr:row>
      <xdr:rowOff>22860</xdr:rowOff>
    </xdr:to>
    <xdr:graphicFrame macro="">
      <xdr:nvGraphicFramePr>
        <xdr:cNvPr id="88" name="Диаграмма 87">
          <a:extLst>
            <a:ext uri="{FF2B5EF4-FFF2-40B4-BE49-F238E27FC236}">
              <a16:creationId xmlns="" xmlns:a16="http://schemas.microsoft.com/office/drawing/2014/main" id="{346BCEC5-3F39-F9EF-EA40-EF8A944EB84E}"/>
            </a:ext>
            <a:ext uri="{147F2762-F138-4A5C-976F-8EAC2B608ADB}">
              <a16:predDERef xmlns="" xmlns:a16="http://schemas.microsoft.com/office/drawing/2014/main" pred="{00000000-0008-0000-0000-00004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oneCellAnchor>
    <xdr:from>
      <xdr:col>11</xdr:col>
      <xdr:colOff>430305</xdr:colOff>
      <xdr:row>49</xdr:row>
      <xdr:rowOff>101077</xdr:rowOff>
    </xdr:from>
    <xdr:ext cx="944880" cy="255647"/>
    <xdr:sp macro="" textlink="">
      <xdr:nvSpPr>
        <xdr:cNvPr id="89" name="TextBox 88">
          <a:extLs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15000000}"/>
            </a:ext>
          </a:extLst>
        </xdr:cNvPr>
        <xdr:cNvSpPr txBox="1"/>
      </xdr:nvSpPr>
      <xdr:spPr>
        <a:xfrm>
          <a:off x="9036423" y="17349171"/>
          <a:ext cx="944880" cy="2556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000" b="1" i="0"/>
        </a:p>
      </xdr:txBody>
    </xdr:sp>
    <xdr:clientData/>
  </xdr:oneCellAnchor>
  <xdr:twoCellAnchor editAs="oneCell">
    <xdr:from>
      <xdr:col>0</xdr:col>
      <xdr:colOff>99060</xdr:colOff>
      <xdr:row>120</xdr:row>
      <xdr:rowOff>45720</xdr:rowOff>
    </xdr:from>
    <xdr:to>
      <xdr:col>0</xdr:col>
      <xdr:colOff>723954</xdr:colOff>
      <xdr:row>120</xdr:row>
      <xdr:rowOff>518201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99060" y="37543740"/>
          <a:ext cx="624894" cy="472481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121</xdr:row>
      <xdr:rowOff>76200</xdr:rowOff>
    </xdr:from>
    <xdr:to>
      <xdr:col>0</xdr:col>
      <xdr:colOff>310215</xdr:colOff>
      <xdr:row>121</xdr:row>
      <xdr:rowOff>266722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620" y="38153340"/>
          <a:ext cx="302595" cy="19052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121</xdr:row>
      <xdr:rowOff>297180</xdr:rowOff>
    </xdr:from>
    <xdr:to>
      <xdr:col>0</xdr:col>
      <xdr:colOff>805140</xdr:colOff>
      <xdr:row>121</xdr:row>
      <xdr:rowOff>579120</xdr:rowOff>
    </xdr:to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5720" y="38374320"/>
          <a:ext cx="759420" cy="281940"/>
        </a:xfrm>
        <a:prstGeom prst="rect">
          <a:avLst/>
        </a:prstGeom>
      </xdr:spPr>
    </xdr:pic>
    <xdr:clientData/>
  </xdr:twoCellAnchor>
  <xdr:twoCellAnchor editAs="oneCell">
    <xdr:from>
      <xdr:col>10</xdr:col>
      <xdr:colOff>40053</xdr:colOff>
      <xdr:row>78</xdr:row>
      <xdr:rowOff>312420</xdr:rowOff>
    </xdr:from>
    <xdr:to>
      <xdr:col>10</xdr:col>
      <xdr:colOff>762000</xdr:colOff>
      <xdr:row>78</xdr:row>
      <xdr:rowOff>561918</xdr:rowOff>
    </xdr:to>
    <xdr:pic>
      <xdr:nvPicPr>
        <xdr:cNvPr id="90" name="Рисунок 89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850553" y="23675340"/>
          <a:ext cx="721947" cy="249498"/>
        </a:xfrm>
        <a:prstGeom prst="rect">
          <a:avLst/>
        </a:prstGeom>
      </xdr:spPr>
    </xdr:pic>
    <xdr:clientData/>
  </xdr:twoCellAnchor>
  <xdr:twoCellAnchor editAs="oneCell">
    <xdr:from>
      <xdr:col>11</xdr:col>
      <xdr:colOff>106681</xdr:colOff>
      <xdr:row>78</xdr:row>
      <xdr:rowOff>266700</xdr:rowOff>
    </xdr:from>
    <xdr:to>
      <xdr:col>11</xdr:col>
      <xdr:colOff>699317</xdr:colOff>
      <xdr:row>78</xdr:row>
      <xdr:rowOff>579120</xdr:rowOff>
    </xdr:to>
    <xdr:pic>
      <xdr:nvPicPr>
        <xdr:cNvPr id="91" name="Рисунок 90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709661" y="23629620"/>
          <a:ext cx="592636" cy="312420"/>
        </a:xfrm>
        <a:prstGeom prst="rect">
          <a:avLst/>
        </a:prstGeom>
      </xdr:spPr>
    </xdr:pic>
    <xdr:clientData/>
  </xdr:twoCellAnchor>
  <xdr:twoCellAnchor editAs="oneCell">
    <xdr:from>
      <xdr:col>12</xdr:col>
      <xdr:colOff>117943</xdr:colOff>
      <xdr:row>78</xdr:row>
      <xdr:rowOff>294198</xdr:rowOff>
    </xdr:from>
    <xdr:to>
      <xdr:col>12</xdr:col>
      <xdr:colOff>687786</xdr:colOff>
      <xdr:row>78</xdr:row>
      <xdr:rowOff>541019</xdr:rowOff>
    </xdr:to>
    <xdr:pic>
      <xdr:nvPicPr>
        <xdr:cNvPr id="92" name="Рисунок 91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505783" y="23657118"/>
          <a:ext cx="569843" cy="2468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45720</xdr:rowOff>
    </xdr:from>
    <xdr:to>
      <xdr:col>8</xdr:col>
      <xdr:colOff>113211</xdr:colOff>
      <xdr:row>9</xdr:row>
      <xdr:rowOff>53474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480"/>
          <a:ext cx="6401355" cy="154699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39</xdr:row>
      <xdr:rowOff>0</xdr:rowOff>
    </xdr:from>
    <xdr:ext cx="0" cy="67134"/>
    <xdr:sp macro="" textlink="">
      <xdr:nvSpPr>
        <xdr:cNvPr id="3" name="TextBox 2"/>
        <xdr:cNvSpPr txBox="1"/>
      </xdr:nvSpPr>
      <xdr:spPr>
        <a:xfrm flipH="1" flipV="1">
          <a:off x="0" y="9014113"/>
          <a:ext cx="0" cy="671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34065</xdr:colOff>
      <xdr:row>40</xdr:row>
      <xdr:rowOff>149027</xdr:rowOff>
    </xdr:from>
    <xdr:ext cx="45719" cy="45719"/>
    <xdr:sp macro="" textlink="">
      <xdr:nvSpPr>
        <xdr:cNvPr id="4" name="TextBox 3"/>
        <xdr:cNvSpPr txBox="1"/>
      </xdr:nvSpPr>
      <xdr:spPr>
        <a:xfrm flipH="1" flipV="1">
          <a:off x="9393218" y="9436462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352312</xdr:colOff>
      <xdr:row>38</xdr:row>
      <xdr:rowOff>0</xdr:rowOff>
    </xdr:from>
    <xdr:ext cx="45719" cy="45719"/>
    <xdr:sp macro="" textlink="">
      <xdr:nvSpPr>
        <xdr:cNvPr id="5" name="TextBox 4"/>
        <xdr:cNvSpPr txBox="1"/>
      </xdr:nvSpPr>
      <xdr:spPr>
        <a:xfrm flipH="1" flipV="1">
          <a:off x="7882665" y="8494159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7</xdr:col>
      <xdr:colOff>603325</xdr:colOff>
      <xdr:row>39</xdr:row>
      <xdr:rowOff>0</xdr:rowOff>
    </xdr:from>
    <xdr:ext cx="45719" cy="45719"/>
    <xdr:sp macro="" textlink="">
      <xdr:nvSpPr>
        <xdr:cNvPr id="6" name="TextBox 5"/>
        <xdr:cNvSpPr txBox="1"/>
      </xdr:nvSpPr>
      <xdr:spPr>
        <a:xfrm flipH="1">
          <a:off x="6233160" y="8968393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twoCellAnchor editAs="oneCell">
    <xdr:from>
      <xdr:col>1</xdr:col>
      <xdr:colOff>149710</xdr:colOff>
      <xdr:row>52</xdr:row>
      <xdr:rowOff>77993</xdr:rowOff>
    </xdr:from>
    <xdr:to>
      <xdr:col>3</xdr:col>
      <xdr:colOff>696903</xdr:colOff>
      <xdr:row>52</xdr:row>
      <xdr:rowOff>638785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9639" y="10979075"/>
          <a:ext cx="2277382" cy="560792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121920</xdr:colOff>
      <xdr:row>84</xdr:row>
      <xdr:rowOff>30480</xdr:rowOff>
    </xdr:from>
    <xdr:to>
      <xdr:col>3</xdr:col>
      <xdr:colOff>168758</xdr:colOff>
      <xdr:row>84</xdr:row>
      <xdr:rowOff>411513</xdr:rowOff>
    </xdr:to>
    <xdr:pic>
      <xdr:nvPicPr>
        <xdr:cNvPr id="13" name="Рисунок 12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" y="22158960"/>
          <a:ext cx="2560542" cy="381033"/>
        </a:xfrm>
        <a:prstGeom prst="rect">
          <a:avLst/>
        </a:prstGeom>
      </xdr:spPr>
    </xdr:pic>
    <xdr:clientData/>
  </xdr:twoCellAnchor>
  <xdr:twoCellAnchor editAs="oneCell">
    <xdr:from>
      <xdr:col>4</xdr:col>
      <xdr:colOff>373379</xdr:colOff>
      <xdr:row>84</xdr:row>
      <xdr:rowOff>38100</xdr:rowOff>
    </xdr:from>
    <xdr:to>
      <xdr:col>6</xdr:col>
      <xdr:colOff>335278</xdr:colOff>
      <xdr:row>84</xdr:row>
      <xdr:rowOff>503767</xdr:rowOff>
    </xdr:to>
    <xdr:pic>
      <xdr:nvPicPr>
        <xdr:cNvPr id="14" name="Рисунок 13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33799" y="19629120"/>
          <a:ext cx="1531619" cy="465667"/>
        </a:xfrm>
        <a:prstGeom prst="rect">
          <a:avLst/>
        </a:prstGeom>
      </xdr:spPr>
    </xdr:pic>
    <xdr:clientData/>
  </xdr:twoCellAnchor>
  <xdr:twoCellAnchor editAs="oneCell">
    <xdr:from>
      <xdr:col>3</xdr:col>
      <xdr:colOff>342899</xdr:colOff>
      <xdr:row>84</xdr:row>
      <xdr:rowOff>16722</xdr:rowOff>
    </xdr:from>
    <xdr:to>
      <xdr:col>4</xdr:col>
      <xdr:colOff>228600</xdr:colOff>
      <xdr:row>84</xdr:row>
      <xdr:rowOff>470143</xdr:rowOff>
    </xdr:to>
    <xdr:pic>
      <xdr:nvPicPr>
        <xdr:cNvPr id="15" name="Рисунок 14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499" y="19607742"/>
          <a:ext cx="731521" cy="453421"/>
        </a:xfrm>
        <a:prstGeom prst="rect">
          <a:avLst/>
        </a:prstGeom>
      </xdr:spPr>
    </xdr:pic>
    <xdr:clientData/>
  </xdr:twoCellAnchor>
  <xdr:twoCellAnchor editAs="oneCell">
    <xdr:from>
      <xdr:col>0</xdr:col>
      <xdr:colOff>175260</xdr:colOff>
      <xdr:row>84</xdr:row>
      <xdr:rowOff>435822</xdr:rowOff>
    </xdr:from>
    <xdr:to>
      <xdr:col>1</xdr:col>
      <xdr:colOff>99059</xdr:colOff>
      <xdr:row>84</xdr:row>
      <xdr:rowOff>852819</xdr:rowOff>
    </xdr:to>
    <xdr:pic>
      <xdr:nvPicPr>
        <xdr:cNvPr id="16" name="Рисунок 15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260" y="22564302"/>
          <a:ext cx="701039" cy="416997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95</xdr:row>
      <xdr:rowOff>68742</xdr:rowOff>
    </xdr:from>
    <xdr:to>
      <xdr:col>1</xdr:col>
      <xdr:colOff>226570</xdr:colOff>
      <xdr:row>95</xdr:row>
      <xdr:rowOff>556260</xdr:rowOff>
    </xdr:to>
    <xdr:pic>
      <xdr:nvPicPr>
        <xdr:cNvPr id="17" name="Рисунок 16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7640" y="25862442"/>
          <a:ext cx="836170" cy="487518"/>
        </a:xfrm>
        <a:prstGeom prst="rect">
          <a:avLst/>
        </a:prstGeom>
      </xdr:spPr>
    </xdr:pic>
    <xdr:clientData/>
  </xdr:twoCellAnchor>
  <xdr:oneCellAnchor>
    <xdr:from>
      <xdr:col>1</xdr:col>
      <xdr:colOff>17929</xdr:colOff>
      <xdr:row>125</xdr:row>
      <xdr:rowOff>0</xdr:rowOff>
    </xdr:from>
    <xdr:ext cx="45719" cy="45719"/>
    <xdr:sp macro="" textlink="">
      <xdr:nvSpPr>
        <xdr:cNvPr id="9" name="TextBox 8"/>
        <xdr:cNvSpPr txBox="1"/>
      </xdr:nvSpPr>
      <xdr:spPr>
        <a:xfrm>
          <a:off x="797858" y="38198612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1</xdr:col>
      <xdr:colOff>26895</xdr:colOff>
      <xdr:row>125</xdr:row>
      <xdr:rowOff>0</xdr:rowOff>
    </xdr:from>
    <xdr:ext cx="89648" cy="45719"/>
    <xdr:sp macro="" textlink="">
      <xdr:nvSpPr>
        <xdr:cNvPr id="10" name="TextBox 9"/>
        <xdr:cNvSpPr txBox="1"/>
      </xdr:nvSpPr>
      <xdr:spPr>
        <a:xfrm>
          <a:off x="806824" y="34899600"/>
          <a:ext cx="89648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528917</xdr:colOff>
      <xdr:row>125</xdr:row>
      <xdr:rowOff>0</xdr:rowOff>
    </xdr:from>
    <xdr:ext cx="89648" cy="45719"/>
    <xdr:sp macro="" textlink="">
      <xdr:nvSpPr>
        <xdr:cNvPr id="11" name="TextBox 10"/>
        <xdr:cNvSpPr txBox="1"/>
      </xdr:nvSpPr>
      <xdr:spPr>
        <a:xfrm>
          <a:off x="3836893" y="34899600"/>
          <a:ext cx="89648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2</xdr:col>
      <xdr:colOff>224118</xdr:colOff>
      <xdr:row>63</xdr:row>
      <xdr:rowOff>174811</xdr:rowOff>
    </xdr:from>
    <xdr:to>
      <xdr:col>8</xdr:col>
      <xdr:colOff>134471</xdr:colOff>
      <xdr:row>75</xdr:row>
      <xdr:rowOff>156882</xdr:rowOff>
    </xdr:to>
    <xdr:graphicFrame macro="">
      <xdr:nvGraphicFramePr>
        <xdr:cNvPr id="20" name="Диаграмма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28574</xdr:rowOff>
    </xdr:from>
    <xdr:to>
      <xdr:col>2</xdr:col>
      <xdr:colOff>426720</xdr:colOff>
      <xdr:row>57</xdr:row>
      <xdr:rowOff>106680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586740</xdr:colOff>
      <xdr:row>42</xdr:row>
      <xdr:rowOff>15240</xdr:rowOff>
    </xdr:from>
    <xdr:to>
      <xdr:col>5</xdr:col>
      <xdr:colOff>1264920</xdr:colOff>
      <xdr:row>57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58</xdr:row>
      <xdr:rowOff>150494</xdr:rowOff>
    </xdr:from>
    <xdr:to>
      <xdr:col>2</xdr:col>
      <xdr:colOff>409575</xdr:colOff>
      <xdr:row>74</xdr:row>
      <xdr:rowOff>45720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586740</xdr:colOff>
      <xdr:row>58</xdr:row>
      <xdr:rowOff>142874</xdr:rowOff>
    </xdr:from>
    <xdr:to>
      <xdr:col>5</xdr:col>
      <xdr:colOff>1249680</xdr:colOff>
      <xdr:row>74</xdr:row>
      <xdr:rowOff>60959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76</xdr:row>
      <xdr:rowOff>49530</xdr:rowOff>
    </xdr:from>
    <xdr:to>
      <xdr:col>2</xdr:col>
      <xdr:colOff>1158240</xdr:colOff>
      <xdr:row>97</xdr:row>
      <xdr:rowOff>106680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1304924</xdr:colOff>
      <xdr:row>76</xdr:row>
      <xdr:rowOff>32385</xdr:rowOff>
    </xdr:from>
    <xdr:to>
      <xdr:col>7</xdr:col>
      <xdr:colOff>60959</xdr:colOff>
      <xdr:row>97</xdr:row>
      <xdr:rowOff>121920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99</xdr:row>
      <xdr:rowOff>121920</xdr:rowOff>
    </xdr:from>
    <xdr:to>
      <xdr:col>2</xdr:col>
      <xdr:colOff>1320165</xdr:colOff>
      <xdr:row>127</xdr:row>
      <xdr:rowOff>171450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144780</xdr:colOff>
      <xdr:row>99</xdr:row>
      <xdr:rowOff>45720</xdr:rowOff>
    </xdr:from>
    <xdr:to>
      <xdr:col>6</xdr:col>
      <xdr:colOff>1371600</xdr:colOff>
      <xdr:row>127</xdr:row>
      <xdr:rowOff>140970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542925</xdr:colOff>
      <xdr:row>23</xdr:row>
      <xdr:rowOff>152400</xdr:rowOff>
    </xdr:from>
    <xdr:to>
      <xdr:col>15</xdr:col>
      <xdr:colOff>186691</xdr:colOff>
      <xdr:row>40</xdr:row>
      <xdr:rowOff>5715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464820</xdr:colOff>
      <xdr:row>0</xdr:row>
      <xdr:rowOff>144780</xdr:rowOff>
    </xdr:from>
    <xdr:to>
      <xdr:col>21</xdr:col>
      <xdr:colOff>464820</xdr:colOff>
      <xdr:row>10</xdr:row>
      <xdr:rowOff>137160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7620</xdr:colOff>
      <xdr:row>0</xdr:row>
      <xdr:rowOff>144780</xdr:rowOff>
    </xdr:from>
    <xdr:to>
      <xdr:col>28</xdr:col>
      <xdr:colOff>7620</xdr:colOff>
      <xdr:row>10</xdr:row>
      <xdr:rowOff>144780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274320</xdr:colOff>
      <xdr:row>12</xdr:row>
      <xdr:rowOff>7620</xdr:rowOff>
    </xdr:from>
    <xdr:to>
      <xdr:col>15</xdr:col>
      <xdr:colOff>274320</xdr:colOff>
      <xdr:row>18</xdr:row>
      <xdr:rowOff>388620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487680</xdr:colOff>
      <xdr:row>11</xdr:row>
      <xdr:rowOff>167640</xdr:rowOff>
    </xdr:from>
    <xdr:to>
      <xdr:col>21</xdr:col>
      <xdr:colOff>487680</xdr:colOff>
      <xdr:row>18</xdr:row>
      <xdr:rowOff>723900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91440</xdr:colOff>
      <xdr:row>11</xdr:row>
      <xdr:rowOff>137160</xdr:rowOff>
    </xdr:from>
    <xdr:to>
      <xdr:col>28</xdr:col>
      <xdr:colOff>91440</xdr:colOff>
      <xdr:row>21</xdr:row>
      <xdr:rowOff>137160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624840</xdr:colOff>
      <xdr:row>24</xdr:row>
      <xdr:rowOff>121920</xdr:rowOff>
    </xdr:from>
    <xdr:to>
      <xdr:col>12</xdr:col>
      <xdr:colOff>533401</xdr:colOff>
      <xdr:row>42</xdr:row>
      <xdr:rowOff>129540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6"/>
  <sheetViews>
    <sheetView tabSelected="1" topLeftCell="A373" zoomScaleNormal="100" workbookViewId="0">
      <selection activeCell="H293" sqref="H293"/>
    </sheetView>
  </sheetViews>
  <sheetFormatPr defaultRowHeight="14.4" x14ac:dyDescent="0.3"/>
  <cols>
    <col min="1" max="1" width="12.33203125" customWidth="1"/>
    <col min="2" max="2" width="12.109375" customWidth="1"/>
    <col min="3" max="3" width="11.44140625" customWidth="1"/>
    <col min="4" max="4" width="13.5546875" customWidth="1"/>
    <col min="5" max="5" width="12" customWidth="1"/>
    <col min="6" max="6" width="11.33203125" customWidth="1"/>
    <col min="7" max="7" width="11.5546875" customWidth="1"/>
    <col min="8" max="8" width="9.6640625" customWidth="1"/>
    <col min="10" max="10" width="11" bestFit="1" customWidth="1"/>
    <col min="11" max="11" width="11.5546875" customWidth="1"/>
    <col min="12" max="12" width="11.44140625" customWidth="1"/>
    <col min="13" max="13" width="11.33203125" customWidth="1"/>
    <col min="18" max="19" width="10.33203125" customWidth="1"/>
    <col min="20" max="20" width="9.6640625" customWidth="1"/>
    <col min="21" max="21" width="11.33203125" customWidth="1"/>
    <col min="22" max="22" width="27.5546875" customWidth="1"/>
    <col min="24" max="24" width="12.88671875" customWidth="1"/>
    <col min="25" max="25" width="22.33203125" customWidth="1"/>
    <col min="26" max="26" width="12.5546875" customWidth="1"/>
    <col min="27" max="27" width="11" customWidth="1"/>
  </cols>
  <sheetData>
    <row r="1" spans="1:27" ht="51" customHeight="1" x14ac:dyDescent="0.3">
      <c r="A1" s="154" t="s">
        <v>261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</row>
    <row r="2" spans="1:27" ht="15.6" x14ac:dyDescent="0.3">
      <c r="A2" s="156" t="s">
        <v>0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</row>
    <row r="3" spans="1:27" ht="85.2" customHeight="1" x14ac:dyDescent="0.3">
      <c r="A3" s="155" t="s">
        <v>1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</row>
    <row r="4" spans="1:27" ht="239.4" customHeight="1" x14ac:dyDescent="0.3"/>
    <row r="6" spans="1:27" ht="15.6" x14ac:dyDescent="0.3">
      <c r="A6" s="37" t="s">
        <v>2</v>
      </c>
    </row>
    <row r="7" spans="1:27" ht="26.4" customHeight="1" x14ac:dyDescent="0.3">
      <c r="A7" s="157" t="s">
        <v>3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</row>
    <row r="8" spans="1:27" ht="86.4" customHeight="1" x14ac:dyDescent="0.3">
      <c r="A8" s="2"/>
      <c r="C8" s="2"/>
      <c r="D8" s="2"/>
      <c r="E8" s="2"/>
      <c r="F8" s="2"/>
      <c r="G8" s="2"/>
      <c r="H8" s="2"/>
      <c r="I8" s="2"/>
      <c r="J8" s="2"/>
      <c r="L8" s="2"/>
    </row>
    <row r="9" spans="1:27" ht="86.4" customHeight="1" x14ac:dyDescent="0.3">
      <c r="A9" s="2"/>
      <c r="C9" s="2"/>
      <c r="D9" s="2"/>
      <c r="E9" s="2"/>
      <c r="F9" s="2"/>
      <c r="G9" s="2"/>
      <c r="H9" s="2"/>
      <c r="I9" s="2"/>
      <c r="J9" s="2"/>
      <c r="L9" s="2"/>
    </row>
    <row r="10" spans="1:27" ht="19.2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7" x14ac:dyDescent="0.3">
      <c r="A11" s="29">
        <v>1</v>
      </c>
      <c r="B11" s="29">
        <v>2</v>
      </c>
      <c r="C11" s="29">
        <v>3</v>
      </c>
      <c r="D11" s="29">
        <v>4</v>
      </c>
      <c r="E11" s="29">
        <v>5</v>
      </c>
      <c r="F11" s="29">
        <v>6</v>
      </c>
      <c r="G11" s="29">
        <v>7</v>
      </c>
      <c r="H11" s="29">
        <v>8</v>
      </c>
      <c r="I11" s="29">
        <v>9</v>
      </c>
      <c r="J11" s="29">
        <v>10</v>
      </c>
      <c r="K11" s="29">
        <v>11</v>
      </c>
      <c r="L11" s="29">
        <v>12</v>
      </c>
      <c r="M11" s="29">
        <v>13</v>
      </c>
      <c r="N11" s="29">
        <v>14</v>
      </c>
      <c r="O11" s="29">
        <v>15</v>
      </c>
      <c r="P11" s="29">
        <v>16</v>
      </c>
      <c r="Q11" s="29">
        <v>17</v>
      </c>
      <c r="R11" s="29">
        <v>18</v>
      </c>
      <c r="S11" s="29">
        <v>19</v>
      </c>
      <c r="T11" s="29">
        <v>20</v>
      </c>
      <c r="U11" s="29">
        <v>21</v>
      </c>
      <c r="V11" s="29">
        <v>22</v>
      </c>
      <c r="W11" s="29">
        <v>23</v>
      </c>
      <c r="X11" s="29">
        <v>24</v>
      </c>
      <c r="Y11" s="29">
        <v>25</v>
      </c>
      <c r="Z11" s="29">
        <v>26</v>
      </c>
      <c r="AA11" s="29">
        <v>27</v>
      </c>
    </row>
    <row r="12" spans="1:27" ht="110.4" customHeight="1" x14ac:dyDescent="0.3">
      <c r="A12" s="5"/>
      <c r="B12" s="4" t="s">
        <v>4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  <c r="H12" s="4" t="s">
        <v>10</v>
      </c>
      <c r="I12" s="4" t="s">
        <v>11</v>
      </c>
      <c r="J12" s="4" t="s">
        <v>12</v>
      </c>
      <c r="K12" s="4" t="s">
        <v>13</v>
      </c>
      <c r="L12" s="4" t="s">
        <v>217</v>
      </c>
      <c r="M12" s="4" t="s">
        <v>218</v>
      </c>
      <c r="N12" s="4" t="s">
        <v>219</v>
      </c>
      <c r="O12" s="4" t="s">
        <v>220</v>
      </c>
      <c r="P12" s="4" t="s">
        <v>221</v>
      </c>
      <c r="Q12" s="4" t="s">
        <v>222</v>
      </c>
      <c r="R12" s="6" t="s">
        <v>223</v>
      </c>
      <c r="S12" s="6" t="s">
        <v>224</v>
      </c>
      <c r="T12" s="6" t="s">
        <v>225</v>
      </c>
      <c r="U12" s="6" t="s">
        <v>226</v>
      </c>
      <c r="V12" s="4" t="s">
        <v>14</v>
      </c>
      <c r="W12" s="4" t="s">
        <v>15</v>
      </c>
      <c r="X12" s="4" t="s">
        <v>16</v>
      </c>
      <c r="Y12" s="4" t="s">
        <v>17</v>
      </c>
      <c r="Z12" s="4" t="s">
        <v>18</v>
      </c>
      <c r="AA12" s="6" t="s">
        <v>19</v>
      </c>
    </row>
    <row r="13" spans="1:27" ht="14.4" customHeight="1" x14ac:dyDescent="0.3">
      <c r="A13" s="29">
        <v>1</v>
      </c>
      <c r="B13" s="20">
        <v>115</v>
      </c>
      <c r="C13" s="20">
        <v>4428</v>
      </c>
      <c r="D13" s="20">
        <v>3278</v>
      </c>
      <c r="E13" s="20">
        <v>12.5</v>
      </c>
      <c r="F13" s="20">
        <v>17.7</v>
      </c>
      <c r="G13" s="20">
        <f>C13^2</f>
        <v>19607184</v>
      </c>
      <c r="H13" s="20">
        <f>D13^2</f>
        <v>10745284</v>
      </c>
      <c r="I13" s="20">
        <f>E13^2</f>
        <v>156.25</v>
      </c>
      <c r="J13" s="20">
        <f>F13^2</f>
        <v>313.28999999999996</v>
      </c>
      <c r="K13" s="20">
        <f t="shared" ref="K13:K25" si="0">B13^2</f>
        <v>13225</v>
      </c>
      <c r="L13" s="20">
        <f t="shared" ref="L13:L25" si="1">C13*D13</f>
        <v>14514984</v>
      </c>
      <c r="M13" s="20">
        <f t="shared" ref="M13:M25" si="2">C13*E13</f>
        <v>55350</v>
      </c>
      <c r="N13" s="20">
        <f t="shared" ref="N13:N25" si="3">C13*F13</f>
        <v>78375.599999999991</v>
      </c>
      <c r="O13" s="20">
        <f t="shared" ref="O13:O25" si="4">D13*E13</f>
        <v>40975</v>
      </c>
      <c r="P13" s="20">
        <f t="shared" ref="P13:P25" si="5">D13*F13</f>
        <v>58020.6</v>
      </c>
      <c r="Q13" s="20">
        <f t="shared" ref="Q13:Q25" si="6">E13*F13</f>
        <v>221.25</v>
      </c>
      <c r="R13" s="20">
        <f>B13*C13</f>
        <v>509220</v>
      </c>
      <c r="S13" s="20">
        <f>B13*D13</f>
        <v>376970</v>
      </c>
      <c r="T13" s="20">
        <f>B13*E13</f>
        <v>1437.5</v>
      </c>
      <c r="U13" s="20">
        <f>B13*F13</f>
        <v>2035.5</v>
      </c>
      <c r="V13" s="20">
        <f t="shared" ref="V13:V25" si="7">F$61+E$61*C13+D$61*D13+C$61*E13+B$61*F13</f>
        <v>182.03968773048291</v>
      </c>
      <c r="W13" s="20">
        <f>B13-V13</f>
        <v>-67.03968773048291</v>
      </c>
      <c r="X13" s="20">
        <f>W13^2</f>
        <v>4494.3197310006608</v>
      </c>
      <c r="Y13" s="20">
        <f>ABS((W13/B13)*100)</f>
        <v>58.295380635202534</v>
      </c>
      <c r="Z13" s="20">
        <f>(B13-B$27)^2</f>
        <v>5106.7514792899392</v>
      </c>
      <c r="AA13" s="3">
        <f>(V13-B$27)^2</f>
        <v>19.552763887736436</v>
      </c>
    </row>
    <row r="14" spans="1:27" ht="15" customHeight="1" x14ac:dyDescent="0.3">
      <c r="A14" s="29">
        <v>2</v>
      </c>
      <c r="B14" s="20">
        <v>80</v>
      </c>
      <c r="C14" s="20">
        <v>3756</v>
      </c>
      <c r="D14" s="20">
        <v>5696</v>
      </c>
      <c r="E14" s="20">
        <v>11.7</v>
      </c>
      <c r="F14" s="20">
        <v>18.2</v>
      </c>
      <c r="G14" s="20">
        <f t="shared" ref="G14:G25" si="8">C14^2</f>
        <v>14107536</v>
      </c>
      <c r="H14" s="20">
        <f t="shared" ref="H14:H25" si="9">D14^2</f>
        <v>32444416</v>
      </c>
      <c r="I14" s="20">
        <f t="shared" ref="I14:I25" si="10">E14^2</f>
        <v>136.88999999999999</v>
      </c>
      <c r="J14" s="20">
        <f t="shared" ref="J14:J25" si="11">F14^2</f>
        <v>331.23999999999995</v>
      </c>
      <c r="K14" s="20">
        <f t="shared" si="0"/>
        <v>6400</v>
      </c>
      <c r="L14" s="20">
        <f t="shared" si="1"/>
        <v>21394176</v>
      </c>
      <c r="M14" s="20">
        <f t="shared" si="2"/>
        <v>43945.2</v>
      </c>
      <c r="N14" s="20">
        <f t="shared" si="3"/>
        <v>68359.199999999997</v>
      </c>
      <c r="O14" s="20">
        <f t="shared" si="4"/>
        <v>66643.199999999997</v>
      </c>
      <c r="P14" s="20">
        <f t="shared" si="5"/>
        <v>103667.2</v>
      </c>
      <c r="Q14" s="20">
        <f t="shared" si="6"/>
        <v>212.93999999999997</v>
      </c>
      <c r="R14" s="20">
        <f t="shared" ref="R14:R25" si="12">B14*C14</f>
        <v>300480</v>
      </c>
      <c r="S14" s="20">
        <f t="shared" ref="S14:S25" si="13">B14*D14</f>
        <v>455680</v>
      </c>
      <c r="T14" s="20">
        <f t="shared" ref="T14:T25" si="14">B14*E14</f>
        <v>936</v>
      </c>
      <c r="U14" s="20">
        <f t="shared" ref="U14:U25" si="15">B14*F14</f>
        <v>1456</v>
      </c>
      <c r="V14" s="20">
        <f t="shared" si="7"/>
        <v>32.12310718388278</v>
      </c>
      <c r="W14" s="20">
        <f t="shared" ref="W14:W25" si="16">B14-V14</f>
        <v>47.87689281611722</v>
      </c>
      <c r="X14" s="20">
        <f t="shared" ref="X14:X25" si="17">W14^2</f>
        <v>2292.1968657259767</v>
      </c>
      <c r="Y14" s="20">
        <f t="shared" ref="Y14:Y25" si="18">ABS((W14/B14)*100)</f>
        <v>59.846116020146525</v>
      </c>
      <c r="Z14" s="20">
        <f t="shared" ref="Z14:Z25" si="19">(B14-B$27)^2</f>
        <v>11334.059171597632</v>
      </c>
      <c r="AA14" s="3">
        <f t="shared" ref="AA14:AA25" si="20">(V14-B$27)^2</f>
        <v>23820.351369247644</v>
      </c>
    </row>
    <row r="15" spans="1:27" x14ac:dyDescent="0.3">
      <c r="A15" s="29">
        <v>3</v>
      </c>
      <c r="B15" s="20">
        <v>97</v>
      </c>
      <c r="C15" s="20">
        <v>2970</v>
      </c>
      <c r="D15" s="20">
        <v>2210</v>
      </c>
      <c r="E15" s="20">
        <v>11.2</v>
      </c>
      <c r="F15" s="20">
        <v>19.100000000000001</v>
      </c>
      <c r="G15" s="20">
        <f t="shared" si="8"/>
        <v>8820900</v>
      </c>
      <c r="H15" s="20">
        <f t="shared" si="9"/>
        <v>4884100</v>
      </c>
      <c r="I15" s="20">
        <f t="shared" si="10"/>
        <v>125.43999999999998</v>
      </c>
      <c r="J15" s="20">
        <f t="shared" si="11"/>
        <v>364.81000000000006</v>
      </c>
      <c r="K15" s="20">
        <f t="shared" si="0"/>
        <v>9409</v>
      </c>
      <c r="L15" s="20">
        <f t="shared" si="1"/>
        <v>6563700</v>
      </c>
      <c r="M15" s="20">
        <f t="shared" si="2"/>
        <v>33264</v>
      </c>
      <c r="N15" s="20">
        <f t="shared" si="3"/>
        <v>56727.000000000007</v>
      </c>
      <c r="O15" s="20">
        <f t="shared" si="4"/>
        <v>24752</v>
      </c>
      <c r="P15" s="20">
        <f t="shared" si="5"/>
        <v>42211</v>
      </c>
      <c r="Q15" s="20">
        <f t="shared" si="6"/>
        <v>213.92000000000002</v>
      </c>
      <c r="R15" s="20">
        <f t="shared" si="12"/>
        <v>288090</v>
      </c>
      <c r="S15" s="20">
        <f t="shared" si="13"/>
        <v>214370</v>
      </c>
      <c r="T15" s="20">
        <f t="shared" si="14"/>
        <v>1086.3999999999999</v>
      </c>
      <c r="U15" s="20">
        <f t="shared" si="15"/>
        <v>1852.7</v>
      </c>
      <c r="V15" s="20">
        <f t="shared" si="7"/>
        <v>84.187494253174009</v>
      </c>
      <c r="W15" s="20">
        <f t="shared" si="16"/>
        <v>12.812505746825991</v>
      </c>
      <c r="X15" s="20">
        <f t="shared" si="17"/>
        <v>164.16030351244905</v>
      </c>
      <c r="Y15" s="20">
        <f t="shared" si="18"/>
        <v>13.208768811160814</v>
      </c>
      <c r="Z15" s="20">
        <f t="shared" si="19"/>
        <v>8003.366863905324</v>
      </c>
      <c r="AA15" s="3">
        <f t="shared" si="20"/>
        <v>10459.980118734484</v>
      </c>
    </row>
    <row r="16" spans="1:27" x14ac:dyDescent="0.3">
      <c r="A16" s="29">
        <v>4</v>
      </c>
      <c r="B16" s="20">
        <v>92</v>
      </c>
      <c r="C16" s="20">
        <v>6231</v>
      </c>
      <c r="D16" s="20">
        <v>5823</v>
      </c>
      <c r="E16" s="20">
        <v>9.6999999999999993</v>
      </c>
      <c r="F16" s="20">
        <v>15.2</v>
      </c>
      <c r="G16" s="20">
        <f t="shared" si="8"/>
        <v>38825361</v>
      </c>
      <c r="H16" s="20">
        <f t="shared" si="9"/>
        <v>33907329</v>
      </c>
      <c r="I16" s="20">
        <f t="shared" si="10"/>
        <v>94.089999999999989</v>
      </c>
      <c r="J16" s="20">
        <f t="shared" si="11"/>
        <v>231.04</v>
      </c>
      <c r="K16" s="20">
        <f t="shared" si="0"/>
        <v>8464</v>
      </c>
      <c r="L16" s="20">
        <f t="shared" si="1"/>
        <v>36283113</v>
      </c>
      <c r="M16" s="20">
        <f t="shared" si="2"/>
        <v>60440.7</v>
      </c>
      <c r="N16" s="20">
        <f t="shared" si="3"/>
        <v>94711.2</v>
      </c>
      <c r="O16" s="20">
        <f t="shared" si="4"/>
        <v>56483.1</v>
      </c>
      <c r="P16" s="20">
        <f t="shared" si="5"/>
        <v>88509.599999999991</v>
      </c>
      <c r="Q16" s="20">
        <f t="shared" si="6"/>
        <v>147.43999999999997</v>
      </c>
      <c r="R16" s="20">
        <f t="shared" si="12"/>
        <v>573252</v>
      </c>
      <c r="S16" s="20">
        <f t="shared" si="13"/>
        <v>535716</v>
      </c>
      <c r="T16" s="20">
        <f t="shared" si="14"/>
        <v>892.4</v>
      </c>
      <c r="U16" s="20">
        <f t="shared" si="15"/>
        <v>1398.3999999999999</v>
      </c>
      <c r="V16" s="20">
        <f t="shared" si="7"/>
        <v>158.87090744886024</v>
      </c>
      <c r="W16" s="20">
        <f t="shared" si="16"/>
        <v>-66.870907448860237</v>
      </c>
      <c r="X16" s="20">
        <f t="shared" si="17"/>
        <v>4471.7182630340312</v>
      </c>
      <c r="Y16" s="20">
        <f t="shared" si="18"/>
        <v>72.685768966152438</v>
      </c>
      <c r="Z16" s="20">
        <f t="shared" si="19"/>
        <v>8922.9822485207078</v>
      </c>
      <c r="AA16" s="3">
        <f t="shared" si="20"/>
        <v>761.24291967776094</v>
      </c>
    </row>
    <row r="17" spans="1:27" x14ac:dyDescent="0.3">
      <c r="A17" s="29">
        <v>5</v>
      </c>
      <c r="B17" s="20">
        <v>129</v>
      </c>
      <c r="C17" s="20">
        <v>3960</v>
      </c>
      <c r="D17" s="20">
        <v>4569</v>
      </c>
      <c r="E17" s="20">
        <v>13.5</v>
      </c>
      <c r="F17" s="20">
        <v>18.5</v>
      </c>
      <c r="G17" s="20">
        <f t="shared" si="8"/>
        <v>15681600</v>
      </c>
      <c r="H17" s="20">
        <f t="shared" si="9"/>
        <v>20875761</v>
      </c>
      <c r="I17" s="20">
        <f t="shared" si="10"/>
        <v>182.25</v>
      </c>
      <c r="J17" s="20">
        <f t="shared" si="11"/>
        <v>342.25</v>
      </c>
      <c r="K17" s="20">
        <f t="shared" si="0"/>
        <v>16641</v>
      </c>
      <c r="L17" s="20">
        <f t="shared" si="1"/>
        <v>18093240</v>
      </c>
      <c r="M17" s="20">
        <f t="shared" si="2"/>
        <v>53460</v>
      </c>
      <c r="N17" s="20">
        <f t="shared" si="3"/>
        <v>73260</v>
      </c>
      <c r="O17" s="20">
        <f t="shared" si="4"/>
        <v>61681.5</v>
      </c>
      <c r="P17" s="20">
        <f t="shared" si="5"/>
        <v>84526.5</v>
      </c>
      <c r="Q17" s="20">
        <f t="shared" si="6"/>
        <v>249.75</v>
      </c>
      <c r="R17" s="20">
        <f t="shared" si="12"/>
        <v>510840</v>
      </c>
      <c r="S17" s="20">
        <f t="shared" si="13"/>
        <v>589401</v>
      </c>
      <c r="T17" s="20">
        <f t="shared" si="14"/>
        <v>1741.5</v>
      </c>
      <c r="U17" s="20">
        <f t="shared" si="15"/>
        <v>2386.5</v>
      </c>
      <c r="V17" s="20">
        <f t="shared" si="7"/>
        <v>121.6526467919457</v>
      </c>
      <c r="W17" s="20">
        <f t="shared" si="16"/>
        <v>7.3473532080543009</v>
      </c>
      <c r="X17" s="20">
        <f t="shared" si="17"/>
        <v>53.983599163905829</v>
      </c>
      <c r="Y17" s="20">
        <f t="shared" si="18"/>
        <v>5.6956226419025588</v>
      </c>
      <c r="Z17" s="20">
        <f t="shared" si="19"/>
        <v>3301.828402366863</v>
      </c>
      <c r="AA17" s="3">
        <f t="shared" si="20"/>
        <v>4200.1924394410089</v>
      </c>
    </row>
    <row r="18" spans="1:27" x14ac:dyDescent="0.3">
      <c r="A18" s="29">
        <v>6</v>
      </c>
      <c r="B18" s="20">
        <v>223</v>
      </c>
      <c r="C18" s="20">
        <v>7354</v>
      </c>
      <c r="D18" s="20">
        <v>2896</v>
      </c>
      <c r="E18" s="20">
        <v>10.8</v>
      </c>
      <c r="F18" s="20">
        <v>18.600000000000001</v>
      </c>
      <c r="G18" s="20">
        <f t="shared" si="8"/>
        <v>54081316</v>
      </c>
      <c r="H18" s="20">
        <f t="shared" si="9"/>
        <v>8386816</v>
      </c>
      <c r="I18" s="20">
        <f t="shared" si="10"/>
        <v>116.64000000000001</v>
      </c>
      <c r="J18" s="20">
        <f t="shared" si="11"/>
        <v>345.96000000000004</v>
      </c>
      <c r="K18" s="20">
        <f t="shared" si="0"/>
        <v>49729</v>
      </c>
      <c r="L18" s="20">
        <f t="shared" si="1"/>
        <v>21297184</v>
      </c>
      <c r="M18" s="20">
        <f t="shared" si="2"/>
        <v>79423.200000000012</v>
      </c>
      <c r="N18" s="20">
        <f t="shared" si="3"/>
        <v>136784.40000000002</v>
      </c>
      <c r="O18" s="20">
        <f t="shared" si="4"/>
        <v>31276.800000000003</v>
      </c>
      <c r="P18" s="20">
        <f t="shared" si="5"/>
        <v>53865.600000000006</v>
      </c>
      <c r="Q18" s="20">
        <f t="shared" si="6"/>
        <v>200.88000000000002</v>
      </c>
      <c r="R18" s="20">
        <f t="shared" si="12"/>
        <v>1639942</v>
      </c>
      <c r="S18" s="20">
        <f t="shared" si="13"/>
        <v>645808</v>
      </c>
      <c r="T18" s="20">
        <f t="shared" si="14"/>
        <v>2408.4</v>
      </c>
      <c r="U18" s="20">
        <f t="shared" si="15"/>
        <v>4147.8</v>
      </c>
      <c r="V18" s="20">
        <f t="shared" si="7"/>
        <v>233.63123963361693</v>
      </c>
      <c r="W18" s="20">
        <f t="shared" si="16"/>
        <v>-10.631239633616929</v>
      </c>
      <c r="X18" s="20">
        <f t="shared" si="17"/>
        <v>113.0232561473874</v>
      </c>
      <c r="Y18" s="20">
        <f t="shared" si="18"/>
        <v>4.7673720330120757</v>
      </c>
      <c r="Z18" s="20">
        <f t="shared" si="19"/>
        <v>1335.0591715976338</v>
      </c>
      <c r="AA18" s="3">
        <f t="shared" si="20"/>
        <v>2224.9807086631818</v>
      </c>
    </row>
    <row r="19" spans="1:27" x14ac:dyDescent="0.3">
      <c r="A19" s="29">
        <v>7</v>
      </c>
      <c r="B19" s="20">
        <v>251</v>
      </c>
      <c r="C19" s="20">
        <v>4662</v>
      </c>
      <c r="D19" s="20">
        <v>3526</v>
      </c>
      <c r="E19" s="20">
        <v>12.1</v>
      </c>
      <c r="F19" s="20">
        <v>15.7</v>
      </c>
      <c r="G19" s="20">
        <f t="shared" si="8"/>
        <v>21734244</v>
      </c>
      <c r="H19" s="20">
        <f t="shared" si="9"/>
        <v>12432676</v>
      </c>
      <c r="I19" s="20">
        <f t="shared" si="10"/>
        <v>146.41</v>
      </c>
      <c r="J19" s="20">
        <f t="shared" si="11"/>
        <v>246.48999999999998</v>
      </c>
      <c r="K19" s="20">
        <f t="shared" si="0"/>
        <v>63001</v>
      </c>
      <c r="L19" s="20">
        <f t="shared" si="1"/>
        <v>16438212</v>
      </c>
      <c r="M19" s="20">
        <f t="shared" si="2"/>
        <v>56410.2</v>
      </c>
      <c r="N19" s="20">
        <f t="shared" si="3"/>
        <v>73193.399999999994</v>
      </c>
      <c r="O19" s="20">
        <f t="shared" si="4"/>
        <v>42664.6</v>
      </c>
      <c r="P19" s="20">
        <f t="shared" si="5"/>
        <v>55358.2</v>
      </c>
      <c r="Q19" s="20">
        <f t="shared" si="6"/>
        <v>189.97</v>
      </c>
      <c r="R19" s="20">
        <f t="shared" si="12"/>
        <v>1170162</v>
      </c>
      <c r="S19" s="20">
        <f t="shared" si="13"/>
        <v>885026</v>
      </c>
      <c r="T19" s="20">
        <f t="shared" si="14"/>
        <v>3037.1</v>
      </c>
      <c r="U19" s="20">
        <f t="shared" si="15"/>
        <v>3940.7</v>
      </c>
      <c r="V19" s="20">
        <f t="shared" si="7"/>
        <v>232.14106050119688</v>
      </c>
      <c r="W19" s="20">
        <f t="shared" si="16"/>
        <v>18.858939498803124</v>
      </c>
      <c r="X19" s="20">
        <f t="shared" si="17"/>
        <v>355.65959901951663</v>
      </c>
      <c r="Y19" s="20">
        <f t="shared" si="18"/>
        <v>7.5135217126705678</v>
      </c>
      <c r="Z19" s="20">
        <f t="shared" si="19"/>
        <v>4165.21301775148</v>
      </c>
      <c r="AA19" s="3">
        <f t="shared" si="20"/>
        <v>2086.6187337716397</v>
      </c>
    </row>
    <row r="20" spans="1:27" x14ac:dyDescent="0.3">
      <c r="A20" s="29">
        <v>8</v>
      </c>
      <c r="B20" s="20">
        <v>267</v>
      </c>
      <c r="C20" s="20">
        <v>4760</v>
      </c>
      <c r="D20" s="20">
        <v>2259</v>
      </c>
      <c r="E20" s="20">
        <v>11.7</v>
      </c>
      <c r="F20" s="20">
        <v>16.600000000000001</v>
      </c>
      <c r="G20" s="20">
        <f t="shared" si="8"/>
        <v>22657600</v>
      </c>
      <c r="H20" s="20">
        <f t="shared" si="9"/>
        <v>5103081</v>
      </c>
      <c r="I20" s="20">
        <f t="shared" si="10"/>
        <v>136.88999999999999</v>
      </c>
      <c r="J20" s="20">
        <f t="shared" si="11"/>
        <v>275.56000000000006</v>
      </c>
      <c r="K20" s="20">
        <f t="shared" si="0"/>
        <v>71289</v>
      </c>
      <c r="L20" s="20">
        <f t="shared" si="1"/>
        <v>10752840</v>
      </c>
      <c r="M20" s="20">
        <f t="shared" si="2"/>
        <v>55692</v>
      </c>
      <c r="N20" s="20">
        <f t="shared" si="3"/>
        <v>79016</v>
      </c>
      <c r="O20" s="20">
        <f t="shared" si="4"/>
        <v>26430.3</v>
      </c>
      <c r="P20" s="20">
        <f t="shared" si="5"/>
        <v>37499.4</v>
      </c>
      <c r="Q20" s="20">
        <f t="shared" si="6"/>
        <v>194.22</v>
      </c>
      <c r="R20" s="20">
        <f t="shared" si="12"/>
        <v>1270920</v>
      </c>
      <c r="S20" s="20">
        <f t="shared" si="13"/>
        <v>603153</v>
      </c>
      <c r="T20" s="20">
        <f t="shared" si="14"/>
        <v>3123.8999999999996</v>
      </c>
      <c r="U20" s="20">
        <f t="shared" si="15"/>
        <v>4432.2000000000007</v>
      </c>
      <c r="V20" s="20">
        <f t="shared" si="7"/>
        <v>242.27424425249075</v>
      </c>
      <c r="W20" s="20">
        <f t="shared" si="16"/>
        <v>24.725755747509254</v>
      </c>
      <c r="X20" s="20">
        <f t="shared" si="17"/>
        <v>611.36299728548693</v>
      </c>
      <c r="Y20" s="20">
        <f t="shared" si="18"/>
        <v>9.2605826769697579</v>
      </c>
      <c r="Z20" s="20">
        <f t="shared" si="19"/>
        <v>6486.4437869822495</v>
      </c>
      <c r="AA20" s="3">
        <f t="shared" si="20"/>
        <v>3115.0581277073998</v>
      </c>
    </row>
    <row r="21" spans="1:27" x14ac:dyDescent="0.3">
      <c r="A21" s="29">
        <v>9</v>
      </c>
      <c r="B21" s="20">
        <v>137</v>
      </c>
      <c r="C21" s="20">
        <v>4569</v>
      </c>
      <c r="D21" s="20">
        <v>4596</v>
      </c>
      <c r="E21" s="20">
        <v>13.7</v>
      </c>
      <c r="F21" s="20">
        <v>17.3</v>
      </c>
      <c r="G21" s="20">
        <f t="shared" si="8"/>
        <v>20875761</v>
      </c>
      <c r="H21" s="20">
        <f t="shared" si="9"/>
        <v>21123216</v>
      </c>
      <c r="I21" s="20">
        <f t="shared" si="10"/>
        <v>187.68999999999997</v>
      </c>
      <c r="J21" s="20">
        <f t="shared" si="11"/>
        <v>299.29000000000002</v>
      </c>
      <c r="K21" s="20">
        <f t="shared" si="0"/>
        <v>18769</v>
      </c>
      <c r="L21" s="20">
        <f t="shared" si="1"/>
        <v>20999124</v>
      </c>
      <c r="M21" s="20">
        <f t="shared" si="2"/>
        <v>62595.299999999996</v>
      </c>
      <c r="N21" s="20">
        <f t="shared" si="3"/>
        <v>79043.7</v>
      </c>
      <c r="O21" s="20">
        <f t="shared" si="4"/>
        <v>62965.2</v>
      </c>
      <c r="P21" s="20">
        <f t="shared" si="5"/>
        <v>79510.8</v>
      </c>
      <c r="Q21" s="20">
        <f t="shared" si="6"/>
        <v>237.01</v>
      </c>
      <c r="R21" s="20">
        <f t="shared" si="12"/>
        <v>625953</v>
      </c>
      <c r="S21" s="20">
        <f t="shared" si="13"/>
        <v>629652</v>
      </c>
      <c r="T21" s="20">
        <f t="shared" si="14"/>
        <v>1876.8999999999999</v>
      </c>
      <c r="U21" s="20">
        <f t="shared" si="15"/>
        <v>2370.1</v>
      </c>
      <c r="V21" s="20">
        <f t="shared" si="7"/>
        <v>186.59107410173726</v>
      </c>
      <c r="W21" s="20">
        <f t="shared" si="16"/>
        <v>-49.591074101737263</v>
      </c>
      <c r="X21" s="20">
        <f t="shared" si="17"/>
        <v>2459.2746305639962</v>
      </c>
      <c r="Y21" s="20">
        <f t="shared" si="18"/>
        <v>36.19786430783742</v>
      </c>
      <c r="Z21" s="20">
        <f t="shared" si="19"/>
        <v>2446.4437869822477</v>
      </c>
      <c r="AA21" s="3">
        <f t="shared" si="20"/>
        <v>1.6779482081715598E-2</v>
      </c>
    </row>
    <row r="22" spans="1:27" x14ac:dyDescent="0.3">
      <c r="A22" s="29">
        <v>10</v>
      </c>
      <c r="B22" s="20">
        <v>163</v>
      </c>
      <c r="C22" s="20">
        <v>5274</v>
      </c>
      <c r="D22" s="20">
        <v>3271</v>
      </c>
      <c r="E22" s="20">
        <v>12.5</v>
      </c>
      <c r="F22" s="20">
        <v>19.3</v>
      </c>
      <c r="G22" s="20">
        <f t="shared" si="8"/>
        <v>27815076</v>
      </c>
      <c r="H22" s="20">
        <f t="shared" si="9"/>
        <v>10699441</v>
      </c>
      <c r="I22" s="20">
        <f t="shared" si="10"/>
        <v>156.25</v>
      </c>
      <c r="J22" s="20">
        <f t="shared" si="11"/>
        <v>372.49</v>
      </c>
      <c r="K22" s="20">
        <f t="shared" si="0"/>
        <v>26569</v>
      </c>
      <c r="L22" s="20">
        <f t="shared" si="1"/>
        <v>17251254</v>
      </c>
      <c r="M22" s="20">
        <f t="shared" si="2"/>
        <v>65925</v>
      </c>
      <c r="N22" s="20">
        <f t="shared" si="3"/>
        <v>101788.2</v>
      </c>
      <c r="O22" s="20">
        <f t="shared" si="4"/>
        <v>40887.5</v>
      </c>
      <c r="P22" s="20">
        <f t="shared" si="5"/>
        <v>63130.3</v>
      </c>
      <c r="Q22" s="20">
        <f t="shared" si="6"/>
        <v>241.25</v>
      </c>
      <c r="R22" s="20">
        <f t="shared" si="12"/>
        <v>859662</v>
      </c>
      <c r="S22" s="20">
        <f t="shared" si="13"/>
        <v>533173</v>
      </c>
      <c r="T22" s="20">
        <f t="shared" si="14"/>
        <v>2037.5</v>
      </c>
      <c r="U22" s="20">
        <f t="shared" si="15"/>
        <v>3145.9</v>
      </c>
      <c r="V22" s="20">
        <f t="shared" si="7"/>
        <v>166.16417978537322</v>
      </c>
      <c r="W22" s="20">
        <f t="shared" si="16"/>
        <v>-3.1641797853732214</v>
      </c>
      <c r="X22" s="20">
        <f t="shared" si="17"/>
        <v>10.012033714164525</v>
      </c>
      <c r="Y22" s="20">
        <f t="shared" si="18"/>
        <v>1.94121459225351</v>
      </c>
      <c r="Z22" s="20">
        <f t="shared" si="19"/>
        <v>550.44378698224807</v>
      </c>
      <c r="AA22" s="3">
        <f t="shared" si="20"/>
        <v>411.9827692289</v>
      </c>
    </row>
    <row r="23" spans="1:27" x14ac:dyDescent="0.3">
      <c r="A23" s="29">
        <v>11</v>
      </c>
      <c r="B23" s="20">
        <v>225</v>
      </c>
      <c r="C23" s="20">
        <v>5418</v>
      </c>
      <c r="D23" s="20">
        <v>4596</v>
      </c>
      <c r="E23" s="20">
        <v>12.8</v>
      </c>
      <c r="F23" s="20">
        <v>17.8</v>
      </c>
      <c r="G23" s="20">
        <f t="shared" si="8"/>
        <v>29354724</v>
      </c>
      <c r="H23" s="20">
        <f t="shared" si="9"/>
        <v>21123216</v>
      </c>
      <c r="I23" s="20">
        <f t="shared" si="10"/>
        <v>163.84000000000003</v>
      </c>
      <c r="J23" s="20">
        <f t="shared" si="11"/>
        <v>316.84000000000003</v>
      </c>
      <c r="K23" s="20">
        <f t="shared" si="0"/>
        <v>50625</v>
      </c>
      <c r="L23" s="20">
        <f t="shared" si="1"/>
        <v>24901128</v>
      </c>
      <c r="M23" s="20">
        <f t="shared" si="2"/>
        <v>69350.400000000009</v>
      </c>
      <c r="N23" s="20">
        <f t="shared" si="3"/>
        <v>96440.400000000009</v>
      </c>
      <c r="O23" s="20">
        <f t="shared" si="4"/>
        <v>58828.800000000003</v>
      </c>
      <c r="P23" s="20">
        <f t="shared" si="5"/>
        <v>81808.800000000003</v>
      </c>
      <c r="Q23" s="20">
        <f t="shared" si="6"/>
        <v>227.84000000000003</v>
      </c>
      <c r="R23" s="20">
        <f t="shared" si="12"/>
        <v>1219050</v>
      </c>
      <c r="S23" s="20">
        <f t="shared" si="13"/>
        <v>1034100</v>
      </c>
      <c r="T23" s="20">
        <f t="shared" si="14"/>
        <v>2880</v>
      </c>
      <c r="U23" s="20">
        <f t="shared" si="15"/>
        <v>4005</v>
      </c>
      <c r="V23" s="20">
        <f t="shared" si="7"/>
        <v>178.86414237665508</v>
      </c>
      <c r="W23" s="20">
        <f t="shared" si="16"/>
        <v>46.135857623344918</v>
      </c>
      <c r="X23" s="20">
        <f t="shared" si="17"/>
        <v>2128.5173586415535</v>
      </c>
      <c r="Y23" s="20">
        <f t="shared" si="18"/>
        <v>20.504825610375519</v>
      </c>
      <c r="Z23" s="20">
        <f t="shared" si="19"/>
        <v>1485.21301775148</v>
      </c>
      <c r="AA23" s="3">
        <f t="shared" si="20"/>
        <v>57.720427270601178</v>
      </c>
    </row>
    <row r="24" spans="1:27" x14ac:dyDescent="0.3">
      <c r="A24" s="29">
        <v>12</v>
      </c>
      <c r="B24" s="20">
        <v>278</v>
      </c>
      <c r="C24" s="20">
        <v>5359</v>
      </c>
      <c r="D24" s="20">
        <v>3256</v>
      </c>
      <c r="E24" s="20">
        <v>11.2</v>
      </c>
      <c r="F24" s="20">
        <v>14.5</v>
      </c>
      <c r="G24" s="20">
        <f t="shared" si="8"/>
        <v>28718881</v>
      </c>
      <c r="H24" s="20">
        <f t="shared" si="9"/>
        <v>10601536</v>
      </c>
      <c r="I24" s="20">
        <f t="shared" si="10"/>
        <v>125.43999999999998</v>
      </c>
      <c r="J24" s="20">
        <f t="shared" si="11"/>
        <v>210.25</v>
      </c>
      <c r="K24" s="20">
        <f t="shared" si="0"/>
        <v>77284</v>
      </c>
      <c r="L24" s="20">
        <f t="shared" si="1"/>
        <v>17448904</v>
      </c>
      <c r="M24" s="20">
        <f t="shared" si="2"/>
        <v>60020.799999999996</v>
      </c>
      <c r="N24" s="20">
        <f t="shared" si="3"/>
        <v>77705.5</v>
      </c>
      <c r="O24" s="20">
        <f t="shared" si="4"/>
        <v>36467.199999999997</v>
      </c>
      <c r="P24" s="20">
        <f t="shared" si="5"/>
        <v>47212</v>
      </c>
      <c r="Q24" s="20">
        <f t="shared" si="6"/>
        <v>162.39999999999998</v>
      </c>
      <c r="R24" s="20">
        <f t="shared" si="12"/>
        <v>1489802</v>
      </c>
      <c r="S24" s="20">
        <f t="shared" si="13"/>
        <v>905168</v>
      </c>
      <c r="T24" s="20">
        <f t="shared" si="14"/>
        <v>3113.6</v>
      </c>
      <c r="U24" s="20">
        <f t="shared" si="15"/>
        <v>4031</v>
      </c>
      <c r="V24" s="20">
        <f t="shared" si="7"/>
        <v>280.09371395108121</v>
      </c>
      <c r="W24" s="20">
        <f t="shared" si="16"/>
        <v>-2.0937139510812131</v>
      </c>
      <c r="X24" s="20">
        <f t="shared" si="17"/>
        <v>4.3836381089521046</v>
      </c>
      <c r="Y24" s="20">
        <f t="shared" si="18"/>
        <v>0.75313451477741478</v>
      </c>
      <c r="Z24" s="20">
        <f t="shared" si="19"/>
        <v>8379.2899408284047</v>
      </c>
      <c r="AA24" s="3">
        <f t="shared" si="20"/>
        <v>8766.9842869045315</v>
      </c>
    </row>
    <row r="25" spans="1:27" x14ac:dyDescent="0.3">
      <c r="A25" s="29">
        <v>13</v>
      </c>
      <c r="B25" s="20">
        <v>367</v>
      </c>
      <c r="C25" s="20">
        <v>8254</v>
      </c>
      <c r="D25" s="20">
        <v>5189</v>
      </c>
      <c r="E25" s="20">
        <v>10.4</v>
      </c>
      <c r="F25" s="20">
        <v>13.7</v>
      </c>
      <c r="G25" s="20">
        <f t="shared" si="8"/>
        <v>68128516</v>
      </c>
      <c r="H25" s="20">
        <f t="shared" si="9"/>
        <v>26925721</v>
      </c>
      <c r="I25" s="20">
        <f t="shared" si="10"/>
        <v>108.16000000000001</v>
      </c>
      <c r="J25" s="20">
        <f t="shared" si="11"/>
        <v>187.68999999999997</v>
      </c>
      <c r="K25" s="20">
        <f t="shared" si="0"/>
        <v>134689</v>
      </c>
      <c r="L25" s="20">
        <f t="shared" si="1"/>
        <v>42830006</v>
      </c>
      <c r="M25" s="20">
        <f t="shared" si="2"/>
        <v>85841.600000000006</v>
      </c>
      <c r="N25" s="20">
        <f t="shared" si="3"/>
        <v>113079.79999999999</v>
      </c>
      <c r="O25" s="20">
        <f t="shared" si="4"/>
        <v>53965.599999999999</v>
      </c>
      <c r="P25" s="20">
        <f t="shared" si="5"/>
        <v>71089.3</v>
      </c>
      <c r="Q25" s="20">
        <f t="shared" si="6"/>
        <v>142.47999999999999</v>
      </c>
      <c r="R25" s="20">
        <f t="shared" si="12"/>
        <v>3029218</v>
      </c>
      <c r="S25" s="20">
        <f t="shared" si="13"/>
        <v>1904363</v>
      </c>
      <c r="T25" s="20">
        <f t="shared" si="14"/>
        <v>3816.8</v>
      </c>
      <c r="U25" s="20">
        <f t="shared" si="15"/>
        <v>5027.8999999999996</v>
      </c>
      <c r="V25" s="20">
        <f t="shared" si="7"/>
        <v>325.36650198950559</v>
      </c>
      <c r="W25" s="20">
        <f t="shared" si="16"/>
        <v>41.633498010494407</v>
      </c>
      <c r="X25" s="20">
        <f t="shared" si="17"/>
        <v>1733.3481565898417</v>
      </c>
      <c r="Y25" s="20">
        <f t="shared" si="18"/>
        <v>11.344277387055698</v>
      </c>
      <c r="Z25" s="20">
        <f t="shared" si="19"/>
        <v>32594.136094674559</v>
      </c>
      <c r="AA25" s="3">
        <f t="shared" si="20"/>
        <v>19294.58889270588</v>
      </c>
    </row>
    <row r="26" spans="1:27" x14ac:dyDescent="0.3">
      <c r="A26" s="20" t="s">
        <v>20</v>
      </c>
      <c r="B26" s="20">
        <f>SUM(B13:B25)</f>
        <v>2424</v>
      </c>
      <c r="C26" s="20">
        <f t="shared" ref="C26:J26" si="21">SUM(C13:C25)</f>
        <v>66995</v>
      </c>
      <c r="D26" s="20">
        <f t="shared" si="21"/>
        <v>51165</v>
      </c>
      <c r="E26" s="20">
        <f t="shared" si="21"/>
        <v>153.79999999999998</v>
      </c>
      <c r="F26" s="20">
        <f t="shared" si="21"/>
        <v>222.20000000000005</v>
      </c>
      <c r="G26" s="20">
        <f t="shared" si="21"/>
        <v>370408699</v>
      </c>
      <c r="H26" s="20">
        <f t="shared" si="21"/>
        <v>219252593</v>
      </c>
      <c r="I26" s="20">
        <f t="shared" si="21"/>
        <v>1836.24</v>
      </c>
      <c r="J26" s="20">
        <f t="shared" si="21"/>
        <v>3837.2000000000003</v>
      </c>
      <c r="K26" s="20">
        <f t="shared" ref="K26:Q26" si="22">SUM(K13:K25)</f>
        <v>546094</v>
      </c>
      <c r="L26" s="20">
        <f t="shared" si="22"/>
        <v>268767865</v>
      </c>
      <c r="M26" s="20">
        <f t="shared" si="22"/>
        <v>781718.40000000014</v>
      </c>
      <c r="N26" s="20">
        <f t="shared" si="22"/>
        <v>1128484.3999999999</v>
      </c>
      <c r="O26" s="20">
        <f t="shared" si="22"/>
        <v>604020.79999999993</v>
      </c>
      <c r="P26" s="20">
        <f t="shared" si="22"/>
        <v>866409.30000000016</v>
      </c>
      <c r="Q26" s="20">
        <f t="shared" si="22"/>
        <v>2641.3500000000004</v>
      </c>
      <c r="R26" s="20">
        <f t="shared" ref="R26" si="23">SUM(R13:R25)</f>
        <v>13486591</v>
      </c>
      <c r="S26" s="20">
        <f t="shared" ref="S26" si="24">SUM(S13:S25)</f>
        <v>9312580</v>
      </c>
      <c r="T26" s="20">
        <f t="shared" ref="T26" si="25">SUM(T13:T25)</f>
        <v>28387.999999999996</v>
      </c>
      <c r="U26" s="20">
        <f t="shared" ref="U26:W26" si="26">SUM(U13:U25)</f>
        <v>40229.700000000004</v>
      </c>
      <c r="V26" s="20">
        <f t="shared" si="26"/>
        <v>2424.0000000000027</v>
      </c>
      <c r="W26" s="48">
        <f t="shared" si="26"/>
        <v>-2.5579538487363607E-12</v>
      </c>
      <c r="X26" s="20">
        <f>SUM(X13:X25)</f>
        <v>18891.960432507924</v>
      </c>
      <c r="Y26" s="20">
        <f>SUM(Y13:Y25)</f>
        <v>302.01444990951683</v>
      </c>
      <c r="Z26" s="20">
        <f>SUM(Z13:Z25)</f>
        <v>94111.230769230766</v>
      </c>
      <c r="AA26" s="20">
        <f>SUM(AA13:AA25)</f>
        <v>75219.270336722853</v>
      </c>
    </row>
    <row r="27" spans="1:27" x14ac:dyDescent="0.3">
      <c r="A27" s="20" t="s">
        <v>21</v>
      </c>
      <c r="B27" s="20">
        <f>AVERAGE(B13:B25)</f>
        <v>186.46153846153845</v>
      </c>
      <c r="C27" s="20">
        <f t="shared" ref="C27:W27" si="27">AVERAGE(C13:C25)</f>
        <v>5153.4615384615381</v>
      </c>
      <c r="D27" s="20">
        <f t="shared" si="27"/>
        <v>3935.7692307692309</v>
      </c>
      <c r="E27" s="20">
        <f t="shared" si="27"/>
        <v>11.83076923076923</v>
      </c>
      <c r="F27" s="20">
        <f t="shared" si="27"/>
        <v>17.092307692307696</v>
      </c>
      <c r="G27" s="20">
        <f t="shared" si="27"/>
        <v>28492976.846153848</v>
      </c>
      <c r="H27" s="20">
        <f t="shared" si="27"/>
        <v>16865584.076923076</v>
      </c>
      <c r="I27" s="20">
        <f t="shared" si="27"/>
        <v>141.24923076923076</v>
      </c>
      <c r="J27" s="20">
        <f t="shared" si="27"/>
        <v>295.16923076923081</v>
      </c>
      <c r="K27" s="20">
        <f t="shared" ref="K27:Q27" si="28">AVERAGE(K13:K25)</f>
        <v>42007.230769230766</v>
      </c>
      <c r="L27" s="20">
        <f t="shared" si="28"/>
        <v>20674451.153846152</v>
      </c>
      <c r="M27" s="20">
        <f t="shared" si="28"/>
        <v>60132.184615384627</v>
      </c>
      <c r="N27" s="20">
        <f t="shared" si="28"/>
        <v>86806.492307692301</v>
      </c>
      <c r="O27" s="20">
        <f t="shared" si="28"/>
        <v>46463.13846153846</v>
      </c>
      <c r="P27" s="20">
        <f t="shared" si="28"/>
        <v>66646.86923076924</v>
      </c>
      <c r="Q27" s="20">
        <f t="shared" si="28"/>
        <v>203.18076923076927</v>
      </c>
      <c r="R27" s="20">
        <f t="shared" si="27"/>
        <v>1037430.0769230769</v>
      </c>
      <c r="S27" s="20">
        <f t="shared" si="27"/>
        <v>716352.30769230775</v>
      </c>
      <c r="T27" s="20">
        <f t="shared" si="27"/>
        <v>2183.6923076923076</v>
      </c>
      <c r="U27" s="20">
        <f t="shared" si="27"/>
        <v>3094.5923076923082</v>
      </c>
      <c r="V27" s="20">
        <f t="shared" si="27"/>
        <v>186.46153846153868</v>
      </c>
      <c r="W27" s="48">
        <f t="shared" si="27"/>
        <v>-1.9676568067202775E-13</v>
      </c>
      <c r="X27" s="20">
        <f>AVERAGE(X13:X25)</f>
        <v>1453.2277255775325</v>
      </c>
      <c r="Y27" s="20">
        <f>AVERAGE(Y13:Y25)</f>
        <v>23.231880762270524</v>
      </c>
      <c r="Z27" s="20">
        <f>AVERAGE(Z13:Z25)</f>
        <v>7239.3254437869819</v>
      </c>
      <c r="AA27" s="20">
        <f>AVERAGE(AA13:AA25)</f>
        <v>5786.0977182094502</v>
      </c>
    </row>
    <row r="28" spans="1:27" x14ac:dyDescent="0.3">
      <c r="A28" s="20" t="s">
        <v>22</v>
      </c>
      <c r="B28" s="20">
        <f>SQRT(B29)</f>
        <v>85.084225587278993</v>
      </c>
      <c r="C28" s="20">
        <f t="shared" ref="C28:F28" si="29">SQRT(C29)</f>
        <v>1390.9748443992362</v>
      </c>
      <c r="D28" s="20">
        <f t="shared" si="29"/>
        <v>1172.7338312904826</v>
      </c>
      <c r="E28" s="20">
        <f t="shared" si="29"/>
        <v>1.1323118729019814</v>
      </c>
      <c r="F28" s="20">
        <f t="shared" si="29"/>
        <v>1.7384615384615172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3"/>
    </row>
    <row r="29" spans="1:27" x14ac:dyDescent="0.3">
      <c r="A29" s="20" t="s">
        <v>23</v>
      </c>
      <c r="B29" s="20">
        <f>_xlfn.VAR.P(B13:B25)</f>
        <v>7239.3254437869819</v>
      </c>
      <c r="C29" s="20">
        <f t="shared" ref="C29:F29" si="30">_xlfn.VAR.P(C13:C25)</f>
        <v>1934811.0177514793</v>
      </c>
      <c r="D29" s="20">
        <f t="shared" si="30"/>
        <v>1375304.6390532544</v>
      </c>
      <c r="E29" s="20">
        <f t="shared" si="30"/>
        <v>1.2821301775147931</v>
      </c>
      <c r="F29" s="20">
        <f t="shared" si="30"/>
        <v>3.0222485207099852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3"/>
    </row>
    <row r="31" spans="1:27" ht="15.6" x14ac:dyDescent="0.3">
      <c r="A31" s="34" t="s">
        <v>24</v>
      </c>
      <c r="B31" s="35"/>
      <c r="C31" s="35"/>
      <c r="D31" s="35"/>
      <c r="E31" s="35"/>
      <c r="F31" s="35"/>
      <c r="G31" s="35"/>
    </row>
    <row r="32" spans="1:27" ht="103.95" customHeight="1" x14ac:dyDescent="0.3">
      <c r="A32" s="158"/>
      <c r="B32" s="158"/>
      <c r="C32" s="158"/>
      <c r="D32" s="158"/>
      <c r="E32" s="158"/>
      <c r="F32" s="158"/>
      <c r="G32" s="158"/>
      <c r="H32" s="158"/>
    </row>
    <row r="33" spans="1:6" x14ac:dyDescent="0.3">
      <c r="A33" s="19" t="s">
        <v>25</v>
      </c>
    </row>
    <row r="34" spans="1:6" x14ac:dyDescent="0.3">
      <c r="A34" s="1"/>
      <c r="B34" s="7">
        <v>13</v>
      </c>
      <c r="C34" s="8">
        <f>C26</f>
        <v>66995</v>
      </c>
      <c r="D34" s="8">
        <f>D26</f>
        <v>51165</v>
      </c>
      <c r="E34" s="8">
        <f>E26</f>
        <v>153.79999999999998</v>
      </c>
      <c r="F34" s="9">
        <f>F26</f>
        <v>222.20000000000005</v>
      </c>
    </row>
    <row r="35" spans="1:6" x14ac:dyDescent="0.3">
      <c r="B35" s="10">
        <f>C26</f>
        <v>66995</v>
      </c>
      <c r="C35" s="11">
        <f>G26</f>
        <v>370408699</v>
      </c>
      <c r="D35" s="11">
        <f>L26</f>
        <v>268767865</v>
      </c>
      <c r="E35" s="11">
        <f>M26</f>
        <v>781718.40000000014</v>
      </c>
      <c r="F35" s="12">
        <f>N26</f>
        <v>1128484.3999999999</v>
      </c>
    </row>
    <row r="36" spans="1:6" x14ac:dyDescent="0.3">
      <c r="A36" s="19" t="s">
        <v>26</v>
      </c>
      <c r="B36" s="10">
        <f>D26</f>
        <v>51165</v>
      </c>
      <c r="C36" s="11">
        <f>L26</f>
        <v>268767865</v>
      </c>
      <c r="D36" s="11">
        <f>H26</f>
        <v>219252593</v>
      </c>
      <c r="E36" s="11">
        <f>O26</f>
        <v>604020.79999999993</v>
      </c>
      <c r="F36" s="12">
        <f>P26</f>
        <v>866409.30000000016</v>
      </c>
    </row>
    <row r="37" spans="1:6" x14ac:dyDescent="0.3">
      <c r="B37" s="10">
        <f>E26</f>
        <v>153.79999999999998</v>
      </c>
      <c r="C37" s="11">
        <f>M26</f>
        <v>781718.40000000014</v>
      </c>
      <c r="D37" s="11">
        <f>O26</f>
        <v>604020.79999999993</v>
      </c>
      <c r="E37" s="11">
        <f>I26</f>
        <v>1836.24</v>
      </c>
      <c r="F37" s="12">
        <f>Q26</f>
        <v>2641.3500000000004</v>
      </c>
    </row>
    <row r="38" spans="1:6" x14ac:dyDescent="0.3">
      <c r="B38" s="13">
        <f>F26</f>
        <v>222.20000000000005</v>
      </c>
      <c r="C38" s="14">
        <f>N26</f>
        <v>1128484.3999999999</v>
      </c>
      <c r="D38" s="14">
        <f>P26</f>
        <v>866409.30000000016</v>
      </c>
      <c r="E38" s="14">
        <f>Q26</f>
        <v>2641.3500000000004</v>
      </c>
      <c r="F38" s="15">
        <f>J26</f>
        <v>3837.2000000000003</v>
      </c>
    </row>
    <row r="40" spans="1:6" x14ac:dyDescent="0.3">
      <c r="A40" s="19"/>
      <c r="B40" s="59">
        <f>B26</f>
        <v>2424</v>
      </c>
    </row>
    <row r="41" spans="1:6" x14ac:dyDescent="0.3">
      <c r="B41" s="60">
        <f>R26</f>
        <v>13486591</v>
      </c>
    </row>
    <row r="42" spans="1:6" x14ac:dyDescent="0.3">
      <c r="A42" s="19" t="s">
        <v>27</v>
      </c>
      <c r="B42" s="60">
        <f>S26</f>
        <v>9312580</v>
      </c>
    </row>
    <row r="43" spans="1:6" x14ac:dyDescent="0.3">
      <c r="B43" s="60">
        <f>T26</f>
        <v>28387.999999999996</v>
      </c>
    </row>
    <row r="44" spans="1:6" x14ac:dyDescent="0.3">
      <c r="B44" s="61">
        <f>U26</f>
        <v>40229.700000000004</v>
      </c>
    </row>
    <row r="45" spans="1:6" ht="24" customHeight="1" x14ac:dyDescent="0.3"/>
    <row r="46" spans="1:6" x14ac:dyDescent="0.3">
      <c r="A46" s="17"/>
      <c r="B46" s="62">
        <f t="array" ref="B46:F50">MINVERSE(B34:F38)</f>
        <v>26.814967864611191</v>
      </c>
      <c r="C46" s="63">
        <v>-9.2714807968131453E-4</v>
      </c>
      <c r="D46" s="63">
        <v>-2.9568966192661413E-4</v>
      </c>
      <c r="E46" s="63">
        <v>-0.88145896124107603</v>
      </c>
      <c r="F46" s="64">
        <v>-0.60658391921846544</v>
      </c>
    </row>
    <row r="47" spans="1:6" x14ac:dyDescent="0.3">
      <c r="B47" s="65">
        <v>-9.2714807968131236E-4</v>
      </c>
      <c r="C47" s="66">
        <v>6.5097405067667388E-8</v>
      </c>
      <c r="D47" s="66">
        <v>-9.0239433115911996E-9</v>
      </c>
      <c r="E47" s="66">
        <v>2.959820153241045E-5</v>
      </c>
      <c r="F47" s="67">
        <v>1.6207160428449682E-5</v>
      </c>
    </row>
    <row r="48" spans="1:6" x14ac:dyDescent="0.3">
      <c r="A48" s="16"/>
      <c r="B48" s="65">
        <v>-2.9568966192662448E-4</v>
      </c>
      <c r="C48" s="66">
        <v>-9.0239433115908621E-9</v>
      </c>
      <c r="D48" s="66">
        <v>6.3481876382546998E-8</v>
      </c>
      <c r="E48" s="66">
        <v>-1.0462423565788779E-5</v>
      </c>
      <c r="F48" s="67">
        <v>1.2644442963597858E-5</v>
      </c>
    </row>
    <row r="49" spans="1:6" x14ac:dyDescent="0.3">
      <c r="B49" s="65">
        <v>-0.88145896124107614</v>
      </c>
      <c r="C49" s="66">
        <v>2.9598201532410752E-5</v>
      </c>
      <c r="D49" s="66">
        <v>-1.0462423565789558E-5</v>
      </c>
      <c r="E49" s="66">
        <v>9.3115557156584872E-2</v>
      </c>
      <c r="F49" s="67">
        <v>-1.9396164736584159E-2</v>
      </c>
    </row>
    <row r="50" spans="1:6" x14ac:dyDescent="0.3">
      <c r="B50" s="68">
        <v>-0.606583919218464</v>
      </c>
      <c r="C50" s="69">
        <v>1.6207160428449523E-5</v>
      </c>
      <c r="D50" s="69">
        <v>1.2644442963597897E-5</v>
      </c>
      <c r="E50" s="69">
        <v>-1.9396164736584245E-2</v>
      </c>
      <c r="F50" s="70">
        <v>4.1115974118767877E-2</v>
      </c>
    </row>
    <row r="51" spans="1:6" ht="15.6" customHeight="1" x14ac:dyDescent="0.3"/>
    <row r="52" spans="1:6" ht="15.6" customHeight="1" x14ac:dyDescent="0.3">
      <c r="A52" s="18"/>
      <c r="B52" s="32">
        <f t="array" ref="B52:B56">MMULT(B46:F50,B40:B44)</f>
        <v>316.23543816091478</v>
      </c>
      <c r="C52" s="11" t="s">
        <v>28</v>
      </c>
    </row>
    <row r="53" spans="1:6" x14ac:dyDescent="0.3">
      <c r="B53" s="32">
        <v>3.8741885147268174E-2</v>
      </c>
      <c r="C53" s="11" t="s">
        <v>29</v>
      </c>
    </row>
    <row r="54" spans="1:6" x14ac:dyDescent="0.3">
      <c r="B54" s="32">
        <v>-3.5599053891128829E-2</v>
      </c>
      <c r="C54" s="11" t="s">
        <v>30</v>
      </c>
    </row>
    <row r="55" spans="1:6" x14ac:dyDescent="0.3">
      <c r="B55" s="32">
        <v>28.152707962299019</v>
      </c>
      <c r="C55" s="11" t="s">
        <v>31</v>
      </c>
    </row>
    <row r="56" spans="1:6" x14ac:dyDescent="0.3">
      <c r="B56" s="32">
        <v>-30.562710098088019</v>
      </c>
      <c r="C56" s="11" t="s">
        <v>32</v>
      </c>
    </row>
    <row r="58" spans="1:6" ht="15.6" x14ac:dyDescent="0.3">
      <c r="A58" s="36" t="s">
        <v>33</v>
      </c>
      <c r="B58" s="35"/>
    </row>
    <row r="59" spans="1:6" x14ac:dyDescent="0.3">
      <c r="B59" s="11"/>
      <c r="C59" s="11"/>
      <c r="D59" s="11"/>
      <c r="E59" s="11"/>
      <c r="F59" s="11"/>
    </row>
    <row r="60" spans="1:6" x14ac:dyDescent="0.3">
      <c r="B60" s="7" t="s">
        <v>32</v>
      </c>
      <c r="C60" s="8" t="s">
        <v>31</v>
      </c>
      <c r="D60" s="8" t="s">
        <v>30</v>
      </c>
      <c r="E60" s="8" t="s">
        <v>29</v>
      </c>
      <c r="F60" s="9" t="s">
        <v>28</v>
      </c>
    </row>
    <row r="61" spans="1:6" x14ac:dyDescent="0.3">
      <c r="B61" s="22">
        <f t="array" ref="B61:F65">LINEST(B13:B25,C13:F25,1,1)</f>
        <v>-30.562710098086576</v>
      </c>
      <c r="C61" s="23">
        <v>28.152707962301932</v>
      </c>
      <c r="D61" s="23">
        <v>-3.5599053891128808E-2</v>
      </c>
      <c r="E61" s="23">
        <v>3.8741885147270672E-2</v>
      </c>
      <c r="F61" s="24">
        <v>316.23543816084691</v>
      </c>
    </row>
    <row r="62" spans="1:6" x14ac:dyDescent="0.3">
      <c r="B62" s="10">
        <v>9.8536881178808926</v>
      </c>
      <c r="C62" s="11">
        <v>14.828753409563877</v>
      </c>
      <c r="D62" s="11">
        <v>1.2243861200620277E-2</v>
      </c>
      <c r="E62" s="11">
        <v>1.2398677352833377E-2</v>
      </c>
      <c r="F62" s="12">
        <v>251.64143932816202</v>
      </c>
    </row>
    <row r="63" spans="1:6" x14ac:dyDescent="0.3">
      <c r="B63" s="10">
        <v>0.799259235289009</v>
      </c>
      <c r="C63" s="11">
        <v>48.59521637016848</v>
      </c>
      <c r="D63" s="11" t="e">
        <v>#N/A</v>
      </c>
      <c r="E63" s="11" t="e">
        <v>#N/A</v>
      </c>
      <c r="F63" s="12" t="e">
        <v>#N/A</v>
      </c>
    </row>
    <row r="64" spans="1:6" x14ac:dyDescent="0.3">
      <c r="B64" s="10">
        <v>7.9630984413127317</v>
      </c>
      <c r="C64" s="11">
        <v>8</v>
      </c>
      <c r="D64" s="11" t="e">
        <v>#N/A</v>
      </c>
      <c r="E64" s="11" t="e">
        <v>#N/A</v>
      </c>
      <c r="F64" s="12" t="e">
        <v>#N/A</v>
      </c>
    </row>
    <row r="65" spans="1:13" x14ac:dyDescent="0.3">
      <c r="B65" s="13">
        <v>75219.270336722839</v>
      </c>
      <c r="C65" s="14">
        <v>18891.960432507927</v>
      </c>
      <c r="D65" s="14" t="e">
        <v>#N/A</v>
      </c>
      <c r="E65" s="14" t="e">
        <v>#N/A</v>
      </c>
      <c r="F65" s="15" t="e">
        <v>#N/A</v>
      </c>
    </row>
    <row r="67" spans="1:13" ht="17.399999999999999" x14ac:dyDescent="0.35">
      <c r="A67" s="26" t="s">
        <v>34</v>
      </c>
      <c r="B67" s="25"/>
      <c r="C67" s="25"/>
      <c r="D67" s="25"/>
      <c r="E67" s="25"/>
      <c r="F67" s="25"/>
    </row>
    <row r="69" spans="1:13" ht="15.6" x14ac:dyDescent="0.3">
      <c r="A69" s="37" t="s">
        <v>35</v>
      </c>
      <c r="B69" s="38"/>
      <c r="C69" s="38"/>
      <c r="D69" s="38"/>
      <c r="E69" s="38"/>
      <c r="F69" s="38"/>
      <c r="G69" s="38"/>
    </row>
    <row r="71" spans="1:13" s="30" customFormat="1" ht="16.95" customHeight="1" x14ac:dyDescent="0.3">
      <c r="A71" s="121">
        <v>3.8741885147268174E-2</v>
      </c>
      <c r="B71" s="121" t="s">
        <v>29</v>
      </c>
      <c r="C71" s="88" t="s">
        <v>246</v>
      </c>
    </row>
    <row r="72" spans="1:13" s="30" customFormat="1" ht="16.95" customHeight="1" x14ac:dyDescent="0.3">
      <c r="A72" s="121">
        <v>-3.5599053891128829E-2</v>
      </c>
      <c r="B72" s="121" t="s">
        <v>30</v>
      </c>
      <c r="C72" s="88" t="s">
        <v>244</v>
      </c>
    </row>
    <row r="73" spans="1:13" s="30" customFormat="1" ht="16.95" customHeight="1" x14ac:dyDescent="0.3">
      <c r="A73" s="121">
        <v>28.152707962299019</v>
      </c>
      <c r="B73" s="121" t="s">
        <v>31</v>
      </c>
      <c r="C73" s="88" t="s">
        <v>243</v>
      </c>
    </row>
    <row r="74" spans="1:13" s="30" customFormat="1" ht="16.95" customHeight="1" x14ac:dyDescent="0.3">
      <c r="A74" s="121">
        <v>-30.562710098088019</v>
      </c>
      <c r="B74" s="121" t="s">
        <v>32</v>
      </c>
      <c r="C74" s="88" t="s">
        <v>245</v>
      </c>
    </row>
    <row r="76" spans="1:13" ht="15.6" x14ac:dyDescent="0.3">
      <c r="A76" s="36" t="s">
        <v>36</v>
      </c>
      <c r="B76" s="39"/>
      <c r="C76" s="39"/>
      <c r="D76" s="39"/>
      <c r="E76" s="39"/>
      <c r="F76" s="39"/>
      <c r="G76" s="39"/>
      <c r="H76" s="35"/>
      <c r="I76" s="35"/>
      <c r="J76" s="35"/>
      <c r="K76" s="35"/>
      <c r="L76" s="35"/>
      <c r="M76" s="35"/>
    </row>
    <row r="77" spans="1:13" ht="25.8" customHeight="1" x14ac:dyDescent="0.3">
      <c r="A77" s="43" t="s">
        <v>247</v>
      </c>
    </row>
    <row r="78" spans="1:13" ht="15.6" x14ac:dyDescent="0.3">
      <c r="A78" s="30"/>
      <c r="I78" s="159" t="s">
        <v>260</v>
      </c>
      <c r="J78" s="159"/>
      <c r="K78" s="159"/>
      <c r="L78" s="159"/>
      <c r="M78" s="159"/>
    </row>
    <row r="79" spans="1:13" ht="86.4" customHeight="1" x14ac:dyDescent="0.3">
      <c r="A79" s="4" t="s">
        <v>37</v>
      </c>
      <c r="B79" s="4" t="s">
        <v>38</v>
      </c>
      <c r="C79" s="4" t="s">
        <v>39</v>
      </c>
      <c r="D79" s="4" t="s">
        <v>40</v>
      </c>
      <c r="E79" s="4" t="s">
        <v>41</v>
      </c>
      <c r="G79" s="125" t="s">
        <v>257</v>
      </c>
      <c r="I79" s="120"/>
      <c r="J79" s="120" t="s">
        <v>256</v>
      </c>
      <c r="K79" s="120"/>
      <c r="L79" s="120"/>
      <c r="M79" s="120"/>
    </row>
    <row r="80" spans="1:13" ht="25.2" customHeight="1" x14ac:dyDescent="0.3">
      <c r="A80" s="106">
        <f>C27*80%</f>
        <v>4122.7692307692305</v>
      </c>
      <c r="B80" s="106">
        <f>D27*80%</f>
        <v>3148.6153846153848</v>
      </c>
      <c r="C80" s="106">
        <f>E27*80%</f>
        <v>9.4646153846153833</v>
      </c>
      <c r="D80" s="106">
        <f>F27*80%</f>
        <v>13.673846153846156</v>
      </c>
      <c r="E80" s="107">
        <f>F61+E61*A80+D61*B80+C61*C80+B61*D80</f>
        <v>212.41631840140019</v>
      </c>
      <c r="G80" s="120">
        <f>C63</f>
        <v>48.59521637016848</v>
      </c>
      <c r="I80" s="120" t="s">
        <v>258</v>
      </c>
      <c r="J80" s="120">
        <f>_xlfn.T.INV.2T(0.1,8)</f>
        <v>1.8595480375308981</v>
      </c>
      <c r="K80" s="120">
        <f>G$80*J80</f>
        <v>90.365139234536173</v>
      </c>
      <c r="L80" s="120">
        <f>E80-K80</f>
        <v>122.05117916686402</v>
      </c>
      <c r="M80" s="120">
        <f>E80+K80</f>
        <v>302.78145763593636</v>
      </c>
    </row>
    <row r="81" spans="1:16" x14ac:dyDescent="0.3">
      <c r="I81" s="120" t="s">
        <v>259</v>
      </c>
      <c r="J81" s="120">
        <f>_xlfn.T.INV.2T(0.05,8)</f>
        <v>2.3060041352041671</v>
      </c>
      <c r="K81" s="120">
        <f>G$80*J81</f>
        <v>112.06076990074975</v>
      </c>
      <c r="L81" s="120">
        <f>E80-K81</f>
        <v>100.35554850065044</v>
      </c>
      <c r="M81" s="120">
        <f>E80+K81</f>
        <v>324.47708830214992</v>
      </c>
    </row>
    <row r="83" spans="1:16" ht="15.6" x14ac:dyDescent="0.3">
      <c r="A83" s="36" t="s">
        <v>42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5" spans="1:16" ht="45.6" customHeight="1" x14ac:dyDescent="0.3">
      <c r="A85" s="145"/>
      <c r="B85" s="145"/>
      <c r="C85" s="145"/>
      <c r="D85" s="6">
        <f>SQRT(X26/8)</f>
        <v>48.59521637016848</v>
      </c>
    </row>
    <row r="86" spans="1:16" ht="63" customHeight="1" x14ac:dyDescent="0.3">
      <c r="A86" s="139"/>
      <c r="B86" s="139"/>
      <c r="C86" s="139"/>
      <c r="D86" s="6">
        <f>1-(X26/Z26)</f>
        <v>0.79925923528900911</v>
      </c>
      <c r="E86" s="153" t="s">
        <v>43</v>
      </c>
      <c r="F86" s="153"/>
      <c r="G86" s="153"/>
      <c r="H86" s="153"/>
      <c r="I86" s="153"/>
      <c r="J86" s="153"/>
      <c r="K86" s="153"/>
    </row>
    <row r="87" spans="1:16" ht="94.2" customHeight="1" x14ac:dyDescent="0.3">
      <c r="A87" s="142" t="s">
        <v>44</v>
      </c>
      <c r="B87" s="143"/>
      <c r="C87" s="144"/>
      <c r="D87" s="20">
        <f>SQRT(1-(X26/(13*B29)))</f>
        <v>0.89401299503363429</v>
      </c>
    </row>
    <row r="88" spans="1:16" ht="37.950000000000003" customHeight="1" x14ac:dyDescent="0.3">
      <c r="A88" s="139"/>
      <c r="B88" s="139"/>
      <c r="C88" s="139"/>
      <c r="D88" s="20">
        <f>D87^2</f>
        <v>0.799259235289009</v>
      </c>
    </row>
    <row r="89" spans="1:16" ht="52.2" customHeight="1" x14ac:dyDescent="0.3">
      <c r="A89" s="145"/>
      <c r="B89" s="145"/>
      <c r="C89" s="145"/>
      <c r="D89" s="20">
        <f>SQRT(1-(H108/G113))</f>
        <v>0.89401299503363485</v>
      </c>
    </row>
    <row r="90" spans="1:16" ht="113.4" customHeight="1" x14ac:dyDescent="0.3">
      <c r="E90" s="152"/>
      <c r="F90" s="152"/>
    </row>
    <row r="91" spans="1:16" ht="18.600000000000001" customHeight="1" x14ac:dyDescent="0.3">
      <c r="A91" s="44" t="s">
        <v>45</v>
      </c>
      <c r="B91" s="44"/>
      <c r="C91" s="44"/>
      <c r="D91" s="44"/>
      <c r="E91" s="44"/>
      <c r="F91" s="44" t="s">
        <v>46</v>
      </c>
      <c r="G91" s="44"/>
      <c r="H91" s="44"/>
      <c r="I91" s="44"/>
      <c r="J91" s="44"/>
    </row>
    <row r="92" spans="1:16" ht="18.600000000000001" customHeight="1" x14ac:dyDescent="0.3"/>
    <row r="93" spans="1:16" ht="53.4" customHeight="1" x14ac:dyDescent="0.3"/>
    <row r="94" spans="1:16" x14ac:dyDescent="0.3">
      <c r="A94" s="20" t="s">
        <v>47</v>
      </c>
      <c r="B94" s="20">
        <f>(R27-B27*C27)/(B28*C28)</f>
        <v>0.64645288365396569</v>
      </c>
    </row>
    <row r="95" spans="1:16" x14ac:dyDescent="0.3">
      <c r="A95" s="20" t="s">
        <v>48</v>
      </c>
      <c r="B95" s="20">
        <f>(S27-B27*D27)/(B28*D28)</f>
        <v>-0.17555698778679638</v>
      </c>
    </row>
    <row r="96" spans="1:16" x14ac:dyDescent="0.3">
      <c r="A96" s="20" t="s">
        <v>49</v>
      </c>
      <c r="B96" s="20">
        <f>(T27-B27*E27)/(B28*E28)</f>
        <v>-0.23137522883362327</v>
      </c>
    </row>
    <row r="97" spans="1:12" x14ac:dyDescent="0.3">
      <c r="A97" s="20" t="s">
        <v>50</v>
      </c>
      <c r="B97" s="20">
        <f>(U27-B27*F27)/(B28*F28)</f>
        <v>-0.6251243742776269</v>
      </c>
    </row>
    <row r="98" spans="1:12" ht="46.2" customHeight="1" x14ac:dyDescent="0.3"/>
    <row r="99" spans="1:12" x14ac:dyDescent="0.3">
      <c r="A99" s="20" t="s">
        <v>51</v>
      </c>
      <c r="B99" s="20">
        <f>(L27-C27*D27)/(C28*D28)</f>
        <v>0.24007197993046944</v>
      </c>
    </row>
    <row r="100" spans="1:12" x14ac:dyDescent="0.3">
      <c r="A100" s="20" t="s">
        <v>52</v>
      </c>
      <c r="B100" s="20">
        <f>(M27-C27*E27)/(C28*E28)</f>
        <v>-0.53156849083661728</v>
      </c>
    </row>
    <row r="101" spans="1:12" x14ac:dyDescent="0.3">
      <c r="A101" s="20" t="s">
        <v>53</v>
      </c>
      <c r="B101" s="20">
        <f>(N27-C27*F27)/(C28*F28)</f>
        <v>-0.5285258050118653</v>
      </c>
    </row>
    <row r="102" spans="1:12" x14ac:dyDescent="0.3">
      <c r="A102" s="20" t="s">
        <v>54</v>
      </c>
      <c r="B102" s="20">
        <f>(O27-D27*E27)/(D28*E28)</f>
        <v>-7.5336260288329099E-2</v>
      </c>
    </row>
    <row r="103" spans="1:12" x14ac:dyDescent="0.3">
      <c r="A103" s="20" t="s">
        <v>55</v>
      </c>
      <c r="B103" s="20">
        <f>(P27-D27*F27)/(D28*F28)</f>
        <v>-0.30631938809429288</v>
      </c>
    </row>
    <row r="104" spans="1:12" x14ac:dyDescent="0.3">
      <c r="A104" s="20" t="s">
        <v>56</v>
      </c>
      <c r="B104" s="20">
        <f>(Q27-E27*F27)/(E28*F28)</f>
        <v>0.49054142665532158</v>
      </c>
    </row>
    <row r="106" spans="1:12" x14ac:dyDescent="0.3">
      <c r="B106" s="10">
        <v>1</v>
      </c>
      <c r="C106" s="11">
        <f>B94</f>
        <v>0.64645288365396569</v>
      </c>
      <c r="D106" s="11">
        <f>B95</f>
        <v>-0.17555698778679638</v>
      </c>
      <c r="E106" s="11">
        <f>B96</f>
        <v>-0.23137522883362327</v>
      </c>
      <c r="F106" s="12">
        <f>B97</f>
        <v>-0.6251243742776269</v>
      </c>
    </row>
    <row r="107" spans="1:12" x14ac:dyDescent="0.3">
      <c r="B107" s="10">
        <f>C106</f>
        <v>0.64645288365396569</v>
      </c>
      <c r="C107" s="11">
        <v>1</v>
      </c>
      <c r="D107" s="11">
        <f>B99</f>
        <v>0.24007197993046944</v>
      </c>
      <c r="E107" s="11">
        <f>B100</f>
        <v>-0.53156849083661728</v>
      </c>
      <c r="F107" s="12">
        <f>B101</f>
        <v>-0.5285258050118653</v>
      </c>
    </row>
    <row r="108" spans="1:12" x14ac:dyDescent="0.3">
      <c r="A108" s="28" t="s">
        <v>57</v>
      </c>
      <c r="B108" s="10">
        <f>D106</f>
        <v>-0.17555698778679638</v>
      </c>
      <c r="C108" s="11">
        <f>D107</f>
        <v>0.24007197993046944</v>
      </c>
      <c r="D108" s="11">
        <v>1</v>
      </c>
      <c r="E108" s="11">
        <f>B102</f>
        <v>-7.5336260288329099E-2</v>
      </c>
      <c r="F108" s="12">
        <f>B103</f>
        <v>-0.30631938809429288</v>
      </c>
      <c r="G108" s="11" t="s">
        <v>58</v>
      </c>
      <c r="H108" s="19">
        <f>MDETERM(B106:F110)</f>
        <v>8.3674701856312594E-2</v>
      </c>
    </row>
    <row r="109" spans="1:12" x14ac:dyDescent="0.3">
      <c r="B109" s="10">
        <f>E106</f>
        <v>-0.23137522883362327</v>
      </c>
      <c r="C109" s="11">
        <f>E107</f>
        <v>-0.53156849083661728</v>
      </c>
      <c r="D109" s="11">
        <f>E108</f>
        <v>-7.5336260288329099E-2</v>
      </c>
      <c r="E109" s="11">
        <v>1</v>
      </c>
      <c r="F109" s="12">
        <f>B104</f>
        <v>0.49054142665532158</v>
      </c>
    </row>
    <row r="110" spans="1:12" x14ac:dyDescent="0.3">
      <c r="B110" s="10">
        <f>F106</f>
        <v>-0.6251243742776269</v>
      </c>
      <c r="C110" s="11">
        <f>F107</f>
        <v>-0.5285258050118653</v>
      </c>
      <c r="D110" s="11">
        <f>F108</f>
        <v>-0.30631938809429288</v>
      </c>
      <c r="E110" s="11">
        <f>F109</f>
        <v>0.49054142665532158</v>
      </c>
      <c r="F110" s="12">
        <v>1</v>
      </c>
    </row>
    <row r="112" spans="1:12" x14ac:dyDescent="0.3">
      <c r="B112" s="10">
        <v>1</v>
      </c>
      <c r="C112" s="11">
        <f>B99</f>
        <v>0.24007197993046944</v>
      </c>
      <c r="D112" s="11">
        <f>B100</f>
        <v>-0.53156849083661728</v>
      </c>
      <c r="E112" s="12">
        <f>B101</f>
        <v>-0.5285258050118653</v>
      </c>
      <c r="I112" s="11"/>
      <c r="J112" s="11"/>
      <c r="K112" s="11"/>
      <c r="L112" s="11"/>
    </row>
    <row r="113" spans="1:14" x14ac:dyDescent="0.3">
      <c r="A113" s="27" t="s">
        <v>59</v>
      </c>
      <c r="B113" s="10">
        <f>C112</f>
        <v>0.24007197993046944</v>
      </c>
      <c r="C113" s="11">
        <v>1</v>
      </c>
      <c r="D113" s="11">
        <f>B102</f>
        <v>-7.5336260288329099E-2</v>
      </c>
      <c r="E113" s="12">
        <f>B103</f>
        <v>-0.30631938809429288</v>
      </c>
      <c r="F113" s="11" t="s">
        <v>58</v>
      </c>
      <c r="G113" s="19">
        <f>MDETERM(B112:E115)</f>
        <v>0.41682964582096982</v>
      </c>
      <c r="H113" t="s">
        <v>216</v>
      </c>
      <c r="I113" s="11"/>
      <c r="J113" s="11"/>
      <c r="K113" s="11"/>
      <c r="L113" s="11"/>
      <c r="M113" s="11"/>
      <c r="N113" s="1"/>
    </row>
    <row r="114" spans="1:14" x14ac:dyDescent="0.3">
      <c r="A114" s="27"/>
      <c r="B114" s="10">
        <f>D112</f>
        <v>-0.53156849083661728</v>
      </c>
      <c r="C114" s="11">
        <f>D113</f>
        <v>-7.5336260288329099E-2</v>
      </c>
      <c r="D114" s="11">
        <v>1</v>
      </c>
      <c r="E114" s="12">
        <f>B104</f>
        <v>0.49054142665532158</v>
      </c>
      <c r="I114" s="11"/>
      <c r="J114" s="11"/>
      <c r="K114" s="11"/>
      <c r="L114" s="11"/>
    </row>
    <row r="115" spans="1:14" x14ac:dyDescent="0.3">
      <c r="A115" s="21"/>
      <c r="B115" s="10">
        <f>E112</f>
        <v>-0.5285258050118653</v>
      </c>
      <c r="C115" s="11">
        <f>E113</f>
        <v>-0.30631938809429288</v>
      </c>
      <c r="D115" s="11">
        <f>E114</f>
        <v>0.49054142665532158</v>
      </c>
      <c r="E115" s="12">
        <v>1</v>
      </c>
      <c r="I115" s="11"/>
      <c r="J115" s="11"/>
      <c r="K115" s="11"/>
      <c r="L115" s="11"/>
    </row>
    <row r="116" spans="1:14" x14ac:dyDescent="0.3">
      <c r="B116" s="11"/>
      <c r="C116" s="11"/>
      <c r="D116" s="11"/>
      <c r="E116" s="11"/>
    </row>
    <row r="117" spans="1:14" ht="15.6" x14ac:dyDescent="0.3">
      <c r="A117" s="37" t="s">
        <v>60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</row>
    <row r="119" spans="1:14" ht="59.4" customHeight="1" x14ac:dyDescent="0.3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</row>
    <row r="121" spans="1:14" ht="45.6" customHeight="1" x14ac:dyDescent="0.3">
      <c r="A121" s="49"/>
      <c r="B121" s="20">
        <f>(B65/4)/(C65/8)</f>
        <v>7.9630984413127317</v>
      </c>
    </row>
    <row r="122" spans="1:14" ht="52.2" customHeight="1" x14ac:dyDescent="0.3">
      <c r="A122" s="49"/>
      <c r="B122" s="20">
        <f>(D86*8)/((1-D86)*4)</f>
        <v>7.9630984413127361</v>
      </c>
    </row>
    <row r="123" spans="1:14" ht="47.4" customHeight="1" x14ac:dyDescent="0.3">
      <c r="A123" s="50" t="s">
        <v>254</v>
      </c>
      <c r="B123" s="20">
        <f>_xlfn.F.INV.RT(0.05,4,8)</f>
        <v>3.8378533545558975</v>
      </c>
    </row>
    <row r="124" spans="1:14" ht="50.4" customHeight="1" x14ac:dyDescent="0.3">
      <c r="A124" s="51" t="s">
        <v>255</v>
      </c>
      <c r="B124" s="20">
        <f>_xlfn.F.INV.RT(0.1,4,8)</f>
        <v>2.8064257061376399</v>
      </c>
    </row>
    <row r="125" spans="1:14" ht="47.4" customHeight="1" x14ac:dyDescent="0.3">
      <c r="A125" s="160" t="s">
        <v>62</v>
      </c>
      <c r="B125" s="160"/>
      <c r="C125" s="160"/>
      <c r="D125" s="160"/>
    </row>
    <row r="127" spans="1:14" s="30" customFormat="1" ht="15.6" x14ac:dyDescent="0.3">
      <c r="A127" s="37" t="s">
        <v>63</v>
      </c>
      <c r="B127" s="34"/>
      <c r="C127" s="34"/>
      <c r="D127" s="34"/>
      <c r="E127" s="34"/>
      <c r="F127" s="34"/>
      <c r="G127" s="38"/>
    </row>
    <row r="129" spans="1:9" ht="81" customHeight="1" x14ac:dyDescent="0.3">
      <c r="I129" s="1"/>
    </row>
    <row r="130" spans="1:9" ht="34.200000000000003" customHeight="1" x14ac:dyDescent="0.3">
      <c r="A130" s="47"/>
      <c r="B130" s="47">
        <f>D88</f>
        <v>0.799259235289009</v>
      </c>
      <c r="I130" s="1"/>
    </row>
    <row r="131" spans="1:9" ht="15.6" customHeight="1" x14ac:dyDescent="0.3">
      <c r="A131" s="119"/>
      <c r="I131" s="1"/>
    </row>
    <row r="132" spans="1:9" ht="41.4" customHeight="1" x14ac:dyDescent="0.3">
      <c r="A132" s="161"/>
      <c r="B132" s="161"/>
      <c r="C132" s="11"/>
      <c r="I132" s="1"/>
    </row>
    <row r="133" spans="1:9" ht="25.2" customHeight="1" x14ac:dyDescent="0.3">
      <c r="A133" s="20" t="s">
        <v>64</v>
      </c>
      <c r="B133" s="20">
        <f>1-G140/F144</f>
        <v>0.3892627363322162</v>
      </c>
      <c r="C133" s="11"/>
      <c r="I133" s="1"/>
    </row>
    <row r="134" spans="1:9" ht="22.2" customHeight="1" x14ac:dyDescent="0.3">
      <c r="A134" s="20" t="s">
        <v>65</v>
      </c>
      <c r="B134" s="20">
        <f>1-G140/F148</f>
        <v>0.11893492830240626</v>
      </c>
      <c r="C134" s="11"/>
      <c r="I134" s="1"/>
    </row>
    <row r="135" spans="1:9" ht="22.95" customHeight="1" x14ac:dyDescent="0.3">
      <c r="A135" s="20" t="s">
        <v>66</v>
      </c>
      <c r="B135" s="20">
        <f>1-G140/F152</f>
        <v>0.35567901055868512</v>
      </c>
      <c r="C135" s="11"/>
      <c r="I135" s="1"/>
    </row>
    <row r="136" spans="1:9" ht="24" customHeight="1" x14ac:dyDescent="0.3">
      <c r="A136" s="20" t="s">
        <v>67</v>
      </c>
      <c r="B136" s="20">
        <f>1-G140/F156</f>
        <v>0.38096402298223231</v>
      </c>
      <c r="C136" s="11"/>
      <c r="I136" s="1"/>
    </row>
    <row r="137" spans="1:9" ht="15.6" customHeight="1" x14ac:dyDescent="0.3">
      <c r="A137" s="11"/>
      <c r="B137" s="11"/>
      <c r="C137" s="11"/>
      <c r="I137" s="1"/>
    </row>
    <row r="138" spans="1:9" ht="15" customHeight="1" x14ac:dyDescent="0.3">
      <c r="A138" s="11"/>
      <c r="B138" s="10">
        <f t="shared" ref="B138:E141" si="31">B112</f>
        <v>1</v>
      </c>
      <c r="C138" s="11">
        <f t="shared" si="31"/>
        <v>0.24007197993046944</v>
      </c>
      <c r="D138" s="11">
        <f t="shared" si="31"/>
        <v>-0.53156849083661728</v>
      </c>
      <c r="E138" s="12">
        <f t="shared" si="31"/>
        <v>-0.5285258050118653</v>
      </c>
      <c r="F138" s="11"/>
      <c r="G138" s="11"/>
      <c r="I138" s="1"/>
    </row>
    <row r="139" spans="1:9" ht="15" customHeight="1" x14ac:dyDescent="0.3">
      <c r="A139" s="11"/>
      <c r="B139" s="10">
        <f t="shared" si="31"/>
        <v>0.24007197993046944</v>
      </c>
      <c r="C139" s="11">
        <f t="shared" si="31"/>
        <v>1</v>
      </c>
      <c r="D139" s="11">
        <f t="shared" si="31"/>
        <v>-7.5336260288329099E-2</v>
      </c>
      <c r="E139" s="12">
        <f t="shared" si="31"/>
        <v>-0.30631938809429288</v>
      </c>
      <c r="F139" s="11"/>
      <c r="G139" s="11"/>
      <c r="I139" s="1"/>
    </row>
    <row r="140" spans="1:9" ht="15" customHeight="1" x14ac:dyDescent="0.3">
      <c r="A140" s="28" t="s">
        <v>57</v>
      </c>
      <c r="B140" s="10">
        <f t="shared" si="31"/>
        <v>-0.53156849083661728</v>
      </c>
      <c r="C140" s="11">
        <f t="shared" si="31"/>
        <v>-7.5336260288329099E-2</v>
      </c>
      <c r="D140" s="11">
        <f t="shared" si="31"/>
        <v>1</v>
      </c>
      <c r="E140" s="12">
        <f t="shared" si="31"/>
        <v>0.49054142665532158</v>
      </c>
      <c r="F140" s="11" t="s">
        <v>58</v>
      </c>
      <c r="G140" s="11">
        <f>MDETERM(B138:E141)</f>
        <v>0.41682964582096982</v>
      </c>
      <c r="I140" s="1"/>
    </row>
    <row r="141" spans="1:9" ht="15" customHeight="1" x14ac:dyDescent="0.3">
      <c r="A141" s="11"/>
      <c r="B141" s="10">
        <f t="shared" si="31"/>
        <v>-0.5285258050118653</v>
      </c>
      <c r="C141" s="11">
        <f t="shared" si="31"/>
        <v>-0.30631938809429288</v>
      </c>
      <c r="D141" s="11">
        <f t="shared" si="31"/>
        <v>0.49054142665532158</v>
      </c>
      <c r="E141" s="12">
        <f t="shared" si="31"/>
        <v>1</v>
      </c>
      <c r="F141" s="11"/>
      <c r="G141" s="11"/>
      <c r="I141" s="1"/>
    </row>
    <row r="142" spans="1:9" ht="15" customHeight="1" x14ac:dyDescent="0.3">
      <c r="A142" s="31"/>
      <c r="B142" s="31"/>
      <c r="C142" s="11"/>
      <c r="I142" s="1"/>
    </row>
    <row r="143" spans="1:9" ht="15" customHeight="1" x14ac:dyDescent="0.3">
      <c r="B143" s="10">
        <v>1</v>
      </c>
      <c r="C143" s="11">
        <v>-7.5336260288329099E-2</v>
      </c>
      <c r="D143" s="12">
        <v>-0.30631938809429288</v>
      </c>
      <c r="I143" s="1"/>
    </row>
    <row r="144" spans="1:9" ht="15" customHeight="1" x14ac:dyDescent="0.3">
      <c r="A144" s="28" t="s">
        <v>59</v>
      </c>
      <c r="B144" s="10">
        <v>-7.5336260288329099E-2</v>
      </c>
      <c r="C144" s="11">
        <v>1</v>
      </c>
      <c r="D144" s="12">
        <v>0.49054142665532158</v>
      </c>
      <c r="E144" s="11" t="s">
        <v>58</v>
      </c>
      <c r="F144">
        <f>MDETERM(B143:D145)</f>
        <v>0.68250239606749807</v>
      </c>
      <c r="I144" s="1"/>
    </row>
    <row r="145" spans="1:9" ht="15" customHeight="1" x14ac:dyDescent="0.3">
      <c r="B145" s="10">
        <v>-0.30631938809429288</v>
      </c>
      <c r="C145" s="11">
        <v>0.49054142665532158</v>
      </c>
      <c r="D145" s="12">
        <v>1</v>
      </c>
      <c r="I145" s="1"/>
    </row>
    <row r="146" spans="1:9" ht="15" customHeight="1" x14ac:dyDescent="0.3">
      <c r="I146" s="1"/>
    </row>
    <row r="147" spans="1:9" ht="15" customHeight="1" x14ac:dyDescent="0.3">
      <c r="B147" s="10">
        <f>B112</f>
        <v>1</v>
      </c>
      <c r="C147" s="11">
        <f>D112</f>
        <v>-0.53156849083661728</v>
      </c>
      <c r="D147" s="12">
        <f>E112</f>
        <v>-0.5285258050118653</v>
      </c>
      <c r="E147" s="11"/>
      <c r="F147" s="11"/>
      <c r="I147" s="1"/>
    </row>
    <row r="148" spans="1:9" ht="15" customHeight="1" x14ac:dyDescent="0.3">
      <c r="A148" s="28" t="s">
        <v>68</v>
      </c>
      <c r="B148" s="10">
        <f>B114</f>
        <v>-0.53156849083661728</v>
      </c>
      <c r="C148" s="11">
        <f>D114</f>
        <v>1</v>
      </c>
      <c r="D148" s="12">
        <f>E114</f>
        <v>0.49054142665532158</v>
      </c>
      <c r="E148" s="11" t="s">
        <v>58</v>
      </c>
      <c r="F148" s="11">
        <f>MDETERM(B147:D149)</f>
        <v>0.47309745807746362</v>
      </c>
      <c r="I148" s="1"/>
    </row>
    <row r="149" spans="1:9" ht="15" customHeight="1" x14ac:dyDescent="0.3">
      <c r="B149" s="10">
        <f>B115</f>
        <v>-0.5285258050118653</v>
      </c>
      <c r="C149" s="11">
        <f>D115</f>
        <v>0.49054142665532158</v>
      </c>
      <c r="D149" s="12">
        <f>E115</f>
        <v>1</v>
      </c>
      <c r="E149" s="11"/>
      <c r="F149" s="11"/>
      <c r="I149" s="1"/>
    </row>
    <row r="150" spans="1:9" ht="15" customHeight="1" x14ac:dyDescent="0.3">
      <c r="I150" s="1"/>
    </row>
    <row r="151" spans="1:9" ht="15" customHeight="1" x14ac:dyDescent="0.3">
      <c r="B151" s="10">
        <f>B138</f>
        <v>1</v>
      </c>
      <c r="C151" s="11">
        <f>C138</f>
        <v>0.24007197993046944</v>
      </c>
      <c r="D151" s="12">
        <f>E138</f>
        <v>-0.5285258050118653</v>
      </c>
      <c r="E151" s="11"/>
      <c r="F151" s="11"/>
      <c r="I151" s="1"/>
    </row>
    <row r="152" spans="1:9" ht="15" customHeight="1" x14ac:dyDescent="0.3">
      <c r="A152" s="28" t="s">
        <v>69</v>
      </c>
      <c r="B152" s="10">
        <f>B139</f>
        <v>0.24007197993046944</v>
      </c>
      <c r="C152" s="11">
        <f>C139</f>
        <v>1</v>
      </c>
      <c r="D152" s="12">
        <f>E139</f>
        <v>-0.30631938809429288</v>
      </c>
      <c r="E152" s="11" t="s">
        <v>58</v>
      </c>
      <c r="F152" s="11">
        <f>MDETERM(B151:D153)</f>
        <v>0.64692855370488422</v>
      </c>
      <c r="I152" s="1"/>
    </row>
    <row r="153" spans="1:9" ht="15" customHeight="1" x14ac:dyDescent="0.3">
      <c r="B153" s="10">
        <f>B141</f>
        <v>-0.5285258050118653</v>
      </c>
      <c r="C153" s="11">
        <f>C141</f>
        <v>-0.30631938809429288</v>
      </c>
      <c r="D153" s="12">
        <f>E141</f>
        <v>1</v>
      </c>
      <c r="E153" s="11"/>
      <c r="F153" s="11"/>
      <c r="I153" s="1"/>
    </row>
    <row r="154" spans="1:9" ht="15" customHeight="1" x14ac:dyDescent="0.3">
      <c r="B154" s="11"/>
      <c r="C154" s="11"/>
      <c r="D154" s="11"/>
      <c r="E154" s="11"/>
      <c r="F154" s="11"/>
      <c r="I154" s="1"/>
    </row>
    <row r="155" spans="1:9" ht="15" customHeight="1" x14ac:dyDescent="0.3">
      <c r="B155" s="10">
        <f t="shared" ref="B155:D157" si="32">B138</f>
        <v>1</v>
      </c>
      <c r="C155" s="11">
        <f t="shared" si="32"/>
        <v>0.24007197993046944</v>
      </c>
      <c r="D155" s="12">
        <f t="shared" si="32"/>
        <v>-0.53156849083661728</v>
      </c>
      <c r="E155" s="11"/>
      <c r="F155" s="11"/>
      <c r="I155" s="1"/>
    </row>
    <row r="156" spans="1:9" ht="15" customHeight="1" x14ac:dyDescent="0.3">
      <c r="A156" s="28" t="s">
        <v>70</v>
      </c>
      <c r="B156" s="10">
        <f t="shared" si="32"/>
        <v>0.24007197993046944</v>
      </c>
      <c r="C156" s="11">
        <f t="shared" si="32"/>
        <v>1</v>
      </c>
      <c r="D156" s="12">
        <f t="shared" si="32"/>
        <v>-7.5336260288329099E-2</v>
      </c>
      <c r="E156" s="11" t="s">
        <v>58</v>
      </c>
      <c r="F156" s="11">
        <f>MDETERM(B155:D157)</f>
        <v>0.67335286040896114</v>
      </c>
      <c r="I156" s="1"/>
    </row>
    <row r="157" spans="1:9" ht="15" customHeight="1" x14ac:dyDescent="0.3">
      <c r="B157" s="10">
        <f t="shared" si="32"/>
        <v>-0.53156849083661728</v>
      </c>
      <c r="C157" s="11">
        <f t="shared" si="32"/>
        <v>-7.5336260288329099E-2</v>
      </c>
      <c r="D157" s="12">
        <f t="shared" si="32"/>
        <v>1</v>
      </c>
      <c r="E157" s="11"/>
      <c r="F157" s="11"/>
      <c r="I157" s="1"/>
    </row>
    <row r="158" spans="1:9" ht="15" customHeight="1" x14ac:dyDescent="0.3">
      <c r="I158" s="1"/>
    </row>
    <row r="159" spans="1:9" ht="19.95" customHeight="1" x14ac:dyDescent="0.3">
      <c r="A159" s="20"/>
      <c r="B159" s="32">
        <f>((B28*SQRT(1-B130))/(C28*SQRT(1-B133)))/SQRT(8)</f>
        <v>1.2398677352833308E-2</v>
      </c>
      <c r="I159" s="1"/>
    </row>
    <row r="160" spans="1:9" ht="19.95" customHeight="1" x14ac:dyDescent="0.3">
      <c r="A160" s="20"/>
      <c r="B160" s="32">
        <f>((B28*SQRT(1-B130))/(D28*SQRT(1-B134)))/SQRT(8)</f>
        <v>1.22438612006203E-2</v>
      </c>
      <c r="I160" s="1"/>
    </row>
    <row r="161" spans="1:12" ht="19.95" customHeight="1" x14ac:dyDescent="0.3">
      <c r="A161" s="20"/>
      <c r="B161" s="32">
        <f>((B28*SQRT(1-B130))/(E28*SQRT(1-B135)))/SQRT(8)</f>
        <v>14.828753409563827</v>
      </c>
      <c r="I161" s="1"/>
    </row>
    <row r="162" spans="1:12" ht="19.95" customHeight="1" x14ac:dyDescent="0.3">
      <c r="A162" s="20"/>
      <c r="B162" s="32">
        <f>((B28*SQRT(1-B130))/(F28*SQRT(1-B136)))/SQRT(8)</f>
        <v>9.8536881178812354</v>
      </c>
      <c r="I162" s="1"/>
    </row>
    <row r="164" spans="1:12" ht="18" customHeight="1" x14ac:dyDescent="0.3">
      <c r="A164" s="20" t="s">
        <v>248</v>
      </c>
      <c r="B164" s="53">
        <f>_xlfn.T.INV.2T(0.05,8)</f>
        <v>2.3060041352041671</v>
      </c>
    </row>
    <row r="165" spans="1:12" ht="19.2" customHeight="1" x14ac:dyDescent="0.3">
      <c r="A165" s="20" t="s">
        <v>249</v>
      </c>
      <c r="B165" s="53">
        <f>_xlfn.T.INV.2T(0.1,8)</f>
        <v>1.8595480375308981</v>
      </c>
    </row>
    <row r="167" spans="1:12" ht="15" thickBot="1" x14ac:dyDescent="0.35">
      <c r="A167" s="11"/>
      <c r="B167" s="11"/>
      <c r="C167" s="11"/>
    </row>
    <row r="168" spans="1:12" x14ac:dyDescent="0.3">
      <c r="A168" s="151" t="s">
        <v>71</v>
      </c>
      <c r="B168" s="151"/>
      <c r="C168" s="151"/>
      <c r="E168" s="151" t="s">
        <v>72</v>
      </c>
      <c r="F168" s="151"/>
      <c r="G168" s="151"/>
      <c r="I168" s="92" t="s">
        <v>162</v>
      </c>
      <c r="J168" s="92" t="s">
        <v>163</v>
      </c>
      <c r="K168" s="92" t="s">
        <v>196</v>
      </c>
      <c r="L168" s="92" t="s">
        <v>197</v>
      </c>
    </row>
    <row r="169" spans="1:12" x14ac:dyDescent="0.3">
      <c r="A169" s="61">
        <f>E61-B164*B159</f>
        <v>1.0150483900574808E-2</v>
      </c>
      <c r="B169" s="61" t="s">
        <v>73</v>
      </c>
      <c r="C169" s="61">
        <f>E61+B164*B159</f>
        <v>6.7333286393966532E-2</v>
      </c>
      <c r="E169" s="3">
        <f>E61-B165*B159</f>
        <v>1.5685949007830702E-2</v>
      </c>
      <c r="F169" s="20" t="s">
        <v>73</v>
      </c>
      <c r="G169" s="3">
        <f>E61+B165*B159</f>
        <v>6.1797821286710644E-2</v>
      </c>
      <c r="I169" s="111">
        <v>-264.05076151862329</v>
      </c>
      <c r="J169" s="111">
        <v>896.52163784031711</v>
      </c>
      <c r="K169" s="111">
        <v>-151.70390650328733</v>
      </c>
      <c r="L169" s="111">
        <v>784.17478282498109</v>
      </c>
    </row>
    <row r="170" spans="1:12" x14ac:dyDescent="0.3">
      <c r="A170" s="20">
        <f>E170</f>
        <v>-5.8367101958542993E-2</v>
      </c>
      <c r="B170" s="20" t="s">
        <v>74</v>
      </c>
      <c r="C170" s="20">
        <f>D61+B164*B160</f>
        <v>-7.3646593316325365E-3</v>
      </c>
      <c r="E170" s="3">
        <f>D61-B165*B160</f>
        <v>-5.8367101958542993E-2</v>
      </c>
      <c r="F170" s="20" t="s">
        <v>74</v>
      </c>
      <c r="G170" s="3">
        <f>D61+B165*B160</f>
        <v>-1.2831005823714624E-2</v>
      </c>
      <c r="I170" s="111">
        <v>1.0150483900574648E-2</v>
      </c>
      <c r="J170" s="111">
        <v>6.7333286393966699E-2</v>
      </c>
      <c r="K170" s="111">
        <v>1.5685949007830574E-2</v>
      </c>
      <c r="L170" s="111">
        <v>6.1797821286710769E-2</v>
      </c>
    </row>
    <row r="171" spans="1:12" x14ac:dyDescent="0.3">
      <c r="A171" s="20">
        <f>C61-B164*B161</f>
        <v>-6.0424587200751461</v>
      </c>
      <c r="B171" s="20" t="s">
        <v>75</v>
      </c>
      <c r="C171" s="20">
        <f>C61+B164*B161</f>
        <v>62.34787464467901</v>
      </c>
      <c r="E171" s="3">
        <f>C61-B165*B161</f>
        <v>0.5779286605179017</v>
      </c>
      <c r="F171" s="20" t="s">
        <v>75</v>
      </c>
      <c r="G171" s="3">
        <f>C61+B165*B161</f>
        <v>55.727487264085966</v>
      </c>
      <c r="I171" s="111">
        <v>-6.3833448450625024E-2</v>
      </c>
      <c r="J171" s="111">
        <v>-7.3646593316325885E-3</v>
      </c>
      <c r="K171" s="111">
        <v>-5.8367101958542951E-2</v>
      </c>
      <c r="L171" s="111">
        <v>-1.2831005823714665E-2</v>
      </c>
    </row>
    <row r="172" spans="1:12" x14ac:dyDescent="0.3">
      <c r="A172" s="20">
        <f>B61-B164*B162</f>
        <v>-53.285355644932871</v>
      </c>
      <c r="B172" s="20" t="s">
        <v>76</v>
      </c>
      <c r="C172" s="20">
        <f>B61+B164*B162</f>
        <v>-7.8400645512402818</v>
      </c>
      <c r="E172" s="3">
        <f>B61-B165*B162</f>
        <v>-48.886116500134158</v>
      </c>
      <c r="F172" s="20" t="s">
        <v>76</v>
      </c>
      <c r="G172" s="3">
        <f>B61+B165*B162</f>
        <v>-12.239303696038995</v>
      </c>
      <c r="I172" s="111">
        <v>-6.0424587200752597</v>
      </c>
      <c r="J172" s="111">
        <v>62.347874644679123</v>
      </c>
      <c r="K172" s="111">
        <v>0.57792866051780933</v>
      </c>
      <c r="L172" s="111">
        <v>55.727487264086051</v>
      </c>
    </row>
    <row r="173" spans="1:12" ht="15" thickBot="1" x14ac:dyDescent="0.35">
      <c r="A173" s="20">
        <f>F61-B164*F62</f>
        <v>-264.05076151862329</v>
      </c>
      <c r="B173" s="20" t="s">
        <v>77</v>
      </c>
      <c r="C173" s="20">
        <f>F61+B164*F62</f>
        <v>896.52163784031711</v>
      </c>
      <c r="E173" s="3">
        <f>F61-B165*F62</f>
        <v>-151.70390650328733</v>
      </c>
      <c r="F173" s="20" t="s">
        <v>77</v>
      </c>
      <c r="G173" s="3">
        <f>F61+B165*F62</f>
        <v>784.17478282498109</v>
      </c>
      <c r="I173" s="114">
        <v>-53.285355644932082</v>
      </c>
      <c r="J173" s="114">
        <v>-7.8400645512410705</v>
      </c>
      <c r="K173" s="114">
        <v>-48.886116500133518</v>
      </c>
      <c r="L173" s="114">
        <v>-12.239303696039634</v>
      </c>
    </row>
    <row r="174" spans="1:12" x14ac:dyDescent="0.3">
      <c r="A174" s="11"/>
    </row>
    <row r="176" spans="1:12" ht="15.6" x14ac:dyDescent="0.3">
      <c r="A176" s="37" t="s">
        <v>78</v>
      </c>
      <c r="B176" s="38"/>
      <c r="C176" s="38"/>
      <c r="D176" s="38"/>
      <c r="E176" s="38"/>
      <c r="F176" s="38"/>
      <c r="G176" s="38"/>
      <c r="H176" s="38"/>
      <c r="I176" s="38"/>
      <c r="J176" s="38"/>
    </row>
    <row r="178" spans="1:14" ht="21.6" customHeight="1" x14ac:dyDescent="0.3">
      <c r="A178" s="52" t="s">
        <v>79</v>
      </c>
      <c r="B178" s="44"/>
      <c r="C178" s="44"/>
      <c r="D178" s="44"/>
    </row>
    <row r="179" spans="1:14" ht="39" customHeight="1" x14ac:dyDescent="0.3">
      <c r="A179" s="155" t="s">
        <v>80</v>
      </c>
      <c r="B179" s="155"/>
      <c r="C179" s="155"/>
      <c r="D179" s="155"/>
      <c r="E179" s="155"/>
      <c r="F179" s="155"/>
      <c r="G179" s="155"/>
      <c r="H179" s="155"/>
      <c r="I179" s="155"/>
      <c r="J179" s="155"/>
      <c r="K179" s="155"/>
    </row>
    <row r="180" spans="1:14" ht="56.4" customHeight="1" x14ac:dyDescent="0.3"/>
    <row r="181" spans="1:14" ht="18" customHeight="1" x14ac:dyDescent="0.3"/>
    <row r="182" spans="1:14" ht="53.4" customHeight="1" x14ac:dyDescent="0.3">
      <c r="A182" s="139"/>
      <c r="B182" s="139"/>
      <c r="C182" s="139"/>
      <c r="D182" s="53">
        <f>1-(X26/Z26)</f>
        <v>0.79925923528900911</v>
      </c>
    </row>
    <row r="183" spans="1:14" ht="55.95" customHeight="1" x14ac:dyDescent="0.3">
      <c r="A183" s="31"/>
      <c r="B183" s="31"/>
      <c r="C183" s="31"/>
      <c r="D183" s="11"/>
    </row>
    <row r="184" spans="1:14" ht="19.2" customHeight="1" x14ac:dyDescent="0.3">
      <c r="A184" s="20" t="s">
        <v>81</v>
      </c>
      <c r="B184" s="20" t="s">
        <v>82</v>
      </c>
      <c r="C184" s="20" t="s">
        <v>83</v>
      </c>
      <c r="D184" s="20" t="s">
        <v>84</v>
      </c>
    </row>
    <row r="185" spans="1:14" ht="19.2" customHeight="1" x14ac:dyDescent="0.3">
      <c r="A185" s="53">
        <f>1-(G188/N188)</f>
        <v>0.55426471622382678</v>
      </c>
      <c r="B185" s="53">
        <f>1-(G193/N193)</f>
        <v>0.58713723988679845</v>
      </c>
      <c r="C185" s="53">
        <f>1-(G198/N198)</f>
        <v>0.70881588297675036</v>
      </c>
      <c r="D185" s="53">
        <f>1-(G203/N203)</f>
        <v>0.55786233628406168</v>
      </c>
    </row>
    <row r="186" spans="1:14" ht="14.4" customHeight="1" x14ac:dyDescent="0.3">
      <c r="A186" s="54"/>
      <c r="B186" s="54"/>
      <c r="C186" s="54"/>
      <c r="D186" s="54"/>
    </row>
    <row r="187" spans="1:14" x14ac:dyDescent="0.3">
      <c r="A187" s="11"/>
      <c r="B187" s="10">
        <v>1</v>
      </c>
      <c r="C187" s="11">
        <f>B95</f>
        <v>-0.17555698778679638</v>
      </c>
      <c r="D187" s="11">
        <f>B96</f>
        <v>-0.23137522883362327</v>
      </c>
      <c r="E187" s="71">
        <f>B97</f>
        <v>-0.6251243742776269</v>
      </c>
      <c r="J187" s="10">
        <v>1</v>
      </c>
      <c r="K187" s="11">
        <v>-7.5336260288329099E-2</v>
      </c>
      <c r="L187" s="12">
        <v>-0.30631938809429288</v>
      </c>
    </row>
    <row r="188" spans="1:14" x14ac:dyDescent="0.3">
      <c r="A188" s="28" t="s">
        <v>57</v>
      </c>
      <c r="B188" s="10">
        <f>C187</f>
        <v>-0.17555698778679638</v>
      </c>
      <c r="C188" s="11">
        <v>1</v>
      </c>
      <c r="D188" s="11">
        <f>B102</f>
        <v>-7.5336260288329099E-2</v>
      </c>
      <c r="E188" s="71">
        <f>B103</f>
        <v>-0.30631938809429288</v>
      </c>
      <c r="F188" s="11" t="s">
        <v>58</v>
      </c>
      <c r="G188" s="108">
        <f>MDETERM(B187:E190)</f>
        <v>0.30421539918906437</v>
      </c>
      <c r="I188" s="28" t="s">
        <v>59</v>
      </c>
      <c r="J188" s="10">
        <v>-7.5336260288329099E-2</v>
      </c>
      <c r="K188" s="11">
        <v>1</v>
      </c>
      <c r="L188" s="12">
        <v>0.49054142665532158</v>
      </c>
      <c r="M188" s="11" t="s">
        <v>58</v>
      </c>
      <c r="N188" s="11">
        <f>MDETERM(J187:L189)</f>
        <v>0.68250239606749807</v>
      </c>
    </row>
    <row r="189" spans="1:14" x14ac:dyDescent="0.3">
      <c r="A189" s="11" t="s">
        <v>85</v>
      </c>
      <c r="B189" s="10">
        <f>D187</f>
        <v>-0.23137522883362327</v>
      </c>
      <c r="C189" s="11">
        <f>D188</f>
        <v>-7.5336260288329099E-2</v>
      </c>
      <c r="D189" s="11">
        <v>1</v>
      </c>
      <c r="E189" s="71">
        <f>B104</f>
        <v>0.49054142665532158</v>
      </c>
      <c r="G189" s="108"/>
      <c r="J189" s="10">
        <v>-0.30631938809429288</v>
      </c>
      <c r="K189" s="11">
        <v>0.49054142665532158</v>
      </c>
      <c r="L189" s="12">
        <v>1</v>
      </c>
    </row>
    <row r="190" spans="1:14" x14ac:dyDescent="0.3">
      <c r="A190" s="11"/>
      <c r="B190" s="10">
        <f>E187</f>
        <v>-0.6251243742776269</v>
      </c>
      <c r="C190" s="11">
        <f>E188</f>
        <v>-0.30631938809429288</v>
      </c>
      <c r="D190" s="11">
        <f>E189</f>
        <v>0.49054142665532158</v>
      </c>
      <c r="E190" s="71">
        <v>1</v>
      </c>
      <c r="G190" s="108"/>
    </row>
    <row r="191" spans="1:14" x14ac:dyDescent="0.3">
      <c r="A191" s="11"/>
      <c r="B191" s="11"/>
      <c r="C191" s="11"/>
      <c r="D191" s="11"/>
      <c r="E191" s="44"/>
      <c r="G191" s="108"/>
    </row>
    <row r="192" spans="1:14" x14ac:dyDescent="0.3">
      <c r="A192" s="11"/>
      <c r="B192" s="10">
        <v>1</v>
      </c>
      <c r="C192" s="11">
        <f>B94</f>
        <v>0.64645288365396569</v>
      </c>
      <c r="D192" s="11">
        <f>B96</f>
        <v>-0.23137522883362327</v>
      </c>
      <c r="E192" s="12">
        <f>B97</f>
        <v>-0.6251243742776269</v>
      </c>
      <c r="F192" s="11"/>
      <c r="G192" s="108"/>
      <c r="J192" s="10">
        <v>1</v>
      </c>
      <c r="K192" s="11">
        <v>-0.53156849083661728</v>
      </c>
      <c r="L192" s="12">
        <v>-0.5285258050118653</v>
      </c>
    </row>
    <row r="193" spans="1:14" x14ac:dyDescent="0.3">
      <c r="A193" s="28" t="s">
        <v>57</v>
      </c>
      <c r="B193" s="10">
        <f>C192</f>
        <v>0.64645288365396569</v>
      </c>
      <c r="C193" s="11">
        <v>1</v>
      </c>
      <c r="D193" s="11">
        <f>B100</f>
        <v>-0.53156849083661728</v>
      </c>
      <c r="E193" s="12">
        <f>B101</f>
        <v>-0.5285258050118653</v>
      </c>
      <c r="F193" s="11" t="s">
        <v>58</v>
      </c>
      <c r="G193" s="108">
        <f>MDETERM(B192:E195)</f>
        <v>0.19532432234440125</v>
      </c>
      <c r="I193" s="28" t="s">
        <v>59</v>
      </c>
      <c r="J193" s="10">
        <v>-0.53156849083661728</v>
      </c>
      <c r="K193" s="11">
        <v>1</v>
      </c>
      <c r="L193" s="12">
        <v>0.49054142665532158</v>
      </c>
      <c r="M193" s="11" t="s">
        <v>58</v>
      </c>
      <c r="N193" s="11">
        <f>MDETERM(J192:L194)</f>
        <v>0.47309745807746362</v>
      </c>
    </row>
    <row r="194" spans="1:14" x14ac:dyDescent="0.3">
      <c r="A194" s="11" t="s">
        <v>86</v>
      </c>
      <c r="B194" s="10">
        <f>D192</f>
        <v>-0.23137522883362327</v>
      </c>
      <c r="C194" s="11">
        <f>D193</f>
        <v>-0.53156849083661728</v>
      </c>
      <c r="D194" s="11">
        <v>1</v>
      </c>
      <c r="E194" s="12">
        <f>B104</f>
        <v>0.49054142665532158</v>
      </c>
      <c r="F194" s="11"/>
      <c r="G194" s="108"/>
      <c r="J194" s="10">
        <v>-0.5285258050118653</v>
      </c>
      <c r="K194" s="11">
        <v>0.49054142665532158</v>
      </c>
      <c r="L194" s="12">
        <v>1</v>
      </c>
    </row>
    <row r="195" spans="1:14" x14ac:dyDescent="0.3">
      <c r="A195" s="11"/>
      <c r="B195" s="10">
        <f>E192</f>
        <v>-0.6251243742776269</v>
      </c>
      <c r="C195" s="11">
        <f>E193</f>
        <v>-0.5285258050118653</v>
      </c>
      <c r="D195" s="11">
        <f>E194</f>
        <v>0.49054142665532158</v>
      </c>
      <c r="E195" s="12">
        <v>1</v>
      </c>
      <c r="F195" s="11"/>
      <c r="G195" s="108"/>
    </row>
    <row r="196" spans="1:14" x14ac:dyDescent="0.3">
      <c r="A196" s="11"/>
      <c r="B196" s="11"/>
      <c r="C196" s="11"/>
      <c r="D196" s="11"/>
      <c r="E196" s="11"/>
      <c r="F196" s="11"/>
      <c r="G196" s="108"/>
    </row>
    <row r="197" spans="1:14" x14ac:dyDescent="0.3">
      <c r="A197" s="11"/>
      <c r="B197" s="10">
        <v>1</v>
      </c>
      <c r="C197" s="11">
        <f>B94</f>
        <v>0.64645288365396569</v>
      </c>
      <c r="D197" s="11">
        <f>B95</f>
        <v>-0.17555698778679638</v>
      </c>
      <c r="E197" s="12">
        <f>B97</f>
        <v>-0.6251243742776269</v>
      </c>
      <c r="F197" s="11"/>
      <c r="G197" s="108"/>
      <c r="I197" s="11"/>
      <c r="J197" s="10">
        <v>1</v>
      </c>
      <c r="K197" s="11">
        <v>0.24007197993046944</v>
      </c>
      <c r="L197" s="12">
        <v>-0.5285258050118653</v>
      </c>
      <c r="M197" s="11"/>
      <c r="N197" s="11"/>
    </row>
    <row r="198" spans="1:14" x14ac:dyDescent="0.3">
      <c r="A198" s="28" t="s">
        <v>57</v>
      </c>
      <c r="B198" s="10">
        <f>C197</f>
        <v>0.64645288365396569</v>
      </c>
      <c r="C198" s="11">
        <v>1</v>
      </c>
      <c r="D198" s="11">
        <f>B99</f>
        <v>0.24007197993046944</v>
      </c>
      <c r="E198" s="12">
        <f>B101</f>
        <v>-0.5285258050118653</v>
      </c>
      <c r="F198" s="11" t="s">
        <v>58</v>
      </c>
      <c r="G198" s="108">
        <f>MDETERM(B197:E200)</f>
        <v>0.18837531968768464</v>
      </c>
      <c r="I198" s="28" t="s">
        <v>59</v>
      </c>
      <c r="J198" s="10">
        <v>0.24007197993046944</v>
      </c>
      <c r="K198" s="11">
        <v>1</v>
      </c>
      <c r="L198" s="12">
        <v>-0.30631938809429288</v>
      </c>
      <c r="M198" s="11" t="s">
        <v>58</v>
      </c>
      <c r="N198" s="11">
        <f>MDETERM(J197:L199)</f>
        <v>0.64692855370488422</v>
      </c>
    </row>
    <row r="199" spans="1:14" x14ac:dyDescent="0.3">
      <c r="A199" s="11" t="s">
        <v>87</v>
      </c>
      <c r="B199" s="10">
        <f>D197</f>
        <v>-0.17555698778679638</v>
      </c>
      <c r="C199" s="11">
        <f>D198</f>
        <v>0.24007197993046944</v>
      </c>
      <c r="D199" s="11">
        <v>1</v>
      </c>
      <c r="E199" s="12">
        <f>B103</f>
        <v>-0.30631938809429288</v>
      </c>
      <c r="F199" s="11"/>
      <c r="G199" s="108"/>
      <c r="I199" s="11"/>
      <c r="J199" s="10">
        <v>-0.5285258050118653</v>
      </c>
      <c r="K199" s="11">
        <v>-0.30631938809429288</v>
      </c>
      <c r="L199" s="12">
        <v>1</v>
      </c>
      <c r="M199" s="11"/>
      <c r="N199" s="11"/>
    </row>
    <row r="200" spans="1:14" x14ac:dyDescent="0.3">
      <c r="A200" s="11"/>
      <c r="B200" s="10">
        <f>E197</f>
        <v>-0.6251243742776269</v>
      </c>
      <c r="C200" s="11">
        <f>E198</f>
        <v>-0.5285258050118653</v>
      </c>
      <c r="D200" s="11">
        <f>E199</f>
        <v>-0.30631938809429288</v>
      </c>
      <c r="E200" s="12">
        <v>1</v>
      </c>
      <c r="F200" s="11"/>
      <c r="G200" s="108"/>
    </row>
    <row r="201" spans="1:14" x14ac:dyDescent="0.3">
      <c r="A201" s="11"/>
      <c r="B201" s="11"/>
      <c r="C201" s="11"/>
      <c r="D201" s="11"/>
      <c r="E201" s="11"/>
      <c r="F201" s="11"/>
      <c r="G201" s="108"/>
    </row>
    <row r="202" spans="1:14" x14ac:dyDescent="0.3">
      <c r="A202" s="11"/>
      <c r="B202" s="10">
        <v>1</v>
      </c>
      <c r="C202" s="11">
        <f>B94</f>
        <v>0.64645288365396569</v>
      </c>
      <c r="D202" s="11">
        <f>B95</f>
        <v>-0.17555698778679638</v>
      </c>
      <c r="E202" s="12">
        <f>B96</f>
        <v>-0.23137522883362327</v>
      </c>
      <c r="F202" s="11"/>
      <c r="G202" s="108"/>
      <c r="I202" s="11"/>
      <c r="J202" s="10">
        <v>1</v>
      </c>
      <c r="K202" s="11">
        <v>0.24007197993046944</v>
      </c>
      <c r="L202" s="12">
        <v>-0.53156849083661728</v>
      </c>
      <c r="M202" s="11"/>
      <c r="N202" s="11"/>
    </row>
    <row r="203" spans="1:14" x14ac:dyDescent="0.3">
      <c r="A203" s="28" t="s">
        <v>57</v>
      </c>
      <c r="B203" s="10">
        <f>C202</f>
        <v>0.64645288365396569</v>
      </c>
      <c r="C203" s="11">
        <v>1</v>
      </c>
      <c r="D203" s="11">
        <f>B99</f>
        <v>0.24007197993046944</v>
      </c>
      <c r="E203" s="12">
        <f>B100</f>
        <v>-0.53156849083661728</v>
      </c>
      <c r="F203" s="11" t="s">
        <v>58</v>
      </c>
      <c r="G203" s="108">
        <f>MDETERM(B202:E205)</f>
        <v>0.29771466055766244</v>
      </c>
      <c r="I203" s="28" t="s">
        <v>59</v>
      </c>
      <c r="J203" s="10">
        <v>0.24007197993046944</v>
      </c>
      <c r="K203" s="11">
        <v>1</v>
      </c>
      <c r="L203" s="12">
        <v>-7.5336260288329099E-2</v>
      </c>
      <c r="M203" s="11" t="s">
        <v>58</v>
      </c>
      <c r="N203" s="11">
        <f>MDETERM(J202:L204)</f>
        <v>0.67335286040896114</v>
      </c>
    </row>
    <row r="204" spans="1:14" x14ac:dyDescent="0.3">
      <c r="A204" s="11" t="s">
        <v>88</v>
      </c>
      <c r="B204" s="10">
        <f>D202</f>
        <v>-0.17555698778679638</v>
      </c>
      <c r="C204" s="11">
        <f>D203</f>
        <v>0.24007197993046944</v>
      </c>
      <c r="D204" s="11">
        <v>1</v>
      </c>
      <c r="E204" s="12">
        <f>B102</f>
        <v>-7.5336260288329099E-2</v>
      </c>
      <c r="F204" s="11"/>
      <c r="G204" s="11"/>
      <c r="I204" s="11"/>
      <c r="J204" s="10">
        <v>-0.53156849083661728</v>
      </c>
      <c r="K204" s="11">
        <v>-7.5336260288329099E-2</v>
      </c>
      <c r="L204" s="12">
        <v>1</v>
      </c>
      <c r="M204" s="11"/>
      <c r="N204" s="11"/>
    </row>
    <row r="205" spans="1:14" x14ac:dyDescent="0.3">
      <c r="A205" s="11"/>
      <c r="B205" s="10">
        <f>E202</f>
        <v>-0.23137522883362327</v>
      </c>
      <c r="C205" s="11">
        <f>E203</f>
        <v>-0.53156849083661728</v>
      </c>
      <c r="D205" s="11">
        <f>E204</f>
        <v>-7.5336260288329099E-2</v>
      </c>
      <c r="E205" s="12">
        <v>1</v>
      </c>
      <c r="F205" s="11"/>
      <c r="G205" s="11"/>
      <c r="I205" s="11"/>
      <c r="J205" s="11"/>
      <c r="K205" s="11"/>
      <c r="L205" s="11"/>
      <c r="M205" s="11"/>
      <c r="N205" s="11"/>
    </row>
    <row r="206" spans="1:14" ht="14.4" customHeight="1" x14ac:dyDescent="0.3">
      <c r="A206" s="11"/>
      <c r="B206" s="11"/>
      <c r="C206" s="11"/>
      <c r="D206" s="11"/>
      <c r="E206" s="11"/>
      <c r="F206" s="11"/>
      <c r="G206" s="11"/>
      <c r="I206" s="11"/>
      <c r="J206" s="11"/>
      <c r="K206" s="11"/>
      <c r="L206" s="11"/>
      <c r="M206" s="11"/>
      <c r="N206" s="11"/>
    </row>
    <row r="207" spans="1:14" ht="53.4" customHeight="1" x14ac:dyDescent="0.3">
      <c r="A207" s="139"/>
      <c r="B207" s="139"/>
      <c r="C207" s="139"/>
      <c r="D207" s="139"/>
      <c r="E207" s="139"/>
      <c r="F207" s="139"/>
      <c r="G207" s="139"/>
      <c r="I207" s="11"/>
      <c r="J207" s="11"/>
      <c r="K207" s="11"/>
      <c r="L207" s="11"/>
      <c r="M207" s="11"/>
      <c r="N207" s="11"/>
    </row>
    <row r="208" spans="1:14" ht="23.4" customHeight="1" x14ac:dyDescent="0.3">
      <c r="A208" s="3"/>
      <c r="B208" s="3"/>
      <c r="C208" s="3"/>
      <c r="D208" s="3"/>
      <c r="E208" s="145" t="s">
        <v>89</v>
      </c>
      <c r="F208" s="145"/>
      <c r="G208" s="145"/>
    </row>
    <row r="209" spans="1:9" ht="19.2" customHeight="1" x14ac:dyDescent="0.3">
      <c r="A209" s="118">
        <f>((D182-A185)/(1-D182))*8</f>
        <v>9.763618044113926</v>
      </c>
      <c r="B209" s="118">
        <f>((D182-B185)/(1-D182))*8</f>
        <v>8.4535692870396488</v>
      </c>
      <c r="C209" s="82">
        <f>((D182-C185)/(1-D182))*8</f>
        <v>3.6043840897974553</v>
      </c>
      <c r="D209" s="118">
        <f>((D182-D185)/(1-D182))*8</f>
        <v>9.620244272855679</v>
      </c>
      <c r="E209" s="151">
        <f>_xlfn.F.INV.RT(0.05,1,8)</f>
        <v>5.3176550715787174</v>
      </c>
      <c r="F209" s="151"/>
      <c r="G209" s="151"/>
    </row>
    <row r="210" spans="1:9" ht="19.2" customHeight="1" x14ac:dyDescent="0.3"/>
    <row r="211" spans="1:9" ht="73.95" customHeight="1" x14ac:dyDescent="0.3">
      <c r="A211" s="149" t="s">
        <v>250</v>
      </c>
      <c r="B211" s="150"/>
      <c r="C211" s="150"/>
      <c r="D211" s="150"/>
      <c r="E211" s="150"/>
      <c r="F211" s="150"/>
      <c r="G211" s="150"/>
    </row>
    <row r="212" spans="1:9" ht="19.2" customHeight="1" x14ac:dyDescent="0.3"/>
    <row r="213" spans="1:9" ht="19.2" customHeight="1" x14ac:dyDescent="0.3">
      <c r="A213" s="45" t="s">
        <v>90</v>
      </c>
    </row>
    <row r="214" spans="1:9" ht="17.399999999999999" customHeight="1" x14ac:dyDescent="0.3"/>
    <row r="215" spans="1:9" ht="27" customHeight="1" x14ac:dyDescent="0.3">
      <c r="A215" s="3"/>
      <c r="B215" s="20"/>
      <c r="C215" s="20"/>
      <c r="D215" s="20"/>
      <c r="E215" s="20"/>
      <c r="F215" s="46" t="s">
        <v>91</v>
      </c>
    </row>
    <row r="216" spans="1:9" ht="40.200000000000003" customHeight="1" x14ac:dyDescent="0.3">
      <c r="A216" s="3"/>
      <c r="B216" s="20">
        <f>E61/B159</f>
        <v>3.1246788705585193</v>
      </c>
      <c r="C216" s="20">
        <f>D61/B160</f>
        <v>-2.9075022419663892</v>
      </c>
      <c r="D216" s="82">
        <f>C61/B161</f>
        <v>1.8985215536826447</v>
      </c>
      <c r="E216" s="20">
        <f>B61/B162</f>
        <v>-3.1016518619688407</v>
      </c>
      <c r="F216" s="53">
        <f>_xlfn.T.INV.2T(0.05,8)</f>
        <v>2.3060041352041671</v>
      </c>
    </row>
    <row r="217" spans="1:9" ht="34.200000000000003" customHeight="1" x14ac:dyDescent="0.3">
      <c r="A217" s="3"/>
      <c r="B217" s="20">
        <f>SQRT(A209)</f>
        <v>3.1246788705583692</v>
      </c>
      <c r="C217" s="20">
        <f>SQRT(B209)</f>
        <v>2.9075022419664012</v>
      </c>
      <c r="D217" s="20">
        <f>SQRT(C209)</f>
        <v>1.8985215536826163</v>
      </c>
      <c r="E217" s="20">
        <f>SQRT(D209)</f>
        <v>3.1016518619689863</v>
      </c>
      <c r="F217" s="20"/>
    </row>
    <row r="218" spans="1:9" ht="35.4" customHeight="1" x14ac:dyDescent="0.3">
      <c r="A218" s="84" t="s">
        <v>185</v>
      </c>
      <c r="B218" s="11"/>
      <c r="C218" s="11"/>
      <c r="D218" s="11"/>
      <c r="E218" s="11"/>
    </row>
    <row r="219" spans="1:9" ht="67.8" customHeight="1" x14ac:dyDescent="0.3">
      <c r="A219" s="149" t="s">
        <v>251</v>
      </c>
      <c r="B219" s="149"/>
      <c r="C219" s="149"/>
      <c r="D219" s="149"/>
      <c r="E219" s="149"/>
      <c r="F219" s="149"/>
      <c r="G219" s="149"/>
    </row>
    <row r="221" spans="1:9" ht="15.6" x14ac:dyDescent="0.3">
      <c r="A221" s="37" t="s">
        <v>92</v>
      </c>
      <c r="B221" s="38"/>
      <c r="C221" s="38"/>
      <c r="D221" s="38"/>
      <c r="E221" s="38"/>
      <c r="F221" s="38"/>
      <c r="G221" s="38"/>
      <c r="H221" s="38"/>
      <c r="I221" s="35"/>
    </row>
    <row r="223" spans="1:9" ht="25.2" customHeight="1" x14ac:dyDescent="0.3">
      <c r="A223" s="132" t="s">
        <v>93</v>
      </c>
      <c r="B223" s="132"/>
      <c r="C223" s="132"/>
      <c r="D223" s="132"/>
      <c r="E223" s="132"/>
    </row>
    <row r="224" spans="1:9" ht="19.8" customHeight="1" x14ac:dyDescent="0.3">
      <c r="A224" s="43" t="s">
        <v>186</v>
      </c>
    </row>
    <row r="225" spans="1:9" ht="20.399999999999999" customHeight="1" x14ac:dyDescent="0.3">
      <c r="A225" s="43" t="s">
        <v>94</v>
      </c>
    </row>
    <row r="226" spans="1:9" ht="39" customHeight="1" x14ac:dyDescent="0.3">
      <c r="A226" s="133"/>
      <c r="B226" s="133"/>
      <c r="C226" s="133"/>
      <c r="D226" s="133"/>
      <c r="E226" s="133"/>
      <c r="F226" s="133"/>
      <c r="G226" s="133"/>
    </row>
    <row r="227" spans="1:9" ht="36.6" customHeight="1" x14ac:dyDescent="0.3">
      <c r="A227" s="20"/>
      <c r="B227" s="20">
        <f>B53*C28/B28</f>
        <v>0.63336050005150901</v>
      </c>
    </row>
    <row r="228" spans="1:9" ht="19.95" customHeight="1" x14ac:dyDescent="0.3">
      <c r="A228" s="20" t="s">
        <v>95</v>
      </c>
      <c r="B228" s="20">
        <f>B54*D28/B28</f>
        <v>-0.49066927003096189</v>
      </c>
    </row>
    <row r="229" spans="1:9" ht="19.95" customHeight="1" x14ac:dyDescent="0.3">
      <c r="A229" s="20" t="s">
        <v>96</v>
      </c>
      <c r="B229" s="82">
        <f>B55*E28/B28</f>
        <v>0.37465987684583663</v>
      </c>
    </row>
    <row r="230" spans="1:9" ht="20.399999999999999" customHeight="1" x14ac:dyDescent="0.3">
      <c r="A230" s="20" t="s">
        <v>97</v>
      </c>
      <c r="B230" s="20">
        <f>B56*F28/B28</f>
        <v>-0.62446470717621783</v>
      </c>
    </row>
    <row r="231" spans="1:9" x14ac:dyDescent="0.3">
      <c r="A231" s="33"/>
    </row>
    <row r="232" spans="1:9" ht="25.2" customHeight="1" x14ac:dyDescent="0.3">
      <c r="A232" s="58" t="s">
        <v>98</v>
      </c>
      <c r="B232" s="57"/>
      <c r="C232" s="57"/>
      <c r="D232" s="57"/>
    </row>
    <row r="233" spans="1:9" ht="69" customHeight="1" x14ac:dyDescent="0.3">
      <c r="A233" s="137" t="s">
        <v>188</v>
      </c>
      <c r="B233" s="137"/>
      <c r="C233" s="137"/>
      <c r="D233" s="137"/>
      <c r="E233" s="137"/>
    </row>
    <row r="234" spans="1:9" x14ac:dyDescent="0.3">
      <c r="A234" s="33"/>
    </row>
    <row r="235" spans="1:9" ht="24.6" customHeight="1" x14ac:dyDescent="0.3">
      <c r="A235" s="132" t="s">
        <v>99</v>
      </c>
      <c r="B235" s="132"/>
      <c r="C235" s="132"/>
      <c r="D235" s="132"/>
      <c r="E235" s="132"/>
    </row>
    <row r="236" spans="1:9" ht="29.4" customHeight="1" x14ac:dyDescent="0.3">
      <c r="A236" s="43" t="s">
        <v>187</v>
      </c>
    </row>
    <row r="237" spans="1:9" ht="42" customHeight="1" x14ac:dyDescent="0.3">
      <c r="A237" s="33"/>
    </row>
    <row r="238" spans="1:9" x14ac:dyDescent="0.3">
      <c r="A238" s="41"/>
      <c r="B238" s="11"/>
      <c r="C238" s="11"/>
      <c r="D238" s="11"/>
      <c r="E238" s="11"/>
      <c r="F238" s="11"/>
      <c r="G238" s="11"/>
      <c r="H238" s="11"/>
      <c r="I238" s="11"/>
    </row>
    <row r="239" spans="1:9" ht="21" x14ac:dyDescent="0.3">
      <c r="A239" s="42" t="s">
        <v>100</v>
      </c>
      <c r="B239" s="83">
        <f>E61*C27/B27</f>
        <v>1.0707560212216991</v>
      </c>
      <c r="C239" s="102"/>
    </row>
    <row r="240" spans="1:9" ht="21" x14ac:dyDescent="0.3">
      <c r="A240" s="56" t="s">
        <v>101</v>
      </c>
      <c r="B240" s="83">
        <f>D61*D27/B27</f>
        <v>-0.75141319815990326</v>
      </c>
      <c r="C240" s="102"/>
    </row>
    <row r="241" spans="1:17" ht="21" x14ac:dyDescent="0.3">
      <c r="A241" s="56" t="s">
        <v>102</v>
      </c>
      <c r="B241" s="83">
        <f>C61*E27/B27</f>
        <v>1.7862568005783981</v>
      </c>
      <c r="C241" s="102"/>
    </row>
    <row r="242" spans="1:17" ht="21" x14ac:dyDescent="0.3">
      <c r="A242" s="56" t="s">
        <v>103</v>
      </c>
      <c r="B242" s="83">
        <f>B61*F27/B27</f>
        <v>-2.8015817589912704</v>
      </c>
      <c r="C242" s="102"/>
    </row>
    <row r="243" spans="1:17" ht="18" x14ac:dyDescent="0.3">
      <c r="A243" s="146" t="s">
        <v>189</v>
      </c>
      <c r="B243" s="147"/>
      <c r="C243" s="148"/>
    </row>
    <row r="244" spans="1:17" x14ac:dyDescent="0.3">
      <c r="A244" s="33"/>
    </row>
    <row r="245" spans="1:17" ht="30.6" customHeight="1" x14ac:dyDescent="0.3">
      <c r="A245" s="132" t="s">
        <v>104</v>
      </c>
      <c r="B245" s="132"/>
      <c r="C245" s="132"/>
      <c r="D245" s="132"/>
      <c r="E245" s="132"/>
    </row>
    <row r="246" spans="1:17" ht="62.4" customHeight="1" x14ac:dyDescent="0.3">
      <c r="A246" s="140" t="s">
        <v>201</v>
      </c>
      <c r="B246" s="141"/>
      <c r="C246" s="141"/>
      <c r="D246" s="141"/>
      <c r="E246" s="141"/>
      <c r="F246" s="141"/>
      <c r="G246" s="141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</row>
    <row r="247" spans="1:17" ht="63.6" customHeight="1" x14ac:dyDescent="0.3"/>
    <row r="248" spans="1:17" ht="13.95" customHeight="1" x14ac:dyDescent="0.3"/>
    <row r="249" spans="1:17" ht="49.2" customHeight="1" x14ac:dyDescent="0.3">
      <c r="A249" s="139"/>
      <c r="B249" s="139"/>
      <c r="C249" s="20">
        <f>D182</f>
        <v>0.79925923528900911</v>
      </c>
    </row>
    <row r="251" spans="1:17" x14ac:dyDescent="0.3">
      <c r="A251" s="20" t="s">
        <v>105</v>
      </c>
      <c r="B251" s="20" t="s">
        <v>106</v>
      </c>
      <c r="C251" s="20" t="s">
        <v>107</v>
      </c>
      <c r="D251" s="20" t="s">
        <v>108</v>
      </c>
      <c r="E251" s="138" t="s">
        <v>109</v>
      </c>
      <c r="F251" s="136"/>
    </row>
    <row r="252" spans="1:17" x14ac:dyDescent="0.3">
      <c r="A252" s="20">
        <v>0.55426471622382678</v>
      </c>
      <c r="B252" s="20">
        <v>0.58713723988679845</v>
      </c>
      <c r="C252" s="20">
        <v>0.70881588297675036</v>
      </c>
      <c r="D252" s="20">
        <v>0.55786233628406168</v>
      </c>
    </row>
    <row r="254" spans="1:17" ht="20.399999999999999" customHeight="1" x14ac:dyDescent="0.3">
      <c r="A254" s="20" t="s">
        <v>110</v>
      </c>
      <c r="B254" s="20" t="s">
        <v>111</v>
      </c>
      <c r="C254" s="20" t="s">
        <v>112</v>
      </c>
      <c r="D254" s="20" t="s">
        <v>113</v>
      </c>
      <c r="E254" s="11" t="s">
        <v>190</v>
      </c>
    </row>
    <row r="255" spans="1:17" x14ac:dyDescent="0.3">
      <c r="A255" s="53">
        <f>SQRT(1-((1-$C$249)/(1-A$252)))</f>
        <v>0.74137797110468751</v>
      </c>
      <c r="B255" s="53">
        <f t="shared" ref="B255:D255" si="33">SQRT(1-((1-$C$249)/(1-B$252)))</f>
        <v>0.71678679524933187</v>
      </c>
      <c r="C255" s="101">
        <f t="shared" si="33"/>
        <v>0.55731981531803598</v>
      </c>
      <c r="D255" s="53">
        <f t="shared" si="33"/>
        <v>0.73890241736016715</v>
      </c>
    </row>
    <row r="257" spans="1:7" ht="26.4" customHeight="1" x14ac:dyDescent="0.3">
      <c r="A257" s="136" t="s">
        <v>114</v>
      </c>
      <c r="B257" s="136"/>
      <c r="C257" s="136"/>
      <c r="D257" s="136"/>
    </row>
    <row r="259" spans="1:7" ht="39.6" customHeight="1" x14ac:dyDescent="0.3">
      <c r="A259" s="137" t="s">
        <v>115</v>
      </c>
      <c r="B259" s="137"/>
      <c r="C259" s="137"/>
      <c r="D259" s="137"/>
      <c r="E259" s="137"/>
    </row>
    <row r="261" spans="1:7" ht="24" customHeight="1" x14ac:dyDescent="0.3">
      <c r="A261" s="132" t="s">
        <v>116</v>
      </c>
      <c r="B261" s="132"/>
      <c r="C261" s="132"/>
      <c r="D261" s="132"/>
      <c r="E261" s="132"/>
    </row>
    <row r="263" spans="1:7" ht="42" customHeight="1" x14ac:dyDescent="0.3"/>
    <row r="264" spans="1:7" x14ac:dyDescent="0.3">
      <c r="A264" s="20" t="s">
        <v>117</v>
      </c>
      <c r="B264" s="20">
        <v>0.64645288365396569</v>
      </c>
    </row>
    <row r="265" spans="1:7" x14ac:dyDescent="0.3">
      <c r="A265" s="20" t="s">
        <v>118</v>
      </c>
      <c r="B265" s="20">
        <v>-0.17555698778679638</v>
      </c>
    </row>
    <row r="266" spans="1:7" x14ac:dyDescent="0.3">
      <c r="A266" s="20" t="s">
        <v>119</v>
      </c>
      <c r="B266" s="20">
        <v>-0.23137522883362327</v>
      </c>
    </row>
    <row r="267" spans="1:7" x14ac:dyDescent="0.3">
      <c r="A267" s="20" t="s">
        <v>120</v>
      </c>
      <c r="B267" s="20">
        <v>-0.6251243742776269</v>
      </c>
    </row>
    <row r="268" spans="1:7" x14ac:dyDescent="0.3">
      <c r="A268" s="135" t="s">
        <v>191</v>
      </c>
      <c r="B268" s="135"/>
    </row>
    <row r="269" spans="1:7" x14ac:dyDescent="0.3">
      <c r="A269" s="11"/>
      <c r="B269" s="11"/>
    </row>
    <row r="270" spans="1:7" ht="15.6" x14ac:dyDescent="0.3">
      <c r="A270" s="37" t="s">
        <v>121</v>
      </c>
      <c r="B270" s="38"/>
      <c r="C270" s="38"/>
      <c r="D270" s="38"/>
      <c r="E270" s="38"/>
      <c r="F270" s="38"/>
      <c r="G270" s="38"/>
    </row>
    <row r="272" spans="1:7" x14ac:dyDescent="0.3">
      <c r="A272" s="40" t="s">
        <v>122</v>
      </c>
    </row>
    <row r="274" spans="1:10" ht="15.6" x14ac:dyDescent="0.3">
      <c r="A274" s="37" t="s">
        <v>123</v>
      </c>
      <c r="B274" s="38"/>
      <c r="C274" s="38"/>
      <c r="D274" s="38"/>
      <c r="E274" s="38"/>
      <c r="F274" s="38"/>
      <c r="G274" s="38"/>
      <c r="H274" s="38"/>
      <c r="I274" s="35"/>
    </row>
    <row r="275" spans="1:10" x14ac:dyDescent="0.3">
      <c r="A275" s="40" t="s">
        <v>124</v>
      </c>
    </row>
    <row r="277" spans="1:10" ht="15.6" x14ac:dyDescent="0.3">
      <c r="A277" s="37" t="s">
        <v>126</v>
      </c>
      <c r="B277" s="38"/>
      <c r="C277" s="38"/>
      <c r="D277" s="38"/>
      <c r="E277" s="38"/>
      <c r="F277" s="38"/>
      <c r="G277" s="38"/>
      <c r="H277" s="38"/>
      <c r="I277" s="38"/>
      <c r="J277" s="38"/>
    </row>
    <row r="279" spans="1:10" ht="15.6" x14ac:dyDescent="0.3">
      <c r="A279" s="96" t="s">
        <v>127</v>
      </c>
    </row>
    <row r="280" spans="1:10" ht="15.6" x14ac:dyDescent="0.3">
      <c r="A280" s="88" t="s">
        <v>128</v>
      </c>
    </row>
    <row r="281" spans="1:10" ht="15.6" x14ac:dyDescent="0.3">
      <c r="A281" s="88" t="s">
        <v>129</v>
      </c>
    </row>
    <row r="282" spans="1:10" ht="15.6" x14ac:dyDescent="0.3">
      <c r="A282" s="88" t="s">
        <v>130</v>
      </c>
    </row>
    <row r="283" spans="1:10" ht="15.6" x14ac:dyDescent="0.3">
      <c r="A283" s="88" t="s">
        <v>131</v>
      </c>
    </row>
    <row r="284" spans="1:10" ht="15.6" x14ac:dyDescent="0.3">
      <c r="A284" s="88" t="s">
        <v>132</v>
      </c>
    </row>
    <row r="286" spans="1:10" ht="15.6" x14ac:dyDescent="0.3">
      <c r="A286" s="96" t="s">
        <v>128</v>
      </c>
    </row>
    <row r="287" spans="1:10" ht="15.6" x14ac:dyDescent="0.3">
      <c r="A287" s="88" t="s">
        <v>133</v>
      </c>
    </row>
    <row r="288" spans="1:10" ht="22.2" customHeight="1" x14ac:dyDescent="0.3"/>
    <row r="304" spans="1:1" ht="15.6" x14ac:dyDescent="0.3">
      <c r="A304" s="97" t="s">
        <v>129</v>
      </c>
    </row>
    <row r="305" spans="1:2" ht="15.6" x14ac:dyDescent="0.3">
      <c r="A305" s="43" t="s">
        <v>134</v>
      </c>
    </row>
    <row r="306" spans="1:2" ht="26.4" customHeight="1" x14ac:dyDescent="0.3">
      <c r="A306" s="11" t="s">
        <v>135</v>
      </c>
      <c r="B306" s="11">
        <v>0</v>
      </c>
    </row>
    <row r="341" spans="1:1" ht="15.6" x14ac:dyDescent="0.3">
      <c r="A341" s="96" t="s">
        <v>136</v>
      </c>
    </row>
    <row r="359" spans="1:8" ht="15.6" x14ac:dyDescent="0.3">
      <c r="A359" s="96" t="s">
        <v>131</v>
      </c>
      <c r="B359" s="1"/>
      <c r="C359" s="1"/>
      <c r="D359" s="1"/>
      <c r="E359" s="1"/>
      <c r="F359" s="1"/>
      <c r="G359" s="1"/>
      <c r="H359" s="1"/>
    </row>
    <row r="360" spans="1:8" ht="51.6" customHeight="1" x14ac:dyDescent="0.3">
      <c r="A360" s="133"/>
      <c r="B360" s="133"/>
    </row>
    <row r="362" spans="1:8" ht="21.6" customHeight="1" x14ac:dyDescent="0.3">
      <c r="A362" s="3"/>
      <c r="B362" s="46" t="s">
        <v>172</v>
      </c>
      <c r="C362" s="73" t="s">
        <v>173</v>
      </c>
      <c r="D362" s="76" t="s">
        <v>175</v>
      </c>
      <c r="E362" s="3"/>
      <c r="F362" s="3"/>
    </row>
    <row r="363" spans="1:8" x14ac:dyDescent="0.3">
      <c r="A363" s="73">
        <v>1</v>
      </c>
      <c r="B363" s="73">
        <v>-67.03968773048291</v>
      </c>
      <c r="C363" s="73"/>
      <c r="D363" s="73">
        <f t="shared" ref="D363:D375" si="34">B363^2</f>
        <v>4494.3197310006608</v>
      </c>
      <c r="E363" s="3"/>
      <c r="F363" s="3"/>
    </row>
    <row r="364" spans="1:8" x14ac:dyDescent="0.3">
      <c r="A364" s="73">
        <v>2</v>
      </c>
      <c r="B364" s="73">
        <v>47.87689281611722</v>
      </c>
      <c r="C364" s="73">
        <f t="shared" ref="C364:C375" si="35">B363</f>
        <v>-67.03968773048291</v>
      </c>
      <c r="D364" s="73">
        <f t="shared" si="34"/>
        <v>2292.1968657259767</v>
      </c>
      <c r="E364" s="3">
        <f t="shared" ref="E364:E375" si="36">C364^2</f>
        <v>4494.3197310006608</v>
      </c>
      <c r="F364" s="3">
        <f t="shared" ref="F364:F375" si="37">B364*C364</f>
        <v>-3209.6519438982991</v>
      </c>
    </row>
    <row r="365" spans="1:8" x14ac:dyDescent="0.3">
      <c r="A365" s="73">
        <v>3</v>
      </c>
      <c r="B365" s="73">
        <v>12.812505746825991</v>
      </c>
      <c r="C365" s="73">
        <f t="shared" si="35"/>
        <v>47.87689281611722</v>
      </c>
      <c r="D365" s="73">
        <f t="shared" si="34"/>
        <v>164.16030351244905</v>
      </c>
      <c r="E365" s="3">
        <f t="shared" si="36"/>
        <v>2292.1968657259767</v>
      </c>
      <c r="F365" s="3">
        <f t="shared" si="37"/>
        <v>613.42296434667389</v>
      </c>
    </row>
    <row r="366" spans="1:8" x14ac:dyDescent="0.3">
      <c r="A366" s="73">
        <v>4</v>
      </c>
      <c r="B366" s="73">
        <v>-66.870907448860237</v>
      </c>
      <c r="C366" s="73">
        <f t="shared" si="35"/>
        <v>12.812505746825991</v>
      </c>
      <c r="D366" s="73">
        <f t="shared" si="34"/>
        <v>4471.7182630340312</v>
      </c>
      <c r="E366" s="3">
        <f t="shared" si="36"/>
        <v>164.16030351244905</v>
      </c>
      <c r="F366" s="3">
        <f t="shared" si="37"/>
        <v>-856.78388598399079</v>
      </c>
    </row>
    <row r="367" spans="1:8" x14ac:dyDescent="0.3">
      <c r="A367" s="73">
        <v>5</v>
      </c>
      <c r="B367" s="73">
        <v>7.3473532080543009</v>
      </c>
      <c r="C367" s="73">
        <f t="shared" si="35"/>
        <v>-66.870907448860237</v>
      </c>
      <c r="D367" s="73">
        <f t="shared" si="34"/>
        <v>53.983599163905829</v>
      </c>
      <c r="E367" s="3">
        <f t="shared" si="36"/>
        <v>4471.7182630340312</v>
      </c>
      <c r="F367" s="3">
        <f t="shared" si="37"/>
        <v>-491.32417636988549</v>
      </c>
    </row>
    <row r="368" spans="1:8" x14ac:dyDescent="0.3">
      <c r="A368" s="73">
        <v>6</v>
      </c>
      <c r="B368" s="73">
        <v>-10.631239633616929</v>
      </c>
      <c r="C368" s="73">
        <f t="shared" si="35"/>
        <v>7.3473532080543009</v>
      </c>
      <c r="D368" s="73">
        <f t="shared" si="34"/>
        <v>113.0232561473874</v>
      </c>
      <c r="E368" s="3">
        <f t="shared" si="36"/>
        <v>53.983599163905829</v>
      </c>
      <c r="F368" s="3">
        <f t="shared" si="37"/>
        <v>-78.111472627649377</v>
      </c>
    </row>
    <row r="369" spans="1:6" x14ac:dyDescent="0.3">
      <c r="A369" s="73">
        <v>7</v>
      </c>
      <c r="B369" s="73">
        <v>18.858939498803124</v>
      </c>
      <c r="C369" s="73">
        <f t="shared" si="35"/>
        <v>-10.631239633616929</v>
      </c>
      <c r="D369" s="73">
        <f t="shared" si="34"/>
        <v>355.65959901951663</v>
      </c>
      <c r="E369" s="3">
        <f t="shared" si="36"/>
        <v>113.0232561473874</v>
      </c>
      <c r="F369" s="3">
        <f t="shared" si="37"/>
        <v>-200.49390504765955</v>
      </c>
    </row>
    <row r="370" spans="1:6" x14ac:dyDescent="0.3">
      <c r="A370" s="73">
        <v>8</v>
      </c>
      <c r="B370" s="73">
        <v>24.725755747509254</v>
      </c>
      <c r="C370" s="73">
        <f t="shared" si="35"/>
        <v>18.858939498803124</v>
      </c>
      <c r="D370" s="73">
        <f t="shared" si="34"/>
        <v>611.36299728548693</v>
      </c>
      <c r="E370" s="3">
        <f t="shared" si="36"/>
        <v>355.65959901951663</v>
      </c>
      <c r="F370" s="3">
        <f t="shared" si="37"/>
        <v>466.30153170446067</v>
      </c>
    </row>
    <row r="371" spans="1:6" x14ac:dyDescent="0.3">
      <c r="A371" s="73">
        <v>9</v>
      </c>
      <c r="B371" s="73">
        <v>-49.591074101737263</v>
      </c>
      <c r="C371" s="73">
        <f t="shared" si="35"/>
        <v>24.725755747509254</v>
      </c>
      <c r="D371" s="73">
        <f t="shared" si="34"/>
        <v>2459.2746305639962</v>
      </c>
      <c r="E371" s="3">
        <f t="shared" si="36"/>
        <v>611.36299728548693</v>
      </c>
      <c r="F371" s="3">
        <f t="shared" si="37"/>
        <v>-1226.1767854961874</v>
      </c>
    </row>
    <row r="372" spans="1:6" x14ac:dyDescent="0.3">
      <c r="A372" s="73">
        <v>10</v>
      </c>
      <c r="B372" s="73">
        <v>-3.1641797853732214</v>
      </c>
      <c r="C372" s="73">
        <f t="shared" si="35"/>
        <v>-49.591074101737263</v>
      </c>
      <c r="D372" s="73">
        <f t="shared" si="34"/>
        <v>10.012033714164525</v>
      </c>
      <c r="E372" s="3">
        <f t="shared" si="36"/>
        <v>2459.2746305639962</v>
      </c>
      <c r="F372" s="3">
        <f t="shared" si="37"/>
        <v>156.91507420766254</v>
      </c>
    </row>
    <row r="373" spans="1:6" x14ac:dyDescent="0.3">
      <c r="A373" s="73">
        <v>11</v>
      </c>
      <c r="B373" s="73">
        <v>46.135857623344918</v>
      </c>
      <c r="C373" s="73">
        <f t="shared" si="35"/>
        <v>-3.1641797853732214</v>
      </c>
      <c r="D373" s="73">
        <f t="shared" si="34"/>
        <v>2128.5173586415535</v>
      </c>
      <c r="E373" s="3">
        <f t="shared" si="36"/>
        <v>10.012033714164525</v>
      </c>
      <c r="F373" s="3">
        <f t="shared" si="37"/>
        <v>-145.98214807264503</v>
      </c>
    </row>
    <row r="374" spans="1:6" x14ac:dyDescent="0.3">
      <c r="A374" s="73">
        <v>12</v>
      </c>
      <c r="B374" s="73">
        <v>-2.0937139510812131</v>
      </c>
      <c r="C374" s="73">
        <f t="shared" si="35"/>
        <v>46.135857623344918</v>
      </c>
      <c r="D374" s="73">
        <f t="shared" si="34"/>
        <v>4.3836381089521046</v>
      </c>
      <c r="E374" s="3">
        <f t="shared" si="36"/>
        <v>2128.5173586415535</v>
      </c>
      <c r="F374" s="3">
        <f t="shared" si="37"/>
        <v>-96.59528875109379</v>
      </c>
    </row>
    <row r="375" spans="1:6" x14ac:dyDescent="0.3">
      <c r="A375" s="73">
        <v>13</v>
      </c>
      <c r="B375" s="73">
        <v>41.633498010494407</v>
      </c>
      <c r="C375" s="73">
        <f t="shared" si="35"/>
        <v>-2.0937139510812131</v>
      </c>
      <c r="D375" s="73">
        <f t="shared" si="34"/>
        <v>1733.3481565898417</v>
      </c>
      <c r="E375" s="3">
        <f t="shared" si="36"/>
        <v>4.3836381089521046</v>
      </c>
      <c r="F375" s="3">
        <f t="shared" si="37"/>
        <v>-87.16863561688406</v>
      </c>
    </row>
    <row r="376" spans="1:6" x14ac:dyDescent="0.3">
      <c r="A376" s="73" t="s">
        <v>21</v>
      </c>
      <c r="B376" s="74">
        <f>AVERAGE(B364:B375)</f>
        <v>5.586640644206696</v>
      </c>
      <c r="C376" s="3">
        <f>AVERAGE(C363:C375)</f>
        <v>-3.4694581675414136</v>
      </c>
      <c r="D376" s="77">
        <f>AVERAGE(D364:D375)</f>
        <v>1199.8033917922719</v>
      </c>
      <c r="E376" s="3">
        <f t="shared" ref="E376:F376" si="38">AVERAGE(E363:E375)</f>
        <v>1429.884356326507</v>
      </c>
      <c r="F376" s="3">
        <f t="shared" si="38"/>
        <v>-429.63738930045815</v>
      </c>
    </row>
    <row r="377" spans="1:6" ht="15.6" x14ac:dyDescent="0.3">
      <c r="A377" s="75" t="s">
        <v>174</v>
      </c>
      <c r="B377" s="55">
        <f>D376-B376^2</f>
        <v>1168.5928381047697</v>
      </c>
      <c r="C377" s="80">
        <f>E376-C376^2</f>
        <v>1417.8472163501872</v>
      </c>
      <c r="D377" s="80"/>
      <c r="E377" s="80"/>
      <c r="F377" s="80"/>
    </row>
    <row r="378" spans="1:6" x14ac:dyDescent="0.3">
      <c r="A378" s="87" t="s">
        <v>193</v>
      </c>
      <c r="B378" s="80">
        <f>_xlfn.VAR.P(B364:B375)</f>
        <v>1168.5928381047697</v>
      </c>
      <c r="C378" s="80">
        <f>_xlfn.VAR.P(C364:C375)</f>
        <v>1417.8472163501872</v>
      </c>
      <c r="D378" s="80"/>
      <c r="E378" s="80"/>
      <c r="F378" s="80"/>
    </row>
    <row r="379" spans="1:6" ht="15.6" x14ac:dyDescent="0.3">
      <c r="A379" s="75" t="s">
        <v>22</v>
      </c>
      <c r="B379" s="80">
        <f>SQRT(B378)</f>
        <v>34.184687187464064</v>
      </c>
      <c r="C379" s="80">
        <f>SQRT(C378)</f>
        <v>37.654312055197437</v>
      </c>
      <c r="D379" s="80"/>
      <c r="E379" s="80"/>
      <c r="F379" s="80"/>
    </row>
    <row r="380" spans="1:6" ht="21" customHeight="1" x14ac:dyDescent="0.3">
      <c r="A380" s="72"/>
      <c r="B380" s="80">
        <f>F376-B376*C376</f>
        <v>-410.25477328829641</v>
      </c>
      <c r="C380" s="80"/>
      <c r="D380" s="80"/>
      <c r="E380" s="80"/>
      <c r="F380" s="80"/>
    </row>
    <row r="381" spans="1:6" ht="21" customHeight="1" x14ac:dyDescent="0.3">
      <c r="A381" s="80" t="s">
        <v>192</v>
      </c>
      <c r="B381" s="80">
        <f>_xlfn.COVARIANCE.P(B364:B375,C364:C375)</f>
        <v>-410.25477328829646</v>
      </c>
      <c r="C381" s="80"/>
      <c r="D381" s="80"/>
      <c r="E381" s="80"/>
      <c r="F381" s="80"/>
    </row>
    <row r="382" spans="1:6" ht="46.8" customHeight="1" x14ac:dyDescent="0.3">
      <c r="A382" s="134"/>
      <c r="B382" s="134"/>
      <c r="C382" s="78">
        <f>B380/(B379*C379)</f>
        <v>-0.3187185310576367</v>
      </c>
    </row>
    <row r="383" spans="1:6" ht="24.6" customHeight="1" x14ac:dyDescent="0.3">
      <c r="A383" s="130" t="s">
        <v>213</v>
      </c>
      <c r="B383" s="131"/>
      <c r="C383" s="78">
        <f>CORREL(B364:B375,C364:C375)</f>
        <v>-0.31871853105763681</v>
      </c>
    </row>
    <row r="384" spans="1:6" ht="15.6" x14ac:dyDescent="0.3">
      <c r="A384" s="30"/>
    </row>
    <row r="385" spans="1:8" ht="15.6" x14ac:dyDescent="0.3">
      <c r="A385" s="43" t="s">
        <v>215</v>
      </c>
    </row>
    <row r="387" spans="1:8" ht="15.6" x14ac:dyDescent="0.3">
      <c r="A387" s="96" t="s">
        <v>176</v>
      </c>
    </row>
    <row r="388" spans="1:8" x14ac:dyDescent="0.3">
      <c r="A388" s="1"/>
    </row>
    <row r="389" spans="1:8" x14ac:dyDescent="0.3">
      <c r="A389" s="1"/>
      <c r="G389" t="s">
        <v>166</v>
      </c>
    </row>
    <row r="390" spans="1:8" x14ac:dyDescent="0.3">
      <c r="A390" s="1"/>
    </row>
    <row r="391" spans="1:8" ht="25.2" customHeight="1" x14ac:dyDescent="0.3">
      <c r="A391" s="1"/>
      <c r="G391" t="s">
        <v>171</v>
      </c>
      <c r="H391" t="s">
        <v>4</v>
      </c>
    </row>
    <row r="392" spans="1:8" x14ac:dyDescent="0.3">
      <c r="A392" s="1"/>
      <c r="G392" s="104">
        <v>3.8461538461538463</v>
      </c>
      <c r="H392" s="104">
        <v>80</v>
      </c>
    </row>
    <row r="393" spans="1:8" x14ac:dyDescent="0.3">
      <c r="A393" s="1"/>
      <c r="G393" s="104">
        <v>11.538461538461538</v>
      </c>
      <c r="H393" s="104">
        <v>92</v>
      </c>
    </row>
    <row r="394" spans="1:8" x14ac:dyDescent="0.3">
      <c r="A394" s="1"/>
      <c r="G394" s="104">
        <v>19.23076923076923</v>
      </c>
      <c r="H394" s="104">
        <v>97</v>
      </c>
    </row>
    <row r="395" spans="1:8" x14ac:dyDescent="0.3">
      <c r="A395" s="1"/>
      <c r="G395" s="104">
        <v>26.923076923076923</v>
      </c>
      <c r="H395" s="104">
        <v>115</v>
      </c>
    </row>
    <row r="396" spans="1:8" x14ac:dyDescent="0.3">
      <c r="A396" s="1"/>
      <c r="G396" s="104">
        <v>34.615384615384613</v>
      </c>
      <c r="H396" s="104">
        <v>129</v>
      </c>
    </row>
    <row r="397" spans="1:8" x14ac:dyDescent="0.3">
      <c r="A397" s="1"/>
      <c r="G397" s="104">
        <v>42.307692307692307</v>
      </c>
      <c r="H397" s="104">
        <v>137</v>
      </c>
    </row>
    <row r="398" spans="1:8" x14ac:dyDescent="0.3">
      <c r="A398" s="1"/>
      <c r="G398" s="104">
        <v>50</v>
      </c>
      <c r="H398" s="104">
        <v>163</v>
      </c>
    </row>
    <row r="399" spans="1:8" x14ac:dyDescent="0.3">
      <c r="A399" s="1"/>
      <c r="G399" s="104">
        <v>57.692307692307693</v>
      </c>
      <c r="H399" s="104">
        <v>223</v>
      </c>
    </row>
    <row r="400" spans="1:8" x14ac:dyDescent="0.3">
      <c r="A400" s="1"/>
      <c r="G400" s="104">
        <v>65.384615384615387</v>
      </c>
      <c r="H400" s="104">
        <v>225</v>
      </c>
    </row>
    <row r="401" spans="1:16" x14ac:dyDescent="0.3">
      <c r="A401" s="1"/>
      <c r="G401" s="104">
        <v>73.076923076923066</v>
      </c>
      <c r="H401" s="104">
        <v>251</v>
      </c>
    </row>
    <row r="402" spans="1:16" x14ac:dyDescent="0.3">
      <c r="A402" s="1"/>
      <c r="G402" s="104">
        <v>80.769230769230759</v>
      </c>
      <c r="H402" s="104">
        <v>267</v>
      </c>
    </row>
    <row r="403" spans="1:16" x14ac:dyDescent="0.3">
      <c r="A403" s="1"/>
      <c r="G403" s="104">
        <v>88.461538461538453</v>
      </c>
      <c r="H403" s="104">
        <v>278</v>
      </c>
    </row>
    <row r="404" spans="1:16" x14ac:dyDescent="0.3">
      <c r="A404" s="1"/>
      <c r="G404" s="104">
        <v>96.153846153846146</v>
      </c>
      <c r="H404" s="104">
        <v>367</v>
      </c>
    </row>
    <row r="405" spans="1:16" x14ac:dyDescent="0.3">
      <c r="A405" s="1"/>
    </row>
    <row r="406" spans="1:16" x14ac:dyDescent="0.3">
      <c r="A406" s="1"/>
    </row>
    <row r="408" spans="1:16" ht="15.6" x14ac:dyDescent="0.3">
      <c r="A408" s="37" t="s">
        <v>137</v>
      </c>
      <c r="B408" s="38"/>
      <c r="C408" s="38"/>
      <c r="D408" s="38"/>
      <c r="E408" s="38"/>
      <c r="F408" s="38"/>
      <c r="G408" s="38"/>
    </row>
    <row r="409" spans="1:16" ht="15.6" x14ac:dyDescent="0.3">
      <c r="A409" s="30" t="s">
        <v>138</v>
      </c>
      <c r="B409" s="30"/>
      <c r="C409" s="30"/>
      <c r="D409" s="30"/>
      <c r="E409" s="30"/>
    </row>
    <row r="410" spans="1:16" ht="15.6" x14ac:dyDescent="0.3">
      <c r="A410" s="30" t="s">
        <v>139</v>
      </c>
      <c r="B410" s="30"/>
      <c r="C410" s="30"/>
      <c r="D410" s="30"/>
      <c r="E410" s="30"/>
    </row>
    <row r="411" spans="1:16" ht="15.6" x14ac:dyDescent="0.3">
      <c r="A411" s="30" t="s">
        <v>140</v>
      </c>
      <c r="B411" s="30"/>
      <c r="C411" s="30"/>
      <c r="D411" s="30"/>
      <c r="E411" s="30"/>
    </row>
    <row r="412" spans="1:16" ht="15.6" x14ac:dyDescent="0.3">
      <c r="A412" s="30" t="s">
        <v>141</v>
      </c>
      <c r="B412" s="30"/>
      <c r="C412" s="30"/>
      <c r="D412" s="30"/>
      <c r="E412" s="30"/>
    </row>
    <row r="414" spans="1:16" ht="15.6" x14ac:dyDescent="0.3">
      <c r="A414" s="89" t="s">
        <v>177</v>
      </c>
      <c r="B414" s="86"/>
      <c r="C414" s="86"/>
      <c r="D414" s="86"/>
      <c r="E414" s="86"/>
      <c r="F414" s="86"/>
      <c r="G414" s="86"/>
      <c r="H414" s="30"/>
      <c r="I414" s="30"/>
      <c r="J414" s="30"/>
      <c r="K414" s="30"/>
      <c r="L414" s="30"/>
      <c r="M414" s="30"/>
      <c r="N414" s="30"/>
      <c r="O414" s="30"/>
      <c r="P414" s="30"/>
    </row>
    <row r="415" spans="1:16" ht="15.6" x14ac:dyDescent="0.3">
      <c r="A415" s="85"/>
      <c r="B415" s="86"/>
      <c r="C415" s="86"/>
      <c r="D415" s="86"/>
      <c r="E415" s="86"/>
      <c r="F415" s="86"/>
      <c r="G415" s="86"/>
      <c r="H415" s="30"/>
      <c r="I415" s="30"/>
      <c r="J415" s="30"/>
      <c r="K415" s="30"/>
      <c r="L415" s="30"/>
      <c r="M415" s="30"/>
      <c r="N415" s="30"/>
      <c r="O415" s="30"/>
      <c r="P415" s="30"/>
    </row>
    <row r="416" spans="1:16" ht="15.6" x14ac:dyDescent="0.3">
      <c r="A416" s="98" t="s">
        <v>178</v>
      </c>
      <c r="B416" s="86"/>
      <c r="C416" s="86"/>
      <c r="D416" s="86"/>
      <c r="E416" s="86"/>
      <c r="F416" s="86"/>
      <c r="G416" s="86"/>
      <c r="H416" s="30"/>
      <c r="I416" s="30"/>
      <c r="J416" s="30"/>
      <c r="K416" s="30"/>
      <c r="L416" s="30"/>
      <c r="M416" s="30"/>
      <c r="N416" s="30"/>
      <c r="O416" s="30"/>
      <c r="P416" s="30"/>
    </row>
    <row r="417" spans="1:22" ht="15.6" x14ac:dyDescent="0.3">
      <c r="A417" s="115" t="s">
        <v>179</v>
      </c>
      <c r="B417" s="86"/>
      <c r="C417" s="86"/>
      <c r="D417" s="86"/>
      <c r="E417" s="86"/>
      <c r="F417" s="86"/>
      <c r="G417" s="86"/>
      <c r="H417" s="30"/>
      <c r="I417" s="30"/>
      <c r="J417" s="30"/>
      <c r="K417" s="30"/>
      <c r="L417" s="30"/>
      <c r="M417" s="30"/>
      <c r="N417" s="30"/>
      <c r="O417" s="30"/>
      <c r="P417" s="30"/>
    </row>
    <row r="418" spans="1:22" ht="15.6" x14ac:dyDescent="0.3">
      <c r="A418" s="98"/>
      <c r="B418" s="86"/>
      <c r="C418" s="86"/>
      <c r="D418" s="86"/>
      <c r="E418" s="86"/>
      <c r="F418" s="86"/>
      <c r="G418" s="86"/>
      <c r="H418" s="30"/>
      <c r="I418" s="30"/>
      <c r="J418" s="30"/>
      <c r="K418" s="30"/>
      <c r="L418" s="30"/>
      <c r="M418" s="30"/>
      <c r="N418" s="30"/>
      <c r="O418" s="30"/>
      <c r="P418" s="30"/>
    </row>
    <row r="419" spans="1:22" ht="15.6" x14ac:dyDescent="0.3">
      <c r="A419" s="98" t="s">
        <v>195</v>
      </c>
      <c r="B419" s="86"/>
      <c r="C419" s="86"/>
      <c r="D419" s="86"/>
      <c r="E419" s="86"/>
      <c r="F419" s="86"/>
      <c r="G419" s="86"/>
      <c r="H419" s="30"/>
      <c r="I419" s="30"/>
      <c r="J419" s="30"/>
      <c r="K419" s="30"/>
      <c r="L419" s="30"/>
      <c r="M419" s="30"/>
      <c r="N419" s="30"/>
      <c r="O419" s="30"/>
      <c r="P419" s="30"/>
    </row>
    <row r="420" spans="1:22" ht="15.6" x14ac:dyDescent="0.3">
      <c r="A420" s="98"/>
      <c r="B420" s="86"/>
      <c r="C420" s="86"/>
      <c r="D420" s="86"/>
      <c r="E420" s="86"/>
      <c r="F420" s="86"/>
      <c r="G420" s="86"/>
      <c r="H420" s="30"/>
      <c r="I420" s="30"/>
      <c r="J420" s="30"/>
      <c r="K420" s="30"/>
      <c r="L420" s="30"/>
      <c r="M420" s="30"/>
      <c r="N420" s="30"/>
      <c r="O420" s="30"/>
      <c r="P420" s="30"/>
    </row>
    <row r="421" spans="1:22" ht="15.6" x14ac:dyDescent="0.3">
      <c r="A421" s="98" t="s">
        <v>194</v>
      </c>
      <c r="B421" s="86"/>
      <c r="C421" s="86"/>
      <c r="D421" s="86"/>
      <c r="E421" s="86"/>
      <c r="F421" s="86"/>
      <c r="G421" s="86"/>
      <c r="H421" s="30"/>
      <c r="I421" s="30"/>
      <c r="J421" s="30"/>
      <c r="K421" s="30"/>
      <c r="L421" s="30"/>
      <c r="M421" s="30"/>
      <c r="N421" s="30"/>
      <c r="O421" s="30"/>
      <c r="P421" s="30"/>
    </row>
    <row r="422" spans="1:22" ht="15.6" x14ac:dyDescent="0.3">
      <c r="A422" s="98"/>
      <c r="B422" s="86"/>
      <c r="C422" s="86"/>
      <c r="D422" s="86"/>
      <c r="E422" s="86"/>
      <c r="F422" s="86"/>
      <c r="G422" s="86"/>
      <c r="H422" s="30"/>
      <c r="I422" s="30"/>
      <c r="J422" s="30"/>
      <c r="K422" s="30"/>
      <c r="L422" s="30"/>
      <c r="M422" s="30"/>
      <c r="N422" s="30"/>
      <c r="O422" s="30"/>
      <c r="P422" s="30"/>
    </row>
    <row r="424" spans="1:22" ht="15.6" x14ac:dyDescent="0.3">
      <c r="A424" s="37" t="s">
        <v>142</v>
      </c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</row>
    <row r="426" spans="1:22" ht="15.6" x14ac:dyDescent="0.3">
      <c r="A426" s="99" t="s">
        <v>198</v>
      </c>
    </row>
    <row r="429" spans="1:22" ht="15.6" x14ac:dyDescent="0.3">
      <c r="A429" s="37" t="s">
        <v>143</v>
      </c>
      <c r="B429" s="38"/>
      <c r="C429" s="38"/>
      <c r="D429" s="38"/>
      <c r="E429" s="38"/>
      <c r="F429" s="38"/>
    </row>
    <row r="430" spans="1:22" ht="15.6" x14ac:dyDescent="0.3">
      <c r="A430" s="88" t="s">
        <v>184</v>
      </c>
    </row>
    <row r="431" spans="1:22" ht="15.6" x14ac:dyDescent="0.3">
      <c r="A431" s="88" t="s">
        <v>180</v>
      </c>
    </row>
    <row r="432" spans="1:22" ht="15.6" x14ac:dyDescent="0.3">
      <c r="A432" s="88" t="s">
        <v>181</v>
      </c>
    </row>
    <row r="433" spans="1:1" ht="15.6" x14ac:dyDescent="0.3">
      <c r="A433" s="88" t="s">
        <v>182</v>
      </c>
    </row>
    <row r="434" spans="1:1" ht="15.6" x14ac:dyDescent="0.3">
      <c r="A434" s="88" t="s">
        <v>183</v>
      </c>
    </row>
    <row r="436" spans="1:1" ht="15.6" x14ac:dyDescent="0.3">
      <c r="A436" s="96" t="s">
        <v>214</v>
      </c>
    </row>
  </sheetData>
  <mergeCells count="41">
    <mergeCell ref="A125:D125"/>
    <mergeCell ref="E208:G208"/>
    <mergeCell ref="A132:B132"/>
    <mergeCell ref="A207:G207"/>
    <mergeCell ref="A179:K179"/>
    <mergeCell ref="E86:K86"/>
    <mergeCell ref="A1:K1"/>
    <mergeCell ref="A3:K3"/>
    <mergeCell ref="A2:K2"/>
    <mergeCell ref="A7:L7"/>
    <mergeCell ref="A32:H32"/>
    <mergeCell ref="A85:C85"/>
    <mergeCell ref="A86:C86"/>
    <mergeCell ref="I78:M78"/>
    <mergeCell ref="A87:C87"/>
    <mergeCell ref="A88:C88"/>
    <mergeCell ref="A89:C89"/>
    <mergeCell ref="A182:C182"/>
    <mergeCell ref="A243:C243"/>
    <mergeCell ref="A211:G211"/>
    <mergeCell ref="A219:G219"/>
    <mergeCell ref="A223:E223"/>
    <mergeCell ref="A233:E233"/>
    <mergeCell ref="A226:G226"/>
    <mergeCell ref="A235:E235"/>
    <mergeCell ref="A168:C168"/>
    <mergeCell ref="E168:G168"/>
    <mergeCell ref="E209:G209"/>
    <mergeCell ref="E90:F90"/>
    <mergeCell ref="A119:L119"/>
    <mergeCell ref="A383:B383"/>
    <mergeCell ref="A245:E245"/>
    <mergeCell ref="A360:B360"/>
    <mergeCell ref="A382:B382"/>
    <mergeCell ref="A268:B268"/>
    <mergeCell ref="A257:D257"/>
    <mergeCell ref="A259:E259"/>
    <mergeCell ref="A261:E261"/>
    <mergeCell ref="E251:F251"/>
    <mergeCell ref="A249:B249"/>
    <mergeCell ref="A246:Q2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zoomScaleNormal="100" workbookViewId="0">
      <selection activeCell="M15" sqref="M15"/>
    </sheetView>
  </sheetViews>
  <sheetFormatPr defaultRowHeight="14.4" x14ac:dyDescent="0.3"/>
  <cols>
    <col min="1" max="1" width="11.33203125" customWidth="1"/>
    <col min="2" max="2" width="12.33203125" customWidth="1"/>
    <col min="3" max="3" width="13" customWidth="1"/>
    <col min="4" max="5" width="12.33203125" bestFit="1" customWidth="1"/>
    <col min="6" max="6" width="10.5546875" customWidth="1"/>
    <col min="7" max="7" width="11" customWidth="1"/>
    <col min="10" max="10" width="9.88671875" customWidth="1"/>
    <col min="16" max="16" width="22.44140625" customWidth="1"/>
    <col min="18" max="18" width="13.77734375" customWidth="1"/>
    <col min="19" max="19" width="23.88671875" customWidth="1"/>
  </cols>
  <sheetData>
    <row r="1" spans="1:16" ht="28.8" customHeight="1" x14ac:dyDescent="0.3">
      <c r="A1" s="36" t="s">
        <v>212</v>
      </c>
      <c r="B1" s="38"/>
      <c r="C1" s="38"/>
      <c r="D1" s="38"/>
      <c r="E1" s="38"/>
      <c r="F1" s="38"/>
      <c r="G1" s="35"/>
      <c r="H1" s="35"/>
    </row>
    <row r="2" spans="1:16" ht="15.6" x14ac:dyDescent="0.3">
      <c r="A2" s="88"/>
    </row>
    <row r="3" spans="1:16" ht="15.6" x14ac:dyDescent="0.3">
      <c r="A3" s="88"/>
    </row>
    <row r="4" spans="1:16" ht="15.6" x14ac:dyDescent="0.3">
      <c r="A4" s="88"/>
    </row>
    <row r="5" spans="1:16" ht="15.6" x14ac:dyDescent="0.3">
      <c r="A5" s="88"/>
      <c r="L5" t="s">
        <v>159</v>
      </c>
    </row>
    <row r="6" spans="1:16" ht="15.6" x14ac:dyDescent="0.3">
      <c r="A6" s="88"/>
      <c r="K6" t="s">
        <v>164</v>
      </c>
      <c r="L6">
        <v>316.23543816084691</v>
      </c>
    </row>
    <row r="7" spans="1:16" x14ac:dyDescent="0.3">
      <c r="K7" t="s">
        <v>5</v>
      </c>
      <c r="L7">
        <v>3.8741885147270672E-2</v>
      </c>
    </row>
    <row r="8" spans="1:16" x14ac:dyDescent="0.3">
      <c r="K8" t="s">
        <v>6</v>
      </c>
      <c r="L8">
        <v>-3.5599053891128808E-2</v>
      </c>
    </row>
    <row r="9" spans="1:16" x14ac:dyDescent="0.3">
      <c r="K9" t="s">
        <v>7</v>
      </c>
      <c r="L9">
        <v>28.152707962301932</v>
      </c>
    </row>
    <row r="10" spans="1:16" x14ac:dyDescent="0.3">
      <c r="K10" t="s">
        <v>8</v>
      </c>
      <c r="L10">
        <v>-30.562710098086576</v>
      </c>
    </row>
    <row r="11" spans="1:16" ht="15.6" x14ac:dyDescent="0.3">
      <c r="A11" s="96" t="s">
        <v>2</v>
      </c>
    </row>
    <row r="12" spans="1:16" ht="18" x14ac:dyDescent="0.35">
      <c r="A12" s="33"/>
      <c r="B12" s="127" t="s">
        <v>263</v>
      </c>
    </row>
    <row r="13" spans="1:16" ht="17.399999999999999" x14ac:dyDescent="0.3">
      <c r="A13" s="33"/>
      <c r="B13" s="26" t="s">
        <v>34</v>
      </c>
    </row>
    <row r="14" spans="1:16" x14ac:dyDescent="0.3">
      <c r="A14" s="33"/>
    </row>
    <row r="15" spans="1:16" ht="18" x14ac:dyDescent="0.35">
      <c r="A15" s="96" t="s">
        <v>262</v>
      </c>
      <c r="B15" s="124" t="s">
        <v>252</v>
      </c>
    </row>
    <row r="16" spans="1:16" ht="15.6" x14ac:dyDescent="0.3">
      <c r="B16" s="30" t="s">
        <v>200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1:16" ht="15.6" x14ac:dyDescent="0.3">
      <c r="B17" s="30" t="s">
        <v>199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1:16" ht="15.6" x14ac:dyDescent="0.3">
      <c r="B18" s="30"/>
      <c r="C18" s="30"/>
      <c r="D18" s="30"/>
      <c r="E18" s="30"/>
      <c r="I18" s="90"/>
    </row>
    <row r="19" spans="1:16" x14ac:dyDescent="0.3">
      <c r="I19" s="90"/>
    </row>
    <row r="20" spans="1:16" x14ac:dyDescent="0.3">
      <c r="A20" s="29">
        <v>1</v>
      </c>
      <c r="B20" s="29">
        <v>2</v>
      </c>
      <c r="C20" s="29">
        <v>3</v>
      </c>
      <c r="D20" s="29">
        <v>4</v>
      </c>
      <c r="E20" s="29">
        <v>5</v>
      </c>
      <c r="H20" s="44"/>
      <c r="I20" s="44" t="s">
        <v>159</v>
      </c>
      <c r="J20" s="44"/>
    </row>
    <row r="21" spans="1:16" ht="88.8" customHeight="1" x14ac:dyDescent="0.3">
      <c r="A21" s="5"/>
      <c r="B21" s="4" t="s">
        <v>4</v>
      </c>
      <c r="C21" s="4" t="s">
        <v>5</v>
      </c>
      <c r="D21" s="4" t="s">
        <v>6</v>
      </c>
      <c r="E21" s="4" t="s">
        <v>8</v>
      </c>
      <c r="H21" s="44" t="s">
        <v>164</v>
      </c>
      <c r="I21" s="44">
        <v>582.73716434226344</v>
      </c>
      <c r="J21" s="44"/>
    </row>
    <row r="22" spans="1:16" x14ac:dyDescent="0.3">
      <c r="A22" s="29">
        <v>1</v>
      </c>
      <c r="B22" s="80">
        <v>115</v>
      </c>
      <c r="C22" s="80">
        <v>4428</v>
      </c>
      <c r="D22" s="80">
        <v>3278</v>
      </c>
      <c r="E22" s="120">
        <v>17.7</v>
      </c>
      <c r="H22" s="44" t="s">
        <v>5</v>
      </c>
      <c r="I22" s="44">
        <v>2.9793117085344118E-2</v>
      </c>
      <c r="J22" s="44"/>
    </row>
    <row r="23" spans="1:16" x14ac:dyDescent="0.3">
      <c r="A23" s="29">
        <v>2</v>
      </c>
      <c r="B23" s="80">
        <v>80</v>
      </c>
      <c r="C23" s="80">
        <v>3756</v>
      </c>
      <c r="D23" s="80">
        <v>5696</v>
      </c>
      <c r="E23" s="120">
        <v>18.2</v>
      </c>
      <c r="H23" s="44" t="s">
        <v>6</v>
      </c>
      <c r="I23" s="44">
        <v>-3.2435827850068169E-2</v>
      </c>
      <c r="J23" s="44"/>
    </row>
    <row r="24" spans="1:16" x14ac:dyDescent="0.3">
      <c r="A24" s="29">
        <v>3</v>
      </c>
      <c r="B24" s="80">
        <v>97</v>
      </c>
      <c r="C24" s="80">
        <v>2970</v>
      </c>
      <c r="D24" s="80">
        <v>2210</v>
      </c>
      <c r="E24" s="120">
        <v>19.100000000000001</v>
      </c>
      <c r="H24" s="44" t="s">
        <v>8</v>
      </c>
      <c r="I24" s="44">
        <v>-24.698442320581975</v>
      </c>
      <c r="J24" s="44"/>
    </row>
    <row r="25" spans="1:16" x14ac:dyDescent="0.3">
      <c r="A25" s="29">
        <v>4</v>
      </c>
      <c r="B25" s="80">
        <v>92</v>
      </c>
      <c r="C25" s="80">
        <v>6231</v>
      </c>
      <c r="D25" s="80">
        <v>5823</v>
      </c>
      <c r="E25" s="120">
        <v>15.2</v>
      </c>
    </row>
    <row r="26" spans="1:16" x14ac:dyDescent="0.3">
      <c r="A26" s="29">
        <v>5</v>
      </c>
      <c r="B26" s="80">
        <v>129</v>
      </c>
      <c r="C26" s="80">
        <v>3960</v>
      </c>
      <c r="D26" s="80">
        <v>4569</v>
      </c>
      <c r="E26" s="120">
        <v>18.5</v>
      </c>
    </row>
    <row r="27" spans="1:16" x14ac:dyDescent="0.3">
      <c r="A27" s="29">
        <v>6</v>
      </c>
      <c r="B27" s="80">
        <v>223</v>
      </c>
      <c r="C27" s="80">
        <v>7354</v>
      </c>
      <c r="D27" s="80">
        <v>2896</v>
      </c>
      <c r="E27" s="120">
        <v>18.600000000000001</v>
      </c>
    </row>
    <row r="28" spans="1:16" x14ac:dyDescent="0.3">
      <c r="A28" s="29">
        <v>7</v>
      </c>
      <c r="B28" s="80">
        <v>251</v>
      </c>
      <c r="C28" s="80">
        <v>4662</v>
      </c>
      <c r="D28" s="80">
        <v>3526</v>
      </c>
      <c r="E28" s="120">
        <v>15.7</v>
      </c>
    </row>
    <row r="29" spans="1:16" x14ac:dyDescent="0.3">
      <c r="A29" s="29">
        <v>8</v>
      </c>
      <c r="B29" s="80">
        <v>267</v>
      </c>
      <c r="C29" s="80">
        <v>4760</v>
      </c>
      <c r="D29" s="80">
        <v>2259</v>
      </c>
      <c r="E29" s="120">
        <v>16.600000000000001</v>
      </c>
    </row>
    <row r="30" spans="1:16" x14ac:dyDescent="0.3">
      <c r="A30" s="29">
        <v>9</v>
      </c>
      <c r="B30" s="80">
        <v>137</v>
      </c>
      <c r="C30" s="80">
        <v>4569</v>
      </c>
      <c r="D30" s="80">
        <v>4596</v>
      </c>
      <c r="E30" s="120">
        <v>17.3</v>
      </c>
    </row>
    <row r="31" spans="1:16" x14ac:dyDescent="0.3">
      <c r="A31" s="29">
        <v>10</v>
      </c>
      <c r="B31" s="80">
        <v>163</v>
      </c>
      <c r="C31" s="80">
        <v>5274</v>
      </c>
      <c r="D31" s="80">
        <v>3271</v>
      </c>
      <c r="E31" s="120">
        <v>19.3</v>
      </c>
    </row>
    <row r="32" spans="1:16" x14ac:dyDescent="0.3">
      <c r="A32" s="29">
        <v>11</v>
      </c>
      <c r="B32" s="80">
        <v>225</v>
      </c>
      <c r="C32" s="80">
        <v>5418</v>
      </c>
      <c r="D32" s="80">
        <v>4596</v>
      </c>
      <c r="E32" s="120">
        <v>17.8</v>
      </c>
    </row>
    <row r="33" spans="1:17" x14ac:dyDescent="0.3">
      <c r="A33" s="29">
        <v>12</v>
      </c>
      <c r="B33" s="80">
        <v>278</v>
      </c>
      <c r="C33" s="80">
        <v>5359</v>
      </c>
      <c r="D33" s="80">
        <v>3256</v>
      </c>
      <c r="E33" s="120">
        <v>14.5</v>
      </c>
    </row>
    <row r="34" spans="1:17" x14ac:dyDescent="0.3">
      <c r="A34" s="29">
        <v>13</v>
      </c>
      <c r="B34" s="80">
        <v>367</v>
      </c>
      <c r="C34" s="80">
        <v>8254</v>
      </c>
      <c r="D34" s="80">
        <v>5189</v>
      </c>
      <c r="E34" s="120">
        <v>13.7</v>
      </c>
    </row>
    <row r="35" spans="1:17" x14ac:dyDescent="0.3">
      <c r="A35" s="80" t="s">
        <v>20</v>
      </c>
      <c r="B35" s="80">
        <f>SUM(B22:B34)</f>
        <v>2424</v>
      </c>
      <c r="C35" s="80">
        <f t="shared" ref="C35:D35" si="0">SUM(C22:C34)</f>
        <v>66995</v>
      </c>
      <c r="D35" s="80">
        <f t="shared" si="0"/>
        <v>51165</v>
      </c>
      <c r="E35" s="120">
        <f t="shared" ref="E35" si="1">SUM(E22:E34)</f>
        <v>222.20000000000005</v>
      </c>
    </row>
    <row r="36" spans="1:17" x14ac:dyDescent="0.3">
      <c r="A36" s="80" t="s">
        <v>21</v>
      </c>
      <c r="B36" s="80">
        <f>AVERAGE(B22:B34)</f>
        <v>186.46153846153845</v>
      </c>
      <c r="C36" s="80">
        <f t="shared" ref="C36:D36" si="2">AVERAGE(C22:C34)</f>
        <v>5153.4615384615381</v>
      </c>
      <c r="D36" s="80">
        <f t="shared" si="2"/>
        <v>3935.7692307692309</v>
      </c>
      <c r="E36" s="120">
        <f t="shared" ref="E36" si="3">AVERAGE(E22:E34)</f>
        <v>17.092307692307696</v>
      </c>
    </row>
    <row r="37" spans="1:17" x14ac:dyDescent="0.3">
      <c r="A37" s="80" t="s">
        <v>22</v>
      </c>
      <c r="B37" s="80">
        <f>SQRT(B38)</f>
        <v>85.084225587278993</v>
      </c>
      <c r="C37" s="80">
        <f t="shared" ref="C37:D37" si="4">SQRT(C38)</f>
        <v>1390.9748443992362</v>
      </c>
      <c r="D37" s="80">
        <f t="shared" si="4"/>
        <v>1172.7338312904826</v>
      </c>
      <c r="E37" s="120">
        <f>SQRT(E38)</f>
        <v>1.7384615384615172</v>
      </c>
    </row>
    <row r="38" spans="1:17" x14ac:dyDescent="0.3">
      <c r="A38" s="80" t="s">
        <v>23</v>
      </c>
      <c r="B38" s="80">
        <f>_xlfn.VAR.P(B22:B34)</f>
        <v>7239.3254437869819</v>
      </c>
      <c r="C38" s="80">
        <f>_xlfn.VAR.P(C22:C34)</f>
        <v>1934811.0177514793</v>
      </c>
      <c r="D38" s="80">
        <f>_xlfn.VAR.P(D22:D34)</f>
        <v>1375304.6390532544</v>
      </c>
      <c r="E38" s="120">
        <f>_xlfn.VAR.P(E22:E34)</f>
        <v>3.0222485207099852</v>
      </c>
    </row>
    <row r="40" spans="1:17" x14ac:dyDescent="0.3">
      <c r="C40" s="102" t="s">
        <v>32</v>
      </c>
      <c r="D40" s="102" t="s">
        <v>30</v>
      </c>
      <c r="E40" s="102" t="s">
        <v>29</v>
      </c>
      <c r="F40" s="102" t="s">
        <v>28</v>
      </c>
    </row>
    <row r="41" spans="1:17" ht="15.6" x14ac:dyDescent="0.3">
      <c r="C41" s="81">
        <f t="array" ref="C41:F45">LINEST(B22:B34,C22:E34,1,1)</f>
        <v>-24.698442320581975</v>
      </c>
      <c r="D41" s="81">
        <v>-3.2435827850068169E-2</v>
      </c>
      <c r="E41" s="81">
        <v>2.9793117085344118E-2</v>
      </c>
      <c r="F41" s="81">
        <v>582.73716434226344</v>
      </c>
      <c r="I41" s="106" t="s">
        <v>28</v>
      </c>
      <c r="J41" s="106">
        <f>F41</f>
        <v>582.73716434226344</v>
      </c>
      <c r="K41" s="108"/>
      <c r="L41" s="106" t="s">
        <v>230</v>
      </c>
      <c r="M41" s="106">
        <f>E42</f>
        <v>1.3021729371371546E-2</v>
      </c>
      <c r="N41" s="108"/>
      <c r="O41" s="106" t="s">
        <v>233</v>
      </c>
      <c r="P41" s="106">
        <f>_xlfn.T.INV.2T(0.05,9)</f>
        <v>2.2621571627982053</v>
      </c>
    </row>
    <row r="42" spans="1:17" ht="15.6" x14ac:dyDescent="0.3">
      <c r="C42" s="80">
        <v>10.624978652402914</v>
      </c>
      <c r="D42" s="80">
        <v>1.3773660499186382E-2</v>
      </c>
      <c r="E42" s="80">
        <v>1.3021729371371546E-2</v>
      </c>
      <c r="F42" s="80">
        <v>237.1517920046866</v>
      </c>
      <c r="G42" t="s">
        <v>202</v>
      </c>
      <c r="I42" s="106" t="s">
        <v>227</v>
      </c>
      <c r="J42" s="106">
        <f>E41</f>
        <v>2.9793117085344118E-2</v>
      </c>
      <c r="K42" s="108"/>
      <c r="L42" s="106" t="s">
        <v>231</v>
      </c>
      <c r="M42" s="106">
        <f>D42</f>
        <v>1.3773660499186382E-2</v>
      </c>
      <c r="N42" s="108"/>
      <c r="O42" s="106" t="s">
        <v>234</v>
      </c>
      <c r="P42" s="106">
        <f>J42/M41</f>
        <v>2.2879539449533257</v>
      </c>
    </row>
    <row r="43" spans="1:17" ht="15.6" x14ac:dyDescent="0.3">
      <c r="B43" t="s">
        <v>203</v>
      </c>
      <c r="C43" s="80">
        <v>0.70881588297674814</v>
      </c>
      <c r="D43" s="80">
        <v>55.180205421781409</v>
      </c>
      <c r="E43" s="80" t="e">
        <v>#N/A</v>
      </c>
      <c r="F43" s="80" t="e">
        <v>#N/A</v>
      </c>
      <c r="I43" s="106" t="s">
        <v>228</v>
      </c>
      <c r="J43" s="106">
        <f>D41</f>
        <v>-3.2435827850068169E-2</v>
      </c>
      <c r="K43" s="108"/>
      <c r="L43" s="77" t="s">
        <v>232</v>
      </c>
      <c r="M43" s="106">
        <f>C42</f>
        <v>10.624978652402914</v>
      </c>
      <c r="N43" s="108"/>
      <c r="O43" s="106" t="s">
        <v>235</v>
      </c>
      <c r="P43" s="106">
        <f>J43/M42</f>
        <v>-2.3549170427123691</v>
      </c>
    </row>
    <row r="44" spans="1:17" ht="15.6" x14ac:dyDescent="0.3">
      <c r="B44" t="s">
        <v>204</v>
      </c>
      <c r="C44" s="80">
        <v>7.3027597475738757</v>
      </c>
      <c r="D44" s="80">
        <v>9</v>
      </c>
      <c r="E44" s="80" t="e">
        <v>#N/A</v>
      </c>
      <c r="F44" s="80" t="e">
        <v>#N/A</v>
      </c>
      <c r="I44" s="77" t="s">
        <v>229</v>
      </c>
      <c r="J44" s="106">
        <f>C41</f>
        <v>-24.698442320581975</v>
      </c>
      <c r="K44" s="108"/>
      <c r="L44" s="108"/>
      <c r="M44" s="108"/>
      <c r="N44" s="108"/>
      <c r="O44" s="77" t="s">
        <v>236</v>
      </c>
      <c r="P44" s="106">
        <f>J44/M43</f>
        <v>-2.3245639477116735</v>
      </c>
    </row>
    <row r="45" spans="1:17" x14ac:dyDescent="0.3">
      <c r="B45" t="s">
        <v>205</v>
      </c>
      <c r="C45" s="80">
        <v>66707.535135720813</v>
      </c>
      <c r="D45" s="80">
        <v>27403.695633509953</v>
      </c>
      <c r="E45" s="80" t="e">
        <v>#N/A</v>
      </c>
      <c r="F45" s="80" t="e">
        <v>#N/A</v>
      </c>
      <c r="I45" s="108"/>
      <c r="J45" s="108"/>
      <c r="K45" s="108"/>
      <c r="L45" s="108"/>
      <c r="M45" s="108"/>
      <c r="N45" s="108"/>
      <c r="O45" s="108"/>
      <c r="P45" s="108"/>
    </row>
    <row r="46" spans="1:17" ht="15.6" customHeight="1" x14ac:dyDescent="0.35">
      <c r="D46" t="s">
        <v>125</v>
      </c>
      <c r="I46" s="108"/>
      <c r="J46" s="108"/>
      <c r="K46" s="108"/>
      <c r="L46" s="108"/>
      <c r="M46" s="108"/>
      <c r="N46" s="108"/>
      <c r="O46" s="116" t="s">
        <v>239</v>
      </c>
      <c r="P46" s="116"/>
      <c r="Q46" s="116"/>
    </row>
    <row r="47" spans="1:17" x14ac:dyDescent="0.3">
      <c r="O47" s="116" t="s">
        <v>238</v>
      </c>
      <c r="P47" s="116"/>
      <c r="Q47" s="116"/>
    </row>
    <row r="48" spans="1:17" x14ac:dyDescent="0.3">
      <c r="B48" t="s">
        <v>253</v>
      </c>
    </row>
    <row r="49" spans="1:14" ht="15.6" x14ac:dyDescent="0.3">
      <c r="B49" s="88" t="s">
        <v>237</v>
      </c>
    </row>
    <row r="51" spans="1:14" ht="15.6" x14ac:dyDescent="0.3">
      <c r="A51" s="96" t="s">
        <v>267</v>
      </c>
      <c r="B51" s="88" t="s">
        <v>206</v>
      </c>
      <c r="C51" s="88"/>
      <c r="D51" s="88"/>
      <c r="E51" s="88"/>
    </row>
    <row r="53" spans="1:14" ht="55.2" customHeight="1" x14ac:dyDescent="0.3">
      <c r="G53" t="s">
        <v>61</v>
      </c>
      <c r="H53" t="s">
        <v>155</v>
      </c>
      <c r="J53" s="102"/>
    </row>
    <row r="54" spans="1:14" x14ac:dyDescent="0.3">
      <c r="G54">
        <v>7.3027597475738757</v>
      </c>
      <c r="H54">
        <v>8.7552062061184727E-3</v>
      </c>
    </row>
    <row r="55" spans="1:14" ht="30" customHeight="1" x14ac:dyDescent="0.3">
      <c r="B55" s="49" t="s">
        <v>204</v>
      </c>
      <c r="C55" s="80">
        <f>(C45/3)/(D45/9)</f>
        <v>7.3027597475738757</v>
      </c>
      <c r="L55" s="105"/>
      <c r="M55" s="105"/>
      <c r="N55" s="90"/>
    </row>
    <row r="56" spans="1:14" ht="30.6" customHeight="1" x14ac:dyDescent="0.3">
      <c r="B56" s="49" t="s">
        <v>204</v>
      </c>
      <c r="C56" s="80">
        <f>(C43/(1-C43))*3</f>
        <v>7.3027597475738748</v>
      </c>
      <c r="N56" s="90"/>
    </row>
    <row r="57" spans="1:14" ht="47.4" customHeight="1" x14ac:dyDescent="0.3">
      <c r="B57" s="50" t="s">
        <v>254</v>
      </c>
      <c r="C57" s="80">
        <f>_xlfn.F.INV.RT(0.05,3,9)</f>
        <v>3.8625483576247648</v>
      </c>
      <c r="N57" s="90"/>
    </row>
    <row r="58" spans="1:14" ht="45.6" customHeight="1" x14ac:dyDescent="0.3">
      <c r="B58" s="51" t="s">
        <v>255</v>
      </c>
      <c r="C58" s="80">
        <f>_xlfn.F.INV.RT(0.1,3,9)</f>
        <v>2.8128629971823882</v>
      </c>
    </row>
    <row r="60" spans="1:14" ht="15.6" x14ac:dyDescent="0.3">
      <c r="B60" s="128" t="s">
        <v>207</v>
      </c>
    </row>
    <row r="62" spans="1:14" ht="15.6" x14ac:dyDescent="0.3">
      <c r="A62" s="96" t="s">
        <v>268</v>
      </c>
      <c r="B62" s="88" t="s">
        <v>208</v>
      </c>
      <c r="C62" s="88"/>
      <c r="D62" s="88"/>
      <c r="E62" s="88"/>
    </row>
    <row r="63" spans="1:14" ht="15" thickBot="1" x14ac:dyDescent="0.35">
      <c r="B63" t="s">
        <v>209</v>
      </c>
    </row>
    <row r="64" spans="1:14" ht="61.8" customHeight="1" x14ac:dyDescent="0.3">
      <c r="A64" s="117" t="s">
        <v>168</v>
      </c>
      <c r="B64" s="92" t="s">
        <v>169</v>
      </c>
    </row>
    <row r="65" spans="1:8" x14ac:dyDescent="0.3">
      <c r="A65" s="90">
        <v>171.17401402934286</v>
      </c>
      <c r="B65" s="90">
        <v>-56.174014029342857</v>
      </c>
    </row>
    <row r="66" spans="1:8" x14ac:dyDescent="0.3">
      <c r="A66" s="90">
        <v>60.373986446235676</v>
      </c>
      <c r="B66" s="90">
        <v>19.626013553764324</v>
      </c>
    </row>
    <row r="67" spans="1:8" x14ac:dyDescent="0.3">
      <c r="A67" s="90">
        <v>127.79929421396906</v>
      </c>
      <c r="B67" s="90">
        <v>-30.799294213969063</v>
      </c>
    </row>
    <row r="68" spans="1:8" x14ac:dyDescent="0.3">
      <c r="A68" s="90">
        <v>204.08792805724971</v>
      </c>
      <c r="B68" s="90">
        <v>-112.08792805724971</v>
      </c>
    </row>
    <row r="69" spans="1:8" x14ac:dyDescent="0.3">
      <c r="A69" s="90">
        <v>95.59742762249806</v>
      </c>
      <c r="B69" s="90">
        <v>33.40257237750194</v>
      </c>
    </row>
    <row r="70" spans="1:8" x14ac:dyDescent="0.3">
      <c r="A70" s="90">
        <v>248.5105627712619</v>
      </c>
      <c r="B70" s="90">
        <v>-25.510562771261903</v>
      </c>
    </row>
    <row r="71" spans="1:8" x14ac:dyDescent="0.3">
      <c r="A71" s="90">
        <v>219.49840276166032</v>
      </c>
      <c r="B71" s="90">
        <v>31.501597238339684</v>
      </c>
    </row>
    <row r="72" spans="1:8" x14ac:dyDescent="0.3">
      <c r="A72" s="90">
        <v>241.28572403353667</v>
      </c>
      <c r="B72" s="90">
        <v>25.714275966463333</v>
      </c>
    </row>
    <row r="73" spans="1:8" x14ac:dyDescent="0.3">
      <c r="A73" s="90">
        <v>142.50379936021915</v>
      </c>
      <c r="B73" s="90">
        <v>-5.5037993602191477</v>
      </c>
    </row>
    <row r="74" spans="1:8" x14ac:dyDescent="0.3">
      <c r="A74" s="90">
        <v>157.08853416556315</v>
      </c>
      <c r="B74" s="90">
        <v>5.9114658344368536</v>
      </c>
    </row>
    <row r="75" spans="1:8" x14ac:dyDescent="0.3">
      <c r="A75" s="90">
        <v>155.44893460538532</v>
      </c>
      <c r="B75" s="90">
        <v>69.551065394614682</v>
      </c>
    </row>
    <row r="76" spans="1:8" x14ac:dyDescent="0.3">
      <c r="A76" s="90">
        <v>278.66000967436196</v>
      </c>
      <c r="B76" s="90">
        <v>-0.66000967436195879</v>
      </c>
    </row>
    <row r="77" spans="1:8" ht="15" thickBot="1" x14ac:dyDescent="0.35">
      <c r="A77" s="91">
        <v>321.97138225871703</v>
      </c>
      <c r="B77" s="91">
        <v>45.028617741282972</v>
      </c>
    </row>
    <row r="78" spans="1:8" x14ac:dyDescent="0.3">
      <c r="B78" s="123" t="s">
        <v>240</v>
      </c>
    </row>
    <row r="80" spans="1:8" ht="15.6" x14ac:dyDescent="0.3">
      <c r="A80" s="96" t="s">
        <v>269</v>
      </c>
      <c r="B80" s="30" t="s">
        <v>210</v>
      </c>
      <c r="C80" s="30"/>
      <c r="D80" s="30"/>
      <c r="E80" s="30"/>
      <c r="F80" s="30"/>
      <c r="G80" s="30"/>
      <c r="H80" s="30"/>
    </row>
    <row r="82" spans="1:11" ht="24.6" customHeight="1" x14ac:dyDescent="0.3">
      <c r="A82" s="163" t="s">
        <v>93</v>
      </c>
      <c r="B82" s="163"/>
      <c r="C82" s="163"/>
      <c r="D82" s="163"/>
      <c r="E82" s="163"/>
    </row>
    <row r="83" spans="1:11" ht="21.6" customHeight="1" x14ac:dyDescent="0.3">
      <c r="A83" s="103" t="s">
        <v>186</v>
      </c>
    </row>
    <row r="84" spans="1:11" ht="22.8" customHeight="1" thickBot="1" x14ac:dyDescent="0.35">
      <c r="A84" s="40" t="s">
        <v>94</v>
      </c>
    </row>
    <row r="85" spans="1:11" ht="71.400000000000006" customHeight="1" x14ac:dyDescent="0.3">
      <c r="A85" s="116"/>
      <c r="B85" s="116"/>
      <c r="C85" s="116"/>
      <c r="D85" s="116"/>
      <c r="E85" s="116"/>
      <c r="F85" s="116"/>
      <c r="G85" s="116"/>
      <c r="H85" s="116"/>
      <c r="I85" s="109" t="s">
        <v>160</v>
      </c>
      <c r="J85" s="116"/>
    </row>
    <row r="86" spans="1:11" x14ac:dyDescent="0.3">
      <c r="A86" s="80" t="s">
        <v>211</v>
      </c>
      <c r="B86" s="100">
        <f>E41*C37/B37</f>
        <v>0.48706415455875884</v>
      </c>
      <c r="H86" t="s">
        <v>28</v>
      </c>
      <c r="I86" s="90">
        <v>2.4572328103291219</v>
      </c>
    </row>
    <row r="87" spans="1:11" x14ac:dyDescent="0.3">
      <c r="A87" s="80" t="s">
        <v>95</v>
      </c>
      <c r="B87" s="100">
        <f>D41*D37/B37</f>
        <v>-0.44706985816858819</v>
      </c>
      <c r="H87" t="s">
        <v>29</v>
      </c>
      <c r="I87" s="90">
        <v>2.2879539449533257</v>
      </c>
    </row>
    <row r="88" spans="1:11" x14ac:dyDescent="0.3">
      <c r="A88" s="80" t="s">
        <v>97</v>
      </c>
      <c r="B88" s="100">
        <f>C41*E37/B37</f>
        <v>-0.50464456528663015</v>
      </c>
      <c r="H88" t="s">
        <v>30</v>
      </c>
      <c r="I88" s="90">
        <v>-2.3549170427123691</v>
      </c>
    </row>
    <row r="89" spans="1:11" ht="15" thickBot="1" x14ac:dyDescent="0.35">
      <c r="A89" s="102"/>
      <c r="B89" s="79"/>
      <c r="C89" s="79"/>
      <c r="H89" t="s">
        <v>32</v>
      </c>
      <c r="I89" s="91">
        <v>-2.3245639477116735</v>
      </c>
    </row>
    <row r="90" spans="1:11" ht="22.8" customHeight="1" x14ac:dyDescent="0.3">
      <c r="A90" s="58" t="s">
        <v>264</v>
      </c>
      <c r="B90" s="57"/>
      <c r="C90" s="57"/>
      <c r="D90" s="57"/>
    </row>
    <row r="91" spans="1:11" ht="73.2" customHeight="1" x14ac:dyDescent="0.3">
      <c r="A91" s="44" t="s">
        <v>265</v>
      </c>
      <c r="B91" s="129"/>
      <c r="C91" s="129"/>
      <c r="D91" s="129"/>
      <c r="E91" s="129"/>
      <c r="H91" s="162" t="s">
        <v>266</v>
      </c>
      <c r="I91" s="162"/>
      <c r="J91" s="162"/>
      <c r="K91" s="162"/>
    </row>
    <row r="94" spans="1:11" ht="22.8" customHeight="1" x14ac:dyDescent="0.3">
      <c r="A94" s="163" t="s">
        <v>99</v>
      </c>
      <c r="B94" s="163"/>
      <c r="C94" s="163"/>
      <c r="D94" s="163"/>
      <c r="E94" s="163"/>
    </row>
    <row r="95" spans="1:11" ht="25.8" customHeight="1" x14ac:dyDescent="0.3">
      <c r="A95" s="43" t="s">
        <v>187</v>
      </c>
    </row>
    <row r="96" spans="1:11" ht="48" customHeight="1" x14ac:dyDescent="0.3">
      <c r="A96" s="133"/>
      <c r="B96" s="133"/>
    </row>
    <row r="97" spans="1:3" ht="21" x14ac:dyDescent="0.3">
      <c r="A97" s="42" t="s">
        <v>100</v>
      </c>
      <c r="B97" s="80">
        <f>J42*C36/B36</f>
        <v>0.82342816795900542</v>
      </c>
    </row>
    <row r="98" spans="1:3" ht="21" x14ac:dyDescent="0.3">
      <c r="A98" s="56" t="s">
        <v>101</v>
      </c>
      <c r="B98" s="80">
        <f>J43*D36/B36</f>
        <v>-0.68464485641449591</v>
      </c>
    </row>
    <row r="99" spans="1:3" ht="21" x14ac:dyDescent="0.3">
      <c r="A99" s="56" t="s">
        <v>241</v>
      </c>
      <c r="B99" s="80">
        <f>J44*E36/B36</f>
        <v>-2.2640238793866816</v>
      </c>
      <c r="C99" s="79"/>
    </row>
    <row r="100" spans="1:3" ht="26.4" customHeight="1" x14ac:dyDescent="0.3">
      <c r="A100" s="164" t="s">
        <v>242</v>
      </c>
      <c r="B100" s="165"/>
      <c r="C100" s="165"/>
    </row>
  </sheetData>
  <mergeCells count="5">
    <mergeCell ref="H91:K91"/>
    <mergeCell ref="A94:E94"/>
    <mergeCell ref="A96:B96"/>
    <mergeCell ref="A100:C100"/>
    <mergeCell ref="A82:E8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5" zoomScaleNormal="100" workbookViewId="0">
      <selection activeCell="H11" sqref="H11"/>
    </sheetView>
  </sheetViews>
  <sheetFormatPr defaultRowHeight="14.4" x14ac:dyDescent="0.3"/>
  <cols>
    <col min="1" max="1" width="24.88671875" bestFit="1" customWidth="1"/>
    <col min="2" max="2" width="34.109375" bestFit="1" customWidth="1"/>
    <col min="3" max="3" width="21" bestFit="1" customWidth="1"/>
    <col min="4" max="4" width="22.6640625" bestFit="1" customWidth="1"/>
    <col min="5" max="5" width="12" bestFit="1" customWidth="1"/>
    <col min="6" max="6" width="20.6640625" bestFit="1" customWidth="1"/>
    <col min="7" max="7" width="20.44140625" bestFit="1" customWidth="1"/>
    <col min="8" max="8" width="13.88671875" bestFit="1" customWidth="1"/>
    <col min="9" max="9" width="14.109375" bestFit="1" customWidth="1"/>
  </cols>
  <sheetData>
    <row r="1" spans="1:9" x14ac:dyDescent="0.3">
      <c r="A1" t="s">
        <v>144</v>
      </c>
    </row>
    <row r="2" spans="1:9" ht="15" thickBot="1" x14ac:dyDescent="0.35"/>
    <row r="3" spans="1:9" x14ac:dyDescent="0.3">
      <c r="A3" s="93" t="s">
        <v>145</v>
      </c>
      <c r="B3" s="93"/>
    </row>
    <row r="4" spans="1:9" x14ac:dyDescent="0.3">
      <c r="A4" s="90" t="s">
        <v>146</v>
      </c>
      <c r="B4" s="90">
        <v>0.89401299503363429</v>
      </c>
    </row>
    <row r="5" spans="1:9" x14ac:dyDescent="0.3">
      <c r="A5" s="90" t="s">
        <v>147</v>
      </c>
      <c r="B5" s="90">
        <v>0.799259235289009</v>
      </c>
    </row>
    <row r="6" spans="1:9" x14ac:dyDescent="0.3">
      <c r="A6" s="90" t="s">
        <v>148</v>
      </c>
      <c r="B6" s="90">
        <v>0.69888885293351355</v>
      </c>
    </row>
    <row r="7" spans="1:9" x14ac:dyDescent="0.3">
      <c r="A7" s="90" t="s">
        <v>149</v>
      </c>
      <c r="B7" s="90">
        <v>48.59521637016848</v>
      </c>
    </row>
    <row r="8" spans="1:9" ht="15" thickBot="1" x14ac:dyDescent="0.35">
      <c r="A8" s="91" t="s">
        <v>150</v>
      </c>
      <c r="B8" s="91">
        <v>13</v>
      </c>
    </row>
    <row r="10" spans="1:9" ht="15" thickBot="1" x14ac:dyDescent="0.35">
      <c r="A10" t="s">
        <v>151</v>
      </c>
    </row>
    <row r="11" spans="1:9" x14ac:dyDescent="0.3">
      <c r="A11" s="92"/>
      <c r="B11" s="92" t="s">
        <v>152</v>
      </c>
      <c r="C11" s="92" t="s">
        <v>153</v>
      </c>
      <c r="D11" s="92" t="s">
        <v>154</v>
      </c>
      <c r="E11" s="92" t="s">
        <v>61</v>
      </c>
      <c r="F11" s="92" t="s">
        <v>155</v>
      </c>
    </row>
    <row r="12" spans="1:9" x14ac:dyDescent="0.3">
      <c r="A12" s="90" t="s">
        <v>156</v>
      </c>
      <c r="B12" s="90">
        <v>4</v>
      </c>
      <c r="C12" s="90">
        <v>75219.270336722839</v>
      </c>
      <c r="D12" s="90">
        <v>18804.81758418071</v>
      </c>
      <c r="E12" s="90">
        <v>7.9630984413127317</v>
      </c>
      <c r="F12" s="90">
        <v>6.8153017433370249E-3</v>
      </c>
    </row>
    <row r="13" spans="1:9" x14ac:dyDescent="0.3">
      <c r="A13" s="90" t="s">
        <v>157</v>
      </c>
      <c r="B13" s="90">
        <v>8</v>
      </c>
      <c r="C13" s="90">
        <v>18891.960432507927</v>
      </c>
      <c r="D13" s="90">
        <v>2361.4950540634909</v>
      </c>
      <c r="E13" s="90"/>
      <c r="F13" s="90"/>
    </row>
    <row r="14" spans="1:9" ht="15" thickBot="1" x14ac:dyDescent="0.35">
      <c r="A14" s="91" t="s">
        <v>158</v>
      </c>
      <c r="B14" s="91">
        <v>12</v>
      </c>
      <c r="C14" s="91">
        <v>94111.230769230766</v>
      </c>
      <c r="D14" s="91"/>
      <c r="E14" s="91"/>
      <c r="F14" s="91"/>
    </row>
    <row r="15" spans="1:9" ht="15" thickBot="1" x14ac:dyDescent="0.35"/>
    <row r="16" spans="1:9" x14ac:dyDescent="0.3">
      <c r="A16" s="92"/>
      <c r="B16" s="92" t="s">
        <v>159</v>
      </c>
      <c r="C16" s="92" t="s">
        <v>149</v>
      </c>
      <c r="D16" s="92" t="s">
        <v>160</v>
      </c>
      <c r="E16" s="92" t="s">
        <v>161</v>
      </c>
      <c r="F16" s="92" t="s">
        <v>162</v>
      </c>
      <c r="G16" s="92" t="s">
        <v>163</v>
      </c>
      <c r="H16" s="92" t="s">
        <v>196</v>
      </c>
      <c r="I16" s="92" t="s">
        <v>197</v>
      </c>
    </row>
    <row r="17" spans="1:9" x14ac:dyDescent="0.3">
      <c r="A17" s="90" t="s">
        <v>164</v>
      </c>
      <c r="B17" s="111">
        <v>316.23543816084691</v>
      </c>
      <c r="C17" s="111">
        <v>251.64143932816202</v>
      </c>
      <c r="D17" s="111">
        <v>1.2566906269696254</v>
      </c>
      <c r="E17" s="111">
        <v>0.24431650619014394</v>
      </c>
      <c r="F17" s="111">
        <v>-264.05076151862329</v>
      </c>
      <c r="G17" s="111">
        <v>896.52163784031711</v>
      </c>
      <c r="H17" s="111">
        <v>-151.70390650328733</v>
      </c>
      <c r="I17" s="111">
        <v>784.17478282498109</v>
      </c>
    </row>
    <row r="18" spans="1:9" ht="28.8" x14ac:dyDescent="0.3">
      <c r="A18" s="94" t="s">
        <v>5</v>
      </c>
      <c r="B18" s="111">
        <v>3.8741885147270672E-2</v>
      </c>
      <c r="C18" s="111">
        <v>1.2398677352833377E-2</v>
      </c>
      <c r="D18" s="111">
        <v>3.1246788705585016</v>
      </c>
      <c r="E18" s="111">
        <v>1.4128416678868884E-2</v>
      </c>
      <c r="F18" s="111">
        <v>1.0150483900574648E-2</v>
      </c>
      <c r="G18" s="111">
        <v>6.7333286393966699E-2</v>
      </c>
      <c r="H18" s="111">
        <v>1.5685949007830574E-2</v>
      </c>
      <c r="I18" s="111">
        <v>6.1797821286710769E-2</v>
      </c>
    </row>
    <row r="19" spans="1:9" ht="43.2" x14ac:dyDescent="0.3">
      <c r="A19" s="94" t="s">
        <v>6</v>
      </c>
      <c r="B19" s="111">
        <v>-3.5599053891128808E-2</v>
      </c>
      <c r="C19" s="111">
        <v>1.2243861200620277E-2</v>
      </c>
      <c r="D19" s="111">
        <v>-2.9075022419663945</v>
      </c>
      <c r="E19" s="111">
        <v>1.96642347503489E-2</v>
      </c>
      <c r="F19" s="111">
        <v>-6.3833448450625024E-2</v>
      </c>
      <c r="G19" s="111">
        <v>-7.3646593316325885E-3</v>
      </c>
      <c r="H19" s="111">
        <v>-5.8367101958542951E-2</v>
      </c>
      <c r="I19" s="111">
        <v>-1.2831005823714665E-2</v>
      </c>
    </row>
    <row r="20" spans="1:9" ht="57.6" x14ac:dyDescent="0.3">
      <c r="A20" s="122" t="s">
        <v>7</v>
      </c>
      <c r="B20" s="111">
        <v>28.152707962301932</v>
      </c>
      <c r="C20" s="111">
        <v>14.828753409563877</v>
      </c>
      <c r="D20" s="111">
        <v>1.8985215536826383</v>
      </c>
      <c r="E20" s="126">
        <v>9.4182107260403103E-2</v>
      </c>
      <c r="F20" s="111">
        <v>-6.0424587200752597</v>
      </c>
      <c r="G20" s="111">
        <v>62.347874644679123</v>
      </c>
      <c r="H20" s="111">
        <v>0.57792866051780933</v>
      </c>
      <c r="I20" s="111">
        <v>55.727487264086051</v>
      </c>
    </row>
    <row r="21" spans="1:9" ht="43.8" thickBot="1" x14ac:dyDescent="0.35">
      <c r="A21" s="95" t="s">
        <v>8</v>
      </c>
      <c r="B21" s="114">
        <v>-30.562710098086576</v>
      </c>
      <c r="C21" s="114">
        <v>9.8536881178808926</v>
      </c>
      <c r="D21" s="114">
        <v>-3.1016518619689486</v>
      </c>
      <c r="E21" s="114">
        <v>1.4629138045809086E-2</v>
      </c>
      <c r="F21" s="114">
        <v>-53.285355644932082</v>
      </c>
      <c r="G21" s="114">
        <v>-7.8400645512410705</v>
      </c>
      <c r="H21" s="114">
        <v>-48.886116500133518</v>
      </c>
      <c r="I21" s="114">
        <v>-12.239303696039634</v>
      </c>
    </row>
    <row r="25" spans="1:9" x14ac:dyDescent="0.3">
      <c r="A25" t="s">
        <v>165</v>
      </c>
      <c r="F25" t="s">
        <v>166</v>
      </c>
    </row>
    <row r="26" spans="1:9" ht="15" thickBot="1" x14ac:dyDescent="0.35"/>
    <row r="27" spans="1:9" x14ac:dyDescent="0.3">
      <c r="A27" s="92" t="s">
        <v>167</v>
      </c>
      <c r="B27" s="92" t="s">
        <v>168</v>
      </c>
      <c r="C27" s="92" t="s">
        <v>169</v>
      </c>
      <c r="D27" s="92" t="s">
        <v>170</v>
      </c>
      <c r="F27" s="92" t="s">
        <v>171</v>
      </c>
      <c r="G27" s="92" t="s">
        <v>4</v>
      </c>
    </row>
    <row r="28" spans="1:9" x14ac:dyDescent="0.3">
      <c r="A28" s="90">
        <v>1</v>
      </c>
      <c r="B28" s="90">
        <v>182.03968773048291</v>
      </c>
      <c r="C28" s="90">
        <v>-67.03968773048291</v>
      </c>
      <c r="D28" s="90">
        <v>-1.6896007438708707</v>
      </c>
      <c r="F28" s="90">
        <v>3.8461538461538463</v>
      </c>
      <c r="G28" s="90">
        <v>80</v>
      </c>
    </row>
    <row r="29" spans="1:9" x14ac:dyDescent="0.3">
      <c r="A29" s="90">
        <v>2</v>
      </c>
      <c r="B29" s="90">
        <v>32.12310718388278</v>
      </c>
      <c r="C29" s="90">
        <v>47.87689281611722</v>
      </c>
      <c r="D29" s="90">
        <v>1.2066409682805799</v>
      </c>
      <c r="F29" s="90">
        <v>11.538461538461538</v>
      </c>
      <c r="G29" s="90">
        <v>92</v>
      </c>
    </row>
    <row r="30" spans="1:9" x14ac:dyDescent="0.3">
      <c r="A30" s="90">
        <v>3</v>
      </c>
      <c r="B30" s="90">
        <v>84.187494253174009</v>
      </c>
      <c r="C30" s="90">
        <v>12.812505746825991</v>
      </c>
      <c r="D30" s="90">
        <v>0.32291348563134281</v>
      </c>
      <c r="F30" s="90">
        <v>19.23076923076923</v>
      </c>
      <c r="G30" s="90">
        <v>97</v>
      </c>
    </row>
    <row r="31" spans="1:9" x14ac:dyDescent="0.3">
      <c r="A31" s="90">
        <v>4</v>
      </c>
      <c r="B31" s="90">
        <v>158.87090744886024</v>
      </c>
      <c r="C31" s="90">
        <v>-66.870907448860237</v>
      </c>
      <c r="D31" s="90">
        <v>-1.6853469757070501</v>
      </c>
      <c r="F31" s="90">
        <v>26.923076923076923</v>
      </c>
      <c r="G31" s="90">
        <v>115</v>
      </c>
    </row>
    <row r="32" spans="1:9" x14ac:dyDescent="0.3">
      <c r="A32" s="90">
        <v>5</v>
      </c>
      <c r="B32" s="90">
        <v>121.6526467919457</v>
      </c>
      <c r="C32" s="90">
        <v>7.3473532080543009</v>
      </c>
      <c r="D32" s="90">
        <v>0.18517528744642248</v>
      </c>
      <c r="F32" s="90">
        <v>34.615384615384613</v>
      </c>
      <c r="G32" s="90">
        <v>129</v>
      </c>
    </row>
    <row r="33" spans="1:7" x14ac:dyDescent="0.3">
      <c r="A33" s="90">
        <v>6</v>
      </c>
      <c r="B33" s="90">
        <v>233.63123963361693</v>
      </c>
      <c r="C33" s="90">
        <v>-10.631239633616929</v>
      </c>
      <c r="D33" s="90">
        <v>-0.26793905224384096</v>
      </c>
      <c r="F33" s="90">
        <v>42.307692307692307</v>
      </c>
      <c r="G33" s="90">
        <v>137</v>
      </c>
    </row>
    <row r="34" spans="1:7" x14ac:dyDescent="0.3">
      <c r="A34" s="90">
        <v>7</v>
      </c>
      <c r="B34" s="90">
        <v>232.14106050119688</v>
      </c>
      <c r="C34" s="90">
        <v>18.858939498803124</v>
      </c>
      <c r="D34" s="90">
        <v>0.47530170984529996</v>
      </c>
      <c r="F34" s="90">
        <v>50</v>
      </c>
      <c r="G34" s="90">
        <v>163</v>
      </c>
    </row>
    <row r="35" spans="1:7" x14ac:dyDescent="0.3">
      <c r="A35" s="90">
        <v>8</v>
      </c>
      <c r="B35" s="90">
        <v>242.27424425249075</v>
      </c>
      <c r="C35" s="90">
        <v>24.725755747509254</v>
      </c>
      <c r="D35" s="90">
        <v>0.6231630354800306</v>
      </c>
      <c r="F35" s="90">
        <v>57.692307692307693</v>
      </c>
      <c r="G35" s="90">
        <v>223</v>
      </c>
    </row>
    <row r="36" spans="1:7" x14ac:dyDescent="0.3">
      <c r="A36" s="90">
        <v>9</v>
      </c>
      <c r="B36" s="90">
        <v>186.59107410173726</v>
      </c>
      <c r="C36" s="90">
        <v>-49.591074101737263</v>
      </c>
      <c r="D36" s="90">
        <v>-1.2498434662838067</v>
      </c>
      <c r="F36" s="90">
        <v>65.384615384615387</v>
      </c>
      <c r="G36" s="90">
        <v>225</v>
      </c>
    </row>
    <row r="37" spans="1:7" x14ac:dyDescent="0.3">
      <c r="A37" s="90">
        <v>10</v>
      </c>
      <c r="B37" s="90">
        <v>166.16417978537322</v>
      </c>
      <c r="C37" s="90">
        <v>-3.1641797853732214</v>
      </c>
      <c r="D37" s="90">
        <v>-7.9746799248243697E-2</v>
      </c>
      <c r="F37" s="90">
        <v>73.076923076923066</v>
      </c>
      <c r="G37" s="90">
        <v>251</v>
      </c>
    </row>
    <row r="38" spans="1:7" x14ac:dyDescent="0.3">
      <c r="A38" s="90">
        <v>11</v>
      </c>
      <c r="B38" s="90">
        <v>178.86414237665508</v>
      </c>
      <c r="C38" s="90">
        <v>46.135857623344918</v>
      </c>
      <c r="D38" s="90">
        <v>1.1627616714580817</v>
      </c>
      <c r="F38" s="90">
        <v>80.769230769230759</v>
      </c>
      <c r="G38" s="90">
        <v>267</v>
      </c>
    </row>
    <row r="39" spans="1:7" x14ac:dyDescent="0.3">
      <c r="A39" s="90">
        <v>12</v>
      </c>
      <c r="B39" s="90">
        <v>280.09371395108121</v>
      </c>
      <c r="C39" s="90">
        <v>-2.0937139510812131</v>
      </c>
      <c r="D39" s="90">
        <v>-5.2767856906217651E-2</v>
      </c>
      <c r="F39" s="90">
        <v>88.461538461538453</v>
      </c>
      <c r="G39" s="90">
        <v>278</v>
      </c>
    </row>
    <row r="40" spans="1:7" ht="15" thickBot="1" x14ac:dyDescent="0.35">
      <c r="A40" s="91">
        <v>13</v>
      </c>
      <c r="B40" s="91">
        <v>325.36650198950559</v>
      </c>
      <c r="C40" s="91">
        <v>41.633498010494407</v>
      </c>
      <c r="D40" s="91">
        <v>1.0492887361182082</v>
      </c>
      <c r="F40" s="91">
        <v>96.153846153846146</v>
      </c>
      <c r="G40" s="91">
        <v>367</v>
      </c>
    </row>
  </sheetData>
  <sortState ref="G28:G40">
    <sortCondition ref="G28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3" sqref="E13"/>
    </sheetView>
  </sheetViews>
  <sheetFormatPr defaultRowHeight="14.4" x14ac:dyDescent="0.3"/>
  <cols>
    <col min="1" max="1" width="21" customWidth="1"/>
    <col min="2" max="2" width="20.44140625" bestFit="1" customWidth="1"/>
    <col min="3" max="4" width="12.6640625" bestFit="1" customWidth="1"/>
    <col min="5" max="5" width="13.88671875" customWidth="1"/>
    <col min="6" max="6" width="14.88671875" customWidth="1"/>
  </cols>
  <sheetData>
    <row r="1" spans="1:6" ht="87" customHeight="1" x14ac:dyDescent="0.3">
      <c r="A1" s="109"/>
      <c r="B1" s="109" t="s">
        <v>4</v>
      </c>
      <c r="C1" s="110" t="s">
        <v>5</v>
      </c>
      <c r="D1" s="110" t="s">
        <v>6</v>
      </c>
      <c r="E1" s="110" t="s">
        <v>7</v>
      </c>
      <c r="F1" s="110" t="s">
        <v>8</v>
      </c>
    </row>
    <row r="2" spans="1:6" ht="29.4" customHeight="1" x14ac:dyDescent="0.3">
      <c r="A2" s="111" t="s">
        <v>4</v>
      </c>
      <c r="B2" s="111">
        <v>1</v>
      </c>
      <c r="C2" s="111">
        <f>B3</f>
        <v>0.64645288365396525</v>
      </c>
      <c r="D2" s="111">
        <f>B4</f>
        <v>-0.17555698778679732</v>
      </c>
      <c r="E2" s="111">
        <f>B5</f>
        <v>-0.23137522883362349</v>
      </c>
      <c r="F2" s="111">
        <f>B6</f>
        <v>-0.62512437427761958</v>
      </c>
    </row>
    <row r="3" spans="1:6" ht="43.2" customHeight="1" x14ac:dyDescent="0.3">
      <c r="A3" s="112" t="s">
        <v>5</v>
      </c>
      <c r="B3" s="111">
        <v>0.64645288365396525</v>
      </c>
      <c r="C3" s="111">
        <v>1</v>
      </c>
      <c r="D3" s="111">
        <f>C4</f>
        <v>0.24007197993047108</v>
      </c>
      <c r="E3" s="111">
        <f>C5</f>
        <v>-0.53156849083663271</v>
      </c>
      <c r="F3" s="111">
        <f>C6</f>
        <v>-0.52852580501184943</v>
      </c>
    </row>
    <row r="4" spans="1:6" ht="57" customHeight="1" x14ac:dyDescent="0.3">
      <c r="A4" s="112" t="s">
        <v>6</v>
      </c>
      <c r="B4" s="111">
        <v>-0.17555698778679732</v>
      </c>
      <c r="C4" s="111">
        <v>0.24007197993047108</v>
      </c>
      <c r="D4" s="111">
        <v>1</v>
      </c>
      <c r="E4" s="111">
        <f>D5</f>
        <v>-7.5336260288326989E-2</v>
      </c>
      <c r="F4" s="111">
        <f>D6</f>
        <v>-0.30631938809428455</v>
      </c>
    </row>
    <row r="5" spans="1:6" ht="57" customHeight="1" x14ac:dyDescent="0.3">
      <c r="A5" s="112" t="s">
        <v>7</v>
      </c>
      <c r="B5" s="111">
        <v>-0.23137522883362349</v>
      </c>
      <c r="C5" s="111">
        <v>-0.53156849083663271</v>
      </c>
      <c r="D5" s="111">
        <v>-7.5336260288326989E-2</v>
      </c>
      <c r="E5" s="111">
        <v>1</v>
      </c>
      <c r="F5" s="111">
        <f>E6</f>
        <v>0.49054142665530309</v>
      </c>
    </row>
    <row r="6" spans="1:6" ht="44.4" customHeight="1" thickBot="1" x14ac:dyDescent="0.35">
      <c r="A6" s="113" t="s">
        <v>8</v>
      </c>
      <c r="B6" s="114">
        <v>-0.62512437427761958</v>
      </c>
      <c r="C6" s="114">
        <v>-0.52852580501184943</v>
      </c>
      <c r="D6" s="114">
        <v>-0.30631938809428455</v>
      </c>
      <c r="E6" s="114">
        <v>0.49054142665530309</v>
      </c>
      <c r="F6" s="1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4" workbookViewId="0">
      <selection activeCell="C24" sqref="C24"/>
    </sheetView>
  </sheetViews>
  <sheetFormatPr defaultRowHeight="14.4" x14ac:dyDescent="0.3"/>
  <cols>
    <col min="1" max="1" width="24.88671875" bestFit="1" customWidth="1"/>
    <col min="2" max="2" width="34.109375" bestFit="1" customWidth="1"/>
    <col min="3" max="3" width="21" bestFit="1" customWidth="1"/>
    <col min="4" max="4" width="22.6640625" bestFit="1" customWidth="1"/>
    <col min="5" max="5" width="12" bestFit="1" customWidth="1"/>
    <col min="6" max="6" width="20.6640625" bestFit="1" customWidth="1"/>
    <col min="7" max="7" width="20.44140625" bestFit="1" customWidth="1"/>
    <col min="8" max="8" width="13.88671875" bestFit="1" customWidth="1"/>
    <col min="9" max="9" width="14.109375" bestFit="1" customWidth="1"/>
  </cols>
  <sheetData>
    <row r="1" spans="1:9" x14ac:dyDescent="0.3">
      <c r="A1" t="s">
        <v>144</v>
      </c>
    </row>
    <row r="2" spans="1:9" ht="15" thickBot="1" x14ac:dyDescent="0.35"/>
    <row r="3" spans="1:9" x14ac:dyDescent="0.3">
      <c r="A3" s="93" t="s">
        <v>145</v>
      </c>
      <c r="B3" s="93"/>
    </row>
    <row r="4" spans="1:9" x14ac:dyDescent="0.3">
      <c r="A4" s="90" t="s">
        <v>146</v>
      </c>
      <c r="B4" s="90">
        <v>0.84191203992860686</v>
      </c>
    </row>
    <row r="5" spans="1:9" x14ac:dyDescent="0.3">
      <c r="A5" s="90" t="s">
        <v>147</v>
      </c>
      <c r="B5" s="90">
        <v>0.70881588297674814</v>
      </c>
    </row>
    <row r="6" spans="1:9" x14ac:dyDescent="0.3">
      <c r="A6" s="90" t="s">
        <v>148</v>
      </c>
      <c r="B6" s="90">
        <v>0.61175451063566422</v>
      </c>
    </row>
    <row r="7" spans="1:9" x14ac:dyDescent="0.3">
      <c r="A7" s="90" t="s">
        <v>149</v>
      </c>
      <c r="B7" s="90">
        <v>55.180205421781409</v>
      </c>
    </row>
    <row r="8" spans="1:9" ht="15" thickBot="1" x14ac:dyDescent="0.35">
      <c r="A8" s="91" t="s">
        <v>150</v>
      </c>
      <c r="B8" s="91">
        <v>13</v>
      </c>
    </row>
    <row r="10" spans="1:9" ht="15" thickBot="1" x14ac:dyDescent="0.35">
      <c r="A10" t="s">
        <v>151</v>
      </c>
    </row>
    <row r="11" spans="1:9" x14ac:dyDescent="0.3">
      <c r="A11" s="92"/>
      <c r="B11" s="92" t="s">
        <v>152</v>
      </c>
      <c r="C11" s="92" t="s">
        <v>153</v>
      </c>
      <c r="D11" s="92" t="s">
        <v>154</v>
      </c>
      <c r="E11" s="92" t="s">
        <v>61</v>
      </c>
      <c r="F11" s="92" t="s">
        <v>155</v>
      </c>
    </row>
    <row r="12" spans="1:9" x14ac:dyDescent="0.3">
      <c r="A12" s="90" t="s">
        <v>156</v>
      </c>
      <c r="B12" s="90">
        <v>3</v>
      </c>
      <c r="C12" s="90">
        <v>66707.535135720813</v>
      </c>
      <c r="D12" s="90">
        <v>22235.845045240272</v>
      </c>
      <c r="E12" s="90">
        <v>7.3027597475738757</v>
      </c>
      <c r="F12" s="90">
        <v>8.7552062061184727E-3</v>
      </c>
    </row>
    <row r="13" spans="1:9" x14ac:dyDescent="0.3">
      <c r="A13" s="90" t="s">
        <v>157</v>
      </c>
      <c r="B13" s="90">
        <v>9</v>
      </c>
      <c r="C13" s="90">
        <v>27403.695633509953</v>
      </c>
      <c r="D13" s="90">
        <v>3044.8550703899946</v>
      </c>
      <c r="E13" s="90"/>
      <c r="F13" s="90"/>
    </row>
    <row r="14" spans="1:9" ht="15" thickBot="1" x14ac:dyDescent="0.35">
      <c r="A14" s="91" t="s">
        <v>158</v>
      </c>
      <c r="B14" s="91">
        <v>12</v>
      </c>
      <c r="C14" s="91">
        <v>94111.230769230766</v>
      </c>
      <c r="D14" s="91"/>
      <c r="E14" s="91"/>
      <c r="F14" s="91"/>
    </row>
    <row r="15" spans="1:9" ht="15" thickBot="1" x14ac:dyDescent="0.35"/>
    <row r="16" spans="1:9" x14ac:dyDescent="0.3">
      <c r="A16" s="92"/>
      <c r="B16" s="92" t="s">
        <v>159</v>
      </c>
      <c r="C16" s="92" t="s">
        <v>149</v>
      </c>
      <c r="D16" s="92" t="s">
        <v>160</v>
      </c>
      <c r="E16" s="92" t="s">
        <v>161</v>
      </c>
      <c r="F16" s="92" t="s">
        <v>162</v>
      </c>
      <c r="G16" s="92" t="s">
        <v>163</v>
      </c>
      <c r="H16" s="92" t="s">
        <v>196</v>
      </c>
      <c r="I16" s="92" t="s">
        <v>197</v>
      </c>
    </row>
    <row r="17" spans="1:9" x14ac:dyDescent="0.3">
      <c r="A17" s="90" t="s">
        <v>164</v>
      </c>
      <c r="B17" s="90">
        <v>582.73716434226344</v>
      </c>
      <c r="C17" s="90">
        <v>237.1517920046866</v>
      </c>
      <c r="D17" s="90">
        <v>2.4572328103291219</v>
      </c>
      <c r="E17" s="90">
        <v>3.6323167904686225E-2</v>
      </c>
      <c r="F17" s="90">
        <v>46.262539388431492</v>
      </c>
      <c r="G17" s="90">
        <v>1119.2117892960955</v>
      </c>
      <c r="H17" s="90">
        <v>148.01114741587037</v>
      </c>
      <c r="I17" s="90">
        <v>1017.4631812686565</v>
      </c>
    </row>
    <row r="18" spans="1:9" ht="28.8" x14ac:dyDescent="0.3">
      <c r="A18" s="94" t="s">
        <v>5</v>
      </c>
      <c r="B18" s="90">
        <v>2.9793117085344118E-2</v>
      </c>
      <c r="C18" s="90">
        <v>1.3021729371371546E-2</v>
      </c>
      <c r="D18" s="90">
        <v>2.2879539449533257</v>
      </c>
      <c r="E18" s="90">
        <v>4.7934820522060204E-2</v>
      </c>
      <c r="F18" s="90">
        <v>3.3591871587620309E-4</v>
      </c>
      <c r="G18" s="90">
        <v>5.9250315454812033E-2</v>
      </c>
      <c r="H18" s="90">
        <v>5.9228165691333594E-3</v>
      </c>
      <c r="I18" s="90">
        <v>5.366341760155488E-2</v>
      </c>
    </row>
    <row r="19" spans="1:9" ht="43.2" x14ac:dyDescent="0.3">
      <c r="A19" s="94" t="s">
        <v>6</v>
      </c>
      <c r="B19" s="90">
        <v>-3.2435827850068169E-2</v>
      </c>
      <c r="C19" s="90">
        <v>1.3773660499186382E-2</v>
      </c>
      <c r="D19" s="90">
        <v>-2.3549170427123691</v>
      </c>
      <c r="E19" s="90">
        <v>4.2957640434419166E-2</v>
      </c>
      <c r="F19" s="90">
        <v>-6.3594012606253345E-2</v>
      </c>
      <c r="G19" s="90">
        <v>-1.2776430938829901E-3</v>
      </c>
      <c r="H19" s="90">
        <v>-5.7684503041143087E-2</v>
      </c>
      <c r="I19" s="90">
        <v>-7.1871526589932476E-3</v>
      </c>
    </row>
    <row r="20" spans="1:9" ht="43.8" thickBot="1" x14ac:dyDescent="0.35">
      <c r="A20" s="95" t="s">
        <v>8</v>
      </c>
      <c r="B20" s="91">
        <v>-24.698442320581975</v>
      </c>
      <c r="C20" s="91">
        <v>10.624978652402914</v>
      </c>
      <c r="D20" s="91">
        <v>-2.3245639477116735</v>
      </c>
      <c r="E20" s="91">
        <v>4.5147198108138629E-2</v>
      </c>
      <c r="F20" s="91">
        <v>-48.733813883693252</v>
      </c>
      <c r="G20" s="91">
        <v>-0.66307075747069888</v>
      </c>
      <c r="H20" s="91">
        <v>-44.175228097498199</v>
      </c>
      <c r="I20" s="91">
        <v>-5.2216565436657518</v>
      </c>
    </row>
    <row r="24" spans="1:9" x14ac:dyDescent="0.3">
      <c r="A24" t="s">
        <v>165</v>
      </c>
      <c r="F24" t="s">
        <v>166</v>
      </c>
    </row>
    <row r="25" spans="1:9" ht="15" thickBot="1" x14ac:dyDescent="0.35"/>
    <row r="26" spans="1:9" x14ac:dyDescent="0.3">
      <c r="A26" s="92" t="s">
        <v>167</v>
      </c>
      <c r="B26" s="92" t="s">
        <v>168</v>
      </c>
      <c r="C26" s="92" t="s">
        <v>169</v>
      </c>
      <c r="D26" s="92" t="s">
        <v>170</v>
      </c>
      <c r="F26" s="92" t="s">
        <v>171</v>
      </c>
      <c r="G26" s="92" t="s">
        <v>4</v>
      </c>
    </row>
    <row r="27" spans="1:9" x14ac:dyDescent="0.3">
      <c r="A27" s="90">
        <v>1</v>
      </c>
      <c r="B27" s="90">
        <v>171.17401402934286</v>
      </c>
      <c r="C27" s="90">
        <v>-56.174014029342857</v>
      </c>
      <c r="D27" s="90">
        <v>-1.1754969693715893</v>
      </c>
      <c r="F27" s="90">
        <v>3.8461538461538463</v>
      </c>
      <c r="G27" s="90">
        <v>80</v>
      </c>
    </row>
    <row r="28" spans="1:9" x14ac:dyDescent="0.3">
      <c r="A28" s="90">
        <v>2</v>
      </c>
      <c r="B28" s="90">
        <v>60.373986446235676</v>
      </c>
      <c r="C28" s="90">
        <v>19.626013553764324</v>
      </c>
      <c r="D28" s="90">
        <v>0.41069380303221287</v>
      </c>
      <c r="F28" s="90">
        <v>11.538461538461538</v>
      </c>
      <c r="G28" s="90">
        <v>92</v>
      </c>
    </row>
    <row r="29" spans="1:9" x14ac:dyDescent="0.3">
      <c r="A29" s="90">
        <v>3</v>
      </c>
      <c r="B29" s="90">
        <v>127.79929421396906</v>
      </c>
      <c r="C29" s="90">
        <v>-30.799294213969063</v>
      </c>
      <c r="D29" s="90">
        <v>-0.64450578497724798</v>
      </c>
      <c r="F29" s="90">
        <v>19.23076923076923</v>
      </c>
      <c r="G29" s="90">
        <v>97</v>
      </c>
    </row>
    <row r="30" spans="1:9" x14ac:dyDescent="0.3">
      <c r="A30" s="90">
        <v>4</v>
      </c>
      <c r="B30" s="90">
        <v>204.08792805724971</v>
      </c>
      <c r="C30" s="90">
        <v>-112.08792805724971</v>
      </c>
      <c r="D30" s="90">
        <v>-2.3455510881884387</v>
      </c>
      <c r="F30" s="90">
        <v>26.923076923076923</v>
      </c>
      <c r="G30" s="90">
        <v>115</v>
      </c>
    </row>
    <row r="31" spans="1:9" x14ac:dyDescent="0.3">
      <c r="A31" s="90">
        <v>5</v>
      </c>
      <c r="B31" s="90">
        <v>95.59742762249806</v>
      </c>
      <c r="C31" s="90">
        <v>33.40257237750194</v>
      </c>
      <c r="D31" s="90">
        <v>0.69898196305605942</v>
      </c>
      <c r="F31" s="90">
        <v>34.615384615384613</v>
      </c>
      <c r="G31" s="90">
        <v>129</v>
      </c>
    </row>
    <row r="32" spans="1:9" x14ac:dyDescent="0.3">
      <c r="A32" s="90">
        <v>6</v>
      </c>
      <c r="B32" s="90">
        <v>248.5105627712619</v>
      </c>
      <c r="C32" s="90">
        <v>-25.510562771261903</v>
      </c>
      <c r="D32" s="90">
        <v>-0.53383383300537945</v>
      </c>
      <c r="F32" s="90">
        <v>42.307692307692307</v>
      </c>
      <c r="G32" s="90">
        <v>137</v>
      </c>
    </row>
    <row r="33" spans="1:7" x14ac:dyDescent="0.3">
      <c r="A33" s="90">
        <v>7</v>
      </c>
      <c r="B33" s="90">
        <v>219.49840276166032</v>
      </c>
      <c r="C33" s="90">
        <v>31.501597238339684</v>
      </c>
      <c r="D33" s="90">
        <v>0.65920217246162705</v>
      </c>
      <c r="F33" s="90">
        <v>50</v>
      </c>
      <c r="G33" s="90">
        <v>163</v>
      </c>
    </row>
    <row r="34" spans="1:7" x14ac:dyDescent="0.3">
      <c r="A34" s="90">
        <v>8</v>
      </c>
      <c r="B34" s="90">
        <v>241.28572403353667</v>
      </c>
      <c r="C34" s="90">
        <v>25.714275966463333</v>
      </c>
      <c r="D34" s="90">
        <v>0.5380967337027589</v>
      </c>
      <c r="F34" s="90">
        <v>57.692307692307693</v>
      </c>
      <c r="G34" s="90">
        <v>223</v>
      </c>
    </row>
    <row r="35" spans="1:7" x14ac:dyDescent="0.3">
      <c r="A35" s="90">
        <v>9</v>
      </c>
      <c r="B35" s="90">
        <v>142.50379936021915</v>
      </c>
      <c r="C35" s="90">
        <v>-5.5037993602191477</v>
      </c>
      <c r="D35" s="90">
        <v>-0.11517246149772048</v>
      </c>
      <c r="F35" s="90">
        <v>65.384615384615387</v>
      </c>
      <c r="G35" s="90">
        <v>225</v>
      </c>
    </row>
    <row r="36" spans="1:7" x14ac:dyDescent="0.3">
      <c r="A36" s="90">
        <v>10</v>
      </c>
      <c r="B36" s="90">
        <v>157.08853416556315</v>
      </c>
      <c r="C36" s="90">
        <v>5.9114658344368536</v>
      </c>
      <c r="D36" s="90">
        <v>0.12370328688447307</v>
      </c>
      <c r="F36" s="90">
        <v>73.076923076923066</v>
      </c>
      <c r="G36" s="90">
        <v>251</v>
      </c>
    </row>
    <row r="37" spans="1:7" x14ac:dyDescent="0.3">
      <c r="A37" s="90">
        <v>11</v>
      </c>
      <c r="B37" s="90">
        <v>155.44893460538532</v>
      </c>
      <c r="C37" s="90">
        <v>69.551065394614682</v>
      </c>
      <c r="D37" s="90">
        <v>1.4554250395072079</v>
      </c>
      <c r="F37" s="90">
        <v>80.769230769230759</v>
      </c>
      <c r="G37" s="90">
        <v>267</v>
      </c>
    </row>
    <row r="38" spans="1:7" x14ac:dyDescent="0.3">
      <c r="A38" s="90">
        <v>12</v>
      </c>
      <c r="B38" s="90">
        <v>278.66000967436196</v>
      </c>
      <c r="C38" s="90">
        <v>-0.66000967436195879</v>
      </c>
      <c r="D38" s="90">
        <v>-1.3811357179551873E-2</v>
      </c>
      <c r="F38" s="90">
        <v>88.461538461538453</v>
      </c>
      <c r="G38" s="90">
        <v>278</v>
      </c>
    </row>
    <row r="39" spans="1:7" ht="15" thickBot="1" x14ac:dyDescent="0.35">
      <c r="A39" s="91">
        <v>13</v>
      </c>
      <c r="B39" s="91">
        <v>321.97138225871703</v>
      </c>
      <c r="C39" s="91">
        <v>45.028617741282972</v>
      </c>
      <c r="D39" s="91">
        <v>0.94226849557557102</v>
      </c>
      <c r="F39" s="91">
        <v>96.153846153846146</v>
      </c>
      <c r="G39" s="91">
        <v>367</v>
      </c>
    </row>
  </sheetData>
  <sortState ref="G27:G39">
    <sortCondition ref="G2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5" sqref="I5"/>
    </sheetView>
  </sheetViews>
  <sheetFormatPr defaultRowHeight="14.4" x14ac:dyDescent="0.3"/>
  <cols>
    <col min="1" max="1" width="20" bestFit="1" customWidth="1"/>
    <col min="2" max="2" width="20.44140625" bestFit="1" customWidth="1"/>
    <col min="3" max="4" width="12.6640625" bestFit="1" customWidth="1"/>
    <col min="5" max="5" width="12.77734375" customWidth="1"/>
  </cols>
  <sheetData>
    <row r="1" spans="1:5" ht="86.4" x14ac:dyDescent="0.3">
      <c r="A1" s="92"/>
      <c r="B1" s="109" t="s">
        <v>4</v>
      </c>
      <c r="C1" s="110" t="s">
        <v>5</v>
      </c>
      <c r="D1" s="110" t="s">
        <v>6</v>
      </c>
      <c r="E1" s="110" t="s">
        <v>8</v>
      </c>
    </row>
    <row r="2" spans="1:5" ht="31.8" customHeight="1" x14ac:dyDescent="0.3">
      <c r="A2" s="111" t="s">
        <v>4</v>
      </c>
      <c r="B2" s="111">
        <v>1</v>
      </c>
      <c r="C2" s="111">
        <f>B3</f>
        <v>0.64645288365396525</v>
      </c>
      <c r="D2" s="111">
        <f>B4</f>
        <v>-0.17555698778679732</v>
      </c>
      <c r="E2" s="111">
        <f>B5</f>
        <v>-0.62512437427761958</v>
      </c>
    </row>
    <row r="3" spans="1:5" ht="43.2" x14ac:dyDescent="0.3">
      <c r="A3" s="112" t="s">
        <v>5</v>
      </c>
      <c r="B3" s="111">
        <v>0.64645288365396525</v>
      </c>
      <c r="C3" s="111">
        <v>1</v>
      </c>
      <c r="D3" s="111">
        <f>C4</f>
        <v>0.24007197993047108</v>
      </c>
      <c r="E3" s="111">
        <f>C5</f>
        <v>-0.52852580501184943</v>
      </c>
    </row>
    <row r="4" spans="1:5" ht="43.2" x14ac:dyDescent="0.3">
      <c r="A4" s="112" t="s">
        <v>6</v>
      </c>
      <c r="B4" s="111">
        <v>-0.17555698778679732</v>
      </c>
      <c r="C4" s="111">
        <v>0.24007197993047108</v>
      </c>
      <c r="D4" s="111">
        <v>1</v>
      </c>
      <c r="E4" s="111">
        <f>D5</f>
        <v>-0.30631938809428455</v>
      </c>
    </row>
    <row r="5" spans="1:5" ht="43.8" thickBot="1" x14ac:dyDescent="0.35">
      <c r="A5" s="113" t="s">
        <v>8</v>
      </c>
      <c r="B5" s="114">
        <v>-0.62512437427761958</v>
      </c>
      <c r="C5" s="114">
        <v>-0.52852580501184943</v>
      </c>
      <c r="D5" s="114">
        <v>-0.30631938809428455</v>
      </c>
      <c r="E5" s="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Общее задание</vt:lpstr>
      <vt:lpstr>ИЗ</vt:lpstr>
      <vt:lpstr>АД_РЕГРЕССИЯ</vt:lpstr>
      <vt:lpstr>АД_КОРРЕЛЯЦИЯ</vt:lpstr>
      <vt:lpstr>АД_РЕГРЕССИЯ_БЕЗ_Х3</vt:lpstr>
      <vt:lpstr>АД_КОРРЕЛЯЦИЯ_БЕЗ_Х3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Натали</dc:creator>
  <cp:keywords/>
  <dc:description/>
  <cp:lastModifiedBy>Натали</cp:lastModifiedBy>
  <cp:revision/>
  <dcterms:created xsi:type="dcterms:W3CDTF">2023-10-06T07:56:20Z</dcterms:created>
  <dcterms:modified xsi:type="dcterms:W3CDTF">2024-03-18T20:41:37Z</dcterms:modified>
  <cp:category/>
  <cp:contentStatus/>
</cp:coreProperties>
</file>