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3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5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7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8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9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0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11.xml" ContentType="application/vnd.openxmlformats-officedocument.drawing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2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13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drawings/drawing14.xml" ContentType="application/vnd.openxmlformats-officedocument.drawing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15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drawings/drawing16.xml" ContentType="application/vnd.openxmlformats-officedocument.drawing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drawings/drawing17.xml" ContentType="application/vnd.openxmlformats-officedocument.drawing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drawings/drawing18.xml" ContentType="application/vnd.openxmlformats-officedocument.drawing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drawings/drawing19.xml" ContentType="application/vnd.openxmlformats-officedocument.drawing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1"/>
  </bookViews>
  <sheets>
    <sheet name="ОБЩЕЕ ЗАДАНИЕ" sheetId="1" r:id="rId1"/>
    <sheet name="Линейное уравнение" sheetId="8" r:id="rId2"/>
    <sheet name="АД_РЕГРЕССИЯ_ЛИНЕЙНАЯ" sheetId="11" r:id="rId3"/>
    <sheet name="Полулогарифмическое уравнение" sheetId="9" r:id="rId4"/>
    <sheet name="АД_РЕГРЕССИЯ_ПОЛУЛОГАРИФМИЧ" sheetId="12" r:id="rId5"/>
    <sheet name="Степенное уравнение" sheetId="10" r:id="rId6"/>
    <sheet name="АД_РЕГРЕССИЯ_СТЕПЕНН" sheetId="13" r:id="rId7"/>
    <sheet name="Экспоненциальное уравнение" sheetId="2" r:id="rId8"/>
    <sheet name="АД_РЕГРЕССИЯ_ЭКСПОНЕНЦ" sheetId="14" r:id="rId9"/>
    <sheet name="Полином 2 степени" sheetId="3" r:id="rId10"/>
    <sheet name="АД_РЕГРЕССИЯ_Полином2" sheetId="19" r:id="rId11"/>
    <sheet name="Полином 3 степени" sheetId="15" r:id="rId12"/>
    <sheet name="АД_РЕГРЕССИЯ_Полином3" sheetId="20" r:id="rId13"/>
    <sheet name="Полином 4 степени" sheetId="16" r:id="rId14"/>
    <sheet name="АД_РЕГРЕССИЯ_Полином4" sheetId="21" r:id="rId15"/>
    <sheet name="Полином 5 степени" sheetId="18" r:id="rId16"/>
    <sheet name="АД_РЕГРЕССИЯ_Полином5" sheetId="22" r:id="rId17"/>
    <sheet name="Полином 6 степени" sheetId="17" r:id="rId18"/>
    <sheet name="АД_РЕГРЕССИЯ_Полином6" sheetId="23" r:id="rId19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8" i="1" l="1"/>
  <c r="B152" i="1"/>
  <c r="B150" i="1"/>
  <c r="B153" i="1" s="1"/>
  <c r="L153" i="1"/>
  <c r="K153" i="1"/>
  <c r="A141" i="1" s="1"/>
  <c r="B149" i="1" s="1"/>
  <c r="L152" i="1"/>
  <c r="K152" i="1"/>
  <c r="A156" i="1" l="1"/>
  <c r="N41" i="17"/>
  <c r="M41" i="17"/>
  <c r="R35" i="18"/>
  <c r="Q35" i="18"/>
  <c r="R32" i="16"/>
  <c r="Q32" i="16"/>
  <c r="R35" i="15"/>
  <c r="Q35" i="15"/>
  <c r="O25" i="3"/>
  <c r="N25" i="3"/>
  <c r="L27" i="2"/>
  <c r="K27" i="2"/>
  <c r="L31" i="10"/>
  <c r="K31" i="10"/>
  <c r="H35" i="3"/>
  <c r="H34" i="3"/>
  <c r="N5" i="2"/>
  <c r="O9" i="10"/>
  <c r="O8" i="10"/>
  <c r="B22" i="10"/>
  <c r="F37" i="8"/>
  <c r="E37" i="8"/>
  <c r="S41" i="9"/>
  <c r="R41" i="9"/>
  <c r="L36" i="9"/>
  <c r="J36" i="9"/>
  <c r="H35" i="9"/>
  <c r="B24" i="9"/>
  <c r="B23" i="9"/>
  <c r="G180" i="1" l="1"/>
  <c r="I34" i="17"/>
  <c r="G179" i="1"/>
  <c r="I34" i="18"/>
  <c r="G178" i="1"/>
  <c r="I34" i="16"/>
  <c r="G177" i="1"/>
  <c r="I34" i="15"/>
  <c r="G176" i="1"/>
  <c r="K35" i="3"/>
  <c r="G175" i="1"/>
  <c r="J36" i="2"/>
  <c r="G174" i="1"/>
  <c r="L37" i="10"/>
  <c r="G173" i="1"/>
  <c r="I180" i="1"/>
  <c r="I179" i="1"/>
  <c r="I178" i="1"/>
  <c r="I177" i="1"/>
  <c r="I176" i="1"/>
  <c r="I175" i="1"/>
  <c r="I174" i="1"/>
  <c r="I173" i="1"/>
  <c r="K16" i="18"/>
  <c r="K5" i="18"/>
  <c r="H180" i="1"/>
  <c r="H179" i="1"/>
  <c r="H178" i="1"/>
  <c r="H177" i="1"/>
  <c r="H176" i="1"/>
  <c r="H175" i="1"/>
  <c r="H174" i="1"/>
  <c r="H173" i="1"/>
  <c r="F180" i="1"/>
  <c r="F179" i="1"/>
  <c r="F178" i="1"/>
  <c r="F177" i="1"/>
  <c r="F176" i="1"/>
  <c r="F175" i="1"/>
  <c r="F174" i="1"/>
  <c r="F173" i="1"/>
  <c r="F172" i="1"/>
  <c r="G34" i="15"/>
  <c r="G34" i="16"/>
  <c r="G34" i="18"/>
  <c r="G34" i="17"/>
  <c r="B159" i="1" l="1"/>
  <c r="A162" i="1" s="1"/>
  <c r="D18" i="3"/>
  <c r="D17" i="3" s="1"/>
  <c r="H6" i="17"/>
  <c r="H7" i="17"/>
  <c r="H8" i="17"/>
  <c r="H9" i="17"/>
  <c r="H10" i="17"/>
  <c r="H11" i="17"/>
  <c r="H12" i="17"/>
  <c r="H13" i="17"/>
  <c r="H14" i="17"/>
  <c r="H5" i="17"/>
  <c r="C116" i="17"/>
  <c r="C115" i="17"/>
  <c r="C114" i="17"/>
  <c r="C113" i="17"/>
  <c r="C112" i="17"/>
  <c r="C111" i="17"/>
  <c r="C110" i="17"/>
  <c r="C109" i="17"/>
  <c r="C108" i="17"/>
  <c r="C16" i="17"/>
  <c r="B16" i="17"/>
  <c r="N12" i="17" s="1"/>
  <c r="C15" i="17"/>
  <c r="B15" i="17"/>
  <c r="G14" i="17"/>
  <c r="F14" i="17"/>
  <c r="E14" i="17"/>
  <c r="D14" i="17"/>
  <c r="G13" i="17"/>
  <c r="F13" i="17"/>
  <c r="E13" i="17"/>
  <c r="D13" i="17"/>
  <c r="G12" i="17"/>
  <c r="F12" i="17"/>
  <c r="E12" i="17"/>
  <c r="D12" i="17"/>
  <c r="G11" i="17"/>
  <c r="F11" i="17"/>
  <c r="E11" i="17"/>
  <c r="D11" i="17"/>
  <c r="N10" i="17"/>
  <c r="G10" i="17"/>
  <c r="F10" i="17"/>
  <c r="E10" i="17"/>
  <c r="D10" i="17"/>
  <c r="G9" i="17"/>
  <c r="F9" i="17"/>
  <c r="E9" i="17"/>
  <c r="D9" i="17"/>
  <c r="G8" i="17"/>
  <c r="F8" i="17"/>
  <c r="E8" i="17"/>
  <c r="D8" i="17"/>
  <c r="G7" i="17"/>
  <c r="F7" i="17"/>
  <c r="E7" i="17"/>
  <c r="D7" i="17"/>
  <c r="G6" i="17"/>
  <c r="F6" i="17"/>
  <c r="E6" i="17"/>
  <c r="D6" i="17"/>
  <c r="G5" i="17"/>
  <c r="F5" i="17"/>
  <c r="E5" i="17"/>
  <c r="D5" i="17"/>
  <c r="B21" i="17" s="1" a="1"/>
  <c r="B21" i="17" s="1"/>
  <c r="G6" i="18"/>
  <c r="G7" i="18"/>
  <c r="G8" i="18"/>
  <c r="G9" i="18"/>
  <c r="G10" i="18"/>
  <c r="G11" i="18"/>
  <c r="G12" i="18"/>
  <c r="G13" i="18"/>
  <c r="G14" i="18"/>
  <c r="G5" i="18"/>
  <c r="C126" i="18"/>
  <c r="C125" i="18"/>
  <c r="C124" i="18"/>
  <c r="C123" i="18"/>
  <c r="C122" i="18"/>
  <c r="C121" i="18"/>
  <c r="C120" i="18"/>
  <c r="C119" i="18"/>
  <c r="C118" i="18"/>
  <c r="C16" i="18"/>
  <c r="B16" i="18"/>
  <c r="M12" i="18" s="1"/>
  <c r="C15" i="18"/>
  <c r="B15" i="18"/>
  <c r="F14" i="18"/>
  <c r="E14" i="18"/>
  <c r="D14" i="18"/>
  <c r="F13" i="18"/>
  <c r="E13" i="18"/>
  <c r="D13" i="18"/>
  <c r="F12" i="18"/>
  <c r="E12" i="18"/>
  <c r="D12" i="18"/>
  <c r="M11" i="18"/>
  <c r="F11" i="18"/>
  <c r="E11" i="18"/>
  <c r="D11" i="18"/>
  <c r="M10" i="18"/>
  <c r="F10" i="18"/>
  <c r="E10" i="18"/>
  <c r="D10" i="18"/>
  <c r="F9" i="18"/>
  <c r="E9" i="18"/>
  <c r="D9" i="18"/>
  <c r="M8" i="18"/>
  <c r="F8" i="18"/>
  <c r="E8" i="18"/>
  <c r="D8" i="18"/>
  <c r="M7" i="18"/>
  <c r="F7" i="18"/>
  <c r="E7" i="18"/>
  <c r="D7" i="18"/>
  <c r="F6" i="18"/>
  <c r="E6" i="18"/>
  <c r="D6" i="18"/>
  <c r="M5" i="18"/>
  <c r="F5" i="18"/>
  <c r="E5" i="18"/>
  <c r="D5" i="18"/>
  <c r="C108" i="16"/>
  <c r="C107" i="16"/>
  <c r="C106" i="16"/>
  <c r="C105" i="16"/>
  <c r="C104" i="16"/>
  <c r="C103" i="16"/>
  <c r="C102" i="16"/>
  <c r="C101" i="16"/>
  <c r="C100" i="16"/>
  <c r="F6" i="16"/>
  <c r="F7" i="16"/>
  <c r="F8" i="16"/>
  <c r="F9" i="16"/>
  <c r="F10" i="16"/>
  <c r="F11" i="16"/>
  <c r="F12" i="16"/>
  <c r="F13" i="16"/>
  <c r="F14" i="16"/>
  <c r="F5" i="16"/>
  <c r="F15" i="16" s="1"/>
  <c r="C16" i="16"/>
  <c r="B16" i="16"/>
  <c r="L14" i="16" s="1"/>
  <c r="C15" i="16"/>
  <c r="B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8" i="16"/>
  <c r="D8" i="16"/>
  <c r="E7" i="16"/>
  <c r="D7" i="16"/>
  <c r="E6" i="16"/>
  <c r="D6" i="16"/>
  <c r="E5" i="16"/>
  <c r="D5" i="16"/>
  <c r="B21" i="16" s="1" a="1"/>
  <c r="B21" i="16" s="1"/>
  <c r="C108" i="15"/>
  <c r="C107" i="15"/>
  <c r="C106" i="15"/>
  <c r="C105" i="15"/>
  <c r="C104" i="15"/>
  <c r="C103" i="15"/>
  <c r="C102" i="15"/>
  <c r="C101" i="15"/>
  <c r="C100" i="15"/>
  <c r="E6" i="15"/>
  <c r="E7" i="15"/>
  <c r="E8" i="15"/>
  <c r="E9" i="15"/>
  <c r="E10" i="15"/>
  <c r="E11" i="15"/>
  <c r="E12" i="15"/>
  <c r="E13" i="15"/>
  <c r="E14" i="15"/>
  <c r="E5" i="15"/>
  <c r="E16" i="15" s="1"/>
  <c r="C16" i="15"/>
  <c r="B16" i="15"/>
  <c r="C15" i="15"/>
  <c r="B15" i="15"/>
  <c r="D14" i="15"/>
  <c r="D13" i="15"/>
  <c r="D12" i="15"/>
  <c r="D11" i="15"/>
  <c r="D10" i="15"/>
  <c r="D9" i="15"/>
  <c r="D8" i="15"/>
  <c r="D7" i="15"/>
  <c r="D6" i="15"/>
  <c r="D5" i="15"/>
  <c r="B21" i="15" s="1" a="1"/>
  <c r="C21" i="15" s="1"/>
  <c r="C109" i="3"/>
  <c r="C108" i="3"/>
  <c r="C107" i="3"/>
  <c r="C106" i="3"/>
  <c r="C105" i="3"/>
  <c r="C104" i="3"/>
  <c r="C103" i="3"/>
  <c r="C102" i="3"/>
  <c r="C101" i="3"/>
  <c r="C16" i="3"/>
  <c r="C15" i="3"/>
  <c r="B18" i="3"/>
  <c r="B16" i="3"/>
  <c r="J14" i="3" s="1"/>
  <c r="B15" i="3"/>
  <c r="D6" i="3"/>
  <c r="D7" i="3"/>
  <c r="D8" i="3"/>
  <c r="D9" i="3"/>
  <c r="D10" i="3"/>
  <c r="D11" i="3"/>
  <c r="D12" i="3"/>
  <c r="D13" i="3"/>
  <c r="D14" i="3"/>
  <c r="D5" i="3"/>
  <c r="C18" i="3"/>
  <c r="C17" i="3" s="1"/>
  <c r="B17" i="3"/>
  <c r="C156" i="1" l="1"/>
  <c r="K12" i="15"/>
  <c r="K5" i="15"/>
  <c r="B110" i="16"/>
  <c r="B21" i="18" a="1"/>
  <c r="B21" i="18" s="1"/>
  <c r="H16" i="17"/>
  <c r="E15" i="15"/>
  <c r="F16" i="16"/>
  <c r="E15" i="16"/>
  <c r="D15" i="16"/>
  <c r="B128" i="18"/>
  <c r="M13" i="18"/>
  <c r="M14" i="18"/>
  <c r="G16" i="18"/>
  <c r="M6" i="18"/>
  <c r="M9" i="18"/>
  <c r="N8" i="17"/>
  <c r="N13" i="17"/>
  <c r="N6" i="17"/>
  <c r="N11" i="17"/>
  <c r="N9" i="17"/>
  <c r="N14" i="17"/>
  <c r="H15" i="17"/>
  <c r="N7" i="17"/>
  <c r="N5" i="17"/>
  <c r="C25" i="17"/>
  <c r="H25" i="17"/>
  <c r="C24" i="17"/>
  <c r="E22" i="17"/>
  <c r="D25" i="17"/>
  <c r="H21" i="17"/>
  <c r="G21" i="17"/>
  <c r="D23" i="17"/>
  <c r="D24" i="17"/>
  <c r="F22" i="17"/>
  <c r="G25" i="17"/>
  <c r="B24" i="17"/>
  <c r="D22" i="17"/>
  <c r="F25" i="17"/>
  <c r="H23" i="17"/>
  <c r="C22" i="17"/>
  <c r="E25" i="17"/>
  <c r="G23" i="17"/>
  <c r="B22" i="17"/>
  <c r="F23" i="17"/>
  <c r="E23" i="17"/>
  <c r="B25" i="17"/>
  <c r="F21" i="17"/>
  <c r="H24" i="17"/>
  <c r="C23" i="17"/>
  <c r="E21" i="17"/>
  <c r="G24" i="17"/>
  <c r="B23" i="17"/>
  <c r="D21" i="17"/>
  <c r="F24" i="17"/>
  <c r="H22" i="17"/>
  <c r="C21" i="17"/>
  <c r="E24" i="17"/>
  <c r="G22" i="17"/>
  <c r="D16" i="17"/>
  <c r="B118" i="17"/>
  <c r="G15" i="17"/>
  <c r="E16" i="17"/>
  <c r="F16" i="17"/>
  <c r="D15" i="17"/>
  <c r="G16" i="17"/>
  <c r="E15" i="17"/>
  <c r="F15" i="17"/>
  <c r="G15" i="18"/>
  <c r="D15" i="18"/>
  <c r="F23" i="18"/>
  <c r="E25" i="18"/>
  <c r="G24" i="18"/>
  <c r="G22" i="18"/>
  <c r="F24" i="18"/>
  <c r="F22" i="18"/>
  <c r="F21" i="18"/>
  <c r="E21" i="18"/>
  <c r="E24" i="18"/>
  <c r="E22" i="18"/>
  <c r="D24" i="18"/>
  <c r="D22" i="18"/>
  <c r="C24" i="18"/>
  <c r="C22" i="18"/>
  <c r="B24" i="18"/>
  <c r="B22" i="18"/>
  <c r="G25" i="18"/>
  <c r="G23" i="18"/>
  <c r="G21" i="18"/>
  <c r="D21" i="18"/>
  <c r="C25" i="18"/>
  <c r="C23" i="18"/>
  <c r="C21" i="18"/>
  <c r="F25" i="18"/>
  <c r="E23" i="18"/>
  <c r="D25" i="18"/>
  <c r="D23" i="18"/>
  <c r="B25" i="18"/>
  <c r="B23" i="18"/>
  <c r="E15" i="18"/>
  <c r="F16" i="18"/>
  <c r="M16" i="18"/>
  <c r="E16" i="18"/>
  <c r="F15" i="18"/>
  <c r="D16" i="18"/>
  <c r="C23" i="16"/>
  <c r="D25" i="16"/>
  <c r="C25" i="16"/>
  <c r="E22" i="16"/>
  <c r="E24" i="16"/>
  <c r="C22" i="16"/>
  <c r="E25" i="16"/>
  <c r="F22" i="16"/>
  <c r="F24" i="16"/>
  <c r="D22" i="16"/>
  <c r="D24" i="16"/>
  <c r="B22" i="16"/>
  <c r="C24" i="16"/>
  <c r="F21" i="16"/>
  <c r="B24" i="16"/>
  <c r="E21" i="16"/>
  <c r="B23" i="16"/>
  <c r="B25" i="16"/>
  <c r="F23" i="16"/>
  <c r="D21" i="16"/>
  <c r="E23" i="16"/>
  <c r="C21" i="16"/>
  <c r="F25" i="16"/>
  <c r="D23" i="16"/>
  <c r="L9" i="16"/>
  <c r="L6" i="16"/>
  <c r="L12" i="16"/>
  <c r="D16" i="16"/>
  <c r="E16" i="16"/>
  <c r="L7" i="16"/>
  <c r="L10" i="16"/>
  <c r="L13" i="16"/>
  <c r="L5" i="16"/>
  <c r="L8" i="16"/>
  <c r="L11" i="16"/>
  <c r="B24" i="15"/>
  <c r="B21" i="15"/>
  <c r="E23" i="15"/>
  <c r="D23" i="15"/>
  <c r="C23" i="15"/>
  <c r="B23" i="15"/>
  <c r="E25" i="15"/>
  <c r="E22" i="15"/>
  <c r="D25" i="15"/>
  <c r="D22" i="15"/>
  <c r="C25" i="15"/>
  <c r="C22" i="15"/>
  <c r="B25" i="15"/>
  <c r="B22" i="15"/>
  <c r="E24" i="15"/>
  <c r="E21" i="15"/>
  <c r="D24" i="15"/>
  <c r="D21" i="15"/>
  <c r="C24" i="15"/>
  <c r="K6" i="15"/>
  <c r="K11" i="15"/>
  <c r="D16" i="15"/>
  <c r="K7" i="15"/>
  <c r="K13" i="15"/>
  <c r="K8" i="15"/>
  <c r="K14" i="15"/>
  <c r="K9" i="15"/>
  <c r="K10" i="15"/>
  <c r="D15" i="15"/>
  <c r="B111" i="3"/>
  <c r="J12" i="3"/>
  <c r="J11" i="3"/>
  <c r="D15" i="3"/>
  <c r="B23" i="3" a="1"/>
  <c r="B23" i="3" s="1"/>
  <c r="J13" i="3"/>
  <c r="D16" i="3"/>
  <c r="J10" i="3"/>
  <c r="J9" i="3"/>
  <c r="J8" i="3"/>
  <c r="J7" i="3"/>
  <c r="J6" i="3"/>
  <c r="J5" i="3"/>
  <c r="B118" i="2"/>
  <c r="B120" i="2"/>
  <c r="B117" i="2"/>
  <c r="D116" i="2"/>
  <c r="C116" i="2"/>
  <c r="F116" i="2" s="1"/>
  <c r="D115" i="2"/>
  <c r="E116" i="2" s="1"/>
  <c r="C115" i="2"/>
  <c r="F115" i="2" s="1"/>
  <c r="D114" i="2"/>
  <c r="E115" i="2" s="1"/>
  <c r="C114" i="2"/>
  <c r="F114" i="2" s="1"/>
  <c r="D113" i="2"/>
  <c r="E114" i="2" s="1"/>
  <c r="C113" i="2"/>
  <c r="F113" i="2" s="1"/>
  <c r="D112" i="2"/>
  <c r="E113" i="2" s="1"/>
  <c r="C112" i="2"/>
  <c r="F112" i="2" s="1"/>
  <c r="D111" i="2"/>
  <c r="E112" i="2" s="1"/>
  <c r="C111" i="2"/>
  <c r="F111" i="2" s="1"/>
  <c r="D110" i="2"/>
  <c r="E111" i="2" s="1"/>
  <c r="C110" i="2"/>
  <c r="F110" i="2" s="1"/>
  <c r="D109" i="2"/>
  <c r="E110" i="2" s="1"/>
  <c r="C109" i="2"/>
  <c r="F109" i="2" s="1"/>
  <c r="D108" i="2"/>
  <c r="C108" i="2"/>
  <c r="D107" i="2"/>
  <c r="E108" i="2" s="1"/>
  <c r="B121" i="10"/>
  <c r="B123" i="10" s="1"/>
  <c r="B120" i="10"/>
  <c r="D119" i="10"/>
  <c r="C119" i="10"/>
  <c r="F119" i="10" s="1"/>
  <c r="D118" i="10"/>
  <c r="E119" i="10" s="1"/>
  <c r="C118" i="10"/>
  <c r="F118" i="10" s="1"/>
  <c r="D117" i="10"/>
  <c r="E118" i="10" s="1"/>
  <c r="C117" i="10"/>
  <c r="F117" i="10" s="1"/>
  <c r="D116" i="10"/>
  <c r="E117" i="10" s="1"/>
  <c r="C116" i="10"/>
  <c r="F116" i="10" s="1"/>
  <c r="D115" i="10"/>
  <c r="E116" i="10" s="1"/>
  <c r="C115" i="10"/>
  <c r="F115" i="10" s="1"/>
  <c r="D114" i="10"/>
  <c r="E115" i="10" s="1"/>
  <c r="C114" i="10"/>
  <c r="F114" i="10" s="1"/>
  <c r="D113" i="10"/>
  <c r="E114" i="10" s="1"/>
  <c r="C113" i="10"/>
  <c r="F113" i="10" s="1"/>
  <c r="D112" i="10"/>
  <c r="E113" i="10" s="1"/>
  <c r="C112" i="10"/>
  <c r="F112" i="10" s="1"/>
  <c r="D111" i="10"/>
  <c r="C111" i="10"/>
  <c r="D110" i="10"/>
  <c r="E111" i="10" s="1"/>
  <c r="D109" i="9"/>
  <c r="E110" i="9" s="1"/>
  <c r="B120" i="9"/>
  <c r="B122" i="9" s="1"/>
  <c r="B119" i="9"/>
  <c r="D118" i="9"/>
  <c r="C118" i="9"/>
  <c r="F118" i="9" s="1"/>
  <c r="D117" i="9"/>
  <c r="E118" i="9" s="1"/>
  <c r="C117" i="9"/>
  <c r="F117" i="9" s="1"/>
  <c r="D116" i="9"/>
  <c r="E117" i="9" s="1"/>
  <c r="C116" i="9"/>
  <c r="F116" i="9" s="1"/>
  <c r="D115" i="9"/>
  <c r="E116" i="9" s="1"/>
  <c r="C115" i="9"/>
  <c r="F115" i="9" s="1"/>
  <c r="D114" i="9"/>
  <c r="E115" i="9" s="1"/>
  <c r="C114" i="9"/>
  <c r="F114" i="9" s="1"/>
  <c r="D113" i="9"/>
  <c r="E114" i="9" s="1"/>
  <c r="C113" i="9"/>
  <c r="F113" i="9" s="1"/>
  <c r="D112" i="9"/>
  <c r="E113" i="9" s="1"/>
  <c r="C112" i="9"/>
  <c r="F112" i="9" s="1"/>
  <c r="D111" i="9"/>
  <c r="E112" i="9" s="1"/>
  <c r="C111" i="9"/>
  <c r="F111" i="9" s="1"/>
  <c r="D110" i="9"/>
  <c r="C110" i="9"/>
  <c r="F110" i="9" s="1"/>
  <c r="H33" i="2"/>
  <c r="H32" i="2"/>
  <c r="C162" i="1" l="1"/>
  <c r="M15" i="18"/>
  <c r="N15" i="17"/>
  <c r="F6" i="15"/>
  <c r="G6" i="15" s="1"/>
  <c r="F7" i="15"/>
  <c r="G7" i="15" s="1"/>
  <c r="F8" i="15"/>
  <c r="G8" i="15" s="1"/>
  <c r="F9" i="15"/>
  <c r="F13" i="15"/>
  <c r="F10" i="15"/>
  <c r="F11" i="15"/>
  <c r="F12" i="15"/>
  <c r="F5" i="15"/>
  <c r="F14" i="15"/>
  <c r="G8" i="16"/>
  <c r="G10" i="16"/>
  <c r="G11" i="16"/>
  <c r="G12" i="16"/>
  <c r="G13" i="16"/>
  <c r="H13" i="16" s="1"/>
  <c r="J13" i="16" s="1"/>
  <c r="G6" i="16"/>
  <c r="G5" i="16"/>
  <c r="G7" i="16"/>
  <c r="G9" i="16"/>
  <c r="G14" i="16"/>
  <c r="K14" i="16" s="1"/>
  <c r="N16" i="17"/>
  <c r="I14" i="17"/>
  <c r="I5" i="17"/>
  <c r="I6" i="17"/>
  <c r="I7" i="17"/>
  <c r="I8" i="17"/>
  <c r="I9" i="17"/>
  <c r="I10" i="17"/>
  <c r="I13" i="17"/>
  <c r="I11" i="17"/>
  <c r="I12" i="17"/>
  <c r="H6" i="18"/>
  <c r="H7" i="18"/>
  <c r="H9" i="18"/>
  <c r="H8" i="18"/>
  <c r="H10" i="18"/>
  <c r="H5" i="18"/>
  <c r="H11" i="18"/>
  <c r="H12" i="18"/>
  <c r="H13" i="18"/>
  <c r="H14" i="18"/>
  <c r="K13" i="16"/>
  <c r="L15" i="16"/>
  <c r="L16" i="16"/>
  <c r="I13" i="16"/>
  <c r="K16" i="15"/>
  <c r="K15" i="15"/>
  <c r="J8" i="15"/>
  <c r="C26" i="3"/>
  <c r="B27" i="3"/>
  <c r="D26" i="3"/>
  <c r="B26" i="3"/>
  <c r="C23" i="3"/>
  <c r="B25" i="3"/>
  <c r="B24" i="3"/>
  <c r="C24" i="3"/>
  <c r="C25" i="3"/>
  <c r="D25" i="3"/>
  <c r="C27" i="3"/>
  <c r="D23" i="3"/>
  <c r="E14" i="3" s="1"/>
  <c r="D27" i="3"/>
  <c r="D24" i="3"/>
  <c r="J15" i="3"/>
  <c r="J16" i="3"/>
  <c r="C118" i="2"/>
  <c r="C120" i="2" s="1"/>
  <c r="C117" i="2"/>
  <c r="F108" i="2"/>
  <c r="F117" i="2" s="1"/>
  <c r="B121" i="2" s="1"/>
  <c r="D117" i="2"/>
  <c r="B119" i="2" s="1"/>
  <c r="E109" i="2"/>
  <c r="E117" i="2" s="1"/>
  <c r="C119" i="2" s="1"/>
  <c r="C121" i="10"/>
  <c r="C123" i="10" s="1"/>
  <c r="C120" i="10"/>
  <c r="F111" i="10"/>
  <c r="F120" i="10" s="1"/>
  <c r="B124" i="10" s="1"/>
  <c r="D120" i="10"/>
  <c r="B122" i="10" s="1"/>
  <c r="E112" i="10"/>
  <c r="E120" i="10" s="1"/>
  <c r="C122" i="10" s="1"/>
  <c r="C120" i="9"/>
  <c r="C122" i="9" s="1"/>
  <c r="C119" i="9"/>
  <c r="F119" i="9"/>
  <c r="B123" i="9" s="1"/>
  <c r="D119" i="9"/>
  <c r="B121" i="9" s="1"/>
  <c r="E111" i="9"/>
  <c r="E119" i="9" s="1"/>
  <c r="C121" i="9" s="1"/>
  <c r="E6" i="2"/>
  <c r="E7" i="2"/>
  <c r="E8" i="2"/>
  <c r="E9" i="2"/>
  <c r="E10" i="2"/>
  <c r="E11" i="2"/>
  <c r="E12" i="2"/>
  <c r="E13" i="2"/>
  <c r="E14" i="2"/>
  <c r="E5" i="2"/>
  <c r="D6" i="2"/>
  <c r="D7" i="2"/>
  <c r="D8" i="2"/>
  <c r="D9" i="2"/>
  <c r="D10" i="2"/>
  <c r="D11" i="2"/>
  <c r="D12" i="2"/>
  <c r="D13" i="2"/>
  <c r="D14" i="2"/>
  <c r="D5" i="2"/>
  <c r="C18" i="2"/>
  <c r="C17" i="2" s="1"/>
  <c r="B18" i="2"/>
  <c r="B17" i="2" s="1"/>
  <c r="C16" i="2"/>
  <c r="B16" i="2"/>
  <c r="C15" i="2"/>
  <c r="B15" i="2"/>
  <c r="G16" i="16" l="1"/>
  <c r="F15" i="15"/>
  <c r="J5" i="15"/>
  <c r="G5" i="15"/>
  <c r="G10" i="15"/>
  <c r="J10" i="15"/>
  <c r="G14" i="15"/>
  <c r="I14" i="15" s="1"/>
  <c r="J14" i="15"/>
  <c r="G12" i="15"/>
  <c r="J12" i="15"/>
  <c r="G11" i="15"/>
  <c r="J11" i="15"/>
  <c r="G13" i="15"/>
  <c r="J13" i="15"/>
  <c r="G9" i="15"/>
  <c r="J9" i="15"/>
  <c r="F16" i="15"/>
  <c r="H14" i="16"/>
  <c r="K5" i="16"/>
  <c r="H5" i="16"/>
  <c r="M5" i="17"/>
  <c r="J5" i="17"/>
  <c r="M11" i="17"/>
  <c r="J11" i="17"/>
  <c r="M9" i="17"/>
  <c r="J9" i="17"/>
  <c r="M14" i="17"/>
  <c r="J14" i="17"/>
  <c r="J13" i="17"/>
  <c r="M13" i="17"/>
  <c r="J6" i="17"/>
  <c r="M6" i="17"/>
  <c r="M12" i="17"/>
  <c r="J12" i="17"/>
  <c r="M10" i="17"/>
  <c r="J10" i="17"/>
  <c r="M8" i="17"/>
  <c r="J8" i="17"/>
  <c r="J7" i="17"/>
  <c r="M7" i="17"/>
  <c r="I16" i="17"/>
  <c r="I15" i="17"/>
  <c r="I5" i="18"/>
  <c r="L5" i="18"/>
  <c r="L11" i="18"/>
  <c r="I11" i="18"/>
  <c r="I12" i="18"/>
  <c r="L12" i="18"/>
  <c r="L10" i="18"/>
  <c r="I10" i="18"/>
  <c r="I8" i="18"/>
  <c r="L8" i="18"/>
  <c r="H15" i="18"/>
  <c r="H16" i="18"/>
  <c r="L13" i="18"/>
  <c r="I13" i="18"/>
  <c r="L6" i="18"/>
  <c r="I6" i="18"/>
  <c r="L14" i="18"/>
  <c r="I14" i="18"/>
  <c r="I9" i="18"/>
  <c r="L9" i="18"/>
  <c r="L7" i="18"/>
  <c r="I7" i="18"/>
  <c r="H10" i="16"/>
  <c r="K10" i="16"/>
  <c r="H7" i="16"/>
  <c r="K7" i="16"/>
  <c r="K6" i="16"/>
  <c r="H6" i="16"/>
  <c r="H9" i="16"/>
  <c r="K9" i="16"/>
  <c r="G15" i="16"/>
  <c r="K11" i="16"/>
  <c r="H11" i="16"/>
  <c r="K12" i="16"/>
  <c r="H12" i="16"/>
  <c r="H8" i="16"/>
  <c r="K8" i="16"/>
  <c r="H14" i="15"/>
  <c r="J6" i="15"/>
  <c r="J7" i="15"/>
  <c r="I8" i="15"/>
  <c r="H8" i="15"/>
  <c r="E12" i="3"/>
  <c r="E10" i="3"/>
  <c r="E9" i="3"/>
  <c r="E11" i="3"/>
  <c r="I11" i="3" s="1"/>
  <c r="E13" i="3"/>
  <c r="I13" i="3" s="1"/>
  <c r="E7" i="3"/>
  <c r="E8" i="3"/>
  <c r="I8" i="3" s="1"/>
  <c r="E5" i="3"/>
  <c r="E6" i="3"/>
  <c r="I6" i="3"/>
  <c r="F6" i="3"/>
  <c r="F12" i="3"/>
  <c r="I12" i="3"/>
  <c r="I10" i="3"/>
  <c r="F10" i="3"/>
  <c r="I14" i="3"/>
  <c r="F14" i="3"/>
  <c r="I9" i="3"/>
  <c r="F9" i="3"/>
  <c r="I7" i="3"/>
  <c r="F7" i="3"/>
  <c r="F14" i="2"/>
  <c r="G14" i="2"/>
  <c r="F10" i="2"/>
  <c r="G10" i="2"/>
  <c r="F13" i="2"/>
  <c r="G13" i="2"/>
  <c r="E16" i="2"/>
  <c r="F6" i="2"/>
  <c r="G6" i="2"/>
  <c r="F11" i="2"/>
  <c r="G11" i="2"/>
  <c r="F12" i="2"/>
  <c r="G12" i="2"/>
  <c r="F9" i="2"/>
  <c r="G9" i="2"/>
  <c r="F8" i="2"/>
  <c r="G8" i="2"/>
  <c r="F7" i="2"/>
  <c r="G7" i="2"/>
  <c r="F5" i="2"/>
  <c r="B25" i="2" a="1"/>
  <c r="G5" i="2"/>
  <c r="B19" i="2"/>
  <c r="B20" i="2" s="1"/>
  <c r="E15" i="2"/>
  <c r="D15" i="2"/>
  <c r="D16" i="2"/>
  <c r="E15" i="3" l="1"/>
  <c r="H16" i="16"/>
  <c r="H11" i="15"/>
  <c r="I11" i="15"/>
  <c r="I12" i="15"/>
  <c r="H12" i="15"/>
  <c r="I10" i="15"/>
  <c r="H10" i="15"/>
  <c r="H5" i="15"/>
  <c r="G16" i="15"/>
  <c r="I5" i="15"/>
  <c r="H9" i="15"/>
  <c r="I9" i="15"/>
  <c r="H13" i="15"/>
  <c r="I13" i="15"/>
  <c r="J5" i="16"/>
  <c r="I5" i="16"/>
  <c r="I14" i="16"/>
  <c r="J14" i="16"/>
  <c r="L5" i="17"/>
  <c r="K5" i="17"/>
  <c r="M16" i="17"/>
  <c r="M15" i="17"/>
  <c r="K13" i="17"/>
  <c r="L13" i="17"/>
  <c r="L12" i="17"/>
  <c r="K12" i="17"/>
  <c r="L6" i="17"/>
  <c r="K6" i="17"/>
  <c r="L14" i="17"/>
  <c r="K14" i="17"/>
  <c r="J16" i="17"/>
  <c r="J15" i="17"/>
  <c r="K7" i="17"/>
  <c r="L7" i="17"/>
  <c r="L8" i="17"/>
  <c r="K8" i="17"/>
  <c r="L9" i="17"/>
  <c r="K9" i="17"/>
  <c r="L10" i="17"/>
  <c r="K10" i="17"/>
  <c r="L11" i="17"/>
  <c r="K11" i="17"/>
  <c r="J5" i="18"/>
  <c r="K7" i="18"/>
  <c r="J7" i="18"/>
  <c r="J9" i="18"/>
  <c r="K9" i="18"/>
  <c r="K8" i="18"/>
  <c r="J8" i="18"/>
  <c r="L15" i="18"/>
  <c r="L16" i="18"/>
  <c r="I15" i="18"/>
  <c r="I16" i="18"/>
  <c r="K14" i="18"/>
  <c r="J14" i="18"/>
  <c r="K12" i="18"/>
  <c r="J12" i="18"/>
  <c r="K10" i="18"/>
  <c r="J10" i="18"/>
  <c r="K6" i="18"/>
  <c r="J6" i="18"/>
  <c r="J13" i="18"/>
  <c r="K13" i="18"/>
  <c r="K11" i="18"/>
  <c r="J11" i="18"/>
  <c r="K15" i="16"/>
  <c r="I11" i="16"/>
  <c r="J11" i="16"/>
  <c r="K16" i="16"/>
  <c r="J9" i="16"/>
  <c r="I9" i="16"/>
  <c r="I6" i="16"/>
  <c r="J6" i="16"/>
  <c r="H15" i="16"/>
  <c r="J7" i="16"/>
  <c r="I7" i="16"/>
  <c r="J8" i="16"/>
  <c r="I8" i="16"/>
  <c r="I12" i="16"/>
  <c r="J12" i="16"/>
  <c r="J10" i="16"/>
  <c r="I10" i="16"/>
  <c r="I7" i="15"/>
  <c r="H7" i="15"/>
  <c r="J15" i="15"/>
  <c r="J16" i="15"/>
  <c r="I6" i="15"/>
  <c r="H6" i="15"/>
  <c r="G15" i="15"/>
  <c r="H16" i="15"/>
  <c r="E16" i="3"/>
  <c r="F8" i="3"/>
  <c r="I5" i="3"/>
  <c r="I16" i="3" s="1"/>
  <c r="F13" i="3"/>
  <c r="G13" i="3" s="1"/>
  <c r="F11" i="3"/>
  <c r="G11" i="3" s="1"/>
  <c r="F5" i="3"/>
  <c r="G5" i="3"/>
  <c r="G14" i="3"/>
  <c r="H14" i="3"/>
  <c r="G10" i="3"/>
  <c r="H10" i="3"/>
  <c r="H8" i="3"/>
  <c r="G8" i="3"/>
  <c r="H7" i="3"/>
  <c r="G7" i="3"/>
  <c r="H12" i="3"/>
  <c r="G12" i="3"/>
  <c r="G6" i="3"/>
  <c r="H6" i="3"/>
  <c r="G9" i="3"/>
  <c r="H9" i="3"/>
  <c r="M11" i="2"/>
  <c r="M14" i="2"/>
  <c r="M9" i="2"/>
  <c r="M8" i="2"/>
  <c r="M7" i="2"/>
  <c r="M6" i="2"/>
  <c r="M13" i="2"/>
  <c r="M10" i="2"/>
  <c r="M5" i="2"/>
  <c r="M12" i="2"/>
  <c r="M15" i="2" s="1"/>
  <c r="F16" i="2"/>
  <c r="F15" i="2"/>
  <c r="G15" i="2"/>
  <c r="G16" i="2"/>
  <c r="B25" i="2"/>
  <c r="C29" i="2"/>
  <c r="B29" i="2"/>
  <c r="B28" i="2"/>
  <c r="B27" i="2"/>
  <c r="C26" i="2"/>
  <c r="C28" i="2"/>
  <c r="B26" i="2"/>
  <c r="C25" i="2"/>
  <c r="C27" i="2"/>
  <c r="B21" i="2"/>
  <c r="I15" i="15" l="1"/>
  <c r="I15" i="16"/>
  <c r="L16" i="17"/>
  <c r="H34" i="17" s="1"/>
  <c r="L15" i="17"/>
  <c r="K16" i="17"/>
  <c r="K15" i="17"/>
  <c r="J15" i="18"/>
  <c r="J16" i="18"/>
  <c r="K15" i="18"/>
  <c r="H34" i="18"/>
  <c r="J15" i="16"/>
  <c r="I16" i="16"/>
  <c r="J16" i="16"/>
  <c r="H34" i="16" s="1"/>
  <c r="I16" i="15"/>
  <c r="H34" i="15" s="1"/>
  <c r="H15" i="15"/>
  <c r="H13" i="3"/>
  <c r="F16" i="3"/>
  <c r="F15" i="3"/>
  <c r="H11" i="3"/>
  <c r="I15" i="3"/>
  <c r="H5" i="3"/>
  <c r="H15" i="3" s="1"/>
  <c r="G16" i="3"/>
  <c r="G15" i="3"/>
  <c r="M16" i="2"/>
  <c r="H6" i="2"/>
  <c r="L6" i="2" s="1"/>
  <c r="H12" i="2"/>
  <c r="L12" i="2" s="1"/>
  <c r="H14" i="2"/>
  <c r="L14" i="2" s="1"/>
  <c r="H5" i="2"/>
  <c r="L5" i="2" s="1"/>
  <c r="H7" i="2"/>
  <c r="L7" i="2" s="1"/>
  <c r="H8" i="2"/>
  <c r="L8" i="2" s="1"/>
  <c r="H11" i="2"/>
  <c r="L11" i="2" s="1"/>
  <c r="H9" i="2"/>
  <c r="L9" i="2" s="1"/>
  <c r="H10" i="2"/>
  <c r="L10" i="2" s="1"/>
  <c r="H13" i="2"/>
  <c r="L13" i="2" s="1"/>
  <c r="H16" i="3" l="1"/>
  <c r="J35" i="3" s="1"/>
  <c r="L15" i="2"/>
  <c r="L16" i="2"/>
  <c r="N10" i="2"/>
  <c r="O10" i="2" s="1"/>
  <c r="I10" i="2"/>
  <c r="N11" i="2"/>
  <c r="O11" i="2" s="1"/>
  <c r="P11" i="2" s="1"/>
  <c r="I11" i="2"/>
  <c r="N8" i="2"/>
  <c r="O8" i="2" s="1"/>
  <c r="I8" i="2"/>
  <c r="N7" i="2"/>
  <c r="O7" i="2" s="1"/>
  <c r="I7" i="2"/>
  <c r="N13" i="2"/>
  <c r="O13" i="2" s="1"/>
  <c r="I13" i="2"/>
  <c r="O5" i="2"/>
  <c r="I5" i="2"/>
  <c r="N14" i="2"/>
  <c r="O14" i="2" s="1"/>
  <c r="I14" i="2"/>
  <c r="N9" i="2"/>
  <c r="O9" i="2" s="1"/>
  <c r="I9" i="2"/>
  <c r="N12" i="2"/>
  <c r="O12" i="2" s="1"/>
  <c r="I12" i="2"/>
  <c r="N6" i="2"/>
  <c r="O6" i="2" s="1"/>
  <c r="I6" i="2"/>
  <c r="H15" i="2"/>
  <c r="H16" i="2"/>
  <c r="Q5" i="2" l="1"/>
  <c r="P5" i="2"/>
  <c r="P14" i="2"/>
  <c r="Q14" i="2"/>
  <c r="Q10" i="2"/>
  <c r="P10" i="2"/>
  <c r="Q13" i="2"/>
  <c r="P13" i="2"/>
  <c r="Q6" i="2"/>
  <c r="P6" i="2"/>
  <c r="Q7" i="2"/>
  <c r="P7" i="2"/>
  <c r="Q12" i="2"/>
  <c r="P12" i="2"/>
  <c r="Q8" i="2"/>
  <c r="P8" i="2"/>
  <c r="Q9" i="2"/>
  <c r="P9" i="2"/>
  <c r="Q11" i="2"/>
  <c r="O16" i="2"/>
  <c r="O15" i="2"/>
  <c r="I16" i="2"/>
  <c r="K5" i="2"/>
  <c r="I15" i="2"/>
  <c r="J5" i="2"/>
  <c r="N15" i="2"/>
  <c r="N16" i="2"/>
  <c r="K13" i="2"/>
  <c r="J13" i="2"/>
  <c r="J6" i="2"/>
  <c r="K6" i="2"/>
  <c r="J7" i="2"/>
  <c r="K7" i="2"/>
  <c r="K12" i="2"/>
  <c r="J12" i="2"/>
  <c r="J8" i="2"/>
  <c r="K8" i="2"/>
  <c r="J9" i="2"/>
  <c r="K9" i="2"/>
  <c r="J11" i="2"/>
  <c r="K11" i="2"/>
  <c r="K14" i="2"/>
  <c r="J14" i="2"/>
  <c r="J10" i="2"/>
  <c r="K10" i="2"/>
  <c r="P15" i="2" l="1"/>
  <c r="P16" i="2"/>
  <c r="Q15" i="2"/>
  <c r="Q16" i="2"/>
  <c r="J33" i="2" s="1"/>
  <c r="J16" i="2"/>
  <c r="J15" i="2"/>
  <c r="K16" i="2"/>
  <c r="K15" i="2"/>
  <c r="C21" i="10" l="1"/>
  <c r="C20" i="10" s="1"/>
  <c r="B21" i="10"/>
  <c r="B20" i="10" s="1"/>
  <c r="C19" i="10"/>
  <c r="B19" i="10"/>
  <c r="C18" i="10"/>
  <c r="B18" i="10"/>
  <c r="D17" i="10"/>
  <c r="E9" i="10"/>
  <c r="H9" i="10" s="1"/>
  <c r="E10" i="10"/>
  <c r="H10" i="10" s="1"/>
  <c r="E11" i="10"/>
  <c r="H11" i="10" s="1"/>
  <c r="E12" i="10"/>
  <c r="H12" i="10" s="1"/>
  <c r="E13" i="10"/>
  <c r="H13" i="10" s="1"/>
  <c r="E14" i="10"/>
  <c r="H14" i="10" s="1"/>
  <c r="E15" i="10"/>
  <c r="H15" i="10" s="1"/>
  <c r="E16" i="10"/>
  <c r="E17" i="10"/>
  <c r="H17" i="10" s="1"/>
  <c r="E8" i="10"/>
  <c r="D9" i="10"/>
  <c r="G9" i="10" s="1"/>
  <c r="D10" i="10"/>
  <c r="D11" i="10"/>
  <c r="D12" i="10"/>
  <c r="D13" i="10"/>
  <c r="D14" i="10"/>
  <c r="D15" i="10"/>
  <c r="D16" i="10"/>
  <c r="G16" i="10" s="1"/>
  <c r="D8" i="10"/>
  <c r="D18" i="10" s="1"/>
  <c r="H37" i="10"/>
  <c r="H36" i="10"/>
  <c r="G8" i="9"/>
  <c r="C8" i="9"/>
  <c r="H36" i="9"/>
  <c r="D21" i="9"/>
  <c r="D20" i="9"/>
  <c r="D19" i="9"/>
  <c r="B19" i="9"/>
  <c r="D18" i="9"/>
  <c r="B18" i="9"/>
  <c r="G17" i="9"/>
  <c r="C17" i="9"/>
  <c r="F17" i="9" s="1"/>
  <c r="G16" i="9"/>
  <c r="C16" i="9"/>
  <c r="F16" i="9" s="1"/>
  <c r="G15" i="9"/>
  <c r="C15" i="9"/>
  <c r="F15" i="9" s="1"/>
  <c r="G14" i="9"/>
  <c r="C14" i="9"/>
  <c r="G13" i="9"/>
  <c r="C13" i="9"/>
  <c r="G12" i="9"/>
  <c r="C12" i="9"/>
  <c r="G11" i="9"/>
  <c r="C11" i="9"/>
  <c r="F11" i="9" s="1"/>
  <c r="G10" i="9"/>
  <c r="C10" i="9"/>
  <c r="F10" i="9" s="1"/>
  <c r="G9" i="9"/>
  <c r="C9" i="9"/>
  <c r="G19" i="9"/>
  <c r="B133" i="8"/>
  <c r="B135" i="8" s="1"/>
  <c r="B132" i="8"/>
  <c r="D131" i="8"/>
  <c r="C131" i="8"/>
  <c r="F131" i="8" s="1"/>
  <c r="D130" i="8"/>
  <c r="E131" i="8" s="1"/>
  <c r="C130" i="8"/>
  <c r="F130" i="8" s="1"/>
  <c r="D129" i="8"/>
  <c r="E130" i="8" s="1"/>
  <c r="C129" i="8"/>
  <c r="F129" i="8" s="1"/>
  <c r="D128" i="8"/>
  <c r="E129" i="8" s="1"/>
  <c r="C128" i="8"/>
  <c r="F128" i="8" s="1"/>
  <c r="D127" i="8"/>
  <c r="E128" i="8" s="1"/>
  <c r="C127" i="8"/>
  <c r="F127" i="8" s="1"/>
  <c r="D126" i="8"/>
  <c r="E127" i="8" s="1"/>
  <c r="C126" i="8"/>
  <c r="F126" i="8" s="1"/>
  <c r="D125" i="8"/>
  <c r="E126" i="8" s="1"/>
  <c r="C125" i="8"/>
  <c r="F125" i="8" s="1"/>
  <c r="D124" i="8"/>
  <c r="E125" i="8" s="1"/>
  <c r="C124" i="8"/>
  <c r="F124" i="8" s="1"/>
  <c r="D123" i="8"/>
  <c r="C123" i="8"/>
  <c r="D122" i="8"/>
  <c r="E123" i="8" s="1"/>
  <c r="B50" i="8"/>
  <c r="B49" i="8"/>
  <c r="B25" i="8" a="1"/>
  <c r="C29" i="8" s="1"/>
  <c r="B19" i="8"/>
  <c r="C18" i="8"/>
  <c r="C17" i="8" s="1"/>
  <c r="B18" i="8"/>
  <c r="B17" i="8" s="1"/>
  <c r="C16" i="8"/>
  <c r="B16" i="8"/>
  <c r="C15" i="8"/>
  <c r="B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D15" i="8" l="1"/>
  <c r="B21" i="8"/>
  <c r="B20" i="8"/>
  <c r="E15" i="8"/>
  <c r="F16" i="8"/>
  <c r="F15" i="8"/>
  <c r="L6" i="8"/>
  <c r="L7" i="8"/>
  <c r="L8" i="8"/>
  <c r="L9" i="8"/>
  <c r="L10" i="8"/>
  <c r="L11" i="8"/>
  <c r="L12" i="8"/>
  <c r="L13" i="8"/>
  <c r="L14" i="8"/>
  <c r="L5" i="8"/>
  <c r="B139" i="8"/>
  <c r="F123" i="8"/>
  <c r="F132" i="8" s="1"/>
  <c r="D132" i="8"/>
  <c r="B134" i="8" s="1"/>
  <c r="E124" i="8"/>
  <c r="E132" i="8" s="1"/>
  <c r="F9" i="9"/>
  <c r="B22" i="9"/>
  <c r="F14" i="9"/>
  <c r="E14" i="9"/>
  <c r="M9" i="9"/>
  <c r="M10" i="9"/>
  <c r="M11" i="9"/>
  <c r="M12" i="9"/>
  <c r="M13" i="9"/>
  <c r="M14" i="9"/>
  <c r="M15" i="9"/>
  <c r="M16" i="9"/>
  <c r="M17" i="9"/>
  <c r="M8" i="9"/>
  <c r="F8" i="9"/>
  <c r="E8" i="9"/>
  <c r="G15" i="10"/>
  <c r="F15" i="10"/>
  <c r="G14" i="10"/>
  <c r="F14" i="10"/>
  <c r="G13" i="10"/>
  <c r="F13" i="10"/>
  <c r="G12" i="10"/>
  <c r="F12" i="10"/>
  <c r="G11" i="10"/>
  <c r="F11" i="10"/>
  <c r="G10" i="10"/>
  <c r="F10" i="10"/>
  <c r="F8" i="10"/>
  <c r="G17" i="10"/>
  <c r="F17" i="10"/>
  <c r="D19" i="10"/>
  <c r="F9" i="10"/>
  <c r="G8" i="10"/>
  <c r="H16" i="10"/>
  <c r="E18" i="10"/>
  <c r="D21" i="10"/>
  <c r="D20" i="10" s="1"/>
  <c r="F16" i="10"/>
  <c r="F19" i="10" s="1"/>
  <c r="E19" i="10"/>
  <c r="H8" i="10"/>
  <c r="E21" i="10"/>
  <c r="E20" i="10" s="1"/>
  <c r="B29" i="10" a="1"/>
  <c r="C29" i="10" s="1"/>
  <c r="E13" i="9"/>
  <c r="M18" i="9"/>
  <c r="F13" i="9"/>
  <c r="C18" i="9"/>
  <c r="F12" i="9"/>
  <c r="F19" i="9" s="1"/>
  <c r="C21" i="9"/>
  <c r="C20" i="9" s="1"/>
  <c r="E11" i="9"/>
  <c r="E17" i="9"/>
  <c r="E12" i="9"/>
  <c r="C19" i="9"/>
  <c r="E10" i="9"/>
  <c r="E16" i="9"/>
  <c r="G18" i="9"/>
  <c r="E9" i="9"/>
  <c r="E15" i="9"/>
  <c r="B28" i="9" a="1"/>
  <c r="B137" i="8"/>
  <c r="C132" i="8"/>
  <c r="C133" i="8"/>
  <c r="C135" i="8" s="1"/>
  <c r="C25" i="8"/>
  <c r="B26" i="8"/>
  <c r="C26" i="8"/>
  <c r="C27" i="8"/>
  <c r="B28" i="8"/>
  <c r="I172" i="1" s="1"/>
  <c r="B25" i="8"/>
  <c r="D16" i="8"/>
  <c r="C28" i="8"/>
  <c r="B27" i="8"/>
  <c r="B29" i="8"/>
  <c r="E16" i="8"/>
  <c r="E26" i="8" l="1"/>
  <c r="G172" i="1" s="1"/>
  <c r="B136" i="8"/>
  <c r="L15" i="8"/>
  <c r="L16" i="8"/>
  <c r="E19" i="9"/>
  <c r="E18" i="9"/>
  <c r="F18" i="9"/>
  <c r="N8" i="10"/>
  <c r="N16" i="10"/>
  <c r="N14" i="10"/>
  <c r="N12" i="10"/>
  <c r="B23" i="10"/>
  <c r="M19" i="9"/>
  <c r="G6" i="8"/>
  <c r="G7" i="8"/>
  <c r="G8" i="8"/>
  <c r="G9" i="8"/>
  <c r="G10" i="8"/>
  <c r="G11" i="8"/>
  <c r="G12" i="8"/>
  <c r="G13" i="8"/>
  <c r="G14" i="8"/>
  <c r="G5" i="8"/>
  <c r="F18" i="10"/>
  <c r="H18" i="10"/>
  <c r="H19" i="10"/>
  <c r="N9" i="10"/>
  <c r="N11" i="10"/>
  <c r="N13" i="10"/>
  <c r="N15" i="10"/>
  <c r="N10" i="10"/>
  <c r="B24" i="10"/>
  <c r="N17" i="10"/>
  <c r="G18" i="10"/>
  <c r="G19" i="10"/>
  <c r="C33" i="10"/>
  <c r="B32" i="10"/>
  <c r="C31" i="10"/>
  <c r="C30" i="10"/>
  <c r="B29" i="10"/>
  <c r="B31" i="10"/>
  <c r="B33" i="10"/>
  <c r="C32" i="10"/>
  <c r="B30" i="10"/>
  <c r="B28" i="9"/>
  <c r="C32" i="9"/>
  <c r="B32" i="9"/>
  <c r="C31" i="9"/>
  <c r="B31" i="9"/>
  <c r="C30" i="9"/>
  <c r="B30" i="9"/>
  <c r="C29" i="9"/>
  <c r="B29" i="9"/>
  <c r="C28" i="9"/>
  <c r="C140" i="8"/>
  <c r="C134" i="8"/>
  <c r="H8" i="9" l="1"/>
  <c r="H9" i="9"/>
  <c r="H10" i="9"/>
  <c r="H11" i="9"/>
  <c r="H12" i="9"/>
  <c r="H13" i="9"/>
  <c r="H14" i="9"/>
  <c r="H15" i="9"/>
  <c r="H16" i="9"/>
  <c r="H17" i="9"/>
  <c r="K5" i="8"/>
  <c r="H5" i="8"/>
  <c r="G16" i="8"/>
  <c r="K14" i="8"/>
  <c r="H14" i="8"/>
  <c r="G15" i="8"/>
  <c r="K13" i="8"/>
  <c r="H13" i="8"/>
  <c r="K12" i="8"/>
  <c r="H12" i="8"/>
  <c r="K11" i="8"/>
  <c r="H11" i="8"/>
  <c r="H10" i="8"/>
  <c r="K10" i="8"/>
  <c r="K9" i="8"/>
  <c r="H9" i="8"/>
  <c r="K8" i="8"/>
  <c r="H8" i="8"/>
  <c r="K7" i="8"/>
  <c r="H7" i="8"/>
  <c r="K6" i="8"/>
  <c r="H6" i="8"/>
  <c r="B25" i="10"/>
  <c r="I14" i="10"/>
  <c r="I13" i="10"/>
  <c r="I15" i="10"/>
  <c r="I17" i="10"/>
  <c r="I9" i="10"/>
  <c r="I10" i="10"/>
  <c r="I12" i="10"/>
  <c r="I16" i="10"/>
  <c r="I8" i="10"/>
  <c r="I11" i="10"/>
  <c r="N19" i="10"/>
  <c r="N18" i="10"/>
  <c r="J6" i="8" l="1"/>
  <c r="I6" i="8"/>
  <c r="I7" i="8"/>
  <c r="J7" i="8"/>
  <c r="J8" i="8"/>
  <c r="I8" i="8"/>
  <c r="J9" i="8"/>
  <c r="I9" i="8"/>
  <c r="J10" i="8"/>
  <c r="I10" i="8"/>
  <c r="I11" i="8"/>
  <c r="J11" i="8"/>
  <c r="J12" i="8"/>
  <c r="I12" i="8"/>
  <c r="J13" i="8"/>
  <c r="I13" i="8"/>
  <c r="J14" i="8"/>
  <c r="I14" i="8"/>
  <c r="J5" i="8"/>
  <c r="I5" i="8"/>
  <c r="H15" i="8"/>
  <c r="H16" i="8"/>
  <c r="K15" i="8"/>
  <c r="K16" i="8"/>
  <c r="I17" i="9"/>
  <c r="L17" i="9"/>
  <c r="L16" i="9"/>
  <c r="I16" i="9"/>
  <c r="L15" i="9"/>
  <c r="I15" i="9"/>
  <c r="L14" i="9"/>
  <c r="I14" i="9"/>
  <c r="L13" i="9"/>
  <c r="I13" i="9"/>
  <c r="L12" i="9"/>
  <c r="I12" i="9"/>
  <c r="I11" i="9"/>
  <c r="L11" i="9"/>
  <c r="L10" i="9"/>
  <c r="I10" i="9"/>
  <c r="L9" i="9"/>
  <c r="I9" i="9"/>
  <c r="L8" i="9"/>
  <c r="I8" i="9"/>
  <c r="H19" i="9"/>
  <c r="H18" i="9"/>
  <c r="I18" i="10"/>
  <c r="I19" i="10"/>
  <c r="M8" i="10"/>
  <c r="J8" i="10"/>
  <c r="M12" i="10"/>
  <c r="O12" i="10"/>
  <c r="P12" i="10" s="1"/>
  <c r="J12" i="10"/>
  <c r="J9" i="10"/>
  <c r="M9" i="10"/>
  <c r="O15" i="10"/>
  <c r="P15" i="10" s="1"/>
  <c r="M15" i="10"/>
  <c r="J15" i="10"/>
  <c r="O13" i="10"/>
  <c r="P13" i="10" s="1"/>
  <c r="J13" i="10"/>
  <c r="M13" i="10"/>
  <c r="O17" i="10"/>
  <c r="P17" i="10" s="1"/>
  <c r="M17" i="10"/>
  <c r="J17" i="10"/>
  <c r="M14" i="10"/>
  <c r="O14" i="10"/>
  <c r="P14" i="10" s="1"/>
  <c r="J14" i="10"/>
  <c r="O11" i="10"/>
  <c r="P11" i="10" s="1"/>
  <c r="M11" i="10"/>
  <c r="J11" i="10"/>
  <c r="M16" i="10"/>
  <c r="O16" i="10"/>
  <c r="P16" i="10" s="1"/>
  <c r="J16" i="10"/>
  <c r="O10" i="10"/>
  <c r="P10" i="10" s="1"/>
  <c r="M10" i="10"/>
  <c r="J10" i="10"/>
  <c r="M18" i="10" l="1"/>
  <c r="K8" i="9"/>
  <c r="J8" i="9"/>
  <c r="I18" i="9"/>
  <c r="I19" i="9"/>
  <c r="L19" i="9"/>
  <c r="L18" i="9"/>
  <c r="K9" i="9"/>
  <c r="J9" i="9"/>
  <c r="K10" i="9"/>
  <c r="J10" i="9"/>
  <c r="J11" i="9"/>
  <c r="K11" i="9"/>
  <c r="K12" i="9"/>
  <c r="J12" i="9"/>
  <c r="K13" i="9"/>
  <c r="J13" i="9"/>
  <c r="K14" i="9"/>
  <c r="J14" i="9"/>
  <c r="K15" i="9"/>
  <c r="J15" i="9"/>
  <c r="K16" i="9"/>
  <c r="J16" i="9"/>
  <c r="J17" i="9"/>
  <c r="K17" i="9"/>
  <c r="I16" i="8"/>
  <c r="I15" i="8"/>
  <c r="J15" i="8"/>
  <c r="J16" i="8"/>
  <c r="H172" i="1" s="1"/>
  <c r="Q11" i="10"/>
  <c r="R11" i="10"/>
  <c r="K14" i="10"/>
  <c r="L14" i="10"/>
  <c r="J18" i="10"/>
  <c r="L9" i="10"/>
  <c r="K9" i="10"/>
  <c r="L17" i="10"/>
  <c r="K17" i="10"/>
  <c r="Q17" i="10"/>
  <c r="R17" i="10"/>
  <c r="J19" i="10"/>
  <c r="L8" i="10"/>
  <c r="K8" i="10"/>
  <c r="L13" i="10"/>
  <c r="K13" i="10"/>
  <c r="R13" i="10"/>
  <c r="Q13" i="10"/>
  <c r="R14" i="10"/>
  <c r="Q14" i="10"/>
  <c r="L12" i="10"/>
  <c r="K12" i="10"/>
  <c r="R12" i="10"/>
  <c r="Q12" i="10"/>
  <c r="Q16" i="10"/>
  <c r="R16" i="10"/>
  <c r="K11" i="10"/>
  <c r="L11" i="10"/>
  <c r="K15" i="10"/>
  <c r="L15" i="10"/>
  <c r="Q15" i="10"/>
  <c r="R15" i="10"/>
  <c r="O18" i="10"/>
  <c r="P9" i="10"/>
  <c r="K10" i="10"/>
  <c r="L10" i="10"/>
  <c r="R10" i="10"/>
  <c r="Q10" i="10"/>
  <c r="L16" i="10"/>
  <c r="K16" i="10"/>
  <c r="M19" i="10"/>
  <c r="P8" i="10"/>
  <c r="O19" i="10"/>
  <c r="K19" i="9" l="1"/>
  <c r="J19" i="9"/>
  <c r="J18" i="9"/>
  <c r="K18" i="9"/>
  <c r="K18" i="10"/>
  <c r="R8" i="10"/>
  <c r="P18" i="10"/>
  <c r="P19" i="10"/>
  <c r="Q8" i="10"/>
  <c r="K19" i="10"/>
  <c r="Q9" i="10"/>
  <c r="R9" i="10"/>
  <c r="L18" i="10"/>
  <c r="L19" i="10"/>
  <c r="Q18" i="10" l="1"/>
  <c r="Q19" i="10"/>
  <c r="R19" i="10"/>
  <c r="R18" i="10"/>
  <c r="C27" i="1" l="1"/>
  <c r="C26" i="1" s="1"/>
  <c r="B27" i="1"/>
  <c r="B26" i="1" s="1"/>
  <c r="B25" i="1"/>
  <c r="C24" i="1"/>
  <c r="B24" i="1"/>
  <c r="C25" i="1"/>
  <c r="B124" i="9"/>
  <c r="C127" i="9" s="1"/>
  <c r="B126" i="9"/>
  <c r="B127" i="10"/>
  <c r="B125" i="10"/>
  <c r="C128" i="10"/>
  <c r="B122" i="2"/>
  <c r="C125" i="2"/>
  <c r="B110" i="15"/>
  <c r="B124" i="2"/>
</calcChain>
</file>

<file path=xl/sharedStrings.xml><?xml version="1.0" encoding="utf-8"?>
<sst xmlns="http://schemas.openxmlformats.org/spreadsheetml/2006/main" count="1096" uniqueCount="194">
  <si>
    <t xml:space="preserve">Л.Р №3, Атанова Натали, 221-363, дата выполнения: 03.11.2023, дата проверки: 
</t>
  </si>
  <si>
    <t>Вариант 15</t>
  </si>
  <si>
    <t>По некоторым территориям районов края известны значения средней суточного душевого дохода в у.е. (фактор X) и процент от общего дохода, расходуемого на покупку продовольственных товаров (фактор Y). Требуется для характеристики зависимости Y от X рассчитать параметры линейной, логарифмической, степенной, показательной (экспоненциальной) функции, а также полиномы до 6 степени, и выбрать оптимальную модель (провести оценку моделей через среднюю ошибку аппроксимаций (А) и коэффициент детерминации.</t>
  </si>
  <si>
    <t>Пункт 1. На основе заданных значений переменных постройте поле корреляции и выполните спецификацию регрессионной модели.</t>
  </si>
  <si>
    <r>
      <t>x</t>
    </r>
    <r>
      <rPr>
        <b/>
        <sz val="10"/>
        <color rgb="FF000000"/>
        <rFont val="Calibri"/>
        <family val="2"/>
        <charset val="204"/>
        <scheme val="minor"/>
      </rPr>
      <t xml:space="preserve"> </t>
    </r>
    <r>
      <rPr>
        <sz val="10"/>
        <color rgb="FF000000"/>
        <rFont val="Calibri"/>
        <family val="2"/>
        <charset val="204"/>
        <scheme val="minor"/>
      </rPr>
      <t>(суточный душевой доход в у.е)</t>
    </r>
  </si>
  <si>
    <r>
      <t xml:space="preserve">y </t>
    </r>
    <r>
      <rPr>
        <sz val="10"/>
        <color rgb="FF000000"/>
        <rFont val="Calibri"/>
        <family val="2"/>
        <charset val="204"/>
        <scheme val="minor"/>
      </rPr>
      <t>(процент от общего дохода, расходуемый на покупку продовольственных товаров)</t>
    </r>
  </si>
  <si>
    <t>СУММ</t>
  </si>
  <si>
    <t>СРЗНАЧ</t>
  </si>
  <si>
    <t>σ</t>
  </si>
  <si>
    <t xml:space="preserve">σ² </t>
  </si>
  <si>
    <t xml:space="preserve">Пункт 2.Постройте линейное уравнение парной регрессии МНК, а также,
используя режим «Регрессия» и функцию «линейн», выполните проверку его
качества: </t>
  </si>
  <si>
    <t>См. лист "Линейное уравнение"</t>
  </si>
  <si>
    <t>Пункт 3. Постройте нелинейные уравнения и полиномы до 6 степени</t>
  </si>
  <si>
    <t xml:space="preserve">3.1. Подготовьте исходные данные для определения коэффициентов уравнения.  </t>
  </si>
  <si>
    <t>3.2. Постройте нелинейные уравнения регрессии, используя МНК и режим «Регрессия», и функцию «Линейн». Запишите уравнение.</t>
  </si>
  <si>
    <t>3.3. Сделайте выводы о качестве уравнения регрессии согласно п.2.</t>
  </si>
  <si>
    <t>См. соответствующие листы</t>
  </si>
  <si>
    <t>Пункт 4. Постройте поле корреляции, нанесите на него линии тренда, соответствующие построенным функциям регрессии, с указанием уравнения каждой функции и коэффициента детерминации. Сравните результаты с уравнениями, построенными в предыдущих пунктах.</t>
  </si>
  <si>
    <t>Пункт 6. Для указанных моделей найти коэффициенты детерминации, коэффициенты эластичности и средние относительные ошибки аппроксимации. Сравнить модели по этим характеристикам и сделать вывод (в письменном виде в виде итоговой таблицы).</t>
  </si>
  <si>
    <t>Линейное уравнение</t>
  </si>
  <si>
    <t xml:space="preserve">x </t>
  </si>
  <si>
    <t xml:space="preserve">y </t>
  </si>
  <si>
    <t>xy</t>
  </si>
  <si>
    <t>x²</t>
  </si>
  <si>
    <t>y²</t>
  </si>
  <si>
    <t>ŷₓ = a + b*x</t>
  </si>
  <si>
    <t>ε=y-ŷₓ</t>
  </si>
  <si>
    <t>εₓ²=(y-ŷₓ)²</t>
  </si>
  <si>
    <r>
      <rPr>
        <b/>
        <sz val="12"/>
        <color rgb="FF000000"/>
        <rFont val="Calibri"/>
        <family val="2"/>
        <charset val="204"/>
      </rPr>
      <t>A</t>
    </r>
    <r>
      <rPr>
        <b/>
        <sz val="10"/>
        <color rgb="FF000000"/>
        <rFont val="Calibri"/>
        <family val="2"/>
        <charset val="204"/>
      </rPr>
      <t>i</t>
    </r>
    <r>
      <rPr>
        <b/>
        <sz val="12"/>
        <color rgb="FF000000"/>
        <rFont val="Calibri"/>
        <family val="2"/>
        <charset val="204"/>
      </rPr>
      <t>=ABS((y-ŷₓ)/y)*100 (%)</t>
    </r>
  </si>
  <si>
    <t>(ŷₓ - ȳ)²</t>
  </si>
  <si>
    <t>(y - ȳ)²</t>
  </si>
  <si>
    <t>cov(x,y)</t>
  </si>
  <si>
    <t>a = ȳ - b x̅</t>
  </si>
  <si>
    <t>ЛИНЕЙН</t>
  </si>
  <si>
    <t xml:space="preserve">Пункт 2.1. Сделайте вывод об адекватности уравнения эмпирическим данным.  </t>
  </si>
  <si>
    <t>R-квадрат</t>
  </si>
  <si>
    <t>вывод: коэф. детерминации показывает, что уравнением регрессии объясняется 79,5% дисперсии результативного признака, а на долю прочих факторов приходится 21,5%.</t>
  </si>
  <si>
    <t>Пункт 2.2. Проверьте адекватность уравнения данным генеральной совокупности.</t>
  </si>
  <si>
    <t>F</t>
  </si>
  <si>
    <t>Значимость F</t>
  </si>
  <si>
    <r>
      <t>F</t>
    </r>
    <r>
      <rPr>
        <sz val="9"/>
        <color rgb="FF000000"/>
        <rFont val="Calibri"/>
        <family val="2"/>
        <charset val="204"/>
        <scheme val="minor"/>
      </rPr>
      <t>табл</t>
    </r>
    <r>
      <rPr>
        <sz val="11"/>
        <color rgb="FF000000"/>
        <rFont val="Calibri"/>
        <family val="2"/>
        <charset val="204"/>
        <scheme val="minor"/>
      </rPr>
      <t>(α=0,05)</t>
    </r>
  </si>
  <si>
    <t>Fтабл(α=0,1)</t>
  </si>
  <si>
    <t>вывод: Fфакт &gt; Fтабл, следовательно, уравнение регрессии в целом статистически значимо</t>
  </si>
  <si>
    <t>2.3. Проверьте с помощью диагностической диаграммы, соблюдаются ли предпосылки МНК.</t>
  </si>
  <si>
    <t>Предпосылки МНК</t>
  </si>
  <si>
    <t>1. Случайный характер остатков</t>
  </si>
  <si>
    <t>2. Нулевая средняя величина остатков, не зависящая от x</t>
  </si>
  <si>
    <t>3. Гомоскедастичность: дисперсия каждого отклонения е одинакова для всех значений х</t>
  </si>
  <si>
    <t>4. Отстутствие автокорреляции остатков: значения остатков распределены независимо друг от друга</t>
  </si>
  <si>
    <t>5. Остатки подчиняются нормальному распределению</t>
  </si>
  <si>
    <t>Проверка:  построение графика зависимости остатков от ŷₓ</t>
  </si>
  <si>
    <t xml:space="preserve">Предсказанное y </t>
  </si>
  <si>
    <t>Остатки</t>
  </si>
  <si>
    <t>Проверка:  построение графика зависимости остатков от x</t>
  </si>
  <si>
    <t>Проверка:  построение графика зависимости остатков от ŷₓ, а ткже исходя из поля корреляции</t>
  </si>
  <si>
    <t> </t>
  </si>
  <si>
    <r>
      <t>ε</t>
    </r>
    <r>
      <rPr>
        <sz val="9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=y-ŷₓ </t>
    </r>
  </si>
  <si>
    <r>
      <t>ε</t>
    </r>
    <r>
      <rPr>
        <sz val="8"/>
        <color rgb="FF000000"/>
        <rFont val="Calibri"/>
        <family val="2"/>
        <charset val="204"/>
      </rPr>
      <t>i-1</t>
    </r>
  </si>
  <si>
    <r>
      <t>ε</t>
    </r>
    <r>
      <rPr>
        <sz val="9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²=(y-ŷₓ)² </t>
    </r>
  </si>
  <si>
    <t>σ²(встроен)</t>
  </si>
  <si>
    <t>cov (встроен)</t>
  </si>
  <si>
    <r>
      <t>r</t>
    </r>
    <r>
      <rPr>
        <sz val="9"/>
        <color rgb="FF000000"/>
        <rFont val="Calibri"/>
        <family val="2"/>
        <charset val="204"/>
      </rPr>
      <t xml:space="preserve">eiej </t>
    </r>
    <r>
      <rPr>
        <sz val="12"/>
        <color rgb="FF000000"/>
        <rFont val="Calibri"/>
        <family val="2"/>
      </rPr>
      <t>(встроен)</t>
    </r>
  </si>
  <si>
    <t>вывод: коэффициент несущественно отличен от нуля, автокорреляции нет, предпосылка выполняется</t>
  </si>
  <si>
    <t>вывод: предпосылка не выполняется</t>
  </si>
  <si>
    <t>ВЫВОД ИТОГОВ</t>
  </si>
  <si>
    <t>Регрессионная статистика</t>
  </si>
  <si>
    <t>Множественный R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</si>
  <si>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</si>
  <si>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</si>
  <si>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</si>
  <si>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</si>
  <si>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</si>
  <si>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</si>
  <si>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</si>
  <si>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</si>
  <si>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</si>
  <si>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</si>
  <si>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</si>
  <si>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</si>
  <si>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</si>
  <si>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</si>
  <si>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</si>
  <si>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90,0%</t>
  </si>
  <si>
    <t>Верхние 90,0%</t>
  </si>
  <si>
    <t>Y-пересечение</t>
  </si>
  <si>
    <t>ВЫВОД ОСТАТКА</t>
  </si>
  <si>
    <t>ВЫВОД ВЕРОЯТНОСТИ</t>
  </si>
  <si>
    <t>Наблюдение</t>
  </si>
  <si>
    <t>Стандартные остатки</t>
  </si>
  <si>
    <t>Персентиль</t>
  </si>
  <si>
    <t>Полулогарифмическое уравнение</t>
  </si>
  <si>
    <t>Замена: z = lnx</t>
  </si>
  <si>
    <t>ŷₓ  = a + b*z</t>
  </si>
  <si>
    <t>z</t>
  </si>
  <si>
    <t>y</t>
  </si>
  <si>
    <t>z²</t>
  </si>
  <si>
    <t>ŷₓ=a+bz</t>
  </si>
  <si>
    <r>
      <t>A</t>
    </r>
    <r>
      <rPr>
        <b/>
        <sz val="10"/>
        <color rgb="FF000000"/>
        <rFont val="Calibri"/>
        <family val="2"/>
        <charset val="204"/>
      </rPr>
      <t>i</t>
    </r>
  </si>
  <si>
    <t>-</t>
  </si>
  <si>
    <t>cov(z,y)</t>
  </si>
  <si>
    <t>ŷₓ  = -44,4071 + 23,49415 lnx</t>
  </si>
  <si>
    <t>Вывод о качестве модели:</t>
  </si>
  <si>
    <t>A̅</t>
  </si>
  <si>
    <r>
      <t>F</t>
    </r>
    <r>
      <rPr>
        <sz val="9"/>
        <color rgb="FF000000"/>
        <rFont val="Calibri"/>
        <family val="2"/>
        <charset val="204"/>
        <scheme val="minor"/>
      </rPr>
      <t>табл</t>
    </r>
    <r>
      <rPr>
        <sz val="11"/>
        <color rgb="FF000000"/>
        <rFont val="Calibri"/>
        <family val="2"/>
        <charset val="204"/>
        <scheme val="minor"/>
      </rPr>
      <t>(α=0,1)</t>
    </r>
  </si>
  <si>
    <t>76,5% вариации результативного признака объясняется вариацией признака-фактора, а 23,5% приходится на долю прочих факторов</t>
  </si>
  <si>
    <t>Fфакт &gt; Fтабл, уравнение в целом статистически значимо</t>
  </si>
  <si>
    <t>Предсказанное y</t>
  </si>
  <si>
    <t>Проверка:  построение графика зависимости остатков от ŷₓ, а также исходя из поля корреляции</t>
  </si>
  <si>
    <t>Степенное уравнение</t>
  </si>
  <si>
    <t xml:space="preserve">Линеаризация </t>
  </si>
  <si>
    <t>Ŷₓ= A + bX, где Ŷₓ = ln(ŷₓ)), X = ln(x), A = ln(a)</t>
  </si>
  <si>
    <t>x</t>
  </si>
  <si>
    <t>X = ln(x)</t>
  </si>
  <si>
    <t>Y = ln(y)</t>
  </si>
  <si>
    <t>XY</t>
  </si>
  <si>
    <t>X²</t>
  </si>
  <si>
    <t>Y²</t>
  </si>
  <si>
    <t>ln(Ŷₓ)= A + bX</t>
  </si>
  <si>
    <t>ε=Y-Ŷₓ</t>
  </si>
  <si>
    <t>εₓ²=(Y-Ŷₓ)²</t>
  </si>
  <si>
    <t>Ai</t>
  </si>
  <si>
    <r>
      <t>(Ŷₓ - Y</t>
    </r>
    <r>
      <rPr>
        <sz val="12"/>
        <color theme="1"/>
        <rFont val="Calibri"/>
        <family val="2"/>
        <charset val="204"/>
      </rPr>
      <t>̅</t>
    </r>
    <r>
      <rPr>
        <sz val="12"/>
        <color theme="1"/>
        <rFont val="Calibri"/>
        <family val="2"/>
        <charset val="204"/>
        <scheme val="minor"/>
      </rPr>
      <t>)²</t>
    </r>
  </si>
  <si>
    <r>
      <t>(Y - Y</t>
    </r>
    <r>
      <rPr>
        <sz val="12"/>
        <color theme="1"/>
        <rFont val="Calibri"/>
        <family val="2"/>
        <charset val="204"/>
      </rPr>
      <t>̅</t>
    </r>
    <r>
      <rPr>
        <sz val="12"/>
        <color theme="1"/>
        <rFont val="Calibri"/>
        <family val="2"/>
        <charset val="204"/>
        <scheme val="minor"/>
      </rPr>
      <t>)²</t>
    </r>
  </si>
  <si>
    <r>
      <t>A</t>
    </r>
    <r>
      <rPr>
        <sz val="10"/>
        <color rgb="FF000000"/>
        <rFont val="Calibri"/>
        <family val="2"/>
        <charset val="204"/>
      </rPr>
      <t>i</t>
    </r>
  </si>
  <si>
    <t>cov(X,Y)</t>
  </si>
  <si>
    <t>a = exp(A)</t>
  </si>
  <si>
    <t>Ŷₓ  = 1,352142 + 0,643789 Х</t>
  </si>
  <si>
    <t>уравнение после потенцирования:</t>
  </si>
  <si>
    <t>Вывод о качестве модели: Ŷₓ  = 1,352142 + 0,643789 Х</t>
  </si>
  <si>
    <t>73,6% вариации результативного признака объясняется вариацией признака-фактора, а 26,4% приходится на долю прочих факторов</t>
  </si>
  <si>
    <t xml:space="preserve">  ŷₓ</t>
  </si>
  <si>
    <t>X = lnx</t>
  </si>
  <si>
    <t>Предсказанное Y = lny</t>
  </si>
  <si>
    <t>Y = lny</t>
  </si>
  <si>
    <t>Экспоненциальное уравнение</t>
  </si>
  <si>
    <t>Ŷₓ = A + bх, где Ŷₓ= ln(y), A = ln(a)</t>
  </si>
  <si>
    <t>X</t>
  </si>
  <si>
    <t>ln(Ŷₓ)=A+b*X</t>
  </si>
  <si>
    <t>Ɛ=Y-Ŷₓ</t>
  </si>
  <si>
    <t>Ɛ²</t>
  </si>
  <si>
    <t>Ai=ABS((Y-Ŷₓ)/Y)*100 (%)</t>
  </si>
  <si>
    <t>Ɛ²=(Y-Ŷₓ)²</t>
  </si>
  <si>
    <t xml:space="preserve">Ŷₓ = A + b X = 2,9204 + 0,01969 * X </t>
  </si>
  <si>
    <t xml:space="preserve">Уравнение после потенцирования: </t>
  </si>
  <si>
    <t xml:space="preserve">Вывод о качестве модели: Ŷₓ = 2,9204 + 0,01969 * X </t>
  </si>
  <si>
    <t>Предсказанное Y = ln(y)</t>
  </si>
  <si>
    <r>
      <t>x</t>
    </r>
    <r>
      <rPr>
        <b/>
        <sz val="11"/>
        <color theme="1"/>
        <rFont val="Calibri"/>
        <family val="2"/>
        <charset val="204"/>
      </rPr>
      <t>²</t>
    </r>
  </si>
  <si>
    <r>
      <t>ŷₓ = a + b1 *x + b2*x</t>
    </r>
    <r>
      <rPr>
        <b/>
        <sz val="11"/>
        <color theme="1"/>
        <rFont val="Calibri"/>
        <family val="2"/>
        <charset val="204"/>
      </rPr>
      <t>²</t>
    </r>
  </si>
  <si>
    <t>ε²=(y-ŷₓ)²</t>
  </si>
  <si>
    <r>
      <t>A</t>
    </r>
    <r>
      <rPr>
        <b/>
        <sz val="10"/>
        <color rgb="FF000000"/>
        <rFont val="Calibri"/>
        <family val="2"/>
        <charset val="204"/>
      </rPr>
      <t>i</t>
    </r>
    <r>
      <rPr>
        <b/>
        <sz val="12"/>
        <color rgb="FF000000"/>
        <rFont val="Calibri"/>
        <family val="2"/>
        <charset val="204"/>
      </rPr>
      <t>=ABS((y-ŷₓ)/y)*100(%)</t>
    </r>
  </si>
  <si>
    <t>b2</t>
  </si>
  <si>
    <t>b1</t>
  </si>
  <si>
    <t>a</t>
  </si>
  <si>
    <t>факторн</t>
  </si>
  <si>
    <t>остаточ</t>
  </si>
  <si>
    <t>ŷₓ = 22,6179 + 0,09891 x + 0,0089 x²</t>
  </si>
  <si>
    <t>Fтабл</t>
  </si>
  <si>
    <r>
      <t>ŷₓ = a + b1 *x + b2*x</t>
    </r>
    <r>
      <rPr>
        <b/>
        <sz val="16"/>
        <color theme="1"/>
        <rFont val="Calibri"/>
        <family val="2"/>
        <charset val="204"/>
      </rPr>
      <t xml:space="preserve">² + b3*x³ </t>
    </r>
  </si>
  <si>
    <t xml:space="preserve">x³ </t>
  </si>
  <si>
    <r>
      <t>ŷₓ = a+b1x+b2x</t>
    </r>
    <r>
      <rPr>
        <b/>
        <sz val="11"/>
        <color theme="1"/>
        <rFont val="Calibri"/>
        <family val="2"/>
        <charset val="204"/>
      </rPr>
      <t xml:space="preserve">²+b3x³ </t>
    </r>
  </si>
  <si>
    <t>b3</t>
  </si>
  <si>
    <t>ŷₓ = 132,2038 - 10,5009 x + 0,333755 x² - 0,00317 x³</t>
  </si>
  <si>
    <r>
      <t>ŷₓ = a + b1 *x + b2*x</t>
    </r>
    <r>
      <rPr>
        <b/>
        <sz val="16"/>
        <color theme="1"/>
        <rFont val="Calibri"/>
        <family val="2"/>
        <charset val="204"/>
      </rPr>
      <t>² + b3*x³ + b4*x⁴</t>
    </r>
  </si>
  <si>
    <t>x⁴</t>
  </si>
  <si>
    <r>
      <t>ŷₓ=a+b1x+b2x</t>
    </r>
    <r>
      <rPr>
        <b/>
        <sz val="11"/>
        <color theme="1"/>
        <rFont val="Calibri"/>
        <family val="2"/>
        <charset val="204"/>
      </rPr>
      <t>²+b3x³+b4*x⁴</t>
    </r>
  </si>
  <si>
    <t>b4</t>
  </si>
  <si>
    <t>ŷₓ = 716,2189 - 84,9142x + 3,770108x² - 0,07149x³ + 0,000495x⁴</t>
  </si>
  <si>
    <r>
      <t>ŷₓ = a + b1 *x + b2*x</t>
    </r>
    <r>
      <rPr>
        <b/>
        <sz val="16"/>
        <color theme="1"/>
        <rFont val="Calibri"/>
        <family val="2"/>
        <charset val="204"/>
      </rPr>
      <t>² + b3*x³ + b4*x⁴ + b5*x⁵</t>
    </r>
  </si>
  <si>
    <t>x⁵</t>
  </si>
  <si>
    <r>
      <t>ŷₓ=a+b1x+b2x</t>
    </r>
    <r>
      <rPr>
        <b/>
        <sz val="11"/>
        <color theme="1"/>
        <rFont val="Calibri"/>
        <family val="2"/>
        <charset val="204"/>
      </rPr>
      <t>²+b3x³+b4*x⁴ + b5*x⁵</t>
    </r>
  </si>
  <si>
    <t>b5</t>
  </si>
  <si>
    <t>остаточн</t>
  </si>
  <si>
    <t>ŷₓ = 2127,3786 - 312,927x + 18,09966x² - 0,50938x³ + 0,007009x⁴ -0,0000378*x⁵</t>
  </si>
  <si>
    <r>
      <t>ŷₓ = a + b1 *x + b2*x</t>
    </r>
    <r>
      <rPr>
        <b/>
        <sz val="16"/>
        <color theme="1"/>
        <rFont val="Calibri"/>
        <family val="2"/>
        <charset val="204"/>
      </rPr>
      <t xml:space="preserve">² + b3*x³ + b4*x⁴ + b5*x⁵ + b6*x⁶ </t>
    </r>
  </si>
  <si>
    <t xml:space="preserve">x⁶ </t>
  </si>
  <si>
    <r>
      <t>ŷₓ=a+b1x+b2x</t>
    </r>
    <r>
      <rPr>
        <b/>
        <sz val="11"/>
        <color theme="1"/>
        <rFont val="Calibri"/>
        <family val="2"/>
        <charset val="204"/>
      </rPr>
      <t xml:space="preserve">²+b3x³+b4*x⁴ + b5*x⁵+ b6*x⁶ </t>
    </r>
  </si>
  <si>
    <t>b6</t>
  </si>
  <si>
    <t xml:space="preserve">ŷₓ = 11050,09416 - 2031,89753x + 152,9393x² - 6,02426x³ + 0,131148x⁴ -0,0015*x⁵+ 0,000007*x⁶ </t>
  </si>
  <si>
    <r>
      <t>x</t>
    </r>
    <r>
      <rPr>
        <vertAlign val="subscript"/>
        <sz val="12"/>
        <rFont val="Calibri"/>
        <family val="2"/>
        <charset val="204"/>
        <scheme val="minor"/>
      </rPr>
      <t>p</t>
    </r>
  </si>
  <si>
    <t>ŷₓ = 12,7075 + 0,7217x</t>
  </si>
  <si>
    <t>Ŷₓ= A + bX, где Ŷₓ = ln(ŷₓ)),    X = ln(x), A = ln(a)</t>
  </si>
  <si>
    <r>
      <t>m</t>
    </r>
    <r>
      <rPr>
        <sz val="9"/>
        <color theme="1"/>
        <rFont val="Calibri"/>
        <family val="2"/>
        <charset val="204"/>
        <scheme val="minor"/>
      </rPr>
      <t>b</t>
    </r>
  </si>
  <si>
    <r>
      <t>m</t>
    </r>
    <r>
      <rPr>
        <sz val="9"/>
        <color theme="1"/>
        <rFont val="Calibri"/>
        <family val="2"/>
        <charset val="204"/>
        <scheme val="minor"/>
      </rPr>
      <t>a</t>
    </r>
  </si>
  <si>
    <r>
      <t>r</t>
    </r>
    <r>
      <rPr>
        <sz val="11"/>
        <color theme="1"/>
        <rFont val="Calibri"/>
        <family val="2"/>
        <charset val="204"/>
      </rPr>
      <t>²</t>
    </r>
  </si>
  <si>
    <t>zy</t>
  </si>
  <si>
    <t>z = ln(x)</t>
  </si>
  <si>
    <t>(α=0,05)</t>
  </si>
  <si>
    <t>(α=0,1)</t>
  </si>
  <si>
    <r>
      <t>t</t>
    </r>
    <r>
      <rPr>
        <sz val="9"/>
        <color theme="1"/>
        <rFont val="Calibri"/>
        <family val="2"/>
        <charset val="204"/>
        <scheme val="minor"/>
      </rPr>
      <t>табл</t>
    </r>
  </si>
  <si>
    <t>ln(ŷₓ) = ln(a) + b*ln(x)</t>
  </si>
  <si>
    <r>
      <t>ŷₓ = a + b1*x + b2*x</t>
    </r>
    <r>
      <rPr>
        <b/>
        <sz val="16"/>
        <color theme="1"/>
        <rFont val="Calibri"/>
        <family val="2"/>
        <charset val="204"/>
      </rPr>
      <t>²</t>
    </r>
  </si>
  <si>
    <r>
      <t xml:space="preserve">Пункт 5. Сравните качество построенных регрессионных уравнений. Выберите наилучшее уравнение и рассчитайте на его основе прогнозируемое значение результирующего показателя при значении фактора, указанном в Индивидуальном задании. </t>
    </r>
    <r>
      <rPr>
        <b/>
        <u/>
        <sz val="12"/>
        <color theme="1"/>
        <rFont val="Calibri"/>
        <family val="2"/>
        <charset val="204"/>
        <scheme val="minor"/>
      </rPr>
      <t>Прогнозирование сделать для увеличенного среднего значения Х на 15%.</t>
    </r>
  </si>
  <si>
    <t>ŷₓ = 12,7075 + 0,7217x - наилучшее уравнение</t>
  </si>
  <si>
    <t>Вывод: наилучшим уравнением является линейное. (остальные модели либо статистически незначимы, либо имеют статистически незначимые параметры), нет необходимости усложнять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</si>
</sst>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"/>
    <numFmt numFmtId="165" formatCode="0.000000"/>
    <numFmt numFmtId="166" formatCode="0.00000000"/>
  </numFmts>
  <fonts count="38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0"/>
      <color rgb="FF00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2"/>
      <name val="Calibri"/>
      <family val="2"/>
      <charset val="204"/>
      <scheme val="minor"/>
    </font>
    <font>
      <vertAlign val="subscript"/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sz val="12"/>
      <color theme="6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2F6"/>
        <bgColor indexed="64"/>
      </patternFill>
    </fill>
    <fill>
      <patternFill patternType="solid">
        <fgColor rgb="FFF4F1E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11" fillId="0" borderId="5" xfId="0" applyFont="1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inden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indent="1"/>
    </xf>
    <xf numFmtId="0" fontId="2" fillId="2" borderId="0" xfId="0" applyFont="1" applyFill="1" applyAlignment="1">
      <alignment horizontal="left" indent="1"/>
    </xf>
    <xf numFmtId="0" fontId="0" fillId="6" borderId="0" xfId="0" applyFill="1"/>
    <xf numFmtId="0" fontId="1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 vertical="center"/>
    </xf>
    <xf numFmtId="0" fontId="14" fillId="2" borderId="0" xfId="0" applyFont="1" applyFill="1"/>
    <xf numFmtId="0" fontId="2" fillId="0" borderId="0" xfId="0" applyFont="1" applyAlignment="1">
      <alignment vertical="center" wrapText="1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8" xfId="0" applyBorder="1"/>
    <xf numFmtId="0" fontId="11" fillId="0" borderId="5" xfId="0" applyFont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9" fillId="6" borderId="0" xfId="0" applyFont="1" applyFill="1" applyAlignment="1">
      <alignment horizontal="left" indent="1"/>
    </xf>
    <xf numFmtId="0" fontId="19" fillId="6" borderId="0" xfId="0" applyFont="1" applyFill="1" applyAlignment="1">
      <alignment horizontal="left" vertical="center" indent="1"/>
    </xf>
    <xf numFmtId="0" fontId="19" fillId="6" borderId="0" xfId="0" applyFont="1" applyFill="1" applyAlignment="1">
      <alignment vertical="center"/>
    </xf>
    <xf numFmtId="0" fontId="18" fillId="5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 indent="1"/>
    </xf>
    <xf numFmtId="1" fontId="0" fillId="0" borderId="1" xfId="0" applyNumberFormat="1" applyBorder="1" applyAlignment="1">
      <alignment horizontal="center" vertical="center"/>
    </xf>
    <xf numFmtId="0" fontId="11" fillId="0" borderId="5" xfId="0" applyFont="1" applyBorder="1" applyAlignment="1">
      <alignment horizontal="centerContinuous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7" xfId="0" applyBorder="1"/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8" borderId="0" xfId="0" applyFill="1"/>
    <xf numFmtId="0" fontId="2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9" borderId="0" xfId="0" applyFill="1"/>
    <xf numFmtId="0" fontId="1" fillId="5" borderId="1" xfId="0" applyFont="1" applyFill="1" applyBorder="1"/>
    <xf numFmtId="0" fontId="1" fillId="5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9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" xfId="0" applyFont="1" applyFill="1" applyBorder="1" applyAlignment="1">
      <alignment horizontal="center" vertical="center"/>
    </xf>
    <xf numFmtId="0" fontId="12" fillId="10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0" borderId="0" xfId="0" applyFont="1" applyFill="1"/>
    <xf numFmtId="0" fontId="0" fillId="10" borderId="0" xfId="0" applyFill="1"/>
    <xf numFmtId="0" fontId="5" fillId="10" borderId="0" xfId="0" applyFont="1" applyFill="1" applyAlignment="1">
      <alignment vertical="center"/>
    </xf>
    <xf numFmtId="0" fontId="19" fillId="10" borderId="0" xfId="0" applyFont="1" applyFill="1" applyAlignment="1">
      <alignment horizontal="left" vertical="center" indent="1"/>
    </xf>
    <xf numFmtId="0" fontId="19" fillId="10" borderId="0" xfId="0" applyFont="1" applyFill="1" applyAlignment="1">
      <alignment vertical="center"/>
    </xf>
    <xf numFmtId="0" fontId="19" fillId="10" borderId="0" xfId="0" applyFont="1" applyFill="1" applyAlignment="1">
      <alignment horizontal="left" indent="1"/>
    </xf>
    <xf numFmtId="0" fontId="1" fillId="10" borderId="0" xfId="0" applyFont="1" applyFill="1" applyAlignment="1">
      <alignment horizontal="left" indent="1"/>
    </xf>
    <xf numFmtId="0" fontId="0" fillId="0" borderId="0" xfId="0" applyAlignment="1">
      <alignment vertical="center" wrapText="1"/>
    </xf>
    <xf numFmtId="0" fontId="0" fillId="0" borderId="0" xfId="0" applyBorder="1"/>
    <xf numFmtId="0" fontId="5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indent="1"/>
    </xf>
    <xf numFmtId="0" fontId="1" fillId="10" borderId="0" xfId="0" applyFont="1" applyFill="1" applyAlignment="1">
      <alignment horizontal="left" vertical="center" inden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vertical="center"/>
    </xf>
    <xf numFmtId="0" fontId="14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6" fontId="0" fillId="0" borderId="0" xfId="0" applyNumberFormat="1" applyAlignment="1">
      <alignment horizontal="left"/>
    </xf>
    <xf numFmtId="0" fontId="0" fillId="8" borderId="3" xfId="0" applyFill="1" applyBorder="1"/>
    <xf numFmtId="0" fontId="34" fillId="9" borderId="0" xfId="0" applyFont="1" applyFill="1"/>
    <xf numFmtId="0" fontId="34" fillId="9" borderId="3" xfId="0" applyFont="1" applyFill="1" applyBorder="1"/>
    <xf numFmtId="0" fontId="3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35" fillId="5" borderId="0" xfId="0" applyFont="1" applyFill="1" applyAlignment="1"/>
    <xf numFmtId="0" fontId="37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4" fillId="0" borderId="0" xfId="0" applyFont="1" applyAlignme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11" borderId="0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8" fillId="0" borderId="0" xfId="0" applyFont="1" applyAlignment="1">
      <alignment horizontal="center" vertical="top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F1E4"/>
      <color rgb="FFE2F2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/>
              <a:t>Поле корреляции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D4-4B29-94B0-577BCE554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41216"/>
        <c:axId val="209243136"/>
      </c:scatterChart>
      <c:valAx>
        <c:axId val="209241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43136"/>
        <c:crosses val="autoZero"/>
        <c:crossBetween val="midCat"/>
      </c:valAx>
      <c:valAx>
        <c:axId val="209243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41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Линейный тренд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linear"/>
            <c:dispRSqr val="1"/>
            <c:dispEq val="1"/>
            <c:trendlineLbl>
              <c:layout>
                <c:manualLayout>
                  <c:x val="0.42303543307086616"/>
                  <c:y val="-6.5530766987459896E-2"/>
                </c:manualLayout>
              </c:layout>
              <c:numFmt formatCode="General" sourceLinked="0"/>
            </c:trendlineLbl>
          </c:trendline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'Линейное уравнение'!$C$5:$C$14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89-4216-94C3-C81D8AA13991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'Линейное уравнение'!$G$5:$G$14</c:f>
              <c:numCache>
                <c:formatCode>General</c:formatCode>
                <c:ptCount val="10"/>
                <c:pt idx="0">
                  <c:v>35.080188679245282</c:v>
                </c:pt>
                <c:pt idx="1">
                  <c:v>29.306603773584904</c:v>
                </c:pt>
                <c:pt idx="2">
                  <c:v>40.132075471698109</c:v>
                </c:pt>
                <c:pt idx="3">
                  <c:v>46.627358490566039</c:v>
                </c:pt>
                <c:pt idx="4">
                  <c:v>45.905660377358487</c:v>
                </c:pt>
                <c:pt idx="5">
                  <c:v>48.070754716981128</c:v>
                </c:pt>
                <c:pt idx="6">
                  <c:v>27.141509433962263</c:v>
                </c:pt>
                <c:pt idx="7">
                  <c:v>35.801886792452827</c:v>
                </c:pt>
                <c:pt idx="8">
                  <c:v>45.905660377358487</c:v>
                </c:pt>
                <c:pt idx="9">
                  <c:v>30.028301886792448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09824"/>
        <c:axId val="208911360"/>
      </c:scatterChart>
      <c:valAx>
        <c:axId val="208909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911360"/>
        <c:crosses val="autoZero"/>
        <c:crossBetween val="midCat"/>
      </c:valAx>
      <c:valAx>
        <c:axId val="20891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098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Полулогарифмический тренд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log"/>
            <c:dispRSqr val="1"/>
            <c:dispEq val="1"/>
            <c:trendlineLbl>
              <c:layout>
                <c:manualLayout>
                  <c:x val="0.44731855014136662"/>
                  <c:y val="-3.0821936731592761E-3"/>
                </c:manualLayout>
              </c:layout>
              <c:numFmt formatCode="General" sourceLinked="0"/>
            </c:trendlineLbl>
          </c:trendline>
          <c:xVal>
            <c:numRef>
              <c:f>'Полулогарифмическое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'Полулогарифмическое уравнение'!$D$8:$D$17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31-4480-BBE6-BA997D78CC23}"/>
            </c:ext>
          </c:extLst>
        </c:ser>
        <c:ser>
          <c:idx val="1"/>
          <c:order val="1"/>
          <c:tx>
            <c:v>теоретические 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'Полулогарифмическое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'Полулогарифмическое уравнение'!$H$8:$H$17</c:f>
              <c:numCache>
                <c:formatCode>General</c:formatCode>
                <c:ptCount val="10"/>
                <c:pt idx="0">
                  <c:v>36.271504386334676</c:v>
                </c:pt>
                <c:pt idx="1">
                  <c:v>29.258664504606024</c:v>
                </c:pt>
                <c:pt idx="2">
                  <c:v>41.054889349918831</c:v>
                </c:pt>
                <c:pt idx="3">
                  <c:v>46.048840346463614</c:v>
                </c:pt>
                <c:pt idx="4">
                  <c:v>45.543570274935895</c:v>
                </c:pt>
                <c:pt idx="5">
                  <c:v>47.027905043128165</c:v>
                </c:pt>
                <c:pt idx="6">
                  <c:v>25.975076075350479</c:v>
                </c:pt>
                <c:pt idx="7">
                  <c:v>37.017413155617852</c:v>
                </c:pt>
                <c:pt idx="8">
                  <c:v>45.543570274935895</c:v>
                </c:pt>
                <c:pt idx="9">
                  <c:v>30.258566588708526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98560"/>
        <c:axId val="209300480"/>
      </c:scatterChart>
      <c:valAx>
        <c:axId val="20929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00480"/>
        <c:crosses val="autoZero"/>
        <c:crossBetween val="midCat"/>
      </c:valAx>
      <c:valAx>
        <c:axId val="209300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98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Степенной тренд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wer"/>
            <c:dispRSqr val="1"/>
            <c:dispEq val="1"/>
            <c:trendlineLbl>
              <c:layout>
                <c:manualLayout>
                  <c:x val="0.44731855014136662"/>
                  <c:y val="-3.0821936731592761E-3"/>
                </c:manualLayout>
              </c:layout>
              <c:numFmt formatCode="General" sourceLinked="0"/>
            </c:trendlineLbl>
          </c:trendline>
          <c:xVal>
            <c:numRef>
              <c:f>'Степенное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'Степенное уравнение'!$C$8:$C$17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31-4480-BBE6-BA997D78CC23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'Степенное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'Степенное уравнение'!$O$8:$O$17</c:f>
              <c:numCache>
                <c:formatCode>General</c:formatCode>
                <c:ptCount val="10"/>
                <c:pt idx="0">
                  <c:v>35.265495747515139</c:v>
                </c:pt>
                <c:pt idx="1">
                  <c:v>29.100010806271012</c:v>
                </c:pt>
                <c:pt idx="2">
                  <c:v>40.204534293323505</c:v>
                </c:pt>
                <c:pt idx="3">
                  <c:v>46.100531845069689</c:v>
                </c:pt>
                <c:pt idx="4">
                  <c:v>45.466647254114932</c:v>
                </c:pt>
                <c:pt idx="5">
                  <c:v>47.354076435275651</c:v>
                </c:pt>
                <c:pt idx="6">
                  <c:v>26.596013966540585</c:v>
                </c:pt>
                <c:pt idx="7">
                  <c:v>35.993720366330386</c:v>
                </c:pt>
                <c:pt idx="8">
                  <c:v>45.466647254114932</c:v>
                </c:pt>
                <c:pt idx="9">
                  <c:v>29.908357437832663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20416"/>
        <c:axId val="209022336"/>
      </c:scatterChart>
      <c:valAx>
        <c:axId val="20902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22336"/>
        <c:crosses val="autoZero"/>
        <c:crossBetween val="midCat"/>
      </c:valAx>
      <c:valAx>
        <c:axId val="209022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20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Экспоненциальный тренд 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exp"/>
            <c:dispRSqr val="1"/>
            <c:dispEq val="1"/>
            <c:trendlineLbl>
              <c:layout>
                <c:manualLayout>
                  <c:x val="0.42348678258221134"/>
                  <c:y val="-6.1048170604069731E-2"/>
                </c:manualLayout>
              </c:layout>
              <c:numFmt formatCode="General" sourceLinked="0"/>
            </c:trendlineLbl>
          </c:trendline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'Экспоненциальное уравнение'!$C$5:$C$14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270-4556-93DC-69713C199826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'Экспоненциальное уравнение'!$N$5:$N$14</c:f>
              <c:numCache>
                <c:formatCode>General</c:formatCode>
                <c:ptCount val="10"/>
                <c:pt idx="0">
                  <c:v>34.147033827363906</c:v>
                </c:pt>
                <c:pt idx="1">
                  <c:v>29.171423303866789</c:v>
                </c:pt>
                <c:pt idx="2">
                  <c:v>39.192135646616656</c:v>
                </c:pt>
                <c:pt idx="3">
                  <c:v>46.788994873421103</c:v>
                </c:pt>
                <c:pt idx="4">
                  <c:v>45.876924404790955</c:v>
                </c:pt>
                <c:pt idx="5">
                  <c:v>48.667894405610483</c:v>
                </c:pt>
                <c:pt idx="6">
                  <c:v>27.498522342839923</c:v>
                </c:pt>
                <c:pt idx="7">
                  <c:v>34.825904557024259</c:v>
                </c:pt>
                <c:pt idx="8">
                  <c:v>45.876924404790955</c:v>
                </c:pt>
                <c:pt idx="9">
                  <c:v>29.751374860527527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8288"/>
        <c:axId val="209798272"/>
      </c:scatterChart>
      <c:valAx>
        <c:axId val="209788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798272"/>
        <c:crosses val="autoZero"/>
        <c:crossBetween val="midCat"/>
      </c:valAx>
      <c:valAx>
        <c:axId val="20979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88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 sz="1400"/>
              <a:t>Полином</a:t>
            </a:r>
            <a:r>
              <a:rPr lang="az-Cyrl-AZ" sz="1400" baseline="0"/>
              <a:t> 2 степени</a:t>
            </a:r>
            <a:endParaRPr lang="az-Cyrl-AZ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5069989424599588"/>
                  <c:y val="6.6910606762389996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8A-46E5-8948-649F8B96E0B4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2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2 степени'!$E$5:$E$14</c:f>
              <c:numCache>
                <c:formatCode>General</c:formatCode>
                <c:ptCount val="10"/>
                <c:pt idx="0">
                  <c:v>34.237215655930072</c:v>
                </c:pt>
                <c:pt idx="1">
                  <c:v>29.601059012303484</c:v>
                </c:pt>
                <c:pt idx="2">
                  <c:v>39.228361629735836</c:v>
                </c:pt>
                <c:pt idx="3">
                  <c:v>46.927161530639253</c:v>
                </c:pt>
                <c:pt idx="4">
                  <c:v>46.000538640522429</c:v>
                </c:pt>
                <c:pt idx="5">
                  <c:v>48.833807820051902</c:v>
                </c:pt>
                <c:pt idx="6">
                  <c:v>28.15620307142801</c:v>
                </c:pt>
                <c:pt idx="7">
                  <c:v>34.8968360001519</c:v>
                </c:pt>
                <c:pt idx="8">
                  <c:v>46.000538640522429</c:v>
                </c:pt>
                <c:pt idx="9">
                  <c:v>30.118277998714643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3616"/>
        <c:axId val="209838080"/>
      </c:scatterChart>
      <c:valAx>
        <c:axId val="20982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838080"/>
        <c:crosses val="autoZero"/>
        <c:crossBetween val="midCat"/>
      </c:valAx>
      <c:valAx>
        <c:axId val="209838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823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 sz="1400" baseline="0"/>
              <a:t>Полином 3 степени</a:t>
            </a:r>
            <a:endParaRPr lang="az-Cyrl-AZ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46113948337802679"/>
                  <c:y val="-3.1003829439352867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F8-40C2-9F77-F2D4DFF678E6}"/>
            </c:ext>
          </c:extLst>
        </c:ser>
        <c:ser>
          <c:idx val="1"/>
          <c:order val="1"/>
          <c:tx>
            <c:v>теоретические 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3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3 степени'!$F$5:$F$14</c:f>
              <c:numCache>
                <c:formatCode>General</c:formatCode>
                <c:ptCount val="10"/>
                <c:pt idx="0">
                  <c:v>33.063703793434911</c:v>
                </c:pt>
                <c:pt idx="1">
                  <c:v>28.705246157684293</c:v>
                </c:pt>
                <c:pt idx="2">
                  <c:v>41.327783040592124</c:v>
                </c:pt>
                <c:pt idx="3">
                  <c:v>47.111081064001951</c:v>
                </c:pt>
                <c:pt idx="4">
                  <c:v>47.117537766707585</c:v>
                </c:pt>
                <c:pt idx="5">
                  <c:v>46.402357047115117</c:v>
                </c:pt>
                <c:pt idx="6">
                  <c:v>30.350769986013756</c:v>
                </c:pt>
                <c:pt idx="7">
                  <c:v>34.160998074293403</c:v>
                </c:pt>
                <c:pt idx="8">
                  <c:v>47.117537766707585</c:v>
                </c:pt>
                <c:pt idx="9">
                  <c:v>28.642985303449713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24032"/>
        <c:axId val="210530304"/>
      </c:scatterChart>
      <c:valAx>
        <c:axId val="210524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30304"/>
        <c:crosses val="autoZero"/>
        <c:crossBetween val="midCat"/>
      </c:valAx>
      <c:valAx>
        <c:axId val="210530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52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 sz="1400"/>
              <a:t>Полином 4 степени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4"/>
            <c:dispRSqr val="1"/>
            <c:dispEq val="1"/>
            <c:trendlineLbl>
              <c:layout>
                <c:manualLayout>
                  <c:x val="0.45011563931077653"/>
                  <c:y val="8.4317585301837278E-3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3B7-4DC2-9B65-4EA26AF13A16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4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4 степени'!$G$5:$G$14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678976"/>
        <c:axId val="219685248"/>
      </c:scatterChart>
      <c:valAx>
        <c:axId val="21967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685248"/>
        <c:crosses val="autoZero"/>
        <c:crossBetween val="midCat"/>
      </c:valAx>
      <c:valAx>
        <c:axId val="21968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678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 sz="1400"/>
              <a:t>Полином 5 степени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5"/>
            <c:dispRSqr val="1"/>
            <c:dispEq val="1"/>
            <c:trendlineLbl>
              <c:layout>
                <c:manualLayout>
                  <c:x val="0.4539770546433175"/>
                  <c:y val="-2.9553528764049611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F28-4095-8762-931242B17C58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5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5 степени'!$H$5:$H$14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732224"/>
        <c:axId val="219419008"/>
      </c:scatterChart>
      <c:valAx>
        <c:axId val="21973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419008"/>
        <c:crosses val="autoZero"/>
        <c:crossBetween val="midCat"/>
      </c:valAx>
      <c:valAx>
        <c:axId val="219419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732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 sz="1400"/>
              <a:t>Полином 6 степени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47388589050031099"/>
                  <c:y val="-1.1987060894367602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AB-4DB4-9A30-17227D166FED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6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6 степени'!$I$5:$I$14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449984"/>
        <c:axId val="219460352"/>
      </c:scatterChart>
      <c:valAx>
        <c:axId val="219449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460352"/>
        <c:crosses val="autoZero"/>
        <c:crossBetween val="midCat"/>
      </c:valAx>
      <c:valAx>
        <c:axId val="219460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9449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'Линейное уравнение'!$A$65:$A$74</c:f>
              <c:numCache>
                <c:formatCode>General</c:formatCode>
                <c:ptCount val="10"/>
                <c:pt idx="0">
                  <c:v>35.080188679245303</c:v>
                </c:pt>
                <c:pt idx="1">
                  <c:v>29.306603773584904</c:v>
                </c:pt>
                <c:pt idx="2">
                  <c:v>40.132075471698109</c:v>
                </c:pt>
                <c:pt idx="3">
                  <c:v>46.627358490566031</c:v>
                </c:pt>
                <c:pt idx="4">
                  <c:v>45.905660377358487</c:v>
                </c:pt>
                <c:pt idx="5">
                  <c:v>48.070754716981128</c:v>
                </c:pt>
                <c:pt idx="6">
                  <c:v>27.141509433962263</c:v>
                </c:pt>
                <c:pt idx="7">
                  <c:v>35.801886792452827</c:v>
                </c:pt>
                <c:pt idx="8">
                  <c:v>45.905660377358487</c:v>
                </c:pt>
                <c:pt idx="9">
                  <c:v>30.028301886792448</c:v>
                </c:pt>
              </c:numCache>
            </c:numRef>
          </c:xVal>
          <c:yVal>
            <c:numRef>
              <c:f>'Линейное уравнение'!$B$65:$B$74</c:f>
              <c:numCache>
                <c:formatCode>General</c:formatCode>
                <c:ptCount val="10"/>
                <c:pt idx="0">
                  <c:v>2.9198113207547181</c:v>
                </c:pt>
                <c:pt idx="1">
                  <c:v>-3.3066037735849036</c:v>
                </c:pt>
                <c:pt idx="2">
                  <c:v>-0.13207547169810852</c:v>
                </c:pt>
                <c:pt idx="3">
                  <c:v>-1.6273584905660314</c:v>
                </c:pt>
                <c:pt idx="4">
                  <c:v>5.0943396226415132</c:v>
                </c:pt>
                <c:pt idx="5">
                  <c:v>0.92924528301887221</c:v>
                </c:pt>
                <c:pt idx="6">
                  <c:v>6.8584905660377373</c:v>
                </c:pt>
                <c:pt idx="7">
                  <c:v>-0.80188679245282657</c:v>
                </c:pt>
                <c:pt idx="8">
                  <c:v>-3.9056603773584868</c:v>
                </c:pt>
                <c:pt idx="9">
                  <c:v>-6.0283018867924483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A9-431C-911A-C6BCEB222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15200"/>
        <c:axId val="132917120"/>
      </c:scatterChart>
      <c:valAx>
        <c:axId val="13291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917120"/>
        <c:crosses val="autoZero"/>
        <c:crossBetween val="midCat"/>
      </c:valAx>
      <c:valAx>
        <c:axId val="132917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915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График зависимости остатков</a:t>
            </a:r>
            <a:r>
              <a:rPr lang="ru-RU" sz="1400" baseline="0"/>
              <a:t> от х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'Линейное уравнение'!$H$5:$H$14</c:f>
              <c:numCache>
                <c:formatCode>General</c:formatCode>
                <c:ptCount val="10"/>
                <c:pt idx="0">
                  <c:v>2.9198113207547181</c:v>
                </c:pt>
                <c:pt idx="1">
                  <c:v>-3.3066037735849036</c:v>
                </c:pt>
                <c:pt idx="2">
                  <c:v>-0.13207547169810852</c:v>
                </c:pt>
                <c:pt idx="3">
                  <c:v>-1.6273584905660385</c:v>
                </c:pt>
                <c:pt idx="4">
                  <c:v>5.0943396226415132</c:v>
                </c:pt>
                <c:pt idx="5">
                  <c:v>0.92924528301887221</c:v>
                </c:pt>
                <c:pt idx="6">
                  <c:v>6.8584905660377373</c:v>
                </c:pt>
                <c:pt idx="7">
                  <c:v>-0.80188679245282657</c:v>
                </c:pt>
                <c:pt idx="8">
                  <c:v>-3.9056603773584868</c:v>
                </c:pt>
                <c:pt idx="9">
                  <c:v>-6.0283018867924483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B1-4833-A11C-1E8110AA1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54752"/>
        <c:axId val="132961024"/>
      </c:scatterChart>
      <c:valAx>
        <c:axId val="132954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ru-RU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961024"/>
        <c:crosses val="autoZero"/>
        <c:crossBetween val="midCat"/>
      </c:valAx>
      <c:valAx>
        <c:axId val="132961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954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Линия регрессии на поле корреляции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6148529739062596"/>
                  <c:y val="-7.3064342750832525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D4-4B29-94B0-577BCE554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67264"/>
        <c:axId val="132677632"/>
      </c:scatterChart>
      <c:valAx>
        <c:axId val="13266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677632"/>
        <c:crosses val="autoZero"/>
        <c:crossBetween val="midCat"/>
      </c:valAx>
      <c:valAx>
        <c:axId val="132677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6672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824897131439982"/>
          <c:y val="0.33181373187257096"/>
          <c:w val="0.23499709133216987"/>
          <c:h val="0.148372622652937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Линия регрессии на поле корреляции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linear"/>
            <c:dispRSqr val="1"/>
            <c:dispEq val="1"/>
            <c:trendlineLbl>
              <c:layout>
                <c:manualLayout>
                  <c:x val="0.42303543307086616"/>
                  <c:y val="-6.5530766987459896E-2"/>
                </c:manualLayout>
              </c:layout>
              <c:numFmt formatCode="General" sourceLinked="0"/>
            </c:trendlineLbl>
          </c:trendline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'Линейное уравнение'!$C$5:$C$14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89-4216-94C3-C81D8AA13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8432"/>
        <c:axId val="132819968"/>
      </c:scatterChart>
      <c:valAx>
        <c:axId val="13281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819968"/>
        <c:crosses val="autoZero"/>
        <c:crossBetween val="midCat"/>
      </c:valAx>
      <c:valAx>
        <c:axId val="13281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8184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'Линейное уравнение'!$A$65:$A$74</c:f>
              <c:numCache>
                <c:formatCode>General</c:formatCode>
                <c:ptCount val="10"/>
                <c:pt idx="0">
                  <c:v>35.080188679245303</c:v>
                </c:pt>
                <c:pt idx="1">
                  <c:v>29.306603773584904</c:v>
                </c:pt>
                <c:pt idx="2">
                  <c:v>40.132075471698109</c:v>
                </c:pt>
                <c:pt idx="3">
                  <c:v>46.627358490566031</c:v>
                </c:pt>
                <c:pt idx="4">
                  <c:v>45.905660377358487</c:v>
                </c:pt>
                <c:pt idx="5">
                  <c:v>48.070754716981128</c:v>
                </c:pt>
                <c:pt idx="6">
                  <c:v>27.141509433962263</c:v>
                </c:pt>
                <c:pt idx="7">
                  <c:v>35.801886792452827</c:v>
                </c:pt>
                <c:pt idx="8">
                  <c:v>45.905660377358487</c:v>
                </c:pt>
                <c:pt idx="9">
                  <c:v>30.028301886792448</c:v>
                </c:pt>
              </c:numCache>
            </c:numRef>
          </c:xVal>
          <c:yVal>
            <c:numRef>
              <c:f>'Линейное уравнение'!$B$65:$B$74</c:f>
              <c:numCache>
                <c:formatCode>General</c:formatCode>
                <c:ptCount val="10"/>
                <c:pt idx="0">
                  <c:v>2.9198113207547181</c:v>
                </c:pt>
                <c:pt idx="1">
                  <c:v>-3.3066037735849036</c:v>
                </c:pt>
                <c:pt idx="2">
                  <c:v>-0.13207547169810852</c:v>
                </c:pt>
                <c:pt idx="3">
                  <c:v>-1.6273584905660314</c:v>
                </c:pt>
                <c:pt idx="4">
                  <c:v>5.0943396226415132</c:v>
                </c:pt>
                <c:pt idx="5">
                  <c:v>0.92924528301887221</c:v>
                </c:pt>
                <c:pt idx="6">
                  <c:v>6.8584905660377373</c:v>
                </c:pt>
                <c:pt idx="7">
                  <c:v>-0.80188679245282657</c:v>
                </c:pt>
                <c:pt idx="8">
                  <c:v>-3.9056603773584868</c:v>
                </c:pt>
                <c:pt idx="9">
                  <c:v>-6.0283018867924483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A9-431C-911A-C6BCEB222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61312"/>
        <c:axId val="132863488"/>
      </c:scatterChart>
      <c:valAx>
        <c:axId val="13286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863488"/>
        <c:crosses val="autoZero"/>
        <c:crossBetween val="midCat"/>
      </c:valAx>
      <c:valAx>
        <c:axId val="132863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86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АД_РЕГРЕССИЯ_ЛИНЕЙНАЯ!$F$25:$F$34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АД_РЕГРЕССИЯ_ЛИНЕЙНАЯ!$G$25:$G$34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92F-4758-8F3C-36FFBD8D8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88832"/>
        <c:axId val="133243264"/>
      </c:scatterChart>
      <c:valAx>
        <c:axId val="132888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243264"/>
        <c:crosses val="autoZero"/>
        <c:crossBetween val="midCat"/>
      </c:valAx>
      <c:valAx>
        <c:axId val="133243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888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Теоретические</a:t>
            </a:r>
            <a:r>
              <a:rPr lang="az-Cyrl-AZ" baseline="0"/>
              <a:t> значения на поле корреляции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linear"/>
            <c:dispRSqr val="1"/>
            <c:dispEq val="1"/>
            <c:trendlineLbl>
              <c:layout>
                <c:manualLayout>
                  <c:x val="0.42303543307086616"/>
                  <c:y val="-6.5530766987459896E-2"/>
                </c:manualLayout>
              </c:layout>
              <c:numFmt formatCode="General" sourceLinked="0"/>
            </c:trendlineLbl>
          </c:trendline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'Линейное уравнение'!$C$5:$C$14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89-4216-94C3-C81D8AA13991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'Линейное уравнение'!$G$5:$G$14</c:f>
              <c:numCache>
                <c:formatCode>General</c:formatCode>
                <c:ptCount val="10"/>
                <c:pt idx="0">
                  <c:v>35.080188679245282</c:v>
                </c:pt>
                <c:pt idx="1">
                  <c:v>29.306603773584904</c:v>
                </c:pt>
                <c:pt idx="2">
                  <c:v>40.132075471698109</c:v>
                </c:pt>
                <c:pt idx="3">
                  <c:v>46.627358490566039</c:v>
                </c:pt>
                <c:pt idx="4">
                  <c:v>45.905660377358487</c:v>
                </c:pt>
                <c:pt idx="5">
                  <c:v>48.070754716981128</c:v>
                </c:pt>
                <c:pt idx="6">
                  <c:v>27.141509433962263</c:v>
                </c:pt>
                <c:pt idx="7">
                  <c:v>35.801886792452827</c:v>
                </c:pt>
                <c:pt idx="8">
                  <c:v>45.905660377358487</c:v>
                </c:pt>
                <c:pt idx="9">
                  <c:v>30.028301886792448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73856"/>
        <c:axId val="133275648"/>
      </c:scatterChart>
      <c:valAx>
        <c:axId val="133273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275648"/>
        <c:crosses val="autoZero"/>
        <c:crossBetween val="midCat"/>
      </c:valAx>
      <c:valAx>
        <c:axId val="13327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273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АД_РЕГРЕССИЯ_ЛИНЕЙНАЯ!$C$25:$C$34</c:f>
              <c:numCache>
                <c:formatCode>General</c:formatCode>
                <c:ptCount val="10"/>
                <c:pt idx="0">
                  <c:v>2.9198113207547181</c:v>
                </c:pt>
                <c:pt idx="1">
                  <c:v>-3.3066037735849036</c:v>
                </c:pt>
                <c:pt idx="2">
                  <c:v>-0.13207547169810852</c:v>
                </c:pt>
                <c:pt idx="3">
                  <c:v>-1.6273584905660314</c:v>
                </c:pt>
                <c:pt idx="4">
                  <c:v>5.0943396226415132</c:v>
                </c:pt>
                <c:pt idx="5">
                  <c:v>0.92924528301887221</c:v>
                </c:pt>
                <c:pt idx="6">
                  <c:v>6.8584905660377373</c:v>
                </c:pt>
                <c:pt idx="7">
                  <c:v>-0.80188679245282657</c:v>
                </c:pt>
                <c:pt idx="8">
                  <c:v>-3.9056603773584868</c:v>
                </c:pt>
                <c:pt idx="9">
                  <c:v>-6.0283018867924483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45-4F9A-A11E-4997FE13F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94016"/>
        <c:axId val="133096192"/>
      </c:scatterChart>
      <c:valAx>
        <c:axId val="13309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096192"/>
        <c:crosses val="autoZero"/>
        <c:crossBetween val="midCat"/>
      </c:valAx>
      <c:valAx>
        <c:axId val="133096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094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'Линейное уравнение'!$C$5:$C$14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BF3-4DF0-A340-C9B6FC3BBBE6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'Линейное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АД_РЕГРЕССИЯ_ЛИНЕЙНАЯ!$B$25:$B$34</c:f>
              <c:numCache>
                <c:formatCode>General</c:formatCode>
                <c:ptCount val="10"/>
                <c:pt idx="0">
                  <c:v>35.080188679245282</c:v>
                </c:pt>
                <c:pt idx="1">
                  <c:v>29.306603773584904</c:v>
                </c:pt>
                <c:pt idx="2">
                  <c:v>40.132075471698109</c:v>
                </c:pt>
                <c:pt idx="3">
                  <c:v>46.627358490566031</c:v>
                </c:pt>
                <c:pt idx="4">
                  <c:v>45.905660377358487</c:v>
                </c:pt>
                <c:pt idx="5">
                  <c:v>48.070754716981128</c:v>
                </c:pt>
                <c:pt idx="6">
                  <c:v>27.141509433962263</c:v>
                </c:pt>
                <c:pt idx="7">
                  <c:v>35.801886792452827</c:v>
                </c:pt>
                <c:pt idx="8">
                  <c:v>45.905660377358487</c:v>
                </c:pt>
                <c:pt idx="9">
                  <c:v>30.028301886792448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BF3-4DF0-A340-C9B6FC3BB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38688"/>
        <c:axId val="133149056"/>
      </c:scatterChart>
      <c:valAx>
        <c:axId val="13313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49056"/>
        <c:crosses val="autoZero"/>
        <c:crossBetween val="midCat"/>
      </c:valAx>
      <c:valAx>
        <c:axId val="13314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138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АД_РЕГРЕССИЯ_ЛИНЕЙНАЯ!$F$25:$F$34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АД_РЕГРЕССИЯ_ЛИНЕЙНАЯ!$G$25:$G$34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92F-4758-8F3C-36FFBD8D8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45440"/>
        <c:axId val="133647360"/>
      </c:scatterChart>
      <c:valAx>
        <c:axId val="13364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647360"/>
        <c:crosses val="autoZero"/>
        <c:crossBetween val="midCat"/>
      </c:valAx>
      <c:valAx>
        <c:axId val="13364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645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Линия</a:t>
            </a:r>
            <a:r>
              <a:rPr lang="az-Cyrl-AZ" baseline="0"/>
              <a:t> полулогарифмического тренда</a:t>
            </a:r>
            <a:endParaRPr lang="az-Cyrl-AZ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log"/>
            <c:dispRSqr val="1"/>
            <c:dispEq val="1"/>
            <c:trendlineLbl>
              <c:layout>
                <c:manualLayout>
                  <c:x val="0.44731855014136662"/>
                  <c:y val="-3.0821936731592761E-3"/>
                </c:manualLayout>
              </c:layout>
              <c:numFmt formatCode="General" sourceLinked="0"/>
            </c:trendlineLbl>
          </c:trendline>
          <c:xVal>
            <c:numRef>
              <c:f>'Полулогарифмическое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'Полулогарифмическое уравнение'!$D$8:$D$17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31-4480-BBE6-BA997D78C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44352"/>
        <c:axId val="133446272"/>
      </c:scatterChart>
      <c:valAx>
        <c:axId val="133444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446272"/>
        <c:crosses val="autoZero"/>
        <c:crossBetween val="midCat"/>
      </c:valAx>
      <c:valAx>
        <c:axId val="133446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444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'Полулогарифмическое уравнение'!$A$56:$A$65</c:f>
              <c:numCache>
                <c:formatCode>General</c:formatCode>
                <c:ptCount val="10"/>
                <c:pt idx="0">
                  <c:v>36.271504386334676</c:v>
                </c:pt>
                <c:pt idx="1">
                  <c:v>29.258664504606024</c:v>
                </c:pt>
                <c:pt idx="2">
                  <c:v>41.054889349918831</c:v>
                </c:pt>
                <c:pt idx="3">
                  <c:v>46.048840346463614</c:v>
                </c:pt>
                <c:pt idx="4">
                  <c:v>45.543570274935895</c:v>
                </c:pt>
                <c:pt idx="5">
                  <c:v>47.027905043128179</c:v>
                </c:pt>
                <c:pt idx="6">
                  <c:v>25.975076075350479</c:v>
                </c:pt>
                <c:pt idx="7">
                  <c:v>37.017413155617852</c:v>
                </c:pt>
                <c:pt idx="8">
                  <c:v>45.543570274935895</c:v>
                </c:pt>
                <c:pt idx="9">
                  <c:v>30.258566588708526</c:v>
                </c:pt>
              </c:numCache>
            </c:numRef>
          </c:xVal>
          <c:yVal>
            <c:numRef>
              <c:f>'Полулогарифмическое уравнение'!$B$56:$B$65</c:f>
              <c:numCache>
                <c:formatCode>General</c:formatCode>
                <c:ptCount val="10"/>
                <c:pt idx="0">
                  <c:v>1.7284956136653236</c:v>
                </c:pt>
                <c:pt idx="1">
                  <c:v>-3.2586645046060241</c:v>
                </c:pt>
                <c:pt idx="2">
                  <c:v>-1.054889349918831</c:v>
                </c:pt>
                <c:pt idx="3">
                  <c:v>-1.0488403464636136</c:v>
                </c:pt>
                <c:pt idx="4">
                  <c:v>5.4564297250641047</c:v>
                </c:pt>
                <c:pt idx="5">
                  <c:v>1.9720949568718211</c:v>
                </c:pt>
                <c:pt idx="6">
                  <c:v>8.0249239246495208</c:v>
                </c:pt>
                <c:pt idx="7">
                  <c:v>-2.0174131556178523</c:v>
                </c:pt>
                <c:pt idx="8">
                  <c:v>-3.5435702749358953</c:v>
                </c:pt>
                <c:pt idx="9">
                  <c:v>-6.2585665887085256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AC-4287-84DA-30F0C7A41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79808"/>
        <c:axId val="133490176"/>
      </c:scatterChart>
      <c:valAx>
        <c:axId val="133479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490176"/>
        <c:crosses val="autoZero"/>
        <c:crossBetween val="midCat"/>
      </c:valAx>
      <c:valAx>
        <c:axId val="133490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479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График</a:t>
            </a:r>
            <a:r>
              <a:rPr lang="ru-RU" sz="1400" baseline="0"/>
              <a:t> зависимости остатков от х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'Полулогарифмическое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'Полулогарифмическое уравнение'!$I$8:$I$17</c:f>
              <c:numCache>
                <c:formatCode>General</c:formatCode>
                <c:ptCount val="10"/>
                <c:pt idx="0">
                  <c:v>1.7284956136653236</c:v>
                </c:pt>
                <c:pt idx="1">
                  <c:v>-3.2586645046060241</c:v>
                </c:pt>
                <c:pt idx="2">
                  <c:v>-1.054889349918831</c:v>
                </c:pt>
                <c:pt idx="3">
                  <c:v>-1.0488403464636136</c:v>
                </c:pt>
                <c:pt idx="4">
                  <c:v>5.4564297250641047</c:v>
                </c:pt>
                <c:pt idx="5">
                  <c:v>1.9720949568718353</c:v>
                </c:pt>
                <c:pt idx="6">
                  <c:v>8.0249239246495208</c:v>
                </c:pt>
                <c:pt idx="7">
                  <c:v>-2.0174131556178523</c:v>
                </c:pt>
                <c:pt idx="8">
                  <c:v>-3.5435702749358953</c:v>
                </c:pt>
                <c:pt idx="9">
                  <c:v>-6.2585665887085256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42A-40FF-B944-E5EE0CB05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0720"/>
        <c:axId val="133325184"/>
      </c:scatterChart>
      <c:valAx>
        <c:axId val="133310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ru-RU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25184"/>
        <c:crosses val="autoZero"/>
        <c:crossBetween val="midCat"/>
      </c:valAx>
      <c:valAx>
        <c:axId val="133325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310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Линия</a:t>
            </a:r>
            <a:r>
              <a:rPr lang="az-Cyrl-AZ" baseline="0"/>
              <a:t> полулогарифмического тренда</a:t>
            </a:r>
            <a:endParaRPr lang="az-Cyrl-AZ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0.44731855014136662"/>
                  <c:y val="-3.0821936731592761E-3"/>
                </c:manualLayout>
              </c:layout>
              <c:numFmt formatCode="General" sourceLinked="0"/>
            </c:trendlineLbl>
          </c:trendline>
          <c:xVal>
            <c:numRef>
              <c:f>'Полулогарифмическое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'Полулогарифмическое уравнение'!$D$8:$D$17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7E-4351-81C8-85398F03A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17152"/>
        <c:axId val="133619072"/>
      </c:scatterChart>
      <c:valAx>
        <c:axId val="13361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619072"/>
        <c:crosses val="autoZero"/>
        <c:crossBetween val="midCat"/>
      </c:valAx>
      <c:valAx>
        <c:axId val="133619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61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АД_РЕГРЕССИЯ_ПОЛУЛОГАРИФМИЧ!$F$25:$F$34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АД_РЕГРЕССИЯ_ПОЛУЛОГАРИФМИЧ!$G$25:$G$34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462-41EC-A377-BD15D789C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76448"/>
        <c:axId val="133978368"/>
      </c:scatterChart>
      <c:valAx>
        <c:axId val="13397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78368"/>
        <c:crosses val="autoZero"/>
        <c:crossBetween val="midCat"/>
      </c:valAx>
      <c:valAx>
        <c:axId val="13397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9764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Теоретические</a:t>
            </a:r>
            <a:r>
              <a:rPr lang="az-Cyrl-AZ" baseline="0"/>
              <a:t> значения </a:t>
            </a:r>
            <a:r>
              <a:rPr lang="az-Cyrl-AZ"/>
              <a:t>на поле корреляции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log"/>
            <c:dispRSqr val="1"/>
            <c:dispEq val="1"/>
            <c:trendlineLbl>
              <c:layout>
                <c:manualLayout>
                  <c:x val="0.44120784109338979"/>
                  <c:y val="-5.2674334024945743E-2"/>
                </c:manualLayout>
              </c:layout>
              <c:numFmt formatCode="General" sourceLinked="0"/>
            </c:trendlineLbl>
          </c:trendline>
          <c:xVal>
            <c:numRef>
              <c:f>'Полулогарифмическое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'Полулогарифмическое уравнение'!$D$8:$D$17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31-4480-BBE6-BA997D78CC23}"/>
            </c:ext>
          </c:extLst>
        </c:ser>
        <c:ser>
          <c:idx val="1"/>
          <c:order val="1"/>
          <c:tx>
            <c:v>теоретические 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'Полулогарифмическое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'Полулогарифмическое уравнение'!$H$8:$H$17</c:f>
              <c:numCache>
                <c:formatCode>General</c:formatCode>
                <c:ptCount val="10"/>
                <c:pt idx="0">
                  <c:v>36.271504386334676</c:v>
                </c:pt>
                <c:pt idx="1">
                  <c:v>29.258664504606024</c:v>
                </c:pt>
                <c:pt idx="2">
                  <c:v>41.054889349918831</c:v>
                </c:pt>
                <c:pt idx="3">
                  <c:v>46.048840346463614</c:v>
                </c:pt>
                <c:pt idx="4">
                  <c:v>45.543570274935895</c:v>
                </c:pt>
                <c:pt idx="5">
                  <c:v>47.027905043128165</c:v>
                </c:pt>
                <c:pt idx="6">
                  <c:v>25.975076075350479</c:v>
                </c:pt>
                <c:pt idx="7">
                  <c:v>37.017413155617852</c:v>
                </c:pt>
                <c:pt idx="8">
                  <c:v>45.543570274935895</c:v>
                </c:pt>
                <c:pt idx="9">
                  <c:v>30.258566588708526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99712"/>
        <c:axId val="134101632"/>
      </c:scatterChart>
      <c:valAx>
        <c:axId val="13409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101632"/>
        <c:crosses val="autoZero"/>
        <c:crossBetween val="midCat"/>
      </c:valAx>
      <c:valAx>
        <c:axId val="1341016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099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'Полулогарифмическое уравнение'!$A$56:$A$65</c:f>
              <c:numCache>
                <c:formatCode>General</c:formatCode>
                <c:ptCount val="10"/>
                <c:pt idx="0">
                  <c:v>36.271504386334676</c:v>
                </c:pt>
                <c:pt idx="1">
                  <c:v>29.258664504606024</c:v>
                </c:pt>
                <c:pt idx="2">
                  <c:v>41.054889349918831</c:v>
                </c:pt>
                <c:pt idx="3">
                  <c:v>46.048840346463614</c:v>
                </c:pt>
                <c:pt idx="4">
                  <c:v>45.543570274935895</c:v>
                </c:pt>
                <c:pt idx="5">
                  <c:v>47.027905043128179</c:v>
                </c:pt>
                <c:pt idx="6">
                  <c:v>25.975076075350479</c:v>
                </c:pt>
                <c:pt idx="7">
                  <c:v>37.017413155617852</c:v>
                </c:pt>
                <c:pt idx="8">
                  <c:v>45.543570274935895</c:v>
                </c:pt>
                <c:pt idx="9">
                  <c:v>30.258566588708526</c:v>
                </c:pt>
              </c:numCache>
            </c:numRef>
          </c:xVal>
          <c:yVal>
            <c:numRef>
              <c:f>'Полулогарифмическое уравнение'!$B$56:$B$65</c:f>
              <c:numCache>
                <c:formatCode>General</c:formatCode>
                <c:ptCount val="10"/>
                <c:pt idx="0">
                  <c:v>1.7284956136653236</c:v>
                </c:pt>
                <c:pt idx="1">
                  <c:v>-3.2586645046060241</c:v>
                </c:pt>
                <c:pt idx="2">
                  <c:v>-1.054889349918831</c:v>
                </c:pt>
                <c:pt idx="3">
                  <c:v>-1.0488403464636136</c:v>
                </c:pt>
                <c:pt idx="4">
                  <c:v>5.4564297250641047</c:v>
                </c:pt>
                <c:pt idx="5">
                  <c:v>1.9720949568718211</c:v>
                </c:pt>
                <c:pt idx="6">
                  <c:v>8.0249239246495208</c:v>
                </c:pt>
                <c:pt idx="7">
                  <c:v>-2.0174131556178523</c:v>
                </c:pt>
                <c:pt idx="8">
                  <c:v>-3.5435702749358953</c:v>
                </c:pt>
                <c:pt idx="9">
                  <c:v>-6.2585665887085256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4AC-4287-84DA-30F0C7A41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9264"/>
        <c:axId val="133764608"/>
      </c:scatterChart>
      <c:valAx>
        <c:axId val="13413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3764608"/>
        <c:crosses val="autoZero"/>
        <c:crossBetween val="midCat"/>
      </c:valAx>
      <c:valAx>
        <c:axId val="133764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139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'Полулогарифмическое уравнение'!$C$8:$C$17</c:f>
              <c:numCache>
                <c:formatCode>General</c:formatCode>
                <c:ptCount val="10"/>
                <c:pt idx="0">
                  <c:v>3.4339872044851463</c:v>
                </c:pt>
                <c:pt idx="1">
                  <c:v>3.1354942159291497</c:v>
                </c:pt>
                <c:pt idx="2">
                  <c:v>3.6375861597263857</c:v>
                </c:pt>
                <c:pt idx="3">
                  <c:v>3.8501476017100584</c:v>
                </c:pt>
                <c:pt idx="4">
                  <c:v>3.8286413964890951</c:v>
                </c:pt>
                <c:pt idx="5">
                  <c:v>3.8918202981106265</c:v>
                </c:pt>
                <c:pt idx="6">
                  <c:v>2.9957322735539909</c:v>
                </c:pt>
                <c:pt idx="7">
                  <c:v>3.4657359027997265</c:v>
                </c:pt>
                <c:pt idx="8">
                  <c:v>3.8286413964890951</c:v>
                </c:pt>
                <c:pt idx="9">
                  <c:v>3.1780538303479458</c:v>
                </c:pt>
              </c:numCache>
            </c:numRef>
          </c:xVal>
          <c:yVal>
            <c:numRef>
              <c:f>АД_РЕГРЕССИЯ_ПОЛУЛОГАРИФМИЧ!$C$25:$C$34</c:f>
              <c:numCache>
                <c:formatCode>General</c:formatCode>
                <c:ptCount val="10"/>
                <c:pt idx="0">
                  <c:v>1.7284956136653236</c:v>
                </c:pt>
                <c:pt idx="1">
                  <c:v>-3.2586645046060241</c:v>
                </c:pt>
                <c:pt idx="2">
                  <c:v>-1.054889349918831</c:v>
                </c:pt>
                <c:pt idx="3">
                  <c:v>-1.0488403464636136</c:v>
                </c:pt>
                <c:pt idx="4">
                  <c:v>5.4564297250641047</c:v>
                </c:pt>
                <c:pt idx="5">
                  <c:v>1.9720949568718211</c:v>
                </c:pt>
                <c:pt idx="6">
                  <c:v>8.0249239246495208</c:v>
                </c:pt>
                <c:pt idx="7">
                  <c:v>-2.0174131556178523</c:v>
                </c:pt>
                <c:pt idx="8">
                  <c:v>-3.5435702749358953</c:v>
                </c:pt>
                <c:pt idx="9">
                  <c:v>-6.2585665887085256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B4-4F32-B82C-7CCC4C92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62144"/>
        <c:axId val="133864064"/>
      </c:scatterChart>
      <c:valAx>
        <c:axId val="133862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64064"/>
        <c:crosses val="autoZero"/>
        <c:crossBetween val="midCat"/>
      </c:valAx>
      <c:valAx>
        <c:axId val="133864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6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'Полулогарифмическое уравнение'!$C$8:$C$17</c:f>
              <c:numCache>
                <c:formatCode>General</c:formatCode>
                <c:ptCount val="10"/>
                <c:pt idx="0">
                  <c:v>3.4339872044851463</c:v>
                </c:pt>
                <c:pt idx="1">
                  <c:v>3.1354942159291497</c:v>
                </c:pt>
                <c:pt idx="2">
                  <c:v>3.6375861597263857</c:v>
                </c:pt>
                <c:pt idx="3">
                  <c:v>3.8501476017100584</c:v>
                </c:pt>
                <c:pt idx="4">
                  <c:v>3.8286413964890951</c:v>
                </c:pt>
                <c:pt idx="5">
                  <c:v>3.8918202981106265</c:v>
                </c:pt>
                <c:pt idx="6">
                  <c:v>2.9957322735539909</c:v>
                </c:pt>
                <c:pt idx="7">
                  <c:v>3.4657359027997265</c:v>
                </c:pt>
                <c:pt idx="8">
                  <c:v>3.8286413964890951</c:v>
                </c:pt>
                <c:pt idx="9">
                  <c:v>3.1780538303479458</c:v>
                </c:pt>
              </c:numCache>
            </c:numRef>
          </c:xVal>
          <c:yVal>
            <c:numRef>
              <c:f>'Полулогарифмическое уравнение'!$D$8:$D$17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D8-4722-A103-BEDF035E9B0D}"/>
            </c:ext>
          </c:extLst>
        </c:ser>
        <c:ser>
          <c:idx val="1"/>
          <c:order val="1"/>
          <c:tx>
            <c:v>Предсказанное y</c:v>
          </c:tx>
          <c:spPr>
            <a:ln w="28575">
              <a:noFill/>
            </a:ln>
          </c:spPr>
          <c:xVal>
            <c:numRef>
              <c:f>'Полулогарифмическое уравнение'!$C$8:$C$17</c:f>
              <c:numCache>
                <c:formatCode>General</c:formatCode>
                <c:ptCount val="10"/>
                <c:pt idx="0">
                  <c:v>3.4339872044851463</c:v>
                </c:pt>
                <c:pt idx="1">
                  <c:v>3.1354942159291497</c:v>
                </c:pt>
                <c:pt idx="2">
                  <c:v>3.6375861597263857</c:v>
                </c:pt>
                <c:pt idx="3">
                  <c:v>3.8501476017100584</c:v>
                </c:pt>
                <c:pt idx="4">
                  <c:v>3.8286413964890951</c:v>
                </c:pt>
                <c:pt idx="5">
                  <c:v>3.8918202981106265</c:v>
                </c:pt>
                <c:pt idx="6">
                  <c:v>2.9957322735539909</c:v>
                </c:pt>
                <c:pt idx="7">
                  <c:v>3.4657359027997265</c:v>
                </c:pt>
                <c:pt idx="8">
                  <c:v>3.8286413964890951</c:v>
                </c:pt>
                <c:pt idx="9">
                  <c:v>3.1780538303479458</c:v>
                </c:pt>
              </c:numCache>
            </c:numRef>
          </c:xVal>
          <c:yVal>
            <c:numRef>
              <c:f>АД_РЕГРЕССИЯ_ПОЛУЛОГАРИФМИЧ!$B$25:$B$34</c:f>
              <c:numCache>
                <c:formatCode>General</c:formatCode>
                <c:ptCount val="10"/>
                <c:pt idx="0">
                  <c:v>36.271504386334676</c:v>
                </c:pt>
                <c:pt idx="1">
                  <c:v>29.258664504606024</c:v>
                </c:pt>
                <c:pt idx="2">
                  <c:v>41.054889349918831</c:v>
                </c:pt>
                <c:pt idx="3">
                  <c:v>46.048840346463614</c:v>
                </c:pt>
                <c:pt idx="4">
                  <c:v>45.543570274935895</c:v>
                </c:pt>
                <c:pt idx="5">
                  <c:v>47.027905043128179</c:v>
                </c:pt>
                <c:pt idx="6">
                  <c:v>25.975076075350479</c:v>
                </c:pt>
                <c:pt idx="7">
                  <c:v>37.017413155617852</c:v>
                </c:pt>
                <c:pt idx="8">
                  <c:v>45.543570274935895</c:v>
                </c:pt>
                <c:pt idx="9">
                  <c:v>30.258566588708526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CD8-4722-A103-BEDF035E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90432"/>
        <c:axId val="133892352"/>
      </c:scatterChart>
      <c:valAx>
        <c:axId val="133890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92352"/>
        <c:crosses val="autoZero"/>
        <c:crossBetween val="midCat"/>
      </c:valAx>
      <c:valAx>
        <c:axId val="133892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8904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АД_РЕГРЕССИЯ_ПОЛУЛОГАРИФМИЧ!$F$25:$F$34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АД_РЕГРЕССИЯ_ПОЛУЛОГАРИФМИЧ!$G$25:$G$34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61E-47FF-B0E8-DDA758882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21792"/>
        <c:axId val="133944448"/>
      </c:scatterChart>
      <c:valAx>
        <c:axId val="133921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944448"/>
        <c:crosses val="autoZero"/>
        <c:crossBetween val="midCat"/>
      </c:valAx>
      <c:valAx>
        <c:axId val="133944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921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Линия</a:t>
            </a:r>
            <a:r>
              <a:rPr lang="az-Cyrl-AZ" baseline="0"/>
              <a:t> степенного тренда</a:t>
            </a:r>
            <a:endParaRPr lang="az-Cyrl-AZ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wer"/>
            <c:dispRSqr val="1"/>
            <c:dispEq val="1"/>
            <c:trendlineLbl>
              <c:layout>
                <c:manualLayout>
                  <c:x val="0.44731855014136662"/>
                  <c:y val="-3.0821936731592761E-3"/>
                </c:manualLayout>
              </c:layout>
              <c:numFmt formatCode="General" sourceLinked="0"/>
            </c:trendlineLbl>
          </c:trendline>
          <c:xVal>
            <c:numRef>
              <c:f>'Степенное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'Степенное уравнение'!$C$8:$C$17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31-4480-BBE6-BA997D78C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92128"/>
        <c:axId val="134194304"/>
      </c:scatterChart>
      <c:valAx>
        <c:axId val="13419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194304"/>
        <c:crosses val="autoZero"/>
        <c:crossBetween val="midCat"/>
      </c:valAx>
      <c:valAx>
        <c:axId val="134194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192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'Линейное уравнение'!$A$65:$A$74</c:f>
              <c:numCache>
                <c:formatCode>General</c:formatCode>
                <c:ptCount val="10"/>
                <c:pt idx="0">
                  <c:v>35.080188679245303</c:v>
                </c:pt>
                <c:pt idx="1">
                  <c:v>29.306603773584904</c:v>
                </c:pt>
                <c:pt idx="2">
                  <c:v>40.132075471698109</c:v>
                </c:pt>
                <c:pt idx="3">
                  <c:v>46.627358490566031</c:v>
                </c:pt>
                <c:pt idx="4">
                  <c:v>45.905660377358487</c:v>
                </c:pt>
                <c:pt idx="5">
                  <c:v>48.070754716981128</c:v>
                </c:pt>
                <c:pt idx="6">
                  <c:v>27.141509433962263</c:v>
                </c:pt>
                <c:pt idx="7">
                  <c:v>35.801886792452827</c:v>
                </c:pt>
                <c:pt idx="8">
                  <c:v>45.905660377358487</c:v>
                </c:pt>
                <c:pt idx="9">
                  <c:v>30.028301886792448</c:v>
                </c:pt>
              </c:numCache>
            </c:numRef>
          </c:xVal>
          <c:yVal>
            <c:numRef>
              <c:f>'Линейное уравнение'!$B$65:$B$74</c:f>
              <c:numCache>
                <c:formatCode>General</c:formatCode>
                <c:ptCount val="10"/>
                <c:pt idx="0">
                  <c:v>2.9198113207547181</c:v>
                </c:pt>
                <c:pt idx="1">
                  <c:v>-3.3066037735849036</c:v>
                </c:pt>
                <c:pt idx="2">
                  <c:v>-0.13207547169810852</c:v>
                </c:pt>
                <c:pt idx="3">
                  <c:v>-1.6273584905660314</c:v>
                </c:pt>
                <c:pt idx="4">
                  <c:v>5.0943396226415132</c:v>
                </c:pt>
                <c:pt idx="5">
                  <c:v>0.92924528301887221</c:v>
                </c:pt>
                <c:pt idx="6">
                  <c:v>6.8584905660377373</c:v>
                </c:pt>
                <c:pt idx="7">
                  <c:v>-0.80188679245282657</c:v>
                </c:pt>
                <c:pt idx="8">
                  <c:v>-3.9056603773584868</c:v>
                </c:pt>
                <c:pt idx="9">
                  <c:v>-6.0283018867924483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C6-4351-8862-673BB985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87040"/>
        <c:axId val="132493312"/>
      </c:scatterChart>
      <c:valAx>
        <c:axId val="13248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493312"/>
        <c:crosses val="autoZero"/>
        <c:crossBetween val="midCat"/>
      </c:valAx>
      <c:valAx>
        <c:axId val="132493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2487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(</a:t>
            </a:r>
            <a:r>
              <a:rPr lang="az-Cyrl-AZ"/>
              <a:t>суточный душевой доход в у.е) График остатков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'Степенное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'Степенное уравнение'!$P$8:$P$17</c:f>
              <c:numCache>
                <c:formatCode>General</c:formatCode>
                <c:ptCount val="10"/>
                <c:pt idx="0">
                  <c:v>2.7345042524848608</c:v>
                </c:pt>
                <c:pt idx="1">
                  <c:v>-3.1000108062710119</c:v>
                </c:pt>
                <c:pt idx="2">
                  <c:v>-0.20453429332350481</c:v>
                </c:pt>
                <c:pt idx="3">
                  <c:v>-1.100531845069689</c:v>
                </c:pt>
                <c:pt idx="4">
                  <c:v>5.5333527458850682</c:v>
                </c:pt>
                <c:pt idx="5">
                  <c:v>1.6459235647243489</c:v>
                </c:pt>
                <c:pt idx="6">
                  <c:v>7.4039860334594145</c:v>
                </c:pt>
                <c:pt idx="7">
                  <c:v>-0.99372036633038618</c:v>
                </c:pt>
                <c:pt idx="8">
                  <c:v>-3.4666472541149318</c:v>
                </c:pt>
                <c:pt idx="9">
                  <c:v>-5.9083574378326631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014-4444-9A32-8A12EFAA9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55392"/>
        <c:axId val="134957696"/>
      </c:scatterChart>
      <c:valAx>
        <c:axId val="13495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57696"/>
        <c:crosses val="autoZero"/>
        <c:crossBetween val="midCat"/>
      </c:valAx>
      <c:valAx>
        <c:axId val="1349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955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Линия</a:t>
            </a:r>
            <a:r>
              <a:rPr lang="az-Cyrl-AZ" baseline="0"/>
              <a:t> степенного тренда</a:t>
            </a:r>
            <a:endParaRPr lang="az-Cyrl-AZ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44731855014136662"/>
                  <c:y val="-3.0821936731592761E-3"/>
                </c:manualLayout>
              </c:layout>
              <c:numFmt formatCode="General" sourceLinked="0"/>
            </c:trendlineLbl>
          </c:trendline>
          <c:xVal>
            <c:numRef>
              <c:f>'Степенное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'Степенное уравнение'!$C$8:$C$17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EAA-442B-9E0F-1EB3675FA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84064"/>
        <c:axId val="134985984"/>
      </c:scatterChart>
      <c:valAx>
        <c:axId val="13498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985984"/>
        <c:crosses val="autoZero"/>
        <c:crossBetween val="midCat"/>
      </c:valAx>
      <c:valAx>
        <c:axId val="134985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984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'Линейное уравнение'!$A$65:$A$74</c:f>
              <c:numCache>
                <c:formatCode>General</c:formatCode>
                <c:ptCount val="10"/>
                <c:pt idx="0">
                  <c:v>35.080188679245303</c:v>
                </c:pt>
                <c:pt idx="1">
                  <c:v>29.306603773584904</c:v>
                </c:pt>
                <c:pt idx="2">
                  <c:v>40.132075471698109</c:v>
                </c:pt>
                <c:pt idx="3">
                  <c:v>46.627358490566031</c:v>
                </c:pt>
                <c:pt idx="4">
                  <c:v>45.905660377358487</c:v>
                </c:pt>
                <c:pt idx="5">
                  <c:v>48.070754716981128</c:v>
                </c:pt>
                <c:pt idx="6">
                  <c:v>27.141509433962263</c:v>
                </c:pt>
                <c:pt idx="7">
                  <c:v>35.801886792452827</c:v>
                </c:pt>
                <c:pt idx="8">
                  <c:v>45.905660377358487</c:v>
                </c:pt>
                <c:pt idx="9">
                  <c:v>30.028301886792448</c:v>
                </c:pt>
              </c:numCache>
            </c:numRef>
          </c:xVal>
          <c:yVal>
            <c:numRef>
              <c:f>'Линейное уравнение'!$B$65:$B$74</c:f>
              <c:numCache>
                <c:formatCode>General</c:formatCode>
                <c:ptCount val="10"/>
                <c:pt idx="0">
                  <c:v>2.9198113207547181</c:v>
                </c:pt>
                <c:pt idx="1">
                  <c:v>-3.3066037735849036</c:v>
                </c:pt>
                <c:pt idx="2">
                  <c:v>-0.13207547169810852</c:v>
                </c:pt>
                <c:pt idx="3">
                  <c:v>-1.6273584905660314</c:v>
                </c:pt>
                <c:pt idx="4">
                  <c:v>5.0943396226415132</c:v>
                </c:pt>
                <c:pt idx="5">
                  <c:v>0.92924528301887221</c:v>
                </c:pt>
                <c:pt idx="6">
                  <c:v>6.8584905660377373</c:v>
                </c:pt>
                <c:pt idx="7">
                  <c:v>-0.80188679245282657</c:v>
                </c:pt>
                <c:pt idx="8">
                  <c:v>-3.9056603773584868</c:v>
                </c:pt>
                <c:pt idx="9">
                  <c:v>-6.0283018867924483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7E-4DCA-88E9-0E1B8CC0C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2208"/>
        <c:axId val="134632576"/>
      </c:scatterChart>
      <c:valAx>
        <c:axId val="13462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632576"/>
        <c:crosses val="autoZero"/>
        <c:crossBetween val="midCat"/>
      </c:valAx>
      <c:valAx>
        <c:axId val="134632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622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АД_РЕГРЕССИЯ_СТЕПЕНН!$F$25:$F$34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АД_РЕГРЕССИЯ_СТЕПЕНН!$G$25:$G$34</c:f>
              <c:numCache>
                <c:formatCode>General</c:formatCode>
                <c:ptCount val="10"/>
                <c:pt idx="0">
                  <c:v>3.1780538303479458</c:v>
                </c:pt>
                <c:pt idx="1">
                  <c:v>3.2580965380214821</c:v>
                </c:pt>
                <c:pt idx="2">
                  <c:v>3.5263605246161616</c:v>
                </c:pt>
                <c:pt idx="3">
                  <c:v>3.5553480614894135</c:v>
                </c:pt>
                <c:pt idx="4">
                  <c:v>3.6375861597263857</c:v>
                </c:pt>
                <c:pt idx="5">
                  <c:v>3.6888794541139363</c:v>
                </c:pt>
                <c:pt idx="6">
                  <c:v>3.7376696182833684</c:v>
                </c:pt>
                <c:pt idx="7">
                  <c:v>3.8066624897703196</c:v>
                </c:pt>
                <c:pt idx="8">
                  <c:v>3.8918202981106265</c:v>
                </c:pt>
                <c:pt idx="9">
                  <c:v>3.9318256327243257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32-4A79-BCB8-D08EB33B7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74304"/>
        <c:axId val="134742016"/>
      </c:scatterChart>
      <c:valAx>
        <c:axId val="134674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742016"/>
        <c:crosses val="autoZero"/>
        <c:crossBetween val="midCat"/>
      </c:valAx>
      <c:valAx>
        <c:axId val="134742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= lny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674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Теоретические</a:t>
            </a:r>
            <a:r>
              <a:rPr lang="az-Cyrl-AZ" baseline="0"/>
              <a:t> значения </a:t>
            </a:r>
            <a:r>
              <a:rPr lang="az-Cyrl-AZ"/>
              <a:t>на поле корреляции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wer"/>
            <c:dispRSqr val="1"/>
            <c:dispEq val="1"/>
            <c:trendlineLbl>
              <c:layout>
                <c:manualLayout>
                  <c:x val="0.44731855014136662"/>
                  <c:y val="-3.0821936731592761E-3"/>
                </c:manualLayout>
              </c:layout>
              <c:numFmt formatCode="General" sourceLinked="0"/>
            </c:trendlineLbl>
          </c:trendline>
          <c:xVal>
            <c:numRef>
              <c:f>'Степенное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'Степенное уравнение'!$C$8:$C$17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531-4480-BBE6-BA997D78CC23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'Степенное уравнение'!$B$8:$B$17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'Степенное уравнение'!$O$8:$O$17</c:f>
              <c:numCache>
                <c:formatCode>General</c:formatCode>
                <c:ptCount val="10"/>
                <c:pt idx="0">
                  <c:v>35.265495747515139</c:v>
                </c:pt>
                <c:pt idx="1">
                  <c:v>29.100010806271012</c:v>
                </c:pt>
                <c:pt idx="2">
                  <c:v>40.204534293323505</c:v>
                </c:pt>
                <c:pt idx="3">
                  <c:v>46.100531845069689</c:v>
                </c:pt>
                <c:pt idx="4">
                  <c:v>45.466647254114932</c:v>
                </c:pt>
                <c:pt idx="5">
                  <c:v>47.354076435275651</c:v>
                </c:pt>
                <c:pt idx="6">
                  <c:v>26.596013966540585</c:v>
                </c:pt>
                <c:pt idx="7">
                  <c:v>35.993720366330386</c:v>
                </c:pt>
                <c:pt idx="8">
                  <c:v>45.466647254114932</c:v>
                </c:pt>
                <c:pt idx="9">
                  <c:v>29.908357437832663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800"/>
        <c:axId val="134803456"/>
      </c:scatterChart>
      <c:valAx>
        <c:axId val="13478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803456"/>
        <c:crosses val="autoZero"/>
        <c:crossBetween val="midCat"/>
      </c:valAx>
      <c:valAx>
        <c:axId val="134803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78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= lnx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'Степенное уравнение'!$D$8:$D$17</c:f>
              <c:numCache>
                <c:formatCode>General</c:formatCode>
                <c:ptCount val="10"/>
                <c:pt idx="0">
                  <c:v>3.4339872044851463</c:v>
                </c:pt>
                <c:pt idx="1">
                  <c:v>3.1354942159291497</c:v>
                </c:pt>
                <c:pt idx="2">
                  <c:v>3.6375861597263857</c:v>
                </c:pt>
                <c:pt idx="3">
                  <c:v>3.8501476017100584</c:v>
                </c:pt>
                <c:pt idx="4">
                  <c:v>3.8286413964890951</c:v>
                </c:pt>
                <c:pt idx="5">
                  <c:v>3.8918202981106265</c:v>
                </c:pt>
                <c:pt idx="6">
                  <c:v>2.9957322735539909</c:v>
                </c:pt>
                <c:pt idx="7">
                  <c:v>3.4657359027997265</c:v>
                </c:pt>
                <c:pt idx="8">
                  <c:v>3.8286413964890951</c:v>
                </c:pt>
                <c:pt idx="9">
                  <c:v>3.1780538303479458</c:v>
                </c:pt>
              </c:numCache>
            </c:numRef>
          </c:xVal>
          <c:yVal>
            <c:numRef>
              <c:f>АД_РЕГРЕССИЯ_СТЕПЕНН!$C$25:$C$34</c:f>
              <c:numCache>
                <c:formatCode>General</c:formatCode>
                <c:ptCount val="10"/>
                <c:pt idx="0">
                  <c:v>7.4681131387792199E-2</c:v>
                </c:pt>
                <c:pt idx="1">
                  <c:v>-0.11264200750540976</c:v>
                </c:pt>
                <c:pt idx="2">
                  <c:v>-5.1003285166038026E-3</c:v>
                </c:pt>
                <c:pt idx="3">
                  <c:v>-2.4161996935147201E-2</c:v>
                </c:pt>
                <c:pt idx="4">
                  <c:v>0.11484660294544202</c:v>
                </c:pt>
                <c:pt idx="5">
                  <c:v>3.4167390626107519E-2</c:v>
                </c:pt>
                <c:pt idx="6">
                  <c:v>0.24559917093921335</c:v>
                </c:pt>
                <c:pt idx="7">
                  <c:v>-2.7996427482668729E-2</c:v>
                </c:pt>
                <c:pt idx="8">
                  <c:v>-7.9309411495515292E-2</c:v>
                </c:pt>
                <c:pt idx="9">
                  <c:v>-0.22008412396320987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D0-41BF-AB76-4F9095CC6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98368"/>
        <c:axId val="135100288"/>
      </c:scatterChart>
      <c:valAx>
        <c:axId val="135098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= lnx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100288"/>
        <c:crosses val="autoZero"/>
        <c:crossBetween val="midCat"/>
      </c:valAx>
      <c:valAx>
        <c:axId val="135100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098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= lnx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= lny</c:v>
          </c:tx>
          <c:spPr>
            <a:ln w="28575">
              <a:noFill/>
            </a:ln>
          </c:spPr>
          <c:xVal>
            <c:numRef>
              <c:f>'Степенное уравнение'!$D$8:$D$17</c:f>
              <c:numCache>
                <c:formatCode>General</c:formatCode>
                <c:ptCount val="10"/>
                <c:pt idx="0">
                  <c:v>3.4339872044851463</c:v>
                </c:pt>
                <c:pt idx="1">
                  <c:v>3.1354942159291497</c:v>
                </c:pt>
                <c:pt idx="2">
                  <c:v>3.6375861597263857</c:v>
                </c:pt>
                <c:pt idx="3">
                  <c:v>3.8501476017100584</c:v>
                </c:pt>
                <c:pt idx="4">
                  <c:v>3.8286413964890951</c:v>
                </c:pt>
                <c:pt idx="5">
                  <c:v>3.8918202981106265</c:v>
                </c:pt>
                <c:pt idx="6">
                  <c:v>2.9957322735539909</c:v>
                </c:pt>
                <c:pt idx="7">
                  <c:v>3.4657359027997265</c:v>
                </c:pt>
                <c:pt idx="8">
                  <c:v>3.8286413964890951</c:v>
                </c:pt>
                <c:pt idx="9">
                  <c:v>3.1780538303479458</c:v>
                </c:pt>
              </c:numCache>
            </c:numRef>
          </c:xVal>
          <c:yVal>
            <c:numRef>
              <c:f>'Степенное уравнение'!$E$8:$E$17</c:f>
              <c:numCache>
                <c:formatCode>General</c:formatCode>
                <c:ptCount val="10"/>
                <c:pt idx="0">
                  <c:v>3.6375861597263857</c:v>
                </c:pt>
                <c:pt idx="1">
                  <c:v>3.2580965380214821</c:v>
                </c:pt>
                <c:pt idx="2">
                  <c:v>3.6888794541139363</c:v>
                </c:pt>
                <c:pt idx="3">
                  <c:v>3.8066624897703196</c:v>
                </c:pt>
                <c:pt idx="4">
                  <c:v>3.9318256327243257</c:v>
                </c:pt>
                <c:pt idx="5">
                  <c:v>3.8918202981106265</c:v>
                </c:pt>
                <c:pt idx="6">
                  <c:v>3.5263605246161616</c:v>
                </c:pt>
                <c:pt idx="7">
                  <c:v>3.5553480614894135</c:v>
                </c:pt>
                <c:pt idx="8">
                  <c:v>3.7376696182833684</c:v>
                </c:pt>
                <c:pt idx="9">
                  <c:v>3.1780538303479458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D8E-4549-B894-F2A1AAD14123}"/>
            </c:ext>
          </c:extLst>
        </c:ser>
        <c:ser>
          <c:idx val="1"/>
          <c:order val="1"/>
          <c:tx>
            <c:v>Предсказанное Y = lny</c:v>
          </c:tx>
          <c:spPr>
            <a:ln w="28575">
              <a:noFill/>
            </a:ln>
          </c:spPr>
          <c:xVal>
            <c:numRef>
              <c:f>'Степенное уравнение'!$D$8:$D$17</c:f>
              <c:numCache>
                <c:formatCode>General</c:formatCode>
                <c:ptCount val="10"/>
                <c:pt idx="0">
                  <c:v>3.4339872044851463</c:v>
                </c:pt>
                <c:pt idx="1">
                  <c:v>3.1354942159291497</c:v>
                </c:pt>
                <c:pt idx="2">
                  <c:v>3.6375861597263857</c:v>
                </c:pt>
                <c:pt idx="3">
                  <c:v>3.8501476017100584</c:v>
                </c:pt>
                <c:pt idx="4">
                  <c:v>3.8286413964890951</c:v>
                </c:pt>
                <c:pt idx="5">
                  <c:v>3.8918202981106265</c:v>
                </c:pt>
                <c:pt idx="6">
                  <c:v>2.9957322735539909</c:v>
                </c:pt>
                <c:pt idx="7">
                  <c:v>3.4657359027997265</c:v>
                </c:pt>
                <c:pt idx="8">
                  <c:v>3.8286413964890951</c:v>
                </c:pt>
                <c:pt idx="9">
                  <c:v>3.1780538303479458</c:v>
                </c:pt>
              </c:numCache>
            </c:numRef>
          </c:xVal>
          <c:yVal>
            <c:numRef>
              <c:f>АД_РЕГРЕССИЯ_СТЕПЕНН!$B$25:$B$34</c:f>
              <c:numCache>
                <c:formatCode>General</c:formatCode>
                <c:ptCount val="10"/>
                <c:pt idx="0">
                  <c:v>3.5629050283385935</c:v>
                </c:pt>
                <c:pt idx="1">
                  <c:v>3.3707385455268919</c:v>
                </c:pt>
                <c:pt idx="2">
                  <c:v>3.6939797826305401</c:v>
                </c:pt>
                <c:pt idx="3">
                  <c:v>3.8308244867054668</c:v>
                </c:pt>
                <c:pt idx="4">
                  <c:v>3.8169790297788837</c:v>
                </c:pt>
                <c:pt idx="5">
                  <c:v>3.8576529074845189</c:v>
                </c:pt>
                <c:pt idx="6">
                  <c:v>3.2807613536769482</c:v>
                </c:pt>
                <c:pt idx="7">
                  <c:v>3.5833444889720822</c:v>
                </c:pt>
                <c:pt idx="8">
                  <c:v>3.8169790297788837</c:v>
                </c:pt>
                <c:pt idx="9">
                  <c:v>3.3981379543111556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D8E-4549-B894-F2A1AAD14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22304"/>
        <c:axId val="135124480"/>
      </c:scatterChart>
      <c:valAx>
        <c:axId val="13512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= lnx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124480"/>
        <c:crosses val="autoZero"/>
        <c:crossBetween val="midCat"/>
      </c:valAx>
      <c:valAx>
        <c:axId val="13512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= lny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1223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АД_РЕГРЕССИЯ_СТЕПЕНН!$F$25:$F$34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АД_РЕГРЕССИЯ_СТЕПЕНН!$G$25:$G$34</c:f>
              <c:numCache>
                <c:formatCode>General</c:formatCode>
                <c:ptCount val="10"/>
                <c:pt idx="0">
                  <c:v>3.1780538303479458</c:v>
                </c:pt>
                <c:pt idx="1">
                  <c:v>3.2580965380214821</c:v>
                </c:pt>
                <c:pt idx="2">
                  <c:v>3.5263605246161616</c:v>
                </c:pt>
                <c:pt idx="3">
                  <c:v>3.5553480614894135</c:v>
                </c:pt>
                <c:pt idx="4">
                  <c:v>3.6375861597263857</c:v>
                </c:pt>
                <c:pt idx="5">
                  <c:v>3.6888794541139363</c:v>
                </c:pt>
                <c:pt idx="6">
                  <c:v>3.7376696182833684</c:v>
                </c:pt>
                <c:pt idx="7">
                  <c:v>3.8066624897703196</c:v>
                </c:pt>
                <c:pt idx="8">
                  <c:v>3.8918202981106265</c:v>
                </c:pt>
                <c:pt idx="9">
                  <c:v>3.9318256327243257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B48-45F5-B146-552571F9D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20160"/>
        <c:axId val="135430528"/>
      </c:scatterChart>
      <c:valAx>
        <c:axId val="13542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430528"/>
        <c:crosses val="autoZero"/>
        <c:crossBetween val="midCat"/>
      </c:valAx>
      <c:valAx>
        <c:axId val="13543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= lny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420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'Экспоненциальное уравнение'!$A$54:$A$63</c:f>
              <c:numCache>
                <c:formatCode>General</c:formatCode>
                <c:ptCount val="10"/>
                <c:pt idx="0">
                  <c:v>34.147033827363906</c:v>
                </c:pt>
                <c:pt idx="1">
                  <c:v>29.171423303866789</c:v>
                </c:pt>
                <c:pt idx="2">
                  <c:v>39.192135646616656</c:v>
                </c:pt>
                <c:pt idx="3">
                  <c:v>46.788994873421103</c:v>
                </c:pt>
                <c:pt idx="4">
                  <c:v>45.876924404790955</c:v>
                </c:pt>
                <c:pt idx="5">
                  <c:v>48.667894405610483</c:v>
                </c:pt>
                <c:pt idx="6">
                  <c:v>27.498522342839923</c:v>
                </c:pt>
                <c:pt idx="7">
                  <c:v>34.825904557024259</c:v>
                </c:pt>
                <c:pt idx="8">
                  <c:v>45.876924404790955</c:v>
                </c:pt>
                <c:pt idx="9">
                  <c:v>29.751374860527527</c:v>
                </c:pt>
              </c:numCache>
            </c:numRef>
          </c:xVal>
          <c:yVal>
            <c:numRef>
              <c:f>'Экспоненциальное уравнение'!$B$54:$B$63</c:f>
              <c:numCache>
                <c:formatCode>General</c:formatCode>
                <c:ptCount val="10"/>
                <c:pt idx="0">
                  <c:v>3.8529661726360942</c:v>
                </c:pt>
                <c:pt idx="1">
                  <c:v>-3.1714233038667885</c:v>
                </c:pt>
                <c:pt idx="2">
                  <c:v>0.80786435338334428</c:v>
                </c:pt>
                <c:pt idx="3">
                  <c:v>-1.7889948734211032</c:v>
                </c:pt>
                <c:pt idx="4">
                  <c:v>5.1230755952090448</c:v>
                </c:pt>
                <c:pt idx="5">
                  <c:v>0.33210559438951748</c:v>
                </c:pt>
                <c:pt idx="6">
                  <c:v>6.501477657160077</c:v>
                </c:pt>
                <c:pt idx="7">
                  <c:v>0.17409544297574087</c:v>
                </c:pt>
                <c:pt idx="8">
                  <c:v>-3.8769244047909552</c:v>
                </c:pt>
                <c:pt idx="9">
                  <c:v>-5.7513748605275268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69536"/>
        <c:axId val="135171456"/>
      </c:scatterChart>
      <c:valAx>
        <c:axId val="135169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171456"/>
        <c:crosses val="autoZero"/>
        <c:crossBetween val="midCat"/>
      </c:valAx>
      <c:valAx>
        <c:axId val="135171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169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График зависимости остатков от </a:t>
            </a:r>
            <a:r>
              <a:rPr lang="en-US"/>
              <a:t>x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'Экспоненциальное уравнение'!$O$5:$O$14</c:f>
              <c:numCache>
                <c:formatCode>General</c:formatCode>
                <c:ptCount val="10"/>
                <c:pt idx="0">
                  <c:v>3.8529661726360942</c:v>
                </c:pt>
                <c:pt idx="1">
                  <c:v>-3.1714233038667885</c:v>
                </c:pt>
                <c:pt idx="2">
                  <c:v>0.80786435338334428</c:v>
                </c:pt>
                <c:pt idx="3">
                  <c:v>-1.7889948734211032</c:v>
                </c:pt>
                <c:pt idx="4">
                  <c:v>5.1230755952090448</c:v>
                </c:pt>
                <c:pt idx="5">
                  <c:v>0.33210559438951748</c:v>
                </c:pt>
                <c:pt idx="6">
                  <c:v>6.501477657160077</c:v>
                </c:pt>
                <c:pt idx="7">
                  <c:v>0.17409544297574087</c:v>
                </c:pt>
                <c:pt idx="8">
                  <c:v>-3.8769244047909552</c:v>
                </c:pt>
                <c:pt idx="9">
                  <c:v>-5.7513748605275268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0BA-45DA-9194-186B20AE4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29152"/>
        <c:axId val="135731456"/>
      </c:scatterChart>
      <c:valAx>
        <c:axId val="13572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731456"/>
        <c:crosses val="autoZero"/>
        <c:crossBetween val="midCat"/>
      </c:valAx>
      <c:valAx>
        <c:axId val="13573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72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'Экспоненциальное уравнение'!$A$54:$A$63</c:f>
              <c:numCache>
                <c:formatCode>General</c:formatCode>
                <c:ptCount val="10"/>
                <c:pt idx="0">
                  <c:v>34.147033827363906</c:v>
                </c:pt>
                <c:pt idx="1">
                  <c:v>29.171423303866789</c:v>
                </c:pt>
                <c:pt idx="2">
                  <c:v>39.192135646616656</c:v>
                </c:pt>
                <c:pt idx="3">
                  <c:v>46.788994873421103</c:v>
                </c:pt>
                <c:pt idx="4">
                  <c:v>45.876924404790955</c:v>
                </c:pt>
                <c:pt idx="5">
                  <c:v>48.667894405610483</c:v>
                </c:pt>
                <c:pt idx="6">
                  <c:v>27.498522342839923</c:v>
                </c:pt>
                <c:pt idx="7">
                  <c:v>34.825904557024259</c:v>
                </c:pt>
                <c:pt idx="8">
                  <c:v>45.876924404790955</c:v>
                </c:pt>
                <c:pt idx="9">
                  <c:v>29.751374860527527</c:v>
                </c:pt>
              </c:numCache>
            </c:numRef>
          </c:xVal>
          <c:yVal>
            <c:numRef>
              <c:f>'Экспоненциальное уравнение'!$B$54:$B$63</c:f>
              <c:numCache>
                <c:formatCode>General</c:formatCode>
                <c:ptCount val="10"/>
                <c:pt idx="0">
                  <c:v>3.8529661726360942</c:v>
                </c:pt>
                <c:pt idx="1">
                  <c:v>-3.1714233038667885</c:v>
                </c:pt>
                <c:pt idx="2">
                  <c:v>0.80786435338334428</c:v>
                </c:pt>
                <c:pt idx="3">
                  <c:v>-1.7889948734211032</c:v>
                </c:pt>
                <c:pt idx="4">
                  <c:v>5.1230755952090448</c:v>
                </c:pt>
                <c:pt idx="5">
                  <c:v>0.33210559438951748</c:v>
                </c:pt>
                <c:pt idx="6">
                  <c:v>6.501477657160077</c:v>
                </c:pt>
                <c:pt idx="7">
                  <c:v>0.17409544297574087</c:v>
                </c:pt>
                <c:pt idx="8">
                  <c:v>-3.8769244047909552</c:v>
                </c:pt>
                <c:pt idx="9">
                  <c:v>-5.7513748605275268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278-4523-BBC3-41CA18417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52704"/>
        <c:axId val="135754880"/>
      </c:scatterChart>
      <c:valAx>
        <c:axId val="135752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754880"/>
        <c:crosses val="autoZero"/>
        <c:crossBetween val="midCat"/>
      </c:valAx>
      <c:valAx>
        <c:axId val="135754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752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Линия экспоненциального тренда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42510542432195975"/>
                  <c:y val="1.2200349956255468E-2"/>
                </c:manualLayout>
              </c:layout>
              <c:numFmt formatCode="General" sourceLinked="0"/>
            </c:trendlineLbl>
          </c:trendline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'Экспоненциальное уравнение'!$C$5:$C$14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270-4556-93DC-69713C199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76896"/>
        <c:axId val="135471488"/>
      </c:scatterChart>
      <c:valAx>
        <c:axId val="13577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471488"/>
        <c:crosses val="autoZero"/>
        <c:crossBetween val="midCat"/>
      </c:valAx>
      <c:valAx>
        <c:axId val="135471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76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АД_РЕГРЕССИЯ_ЭКСПОНЕНЦ!$F$25:$F$34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АД_РЕГРЕССИЯ_ЭКСПОНЕНЦ!$G$25:$G$34</c:f>
              <c:numCache>
                <c:formatCode>General</c:formatCode>
                <c:ptCount val="10"/>
                <c:pt idx="0">
                  <c:v>3.1780538303479458</c:v>
                </c:pt>
                <c:pt idx="1">
                  <c:v>3.2580965380214821</c:v>
                </c:pt>
                <c:pt idx="2">
                  <c:v>3.5263605246161616</c:v>
                </c:pt>
                <c:pt idx="3">
                  <c:v>3.5553480614894135</c:v>
                </c:pt>
                <c:pt idx="4">
                  <c:v>3.6375861597263857</c:v>
                </c:pt>
                <c:pt idx="5">
                  <c:v>3.6888794541139363</c:v>
                </c:pt>
                <c:pt idx="6">
                  <c:v>3.7376696182833684</c:v>
                </c:pt>
                <c:pt idx="7">
                  <c:v>3.8066624897703196</c:v>
                </c:pt>
                <c:pt idx="8">
                  <c:v>3.8918202981106265</c:v>
                </c:pt>
                <c:pt idx="9">
                  <c:v>3.9318256327243257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7EC-4F91-A9A3-2969730E9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04640"/>
        <c:axId val="135506560"/>
      </c:scatterChart>
      <c:valAx>
        <c:axId val="13550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506560"/>
        <c:crosses val="autoZero"/>
        <c:crossBetween val="midCat"/>
      </c:valAx>
      <c:valAx>
        <c:axId val="135506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= ln(y)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504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az-Cyrl-AZ"/>
              <a:t>Теоретические значения на поле корреляции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0.41997906541552793"/>
                  <c:y val="-6.2580310073696424E-2"/>
                </c:manualLayout>
              </c:layout>
              <c:numFmt formatCode="General" sourceLinked="0"/>
            </c:trendlineLbl>
          </c:trendline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'Экспоненциальное уравнение'!$C$5:$C$14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270-4556-93DC-69713C199826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'Экспоненциальное уравнение'!$N$5:$N$14</c:f>
              <c:numCache>
                <c:formatCode>General</c:formatCode>
                <c:ptCount val="10"/>
                <c:pt idx="0">
                  <c:v>34.147033827363906</c:v>
                </c:pt>
                <c:pt idx="1">
                  <c:v>29.171423303866789</c:v>
                </c:pt>
                <c:pt idx="2">
                  <c:v>39.192135646616656</c:v>
                </c:pt>
                <c:pt idx="3">
                  <c:v>46.788994873421103</c:v>
                </c:pt>
                <c:pt idx="4">
                  <c:v>45.876924404790955</c:v>
                </c:pt>
                <c:pt idx="5">
                  <c:v>48.667894405610483</c:v>
                </c:pt>
                <c:pt idx="6">
                  <c:v>27.498522342839923</c:v>
                </c:pt>
                <c:pt idx="7">
                  <c:v>34.825904557024259</c:v>
                </c:pt>
                <c:pt idx="8">
                  <c:v>45.876924404790955</c:v>
                </c:pt>
                <c:pt idx="9">
                  <c:v>29.751374860527527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1504"/>
        <c:axId val="135543040"/>
      </c:scatterChart>
      <c:valAx>
        <c:axId val="1355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543040"/>
        <c:crosses val="autoZero"/>
        <c:crossBetween val="midCat"/>
      </c:valAx>
      <c:valAx>
        <c:axId val="13554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5415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АД_РЕГРЕССИЯ_ЭКСПОНЕНЦ!$C$25:$C$34</c:f>
              <c:numCache>
                <c:formatCode>General</c:formatCode>
                <c:ptCount val="10"/>
                <c:pt idx="0">
                  <c:v>0.10691043466010575</c:v>
                </c:pt>
                <c:pt idx="1">
                  <c:v>-0.11509303808111682</c:v>
                </c:pt>
                <c:pt idx="2">
                  <c:v>2.0403348704435054E-2</c:v>
                </c:pt>
                <c:pt idx="3">
                  <c:v>-3.8985533223322655E-2</c:v>
                </c:pt>
                <c:pt idx="4">
                  <c:v>0.10586337835114357</c:v>
                </c:pt>
                <c:pt idx="5">
                  <c:v>6.8007378760639448E-3</c:v>
                </c:pt>
                <c:pt idx="6">
                  <c:v>0.21222825437494341</c:v>
                </c:pt>
                <c:pt idx="7">
                  <c:v>4.9865678026734805E-3</c:v>
                </c:pt>
                <c:pt idx="8">
                  <c:v>-8.8292636089813747E-2</c:v>
                </c:pt>
                <c:pt idx="9">
                  <c:v>-0.21482151437511332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056-4E87-802B-A3FA77DE5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65920"/>
        <c:axId val="135668096"/>
      </c:scatterChart>
      <c:valAx>
        <c:axId val="13566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668096"/>
        <c:crosses val="autoZero"/>
        <c:crossBetween val="midCat"/>
      </c:valAx>
      <c:valAx>
        <c:axId val="135668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665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= ln(y)</c:v>
          </c:tx>
          <c:spPr>
            <a:ln w="28575">
              <a:noFill/>
            </a:ln>
          </c:spPr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'Экспоненциальное уравнение'!$D$5:$D$14</c:f>
              <c:numCache>
                <c:formatCode>General</c:formatCode>
                <c:ptCount val="10"/>
                <c:pt idx="0">
                  <c:v>3.6375861597263857</c:v>
                </c:pt>
                <c:pt idx="1">
                  <c:v>3.2580965380214821</c:v>
                </c:pt>
                <c:pt idx="2">
                  <c:v>3.6888794541139363</c:v>
                </c:pt>
                <c:pt idx="3">
                  <c:v>3.8066624897703196</c:v>
                </c:pt>
                <c:pt idx="4">
                  <c:v>3.9318256327243257</c:v>
                </c:pt>
                <c:pt idx="5">
                  <c:v>3.8918202981106265</c:v>
                </c:pt>
                <c:pt idx="6">
                  <c:v>3.5263605246161616</c:v>
                </c:pt>
                <c:pt idx="7">
                  <c:v>3.5553480614894135</c:v>
                </c:pt>
                <c:pt idx="8">
                  <c:v>3.7376696182833684</c:v>
                </c:pt>
                <c:pt idx="9">
                  <c:v>3.1780538303479458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402-43D7-A0CF-BCB5061CD310}"/>
            </c:ext>
          </c:extLst>
        </c:ser>
        <c:ser>
          <c:idx val="1"/>
          <c:order val="1"/>
          <c:tx>
            <c:v>Предсказанное Y = ln(y)</c:v>
          </c:tx>
          <c:spPr>
            <a:ln w="28575">
              <a:noFill/>
            </a:ln>
          </c:spPr>
          <c:xVal>
            <c:numRef>
              <c:f>'Экспоненциальное уравнение'!$B$5:$B$14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АД_РЕГРЕССИЯ_ЭКСПОНЕНЦ!$B$25:$B$34</c:f>
              <c:numCache>
                <c:formatCode>General</c:formatCode>
                <c:ptCount val="10"/>
                <c:pt idx="0">
                  <c:v>3.5306757250662799</c:v>
                </c:pt>
                <c:pt idx="1">
                  <c:v>3.373189576102599</c:v>
                </c:pt>
                <c:pt idx="2">
                  <c:v>3.6684761054095012</c:v>
                </c:pt>
                <c:pt idx="3">
                  <c:v>3.8456480229936423</c:v>
                </c:pt>
                <c:pt idx="4">
                  <c:v>3.8259622543731822</c:v>
                </c:pt>
                <c:pt idx="5">
                  <c:v>3.8850195602345625</c:v>
                </c:pt>
                <c:pt idx="6">
                  <c:v>3.3141322702412181</c:v>
                </c:pt>
                <c:pt idx="7">
                  <c:v>3.55036149368674</c:v>
                </c:pt>
                <c:pt idx="8">
                  <c:v>3.8259622543731822</c:v>
                </c:pt>
                <c:pt idx="9">
                  <c:v>3.3928753447230591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402-43D7-A0CF-BCB5061CD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10592"/>
        <c:axId val="135716864"/>
      </c:scatterChart>
      <c:valAx>
        <c:axId val="13571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716864"/>
        <c:crosses val="autoZero"/>
        <c:crossBetween val="midCat"/>
      </c:valAx>
      <c:valAx>
        <c:axId val="1357168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= ln(y)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710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АД_РЕГРЕССИЯ_ЭКСПОНЕНЦ!$F$25:$F$34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АД_РЕГРЕССИЯ_ЭКСПОНЕНЦ!$G$25:$G$34</c:f>
              <c:numCache>
                <c:formatCode>General</c:formatCode>
                <c:ptCount val="10"/>
                <c:pt idx="0">
                  <c:v>3.1780538303479458</c:v>
                </c:pt>
                <c:pt idx="1">
                  <c:v>3.2580965380214821</c:v>
                </c:pt>
                <c:pt idx="2">
                  <c:v>3.5263605246161616</c:v>
                </c:pt>
                <c:pt idx="3">
                  <c:v>3.5553480614894135</c:v>
                </c:pt>
                <c:pt idx="4">
                  <c:v>3.6375861597263857</c:v>
                </c:pt>
                <c:pt idx="5">
                  <c:v>3.6888794541139363</c:v>
                </c:pt>
                <c:pt idx="6">
                  <c:v>3.7376696182833684</c:v>
                </c:pt>
                <c:pt idx="7">
                  <c:v>3.8066624897703196</c:v>
                </c:pt>
                <c:pt idx="8">
                  <c:v>3.8918202981106265</c:v>
                </c:pt>
                <c:pt idx="9">
                  <c:v>3.9318256327243257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BBA-4B12-BD56-655B0D646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81472"/>
        <c:axId val="135883392"/>
      </c:scatterChart>
      <c:valAx>
        <c:axId val="135881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883392"/>
        <c:crosses val="autoZero"/>
        <c:crossBetween val="midCat"/>
      </c:valAx>
      <c:valAx>
        <c:axId val="135883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= ln(y)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881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2 степени'!$A$49:$A$58</c:f>
              <c:numCache>
                <c:formatCode>General</c:formatCode>
                <c:ptCount val="10"/>
                <c:pt idx="0">
                  <c:v>34.237215655930072</c:v>
                </c:pt>
                <c:pt idx="1">
                  <c:v>29.601059012303484</c:v>
                </c:pt>
                <c:pt idx="2">
                  <c:v>39.228361629735836</c:v>
                </c:pt>
                <c:pt idx="3">
                  <c:v>46.927161530639253</c:v>
                </c:pt>
                <c:pt idx="4">
                  <c:v>46.000538640522429</c:v>
                </c:pt>
                <c:pt idx="5">
                  <c:v>48.833807820051902</c:v>
                </c:pt>
                <c:pt idx="6">
                  <c:v>28.15620307142801</c:v>
                </c:pt>
                <c:pt idx="7">
                  <c:v>34.8968360001519</c:v>
                </c:pt>
                <c:pt idx="8">
                  <c:v>46.000538640522429</c:v>
                </c:pt>
                <c:pt idx="9">
                  <c:v>30.118277998714643</c:v>
                </c:pt>
              </c:numCache>
            </c:numRef>
          </c:xVal>
          <c:yVal>
            <c:numRef>
              <c:f>'Полином 2 степени'!$B$49:$B$58</c:f>
              <c:numCache>
                <c:formatCode>General</c:formatCode>
                <c:ptCount val="10"/>
                <c:pt idx="0">
                  <c:v>3.762784344069928</c:v>
                </c:pt>
                <c:pt idx="1">
                  <c:v>-3.6010590123034838</c:v>
                </c:pt>
                <c:pt idx="2">
                  <c:v>0.7716383702641636</c:v>
                </c:pt>
                <c:pt idx="3">
                  <c:v>-1.9271615306392533</c:v>
                </c:pt>
                <c:pt idx="4">
                  <c:v>4.9994613594775714</c:v>
                </c:pt>
                <c:pt idx="5">
                  <c:v>0.16619217994809787</c:v>
                </c:pt>
                <c:pt idx="6">
                  <c:v>5.8437969285719902</c:v>
                </c:pt>
                <c:pt idx="7">
                  <c:v>0.10316399984809976</c:v>
                </c:pt>
                <c:pt idx="8">
                  <c:v>-4.0005386405224286</c:v>
                </c:pt>
                <c:pt idx="9">
                  <c:v>-6.1182779987146425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5088"/>
        <c:axId val="136271360"/>
      </c:scatterChart>
      <c:valAx>
        <c:axId val="13626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271360"/>
        <c:crosses val="autoZero"/>
        <c:crossBetween val="midCat"/>
      </c:valAx>
      <c:valAx>
        <c:axId val="136271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265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АД_РЕГРЕССИЯ_Полином2!$F$26:$F$35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АД_РЕГРЕССИЯ_Полином2!$G$26:$G$35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F0-4959-8737-1CAAAEEEB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84416"/>
        <c:axId val="136184192"/>
      </c:scatterChart>
      <c:valAx>
        <c:axId val="13628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184192"/>
        <c:crosses val="autoZero"/>
        <c:crossBetween val="midCat"/>
      </c:valAx>
      <c:valAx>
        <c:axId val="136184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284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График</a:t>
            </a:r>
            <a:r>
              <a:rPr lang="ru-RU" sz="1400" baseline="0"/>
              <a:t> зависимости остатков от х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2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АД_РЕГРЕССИЯ_Полином2!$C$26:$C$35</c:f>
              <c:numCache>
                <c:formatCode>General</c:formatCode>
                <c:ptCount val="10"/>
                <c:pt idx="0">
                  <c:v>3.762784344069928</c:v>
                </c:pt>
                <c:pt idx="1">
                  <c:v>-3.6010590123034838</c:v>
                </c:pt>
                <c:pt idx="2">
                  <c:v>0.7716383702641636</c:v>
                </c:pt>
                <c:pt idx="3">
                  <c:v>-1.9271615306392533</c:v>
                </c:pt>
                <c:pt idx="4">
                  <c:v>4.9994613594775714</c:v>
                </c:pt>
                <c:pt idx="5">
                  <c:v>0.16619217994809787</c:v>
                </c:pt>
                <c:pt idx="6">
                  <c:v>5.8437969285719902</c:v>
                </c:pt>
                <c:pt idx="7">
                  <c:v>0.10316399984809976</c:v>
                </c:pt>
                <c:pt idx="8">
                  <c:v>-4.0005386405224286</c:v>
                </c:pt>
                <c:pt idx="9">
                  <c:v>-6.1182779987146425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C1A-4A45-98C8-8142200F0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09152"/>
        <c:axId val="136211072"/>
      </c:scatterChart>
      <c:valAx>
        <c:axId val="13620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211072"/>
        <c:crosses val="autoZero"/>
        <c:crossBetween val="midCat"/>
      </c:valAx>
      <c:valAx>
        <c:axId val="136211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209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График зависимости остатков от </a:t>
            </a:r>
            <a:r>
              <a:rPr lang="en-US" sz="1400"/>
              <a:t>x² 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2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АД_РЕГРЕССИЯ_Полином2!$C$26:$C$35</c:f>
              <c:numCache>
                <c:formatCode>General</c:formatCode>
                <c:ptCount val="10"/>
                <c:pt idx="0">
                  <c:v>3.762784344069928</c:v>
                </c:pt>
                <c:pt idx="1">
                  <c:v>-3.6010590123034838</c:v>
                </c:pt>
                <c:pt idx="2">
                  <c:v>0.7716383702641636</c:v>
                </c:pt>
                <c:pt idx="3">
                  <c:v>-1.9271615306392533</c:v>
                </c:pt>
                <c:pt idx="4">
                  <c:v>4.9994613594775714</c:v>
                </c:pt>
                <c:pt idx="5">
                  <c:v>0.16619217994809787</c:v>
                </c:pt>
                <c:pt idx="6">
                  <c:v>5.8437969285719902</c:v>
                </c:pt>
                <c:pt idx="7">
                  <c:v>0.10316399984809976</c:v>
                </c:pt>
                <c:pt idx="8">
                  <c:v>-4.0005386405224286</c:v>
                </c:pt>
                <c:pt idx="9">
                  <c:v>-6.1182779987146425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18A-4F89-9449-354E9CE96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44224"/>
        <c:axId val="135992448"/>
      </c:scatterChart>
      <c:valAx>
        <c:axId val="13624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992448"/>
        <c:crosses val="autoZero"/>
        <c:crossBetween val="midCat"/>
      </c:valAx>
      <c:valAx>
        <c:axId val="1359924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244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/>
              <a:t>Поле корреляции (полином 2 ст)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45069989424599588"/>
                  <c:y val="6.6910606762389996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8A-46E5-8948-649F8B96E0B4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2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2 степени'!$E$5:$E$14</c:f>
              <c:numCache>
                <c:formatCode>General</c:formatCode>
                <c:ptCount val="10"/>
                <c:pt idx="0">
                  <c:v>34.237215655930072</c:v>
                </c:pt>
                <c:pt idx="1">
                  <c:v>29.601059012303484</c:v>
                </c:pt>
                <c:pt idx="2">
                  <c:v>39.228361629735836</c:v>
                </c:pt>
                <c:pt idx="3">
                  <c:v>46.927161530639253</c:v>
                </c:pt>
                <c:pt idx="4">
                  <c:v>46.000538640522429</c:v>
                </c:pt>
                <c:pt idx="5">
                  <c:v>48.833807820051902</c:v>
                </c:pt>
                <c:pt idx="6">
                  <c:v>28.15620307142801</c:v>
                </c:pt>
                <c:pt idx="7">
                  <c:v>34.8968360001519</c:v>
                </c:pt>
                <c:pt idx="8">
                  <c:v>46.000538640522429</c:v>
                </c:pt>
                <c:pt idx="9">
                  <c:v>30.118277998714643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7616"/>
        <c:axId val="136062080"/>
      </c:scatterChart>
      <c:valAx>
        <c:axId val="13604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062080"/>
        <c:crosses val="autoZero"/>
        <c:crossBetween val="midCat"/>
      </c:valAx>
      <c:valAx>
        <c:axId val="136062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047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2 степени'!$A$49:$A$58</c:f>
              <c:numCache>
                <c:formatCode>General</c:formatCode>
                <c:ptCount val="10"/>
                <c:pt idx="0">
                  <c:v>34.237215655930072</c:v>
                </c:pt>
                <c:pt idx="1">
                  <c:v>29.601059012303484</c:v>
                </c:pt>
                <c:pt idx="2">
                  <c:v>39.228361629735836</c:v>
                </c:pt>
                <c:pt idx="3">
                  <c:v>46.927161530639253</c:v>
                </c:pt>
                <c:pt idx="4">
                  <c:v>46.000538640522429</c:v>
                </c:pt>
                <c:pt idx="5">
                  <c:v>48.833807820051902</c:v>
                </c:pt>
                <c:pt idx="6">
                  <c:v>28.15620307142801</c:v>
                </c:pt>
                <c:pt idx="7">
                  <c:v>34.8968360001519</c:v>
                </c:pt>
                <c:pt idx="8">
                  <c:v>46.000538640522429</c:v>
                </c:pt>
                <c:pt idx="9">
                  <c:v>30.118277998714643</c:v>
                </c:pt>
              </c:numCache>
            </c:numRef>
          </c:xVal>
          <c:yVal>
            <c:numRef>
              <c:f>'Полином 2 степени'!$B$49:$B$58</c:f>
              <c:numCache>
                <c:formatCode>General</c:formatCode>
                <c:ptCount val="10"/>
                <c:pt idx="0">
                  <c:v>3.762784344069928</c:v>
                </c:pt>
                <c:pt idx="1">
                  <c:v>-3.6010590123034838</c:v>
                </c:pt>
                <c:pt idx="2">
                  <c:v>0.7716383702641636</c:v>
                </c:pt>
                <c:pt idx="3">
                  <c:v>-1.9271615306392533</c:v>
                </c:pt>
                <c:pt idx="4">
                  <c:v>4.9994613594775714</c:v>
                </c:pt>
                <c:pt idx="5">
                  <c:v>0.16619217994809787</c:v>
                </c:pt>
                <c:pt idx="6">
                  <c:v>5.8437969285719902</c:v>
                </c:pt>
                <c:pt idx="7">
                  <c:v>0.10316399984809976</c:v>
                </c:pt>
                <c:pt idx="8">
                  <c:v>-4.0005386405224286</c:v>
                </c:pt>
                <c:pt idx="9">
                  <c:v>-6.1182779987146425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83328"/>
        <c:axId val="136085504"/>
      </c:scatterChart>
      <c:valAx>
        <c:axId val="136083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085504"/>
        <c:crosses val="autoZero"/>
        <c:crossBetween val="midCat"/>
      </c:valAx>
      <c:valAx>
        <c:axId val="136085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0833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2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АД_РЕГРЕССИЯ_Полином2!$C$26:$C$35</c:f>
              <c:numCache>
                <c:formatCode>General</c:formatCode>
                <c:ptCount val="10"/>
                <c:pt idx="0">
                  <c:v>3.762784344069928</c:v>
                </c:pt>
                <c:pt idx="1">
                  <c:v>-3.6010590123034838</c:v>
                </c:pt>
                <c:pt idx="2">
                  <c:v>0.7716383702641636</c:v>
                </c:pt>
                <c:pt idx="3">
                  <c:v>-1.9271615306392533</c:v>
                </c:pt>
                <c:pt idx="4">
                  <c:v>4.9994613594775714</c:v>
                </c:pt>
                <c:pt idx="5">
                  <c:v>0.16619217994809787</c:v>
                </c:pt>
                <c:pt idx="6">
                  <c:v>5.8437969285719902</c:v>
                </c:pt>
                <c:pt idx="7">
                  <c:v>0.10316399984809976</c:v>
                </c:pt>
                <c:pt idx="8">
                  <c:v>-4.0005386405224286</c:v>
                </c:pt>
                <c:pt idx="9">
                  <c:v>-6.1182779987146425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25-4986-B45E-8C55134D5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178688"/>
        <c:axId val="136582272"/>
      </c:scatterChart>
      <c:valAx>
        <c:axId val="136178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82272"/>
        <c:crosses val="autoZero"/>
        <c:crossBetween val="midCat"/>
      </c:valAx>
      <c:valAx>
        <c:axId val="136582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178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2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АД_РЕГРЕССИЯ_Полином2!$C$26:$C$35</c:f>
              <c:numCache>
                <c:formatCode>General</c:formatCode>
                <c:ptCount val="10"/>
                <c:pt idx="0">
                  <c:v>3.762784344069928</c:v>
                </c:pt>
                <c:pt idx="1">
                  <c:v>-3.6010590123034838</c:v>
                </c:pt>
                <c:pt idx="2">
                  <c:v>0.7716383702641636</c:v>
                </c:pt>
                <c:pt idx="3">
                  <c:v>-1.9271615306392533</c:v>
                </c:pt>
                <c:pt idx="4">
                  <c:v>4.9994613594775714</c:v>
                </c:pt>
                <c:pt idx="5">
                  <c:v>0.16619217994809787</c:v>
                </c:pt>
                <c:pt idx="6">
                  <c:v>5.8437969285719902</c:v>
                </c:pt>
                <c:pt idx="7">
                  <c:v>0.10316399984809976</c:v>
                </c:pt>
                <c:pt idx="8">
                  <c:v>-4.0005386405224286</c:v>
                </c:pt>
                <c:pt idx="9">
                  <c:v>-6.1182779987146425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01-4860-927E-BC75D0443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15424"/>
        <c:axId val="136617344"/>
      </c:scatterChart>
      <c:valAx>
        <c:axId val="13661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617344"/>
        <c:crosses val="autoZero"/>
        <c:crossBetween val="midCat"/>
      </c:valAx>
      <c:valAx>
        <c:axId val="136617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615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2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2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86F-4AD6-B7CB-DD449E5BAE86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2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АД_РЕГРЕССИЯ_Полином2!$B$26:$B$35</c:f>
              <c:numCache>
                <c:formatCode>General</c:formatCode>
                <c:ptCount val="10"/>
                <c:pt idx="0">
                  <c:v>34.237215655930072</c:v>
                </c:pt>
                <c:pt idx="1">
                  <c:v>29.601059012303484</c:v>
                </c:pt>
                <c:pt idx="2">
                  <c:v>39.228361629735836</c:v>
                </c:pt>
                <c:pt idx="3">
                  <c:v>46.927161530639253</c:v>
                </c:pt>
                <c:pt idx="4">
                  <c:v>46.000538640522429</c:v>
                </c:pt>
                <c:pt idx="5">
                  <c:v>48.833807820051902</c:v>
                </c:pt>
                <c:pt idx="6">
                  <c:v>28.15620307142801</c:v>
                </c:pt>
                <c:pt idx="7">
                  <c:v>34.8968360001519</c:v>
                </c:pt>
                <c:pt idx="8">
                  <c:v>46.000538640522429</c:v>
                </c:pt>
                <c:pt idx="9">
                  <c:v>30.118277998714643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6F-4AD6-B7CB-DD449E5BA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28320"/>
        <c:axId val="136330240"/>
      </c:scatterChart>
      <c:valAx>
        <c:axId val="13632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330240"/>
        <c:crosses val="autoZero"/>
        <c:crossBetween val="midCat"/>
      </c:valAx>
      <c:valAx>
        <c:axId val="136330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32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2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'Полином 2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73-4EA6-8EF0-CFEAF1934F12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2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АД_РЕГРЕССИЯ_Полином2!$B$26:$B$35</c:f>
              <c:numCache>
                <c:formatCode>General</c:formatCode>
                <c:ptCount val="10"/>
                <c:pt idx="0">
                  <c:v>34.237215655930072</c:v>
                </c:pt>
                <c:pt idx="1">
                  <c:v>29.601059012303484</c:v>
                </c:pt>
                <c:pt idx="2">
                  <c:v>39.228361629735836</c:v>
                </c:pt>
                <c:pt idx="3">
                  <c:v>46.927161530639253</c:v>
                </c:pt>
                <c:pt idx="4">
                  <c:v>46.000538640522429</c:v>
                </c:pt>
                <c:pt idx="5">
                  <c:v>48.833807820051902</c:v>
                </c:pt>
                <c:pt idx="6">
                  <c:v>28.15620307142801</c:v>
                </c:pt>
                <c:pt idx="7">
                  <c:v>34.8968360001519</c:v>
                </c:pt>
                <c:pt idx="8">
                  <c:v>46.000538640522429</c:v>
                </c:pt>
                <c:pt idx="9">
                  <c:v>30.118277998714643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73-4EA6-8EF0-CFEAF1934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69280"/>
        <c:axId val="136371200"/>
      </c:scatterChart>
      <c:valAx>
        <c:axId val="13636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371200"/>
        <c:crosses val="autoZero"/>
        <c:crossBetween val="midCat"/>
      </c:valAx>
      <c:valAx>
        <c:axId val="136371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369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АД_РЕГРЕССИЯ_Полином2!$F$26:$F$35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АД_РЕГРЕССИЯ_Полином2!$G$26:$G$35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6E0-4903-A317-7DB7ACBE0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74624"/>
        <c:axId val="136476544"/>
      </c:scatterChart>
      <c:valAx>
        <c:axId val="13647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476544"/>
        <c:crosses val="autoZero"/>
        <c:crossBetween val="midCat"/>
      </c:valAx>
      <c:valAx>
        <c:axId val="136476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474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3 степени'!$A$48:$A$57</c:f>
              <c:numCache>
                <c:formatCode>General</c:formatCode>
                <c:ptCount val="10"/>
                <c:pt idx="0">
                  <c:v>33.063703793434911</c:v>
                </c:pt>
                <c:pt idx="1">
                  <c:v>28.705246157684293</c:v>
                </c:pt>
                <c:pt idx="2">
                  <c:v>41.327783040592124</c:v>
                </c:pt>
                <c:pt idx="3">
                  <c:v>47.111081064001951</c:v>
                </c:pt>
                <c:pt idx="4">
                  <c:v>47.117537766707585</c:v>
                </c:pt>
                <c:pt idx="5">
                  <c:v>46.402357047115117</c:v>
                </c:pt>
                <c:pt idx="6">
                  <c:v>30.350769986013756</c:v>
                </c:pt>
                <c:pt idx="7">
                  <c:v>34.160998074293403</c:v>
                </c:pt>
                <c:pt idx="8">
                  <c:v>47.117537766707585</c:v>
                </c:pt>
                <c:pt idx="9">
                  <c:v>28.642985303449713</c:v>
                </c:pt>
              </c:numCache>
            </c:numRef>
          </c:xVal>
          <c:yVal>
            <c:numRef>
              <c:f>'Полином 3 степени'!$B$48:$B$57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93696"/>
        <c:axId val="136921856"/>
      </c:scatterChart>
      <c:valAx>
        <c:axId val="13649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921856"/>
        <c:crosses val="autoZero"/>
        <c:crossBetween val="midCat"/>
      </c:valAx>
      <c:valAx>
        <c:axId val="136921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49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3 степени'!$A$48:$A$57</c:f>
              <c:numCache>
                <c:formatCode>General</c:formatCode>
                <c:ptCount val="10"/>
                <c:pt idx="0">
                  <c:v>33.063703793434911</c:v>
                </c:pt>
                <c:pt idx="1">
                  <c:v>28.705246157684293</c:v>
                </c:pt>
                <c:pt idx="2">
                  <c:v>41.327783040592124</c:v>
                </c:pt>
                <c:pt idx="3">
                  <c:v>47.111081064001951</c:v>
                </c:pt>
                <c:pt idx="4">
                  <c:v>47.117537766707585</c:v>
                </c:pt>
                <c:pt idx="5">
                  <c:v>46.402357047115117</c:v>
                </c:pt>
                <c:pt idx="6">
                  <c:v>30.350769986013756</c:v>
                </c:pt>
                <c:pt idx="7">
                  <c:v>34.160998074293403</c:v>
                </c:pt>
                <c:pt idx="8">
                  <c:v>47.117537766707585</c:v>
                </c:pt>
                <c:pt idx="9">
                  <c:v>28.642985303449713</c:v>
                </c:pt>
              </c:numCache>
            </c:numRef>
          </c:xVal>
          <c:yVal>
            <c:numRef>
              <c:f>'Полином 3 степени'!$B$48:$B$57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63584"/>
        <c:axId val="136965504"/>
      </c:scatterChart>
      <c:valAx>
        <c:axId val="13696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965504"/>
        <c:crosses val="autoZero"/>
        <c:crossBetween val="midCat"/>
      </c:valAx>
      <c:valAx>
        <c:axId val="136965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963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АД_РЕГРЕССИЯ_Полином3!$F$27:$F$36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АД_РЕГРЕССИЯ_Полином3!$G$27:$G$36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E38-4680-B413-9E74E6E64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40544"/>
        <c:axId val="136542464"/>
      </c:scatterChart>
      <c:valAx>
        <c:axId val="136540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42464"/>
        <c:crosses val="autoZero"/>
        <c:crossBetween val="midCat"/>
      </c:valAx>
      <c:valAx>
        <c:axId val="136542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40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График зависимости остатков от х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3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АД_РЕГРЕССИЯ_Полином3!$C$27:$C$36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CD7-48BE-B80F-CF400F7BC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59232"/>
        <c:axId val="136794880"/>
      </c:scatterChart>
      <c:valAx>
        <c:axId val="13655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794880"/>
        <c:crosses val="autoZero"/>
        <c:crossBetween val="midCat"/>
      </c:valAx>
      <c:valAx>
        <c:axId val="136794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559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600"/>
              <a:t>График зависимости</a:t>
            </a:r>
            <a:r>
              <a:rPr lang="ru-RU" sz="1600" baseline="0"/>
              <a:t> остатков от </a:t>
            </a:r>
            <a:r>
              <a:rPr lang="en-US" sz="1600"/>
              <a:t>x² </a:t>
            </a:r>
            <a:endParaRPr lang="ru-RU" sz="16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3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АД_РЕГРЕССИЯ_Полином3!$C$27:$C$36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6A-4CE2-B37D-16C00B00D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3936"/>
        <c:axId val="136825856"/>
      </c:scatterChart>
      <c:valAx>
        <c:axId val="13682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825856"/>
        <c:crosses val="autoZero"/>
        <c:crossBetween val="midCat"/>
      </c:valAx>
      <c:valAx>
        <c:axId val="136825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8239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График зависимости остатков от </a:t>
            </a:r>
            <a:r>
              <a:rPr lang="en-US" sz="1400"/>
              <a:t>x³  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3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АД_РЕГРЕССИЯ_Полином3!$C$27:$C$36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D34-4DE5-89C4-846005354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36128"/>
        <c:axId val="136738304"/>
      </c:scatterChart>
      <c:valAx>
        <c:axId val="136736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738304"/>
        <c:crosses val="autoZero"/>
        <c:crossBetween val="midCat"/>
      </c:valAx>
      <c:valAx>
        <c:axId val="136738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736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 baseline="0"/>
              <a:t>Полином 3 степени</a:t>
            </a:r>
            <a:endParaRPr lang="az-Cyrl-AZ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46113948337802679"/>
                  <c:y val="-3.1003829439352867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F8-40C2-9F77-F2D4DFF678E6}"/>
            </c:ext>
          </c:extLst>
        </c:ser>
        <c:ser>
          <c:idx val="1"/>
          <c:order val="1"/>
          <c:tx>
            <c:v>теоретические 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3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3 степени'!$F$5:$F$14</c:f>
              <c:numCache>
                <c:formatCode>General</c:formatCode>
                <c:ptCount val="10"/>
                <c:pt idx="0">
                  <c:v>33.063703793434911</c:v>
                </c:pt>
                <c:pt idx="1">
                  <c:v>28.705246157684293</c:v>
                </c:pt>
                <c:pt idx="2">
                  <c:v>41.327783040592124</c:v>
                </c:pt>
                <c:pt idx="3">
                  <c:v>47.111081064001951</c:v>
                </c:pt>
                <c:pt idx="4">
                  <c:v>47.117537766707585</c:v>
                </c:pt>
                <c:pt idx="5">
                  <c:v>46.402357047115117</c:v>
                </c:pt>
                <c:pt idx="6">
                  <c:v>30.350769986013756</c:v>
                </c:pt>
                <c:pt idx="7">
                  <c:v>34.160998074293403</c:v>
                </c:pt>
                <c:pt idx="8">
                  <c:v>47.117537766707585</c:v>
                </c:pt>
                <c:pt idx="9">
                  <c:v>28.642985303449713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52512"/>
        <c:axId val="136861184"/>
      </c:scatterChart>
      <c:valAx>
        <c:axId val="13675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861184"/>
        <c:crosses val="autoZero"/>
        <c:crossBetween val="midCat"/>
      </c:valAx>
      <c:valAx>
        <c:axId val="136861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752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3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АД_РЕГРЕССИЯ_Полином3!$C$27:$C$36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3F-43C0-BF56-EB9F5D59E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11968"/>
        <c:axId val="137013888"/>
      </c:scatterChart>
      <c:valAx>
        <c:axId val="13701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013888"/>
        <c:crosses val="autoZero"/>
        <c:crossBetween val="midCat"/>
      </c:valAx>
      <c:valAx>
        <c:axId val="137013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01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3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АД_РЕГРЕССИЯ_Полином3!$C$27:$C$36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7E5-4609-9E43-5089AD76C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21504"/>
        <c:axId val="134431872"/>
      </c:scatterChart>
      <c:valAx>
        <c:axId val="1344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31872"/>
        <c:crosses val="autoZero"/>
        <c:crossBetween val="midCat"/>
      </c:valAx>
      <c:valAx>
        <c:axId val="134431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21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3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АД_РЕГРЕССИЯ_Полином3!$C$27:$C$36</c:f>
              <c:numCache>
                <c:formatCode>General</c:formatCode>
                <c:ptCount val="10"/>
                <c:pt idx="0">
                  <c:v>4.9362962065650891</c:v>
                </c:pt>
                <c:pt idx="1">
                  <c:v>-2.705246157684293</c:v>
                </c:pt>
                <c:pt idx="2">
                  <c:v>-1.3277830405921236</c:v>
                </c:pt>
                <c:pt idx="3">
                  <c:v>-2.1110810640019508</c:v>
                </c:pt>
                <c:pt idx="4">
                  <c:v>3.882462233292415</c:v>
                </c:pt>
                <c:pt idx="5">
                  <c:v>2.5976429528848826</c:v>
                </c:pt>
                <c:pt idx="6">
                  <c:v>3.6492300139862444</c:v>
                </c:pt>
                <c:pt idx="7">
                  <c:v>0.83900192570659726</c:v>
                </c:pt>
                <c:pt idx="8">
                  <c:v>-5.117537766707585</c:v>
                </c:pt>
                <c:pt idx="9">
                  <c:v>-4.6429853034497128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C9-4130-B0D9-7843AC6D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2736"/>
        <c:axId val="134454656"/>
      </c:scatterChart>
      <c:valAx>
        <c:axId val="13445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54656"/>
        <c:crosses val="autoZero"/>
        <c:crossBetween val="midCat"/>
      </c:valAx>
      <c:valAx>
        <c:axId val="134454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52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3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3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50-48AC-8474-EBC8AC27409C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3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АД_РЕГРЕССИЯ_Полином3!$B$27:$B$36</c:f>
              <c:numCache>
                <c:formatCode>General</c:formatCode>
                <c:ptCount val="10"/>
                <c:pt idx="0">
                  <c:v>33.063703793434911</c:v>
                </c:pt>
                <c:pt idx="1">
                  <c:v>28.705246157684293</c:v>
                </c:pt>
                <c:pt idx="2">
                  <c:v>41.327783040592124</c:v>
                </c:pt>
                <c:pt idx="3">
                  <c:v>47.111081064001951</c:v>
                </c:pt>
                <c:pt idx="4">
                  <c:v>47.117537766707585</c:v>
                </c:pt>
                <c:pt idx="5">
                  <c:v>46.402357047115117</c:v>
                </c:pt>
                <c:pt idx="6">
                  <c:v>30.350769986013756</c:v>
                </c:pt>
                <c:pt idx="7">
                  <c:v>34.160998074293403</c:v>
                </c:pt>
                <c:pt idx="8">
                  <c:v>47.117537766707585</c:v>
                </c:pt>
                <c:pt idx="9">
                  <c:v>28.642985303449713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950-48AC-8474-EBC8AC274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93312"/>
        <c:axId val="134495232"/>
      </c:scatterChart>
      <c:valAx>
        <c:axId val="13449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95232"/>
        <c:crosses val="autoZero"/>
        <c:crossBetween val="midCat"/>
      </c:valAx>
      <c:valAx>
        <c:axId val="134495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493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3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'Полином 3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E45-4296-9B30-554BE9C267C6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3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АД_РЕГРЕССИЯ_Полином3!$B$27:$B$36</c:f>
              <c:numCache>
                <c:formatCode>General</c:formatCode>
                <c:ptCount val="10"/>
                <c:pt idx="0">
                  <c:v>33.063703793434911</c:v>
                </c:pt>
                <c:pt idx="1">
                  <c:v>28.705246157684293</c:v>
                </c:pt>
                <c:pt idx="2">
                  <c:v>41.327783040592124</c:v>
                </c:pt>
                <c:pt idx="3">
                  <c:v>47.111081064001951</c:v>
                </c:pt>
                <c:pt idx="4">
                  <c:v>47.117537766707585</c:v>
                </c:pt>
                <c:pt idx="5">
                  <c:v>46.402357047115117</c:v>
                </c:pt>
                <c:pt idx="6">
                  <c:v>30.350769986013756</c:v>
                </c:pt>
                <c:pt idx="7">
                  <c:v>34.160998074293403</c:v>
                </c:pt>
                <c:pt idx="8">
                  <c:v>47.117537766707585</c:v>
                </c:pt>
                <c:pt idx="9">
                  <c:v>28.642985303449713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E45-4296-9B30-554BE9C26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75488"/>
        <c:axId val="136977408"/>
      </c:scatterChart>
      <c:valAx>
        <c:axId val="136975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977408"/>
        <c:crosses val="autoZero"/>
        <c:crossBetween val="midCat"/>
      </c:valAx>
      <c:valAx>
        <c:axId val="1369774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975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3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'Полином 3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B44-461E-B32E-2F9BB7BB815C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3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АД_РЕГРЕССИЯ_Полином3!$B$27:$B$36</c:f>
              <c:numCache>
                <c:formatCode>General</c:formatCode>
                <c:ptCount val="10"/>
                <c:pt idx="0">
                  <c:v>33.063703793434911</c:v>
                </c:pt>
                <c:pt idx="1">
                  <c:v>28.705246157684293</c:v>
                </c:pt>
                <c:pt idx="2">
                  <c:v>41.327783040592124</c:v>
                </c:pt>
                <c:pt idx="3">
                  <c:v>47.111081064001951</c:v>
                </c:pt>
                <c:pt idx="4">
                  <c:v>47.117537766707585</c:v>
                </c:pt>
                <c:pt idx="5">
                  <c:v>46.402357047115117</c:v>
                </c:pt>
                <c:pt idx="6">
                  <c:v>30.350769986013756</c:v>
                </c:pt>
                <c:pt idx="7">
                  <c:v>34.160998074293403</c:v>
                </c:pt>
                <c:pt idx="8">
                  <c:v>47.117537766707585</c:v>
                </c:pt>
                <c:pt idx="9">
                  <c:v>28.642985303449713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B44-461E-B32E-2F9BB7BB8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35936"/>
        <c:axId val="137337856"/>
      </c:scatterChart>
      <c:valAx>
        <c:axId val="13733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37856"/>
        <c:crosses val="autoZero"/>
        <c:crossBetween val="midCat"/>
      </c:valAx>
      <c:valAx>
        <c:axId val="137337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35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АД_РЕГРЕССИЯ_Полином3!$F$27:$F$36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АД_РЕГРЕССИЯ_Полином3!$G$27:$G$36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DC-4AE8-A472-8D77867AD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1648"/>
        <c:axId val="137373568"/>
      </c:scatterChart>
      <c:valAx>
        <c:axId val="13737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73568"/>
        <c:crosses val="autoZero"/>
        <c:crossBetween val="midCat"/>
      </c:valAx>
      <c:valAx>
        <c:axId val="137373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371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4 степени'!$A$48:$A$57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xVal>
          <c:yVal>
            <c:numRef>
              <c:f>'Полином 4 степени'!$B$48:$B$57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54848"/>
        <c:axId val="137085696"/>
      </c:scatterChart>
      <c:valAx>
        <c:axId val="13705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085696"/>
        <c:crosses val="autoZero"/>
        <c:crossBetween val="midCat"/>
      </c:valAx>
      <c:valAx>
        <c:axId val="137085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054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АД_РЕГРЕССИЯ_Полином4!$F$28:$F$37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АД_РЕГРЕССИЯ_Полином4!$G$28:$G$37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9E-486E-B411-0A3DF37B6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19232"/>
        <c:axId val="137121152"/>
      </c:scatterChart>
      <c:valAx>
        <c:axId val="137119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121152"/>
        <c:crosses val="autoZero"/>
        <c:crossBetween val="midCat"/>
      </c:valAx>
      <c:valAx>
        <c:axId val="13712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119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4 степени'!$A$48:$A$57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xVal>
          <c:yVal>
            <c:numRef>
              <c:f>'Полином 4 степени'!$B$48:$B$57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0944"/>
        <c:axId val="137172864"/>
      </c:scatterChart>
      <c:valAx>
        <c:axId val="13717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172864"/>
        <c:crosses val="autoZero"/>
        <c:crossBetween val="midCat"/>
      </c:valAx>
      <c:valAx>
        <c:axId val="137172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17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ED-4ECB-A6E2-F944D09B9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85920"/>
        <c:axId val="137204480"/>
      </c:scatterChart>
      <c:valAx>
        <c:axId val="13718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04480"/>
        <c:crosses val="autoZero"/>
        <c:crossBetween val="midCat"/>
      </c:valAx>
      <c:valAx>
        <c:axId val="137204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185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31B-4F7E-8A9B-845FADB0D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37632"/>
        <c:axId val="137239552"/>
      </c:scatterChart>
      <c:valAx>
        <c:axId val="13723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39552"/>
        <c:crosses val="autoZero"/>
        <c:crossBetween val="midCat"/>
      </c:valAx>
      <c:valAx>
        <c:axId val="137239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37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E5-4E57-9524-4252C112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52224"/>
        <c:axId val="137274880"/>
      </c:scatterChart>
      <c:valAx>
        <c:axId val="13725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74880"/>
        <c:crosses val="autoZero"/>
        <c:crossBetween val="midCat"/>
      </c:valAx>
      <c:valAx>
        <c:axId val="1372748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5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x⁴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25B-4C02-BEAF-60DCED0A3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74272"/>
        <c:axId val="137580544"/>
      </c:scatterChart>
      <c:valAx>
        <c:axId val="13757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580544"/>
        <c:crosses val="autoZero"/>
        <c:crossBetween val="midCat"/>
      </c:valAx>
      <c:valAx>
        <c:axId val="13758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574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/>
              <a:t>полином 4 степени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4"/>
            <c:dispRSqr val="1"/>
            <c:dispEq val="1"/>
            <c:trendlineLbl>
              <c:layout>
                <c:manualLayout>
                  <c:x val="0.45011563931077653"/>
                  <c:y val="8.4317585301837278E-3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3B7-4DC2-9B65-4EA26AF13A16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4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4 степени'!$G$5:$G$14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615232"/>
        <c:axId val="137621504"/>
      </c:scatterChart>
      <c:valAx>
        <c:axId val="13761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621504"/>
        <c:crosses val="autoZero"/>
        <c:crossBetween val="midCat"/>
      </c:valAx>
      <c:valAx>
        <c:axId val="137621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615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1BF-4D15-AA22-E1517948E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24288"/>
        <c:axId val="138126464"/>
      </c:scatterChart>
      <c:valAx>
        <c:axId val="13812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126464"/>
        <c:crosses val="autoZero"/>
        <c:crossBetween val="midCat"/>
      </c:valAx>
      <c:valAx>
        <c:axId val="138126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1242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F60-4E2F-A28B-0FC1D3F07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17664"/>
        <c:axId val="138419584"/>
      </c:scatterChart>
      <c:valAx>
        <c:axId val="138417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19584"/>
        <c:crosses val="autoZero"/>
        <c:crossBetween val="midCat"/>
      </c:valAx>
      <c:valAx>
        <c:axId val="138419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17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E6-4E37-BC4A-4C86674F1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61184"/>
        <c:axId val="138463104"/>
      </c:scatterChart>
      <c:valAx>
        <c:axId val="13846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63104"/>
        <c:crosses val="autoZero"/>
        <c:crossBetween val="midCat"/>
      </c:valAx>
      <c:valAx>
        <c:axId val="138463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461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x⁴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4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АД_РЕГРЕССИЯ_Полином4!$C$28:$C$37</c:f>
              <c:numCache>
                <c:formatCode>General</c:formatCode>
                <c:ptCount val="10"/>
                <c:pt idx="0">
                  <c:v>3.7511637419171961</c:v>
                </c:pt>
                <c:pt idx="1">
                  <c:v>-0.25672700115575253</c:v>
                </c:pt>
                <c:pt idx="2">
                  <c:v>-2.6539262300382234</c:v>
                </c:pt>
                <c:pt idx="3">
                  <c:v>-1.0662264344196046</c:v>
                </c:pt>
                <c:pt idx="4">
                  <c:v>5.9440400189887441</c:v>
                </c:pt>
                <c:pt idx="5">
                  <c:v>-0.72108219152005404</c:v>
                </c:pt>
                <c:pt idx="6">
                  <c:v>0.75578941879709305</c:v>
                </c:pt>
                <c:pt idx="7">
                  <c:v>-0.91553079432503637</c:v>
                </c:pt>
                <c:pt idx="8">
                  <c:v>-3.0559599810112559</c:v>
                </c:pt>
                <c:pt idx="9">
                  <c:v>-1.7815405472324528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3B-4813-BAE8-01C77F56B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30016"/>
        <c:axId val="138232192"/>
      </c:scatterChart>
      <c:valAx>
        <c:axId val="138230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32192"/>
        <c:crosses val="autoZero"/>
        <c:crossBetween val="midCat"/>
      </c:valAx>
      <c:valAx>
        <c:axId val="138232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30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4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4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F6-4A26-8D24-9BE429FD5DDE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4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АД_РЕГРЕССИЯ_Полином4!$B$28:$B$37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F6-4A26-8D24-9BE429FD5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74688"/>
        <c:axId val="138280960"/>
      </c:scatterChart>
      <c:valAx>
        <c:axId val="138274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80960"/>
        <c:crosses val="autoZero"/>
        <c:crossBetween val="midCat"/>
      </c:valAx>
      <c:valAx>
        <c:axId val="138280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274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4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'Полином 4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AB-4894-AA20-348F7C268351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4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АД_РЕГРЕССИЯ_Полином4!$B$28:$B$37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8AB-4894-AA20-348F7C268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7456"/>
        <c:axId val="138326016"/>
      </c:scatterChart>
      <c:valAx>
        <c:axId val="13830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26016"/>
        <c:crosses val="autoZero"/>
        <c:crossBetween val="midCat"/>
      </c:valAx>
      <c:valAx>
        <c:axId val="138326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07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4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'Полином 4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2E9-4E8F-9807-117DB1F42EB2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4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АД_РЕГРЕССИЯ_Полином4!$B$28:$B$37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2E9-4E8F-9807-117DB1F42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56608"/>
        <c:axId val="138358784"/>
      </c:scatterChart>
      <c:valAx>
        <c:axId val="13835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58784"/>
        <c:crosses val="autoZero"/>
        <c:crossBetween val="midCat"/>
      </c:valAx>
      <c:valAx>
        <c:axId val="138358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56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x⁴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4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'Полином 4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87-4142-BAF8-81083C40F1CE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4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АД_РЕГРЕССИЯ_Полином4!$B$28:$B$37</c:f>
              <c:numCache>
                <c:formatCode>General</c:formatCode>
                <c:ptCount val="10"/>
                <c:pt idx="0">
                  <c:v>34.248836258082804</c:v>
                </c:pt>
                <c:pt idx="1">
                  <c:v>26.256727001155753</c:v>
                </c:pt>
                <c:pt idx="2">
                  <c:v>42.653926230038223</c:v>
                </c:pt>
                <c:pt idx="3">
                  <c:v>46.066226434419605</c:v>
                </c:pt>
                <c:pt idx="4">
                  <c:v>45.055959981011256</c:v>
                </c:pt>
                <c:pt idx="5">
                  <c:v>49.721082191520054</c:v>
                </c:pt>
                <c:pt idx="6">
                  <c:v>33.244210581202907</c:v>
                </c:pt>
                <c:pt idx="7">
                  <c:v>35.915530794325036</c:v>
                </c:pt>
                <c:pt idx="8">
                  <c:v>45.055959981011256</c:v>
                </c:pt>
                <c:pt idx="9">
                  <c:v>25.781540547232453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87-4142-BAF8-81083C40F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85280"/>
        <c:axId val="138387456"/>
      </c:scatterChart>
      <c:valAx>
        <c:axId val="13838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87456"/>
        <c:crosses val="autoZero"/>
        <c:crossBetween val="midCat"/>
      </c:valAx>
      <c:valAx>
        <c:axId val="138387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385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АД_РЕГРЕССИЯ_Полином4!$F$28:$F$37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АД_РЕГРЕССИЯ_Полином4!$G$28:$G$37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AF-4856-8629-DEF0D884A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80736"/>
        <c:axId val="138582656"/>
      </c:scatterChart>
      <c:valAx>
        <c:axId val="13858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582656"/>
        <c:crosses val="autoZero"/>
        <c:crossBetween val="midCat"/>
      </c:valAx>
      <c:valAx>
        <c:axId val="138582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580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5 степени'!$A$48:$A$57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xVal>
          <c:yVal>
            <c:numRef>
              <c:f>'Полином 5 степени'!$B$48:$B$57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595712"/>
        <c:axId val="139019776"/>
      </c:scatterChart>
      <c:valAx>
        <c:axId val="13859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019776"/>
        <c:crosses val="autoZero"/>
        <c:crossBetween val="midCat"/>
      </c:valAx>
      <c:valAx>
        <c:axId val="1390197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8595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/>
              <a:t>График зависимости остатков от </a:t>
            </a:r>
            <a:r>
              <a:rPr lang="en-US" sz="1400"/>
              <a:t>x 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C5-4D3F-B367-0CB725095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42016"/>
        <c:axId val="138744192"/>
      </c:scatterChart>
      <c:valAx>
        <c:axId val="13874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744192"/>
        <c:crosses val="autoZero"/>
        <c:crossBetween val="midCat"/>
      </c:valAx>
      <c:valAx>
        <c:axId val="138744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742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x² 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F3F-40BE-8766-484793408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769152"/>
        <c:axId val="138771072"/>
      </c:scatterChart>
      <c:valAx>
        <c:axId val="13876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771072"/>
        <c:crosses val="autoZero"/>
        <c:crossBetween val="midCat"/>
      </c:valAx>
      <c:valAx>
        <c:axId val="138771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769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x³  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A4-41B9-8925-1C4AC7114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08320"/>
        <c:axId val="138814592"/>
      </c:scatterChart>
      <c:valAx>
        <c:axId val="13880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14592"/>
        <c:crosses val="autoZero"/>
        <c:crossBetween val="midCat"/>
      </c:valAx>
      <c:valAx>
        <c:axId val="1388145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08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x⁴ 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31-4FFB-944D-760CA11CA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47744"/>
        <c:axId val="138849664"/>
      </c:scatterChart>
      <c:valAx>
        <c:axId val="13884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49664"/>
        <c:crosses val="autoZero"/>
        <c:crossBetween val="midCat"/>
      </c:valAx>
      <c:valAx>
        <c:axId val="138849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47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x⁵ 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64F-4986-AF05-B4910E1EA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87168"/>
        <c:axId val="138889088"/>
      </c:scatterChart>
      <c:valAx>
        <c:axId val="138887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89088"/>
        <c:crosses val="autoZero"/>
        <c:crossBetween val="midCat"/>
      </c:valAx>
      <c:valAx>
        <c:axId val="138889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87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5 степени'!$A$48:$A$57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xVal>
          <c:yVal>
            <c:numRef>
              <c:f>'Полином 5 степени'!$B$48:$B$57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18144"/>
        <c:axId val="138928512"/>
      </c:scatterChart>
      <c:valAx>
        <c:axId val="13891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928512"/>
        <c:crosses val="autoZero"/>
        <c:crossBetween val="midCat"/>
      </c:valAx>
      <c:valAx>
        <c:axId val="138928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918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АД_РЕГРЕССИЯ_Полином5!$F$29:$F$38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АД_РЕГРЕССИЯ_Полином5!$G$29:$G$38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FC-4C4C-BD4F-90C12B6E5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93120"/>
        <c:axId val="139095040"/>
      </c:scatterChart>
      <c:valAx>
        <c:axId val="13909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095040"/>
        <c:crosses val="autoZero"/>
        <c:crossBetween val="midCat"/>
      </c:valAx>
      <c:valAx>
        <c:axId val="13909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093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/>
              <a:t>Поле корреляции (полином 5 ст)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5"/>
            <c:dispRSqr val="1"/>
            <c:dispEq val="1"/>
            <c:trendlineLbl>
              <c:layout>
                <c:manualLayout>
                  <c:x val="0.4539770546433175"/>
                  <c:y val="-4.2746140901252776E-2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F28-4095-8762-931242B17C58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5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5 степени'!$H$5:$H$14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08512"/>
        <c:axId val="139410432"/>
      </c:scatterChart>
      <c:valAx>
        <c:axId val="139408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410432"/>
        <c:crosses val="autoZero"/>
        <c:crossBetween val="midCat"/>
      </c:valAx>
      <c:valAx>
        <c:axId val="13941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40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2B-48AC-8CC6-A0729A0F1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00768"/>
        <c:axId val="139202944"/>
      </c:scatterChart>
      <c:valAx>
        <c:axId val="13920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202944"/>
        <c:crosses val="autoZero"/>
        <c:crossBetween val="midCat"/>
      </c:valAx>
      <c:valAx>
        <c:axId val="139202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200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4C-4181-8224-560D81E63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36096"/>
        <c:axId val="139238016"/>
      </c:scatterChart>
      <c:valAx>
        <c:axId val="139236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238016"/>
        <c:crosses val="autoZero"/>
        <c:crossBetween val="midCat"/>
      </c:valAx>
      <c:valAx>
        <c:axId val="139238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23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619-4DD7-B85C-75CF4E0A1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75264"/>
        <c:axId val="139306112"/>
      </c:scatterChart>
      <c:valAx>
        <c:axId val="139275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06112"/>
        <c:crosses val="autoZero"/>
        <c:crossBetween val="midCat"/>
      </c:valAx>
      <c:valAx>
        <c:axId val="139306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275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x⁴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9A8-455D-8255-EB5AF9E0F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31072"/>
        <c:axId val="139332992"/>
      </c:scatterChart>
      <c:valAx>
        <c:axId val="13933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32992"/>
        <c:crosses val="autoZero"/>
        <c:crossBetween val="midCat"/>
      </c:valAx>
      <c:valAx>
        <c:axId val="139332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31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x⁵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5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АД_РЕГРЕССИЯ_Полином5!$C$29:$C$38</c:f>
              <c:numCache>
                <c:formatCode>General</c:formatCode>
                <c:ptCount val="10"/>
                <c:pt idx="0">
                  <c:v>2.1997069805599949</c:v>
                </c:pt>
                <c:pt idx="1">
                  <c:v>0.89108015039880684</c:v>
                </c:pt>
                <c:pt idx="2">
                  <c:v>-2.8472514776240132E-2</c:v>
                </c:pt>
                <c:pt idx="3">
                  <c:v>-1.8858275331876939</c:v>
                </c:pt>
                <c:pt idx="4">
                  <c:v>5.2914955340238521</c:v>
                </c:pt>
                <c:pt idx="5">
                  <c:v>0.41202918577255332</c:v>
                </c:pt>
                <c:pt idx="6">
                  <c:v>-4.7775733448077062E-2</c:v>
                </c:pt>
                <c:pt idx="7">
                  <c:v>-2.0064820397640233</c:v>
                </c:pt>
                <c:pt idx="8">
                  <c:v>-3.7085044659761479</c:v>
                </c:pt>
                <c:pt idx="9">
                  <c:v>-1.1172495636012059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58-4189-8121-45A449AF0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66400"/>
        <c:axId val="139368320"/>
      </c:scatterChart>
      <c:valAx>
        <c:axId val="13936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68320"/>
        <c:crosses val="autoZero"/>
        <c:crossBetween val="midCat"/>
      </c:valAx>
      <c:valAx>
        <c:axId val="139368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66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5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5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6E-42F5-8A84-9D92D836C712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5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АД_РЕГРЕССИЯ_Полином5!$B$29:$B$38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6E-42F5-8A84-9D92D836C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90336"/>
        <c:axId val="139474432"/>
      </c:scatterChart>
      <c:valAx>
        <c:axId val="13939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474432"/>
        <c:crosses val="autoZero"/>
        <c:crossBetween val="midCat"/>
      </c:valAx>
      <c:valAx>
        <c:axId val="139474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90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5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'Полином 5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27-4C83-B926-04B5D41B2154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5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АД_РЕГРЕССИЯ_Полином5!$B$29:$B$38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27-4C83-B926-04B5D41B2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521408"/>
        <c:axId val="139593216"/>
      </c:scatterChart>
      <c:valAx>
        <c:axId val="13952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93216"/>
        <c:crosses val="autoZero"/>
        <c:crossBetween val="midCat"/>
      </c:valAx>
      <c:valAx>
        <c:axId val="139593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214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5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'Полином 5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E1F-4626-A121-4EC28C12ECD7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5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АД_РЕГРЕССИЯ_Полином5!$B$29:$B$38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1F-4626-A121-4EC28C12E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15616"/>
        <c:axId val="139621888"/>
      </c:scatterChart>
      <c:valAx>
        <c:axId val="13961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21888"/>
        <c:crosses val="autoZero"/>
        <c:crossBetween val="midCat"/>
      </c:valAx>
      <c:valAx>
        <c:axId val="139621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15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x⁴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5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'Полином 5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6C-4C34-A9E9-DF2B822BD278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5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АД_РЕГРЕССИЯ_Полином5!$B$29:$B$38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C6C-4C34-A9E9-DF2B822B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26912"/>
        <c:axId val="139933184"/>
      </c:scatterChart>
      <c:valAx>
        <c:axId val="139926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933184"/>
        <c:crosses val="autoZero"/>
        <c:crossBetween val="midCat"/>
      </c:valAx>
      <c:valAx>
        <c:axId val="13993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926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x⁵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5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'Полином 5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A3-4045-957F-16325CF46386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5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АД_РЕГРЕССИЯ_Полином5!$B$29:$B$38</c:f>
              <c:numCache>
                <c:formatCode>General</c:formatCode>
                <c:ptCount val="10"/>
                <c:pt idx="0">
                  <c:v>35.800293019440005</c:v>
                </c:pt>
                <c:pt idx="1">
                  <c:v>25.108919849601193</c:v>
                </c:pt>
                <c:pt idx="2">
                  <c:v>40.02847251477624</c:v>
                </c:pt>
                <c:pt idx="3">
                  <c:v>46.885827533187694</c:v>
                </c:pt>
                <c:pt idx="4">
                  <c:v>45.708504465976148</c:v>
                </c:pt>
                <c:pt idx="5">
                  <c:v>48.587970814227447</c:v>
                </c:pt>
                <c:pt idx="6">
                  <c:v>34.047775733448077</c:v>
                </c:pt>
                <c:pt idx="7">
                  <c:v>37.006482039764023</c:v>
                </c:pt>
                <c:pt idx="8">
                  <c:v>45.708504465976148</c:v>
                </c:pt>
                <c:pt idx="9">
                  <c:v>25.117249563601206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BA3-4045-957F-16325CF46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5584"/>
        <c:axId val="139974144"/>
      </c:scatterChart>
      <c:valAx>
        <c:axId val="13995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974144"/>
        <c:crosses val="autoZero"/>
        <c:crossBetween val="midCat"/>
      </c:valAx>
      <c:valAx>
        <c:axId val="139974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9555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АД_РЕГРЕССИЯ_Полином5!$F$29:$F$38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АД_РЕГРЕССИЯ_Полином5!$G$29:$G$38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AF1-494A-9A21-D1D7AC492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71808"/>
        <c:axId val="139678080"/>
      </c:scatterChart>
      <c:valAx>
        <c:axId val="13967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78080"/>
        <c:crosses val="autoZero"/>
        <c:crossBetween val="midCat"/>
      </c:valAx>
      <c:valAx>
        <c:axId val="139678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71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6 степени'!$A$48:$A$57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xVal>
          <c:yVal>
            <c:numRef>
              <c:f>'Полином 6 степени'!$B$48:$B$57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09920"/>
        <c:axId val="139811840"/>
      </c:scatterChart>
      <c:valAx>
        <c:axId val="139809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811840"/>
        <c:crosses val="autoZero"/>
        <c:crossBetween val="midCat"/>
      </c:valAx>
      <c:valAx>
        <c:axId val="139811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809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АД_РЕГРЕССИЯ_Полином6!$F$30:$F$39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АД_РЕГРЕССИЯ_Полином6!$G$30:$G$39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E6-470B-8183-632E96EE4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53824"/>
        <c:axId val="139855744"/>
      </c:scatterChart>
      <c:valAx>
        <c:axId val="13985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855744"/>
        <c:crosses val="autoZero"/>
        <c:crossBetween val="midCat"/>
      </c:valAx>
      <c:valAx>
        <c:axId val="139855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853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 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189-40EC-84A1-B7E5E3B3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88896"/>
        <c:axId val="139895168"/>
      </c:scatterChart>
      <c:valAx>
        <c:axId val="13988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895168"/>
        <c:crosses val="autoZero"/>
        <c:crossBetween val="midCat"/>
      </c:valAx>
      <c:valAx>
        <c:axId val="139895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888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x² 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3E-48BF-BB08-608AA73C9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89760"/>
        <c:axId val="139991680"/>
      </c:scatterChart>
      <c:valAx>
        <c:axId val="13998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991680"/>
        <c:crosses val="autoZero"/>
        <c:crossBetween val="midCat"/>
      </c:valAx>
      <c:valAx>
        <c:axId val="139991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989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x³  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94-4A2F-8F85-8A18CFA8A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12544"/>
        <c:axId val="140031104"/>
      </c:scatterChart>
      <c:valAx>
        <c:axId val="1400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031104"/>
        <c:crosses val="autoZero"/>
        <c:crossBetween val="midCat"/>
      </c:valAx>
      <c:valAx>
        <c:axId val="140031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01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x⁴ 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17C-4258-AB8E-FED7BDEC1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60160"/>
        <c:axId val="140062080"/>
      </c:scatterChart>
      <c:valAx>
        <c:axId val="140060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062080"/>
        <c:crosses val="autoZero"/>
        <c:crossBetween val="midCat"/>
      </c:valAx>
      <c:valAx>
        <c:axId val="140062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060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x⁵ 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57-435C-A685-EE981F067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07776"/>
        <c:axId val="140109696"/>
      </c:scatterChart>
      <c:valAx>
        <c:axId val="14010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x⁵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109696"/>
        <c:crosses val="autoZero"/>
        <c:crossBetween val="midCat"/>
      </c:valAx>
      <c:valAx>
        <c:axId val="14010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0107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 b="1" i="0" u="none" strike="noStrike" baseline="0">
                <a:effectLst/>
              </a:rPr>
              <a:t>График зависимости остатков от </a:t>
            </a:r>
            <a:r>
              <a:rPr lang="en-US" sz="1400"/>
              <a:t>x⁶  </a:t>
            </a:r>
            <a:endParaRPr lang="ru-RU" sz="14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степени'!$H$5:$H$14</c:f>
              <c:numCache>
                <c:formatCode>General</c:formatCode>
                <c:ptCount val="10"/>
                <c:pt idx="0">
                  <c:v>887503681</c:v>
                </c:pt>
                <c:pt idx="1">
                  <c:v>148035889</c:v>
                </c:pt>
                <c:pt idx="2">
                  <c:v>3010936384</c:v>
                </c:pt>
                <c:pt idx="3">
                  <c:v>10779215329</c:v>
                </c:pt>
                <c:pt idx="4">
                  <c:v>9474296896</c:v>
                </c:pt>
                <c:pt idx="5">
                  <c:v>13841287201</c:v>
                </c:pt>
                <c:pt idx="6">
                  <c:v>64000000</c:v>
                </c:pt>
                <c:pt idx="7">
                  <c:v>1073741824</c:v>
                </c:pt>
                <c:pt idx="8">
                  <c:v>9474296896</c:v>
                </c:pt>
                <c:pt idx="9">
                  <c:v>191102976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A4-4DB4-8294-83728F436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40672"/>
        <c:axId val="209351040"/>
      </c:scatterChart>
      <c:valAx>
        <c:axId val="209340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x⁶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51040"/>
        <c:crosses val="autoZero"/>
        <c:crossBetween val="midCat"/>
      </c:valAx>
      <c:valAx>
        <c:axId val="209351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40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cy-GB"/>
              <a:t>График зависимости остатков от  ŷₓ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Ряд 1</c:v>
          </c:tx>
          <c:spPr>
            <a:ln w="28575">
              <a:noFill/>
            </a:ln>
          </c:spPr>
          <c:xVal>
            <c:numRef>
              <c:f>'Полином 6 степени'!$A$48:$A$57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xVal>
          <c:yVal>
            <c:numRef>
              <c:f>'Полином 6 степени'!$B$48:$B$57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19-474D-8C76-ACD9EC790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76000"/>
        <c:axId val="209377920"/>
      </c:scatterChart>
      <c:valAx>
        <c:axId val="20937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cy-GB"/>
                  <a:t> ŷₓ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377920"/>
        <c:crosses val="autoZero"/>
        <c:crossBetween val="midCat"/>
      </c:valAx>
      <c:valAx>
        <c:axId val="209377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az-Cyrl-AZ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3760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z-Cyrl-AZ"/>
              <a:t>Поле корреляции (полином 6 ст)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45777386379334162"/>
                  <c:y val="2.1575284740783548E-3"/>
                </c:manualLayout>
              </c:layout>
              <c:numFmt formatCode="General" sourceLinked="0"/>
            </c:trendlineLbl>
          </c:trendline>
          <c:xVal>
            <c:numRef>
              <c:f>'ОБЩЕЕ ЗАДАНИЕ'!$B$14:$B$23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'ОБЩЕЕ ЗАДАНИЕ'!$C$14:$C$23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9AB-4DB4-9A30-17227D166FED}"/>
            </c:ext>
          </c:extLst>
        </c:ser>
        <c:ser>
          <c:idx val="1"/>
          <c:order val="1"/>
          <c:tx>
            <c:v>теоретические</c:v>
          </c:tx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'Полином 6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6 степени'!$I$5:$I$14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54208"/>
        <c:axId val="209456128"/>
      </c:scatterChart>
      <c:valAx>
        <c:axId val="20945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</a:t>
                </a:r>
                <a:r>
                  <a:rPr lang="az-Cyrl-AZ"/>
                  <a:t>суточный душевой доход в у.е)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56128"/>
        <c:crosses val="autoZero"/>
        <c:crossBetween val="midCat"/>
      </c:valAx>
      <c:valAx>
        <c:axId val="209456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(</a:t>
                </a:r>
                <a:r>
                  <a:rPr lang="az-Cyrl-AZ"/>
                  <a:t>процент от общего дохода, расходуемый на покупку продовольственных товаров)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454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21-44B4-9E15-F050DF330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37280"/>
        <c:axId val="209547648"/>
      </c:scatterChart>
      <c:valAx>
        <c:axId val="209537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47648"/>
        <c:crosses val="autoZero"/>
        <c:crossBetween val="midCat"/>
      </c:valAx>
      <c:valAx>
        <c:axId val="209547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37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179-4519-A6CF-816F7E7E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80800"/>
        <c:axId val="209582720"/>
      </c:scatterChart>
      <c:valAx>
        <c:axId val="209580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82720"/>
        <c:crosses val="autoZero"/>
        <c:crossBetween val="midCat"/>
      </c:valAx>
      <c:valAx>
        <c:axId val="20958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580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665-48EA-9E8E-2AEA8416D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39488"/>
        <c:axId val="219849856"/>
      </c:scatterChart>
      <c:valAx>
        <c:axId val="21983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849856"/>
        <c:crosses val="autoZero"/>
        <c:crossBetween val="midCat"/>
      </c:valAx>
      <c:valAx>
        <c:axId val="219849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83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x⁴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6E-4215-9857-9A8D89882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41056"/>
        <c:axId val="220142976"/>
      </c:scatterChart>
      <c:valAx>
        <c:axId val="22014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142976"/>
        <c:crosses val="autoZero"/>
        <c:crossBetween val="midCat"/>
      </c:valAx>
      <c:valAx>
        <c:axId val="22014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141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x⁵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913-4AA0-8822-943FD60DD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76384"/>
        <c:axId val="220178304"/>
      </c:scatterChart>
      <c:valAx>
        <c:axId val="22017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178304"/>
        <c:crosses val="autoZero"/>
        <c:crossBetween val="midCat"/>
      </c:valAx>
      <c:valAx>
        <c:axId val="220178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176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x⁶ 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'Полином 6 степени'!$H$5:$H$14</c:f>
              <c:numCache>
                <c:formatCode>General</c:formatCode>
                <c:ptCount val="10"/>
                <c:pt idx="0">
                  <c:v>887503681</c:v>
                </c:pt>
                <c:pt idx="1">
                  <c:v>148035889</c:v>
                </c:pt>
                <c:pt idx="2">
                  <c:v>3010936384</c:v>
                </c:pt>
                <c:pt idx="3">
                  <c:v>10779215329</c:v>
                </c:pt>
                <c:pt idx="4">
                  <c:v>9474296896</c:v>
                </c:pt>
                <c:pt idx="5">
                  <c:v>13841287201</c:v>
                </c:pt>
                <c:pt idx="6">
                  <c:v>64000000</c:v>
                </c:pt>
                <c:pt idx="7">
                  <c:v>1073741824</c:v>
                </c:pt>
                <c:pt idx="8">
                  <c:v>9474296896</c:v>
                </c:pt>
                <c:pt idx="9">
                  <c:v>191102976</c:v>
                </c:pt>
              </c:numCache>
            </c:numRef>
          </c:xVal>
          <c:yVal>
            <c:numRef>
              <c:f>АД_РЕГРЕССИЯ_Полином6!$C$30:$C$39</c:f>
              <c:numCache>
                <c:formatCode>General</c:formatCode>
                <c:ptCount val="10"/>
                <c:pt idx="0">
                  <c:v>1.733437542464344</c:v>
                </c:pt>
                <c:pt idx="1">
                  <c:v>1.7263181993105263</c:v>
                </c:pt>
                <c:pt idx="2">
                  <c:v>-7.7114183823141502E-2</c:v>
                </c:pt>
                <c:pt idx="3">
                  <c:v>-0.9890251042379532</c:v>
                </c:pt>
                <c:pt idx="4">
                  <c:v>4.9349560826813104</c:v>
                </c:pt>
                <c:pt idx="5">
                  <c:v>0.1987807689292822</c:v>
                </c:pt>
                <c:pt idx="6">
                  <c:v>-0.16929837737978914</c:v>
                </c:pt>
                <c:pt idx="7">
                  <c:v>-1.4206686230936612</c:v>
                </c:pt>
                <c:pt idx="8">
                  <c:v>-4.0650439173186896</c:v>
                </c:pt>
                <c:pt idx="9">
                  <c:v>-1.8723423876358538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14C-4923-8BE8-FB35F325E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91968"/>
        <c:axId val="219894144"/>
      </c:scatterChart>
      <c:valAx>
        <c:axId val="219891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x⁶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894144"/>
        <c:crosses val="autoZero"/>
        <c:crossBetween val="midCat"/>
      </c:valAx>
      <c:valAx>
        <c:axId val="219894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89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6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'Полином 6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04-4B3A-847E-57D861A227D4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6 степени'!$C$5:$C$14</c:f>
              <c:numCache>
                <c:formatCode>General</c:formatCode>
                <c:ptCount val="10"/>
                <c:pt idx="0">
                  <c:v>31</c:v>
                </c:pt>
                <c:pt idx="1">
                  <c:v>23</c:v>
                </c:pt>
                <c:pt idx="2">
                  <c:v>38</c:v>
                </c:pt>
                <c:pt idx="3">
                  <c:v>47</c:v>
                </c:pt>
                <c:pt idx="4">
                  <c:v>46</c:v>
                </c:pt>
                <c:pt idx="5">
                  <c:v>49</c:v>
                </c:pt>
                <c:pt idx="6">
                  <c:v>20</c:v>
                </c:pt>
                <c:pt idx="7">
                  <c:v>32</c:v>
                </c:pt>
                <c:pt idx="8">
                  <c:v>46</c:v>
                </c:pt>
                <c:pt idx="9">
                  <c:v>24</c:v>
                </c:pt>
              </c:numCache>
            </c:numRef>
          </c:xVal>
          <c:yVal>
            <c:numRef>
              <c:f>АД_РЕГРЕССИЯ_Полином6!$B$30:$B$39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04-4B3A-847E-57D861A22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20256"/>
        <c:axId val="219926528"/>
      </c:scatterChart>
      <c:valAx>
        <c:axId val="219920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926528"/>
        <c:crosses val="autoZero"/>
        <c:crossBetween val="midCat"/>
      </c:valAx>
      <c:valAx>
        <c:axId val="21992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920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x²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6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'Полином 6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EE-42FA-A4CF-685E272FD22F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6 степени'!$D$5:$D$14</c:f>
              <c:numCache>
                <c:formatCode>General</c:formatCode>
                <c:ptCount val="10"/>
                <c:pt idx="0">
                  <c:v>961</c:v>
                </c:pt>
                <c:pt idx="1">
                  <c:v>529</c:v>
                </c:pt>
                <c:pt idx="2">
                  <c:v>1444</c:v>
                </c:pt>
                <c:pt idx="3">
                  <c:v>2209</c:v>
                </c:pt>
                <c:pt idx="4">
                  <c:v>2116</c:v>
                </c:pt>
                <c:pt idx="5">
                  <c:v>2401</c:v>
                </c:pt>
                <c:pt idx="6">
                  <c:v>400</c:v>
                </c:pt>
                <c:pt idx="7">
                  <c:v>1024</c:v>
                </c:pt>
                <c:pt idx="8">
                  <c:v>2116</c:v>
                </c:pt>
                <c:pt idx="9">
                  <c:v>576</c:v>
                </c:pt>
              </c:numCache>
            </c:numRef>
          </c:xVal>
          <c:yVal>
            <c:numRef>
              <c:f>АД_РЕГРЕССИЯ_Полином6!$B$30:$B$39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EE-42FA-A4CF-685E272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973504"/>
        <c:axId val="219979776"/>
      </c:scatterChart>
      <c:valAx>
        <c:axId val="219973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979776"/>
        <c:crosses val="autoZero"/>
        <c:crossBetween val="midCat"/>
      </c:valAx>
      <c:valAx>
        <c:axId val="219979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973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x³ 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6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'Полином 6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0ED-4084-B2DD-78A9D33E70FD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6 степени'!$E$5:$E$14</c:f>
              <c:numCache>
                <c:formatCode>General</c:formatCode>
                <c:ptCount val="10"/>
                <c:pt idx="0">
                  <c:v>29791</c:v>
                </c:pt>
                <c:pt idx="1">
                  <c:v>12167</c:v>
                </c:pt>
                <c:pt idx="2">
                  <c:v>54872</c:v>
                </c:pt>
                <c:pt idx="3">
                  <c:v>103823</c:v>
                </c:pt>
                <c:pt idx="4">
                  <c:v>97336</c:v>
                </c:pt>
                <c:pt idx="5">
                  <c:v>117649</c:v>
                </c:pt>
                <c:pt idx="6">
                  <c:v>8000</c:v>
                </c:pt>
                <c:pt idx="7">
                  <c:v>32768</c:v>
                </c:pt>
                <c:pt idx="8">
                  <c:v>97336</c:v>
                </c:pt>
                <c:pt idx="9">
                  <c:v>13824</c:v>
                </c:pt>
              </c:numCache>
            </c:numRef>
          </c:xVal>
          <c:yVal>
            <c:numRef>
              <c:f>АД_РЕГРЕССИЯ_Полином6!$B$30:$B$39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0ED-4084-B2DD-78A9D33E7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002176"/>
        <c:axId val="220073984"/>
      </c:scatterChart>
      <c:valAx>
        <c:axId val="22000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x³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073984"/>
        <c:crosses val="autoZero"/>
        <c:crossBetween val="midCat"/>
      </c:valAx>
      <c:valAx>
        <c:axId val="220073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002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x⁴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6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'Полином 6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DB-40C4-854F-38AF311149C3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6 степени'!$F$5:$F$14</c:f>
              <c:numCache>
                <c:formatCode>General</c:formatCode>
                <c:ptCount val="10"/>
                <c:pt idx="0">
                  <c:v>923521</c:v>
                </c:pt>
                <c:pt idx="1">
                  <c:v>279841</c:v>
                </c:pt>
                <c:pt idx="2">
                  <c:v>2085136</c:v>
                </c:pt>
                <c:pt idx="3">
                  <c:v>4879681</c:v>
                </c:pt>
                <c:pt idx="4">
                  <c:v>4477456</c:v>
                </c:pt>
                <c:pt idx="5">
                  <c:v>5764801</c:v>
                </c:pt>
                <c:pt idx="6">
                  <c:v>160000</c:v>
                </c:pt>
                <c:pt idx="7">
                  <c:v>1048576</c:v>
                </c:pt>
                <c:pt idx="8">
                  <c:v>4477456</c:v>
                </c:pt>
                <c:pt idx="9">
                  <c:v>331776</c:v>
                </c:pt>
              </c:numCache>
            </c:numRef>
          </c:xVal>
          <c:yVal>
            <c:numRef>
              <c:f>АД_РЕГРЕССИЯ_Полином6!$B$30:$B$39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3DB-40C4-854F-38AF31114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112768"/>
        <c:axId val="220119040"/>
      </c:scatterChart>
      <c:valAx>
        <c:axId val="22011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119040"/>
        <c:crosses val="autoZero"/>
        <c:crossBetween val="midCat"/>
      </c:valAx>
      <c:valAx>
        <c:axId val="220119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1127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x⁵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6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'Полином 6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81E-4767-9616-12D4EBA2EBFF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6 степени'!$G$5:$G$14</c:f>
              <c:numCache>
                <c:formatCode>General</c:formatCode>
                <c:ptCount val="10"/>
                <c:pt idx="0">
                  <c:v>28629151</c:v>
                </c:pt>
                <c:pt idx="1">
                  <c:v>6436343</c:v>
                </c:pt>
                <c:pt idx="2">
                  <c:v>79235168</c:v>
                </c:pt>
                <c:pt idx="3">
                  <c:v>229345007</c:v>
                </c:pt>
                <c:pt idx="4">
                  <c:v>205962976</c:v>
                </c:pt>
                <c:pt idx="5">
                  <c:v>282475249</c:v>
                </c:pt>
                <c:pt idx="6">
                  <c:v>3200000</c:v>
                </c:pt>
                <c:pt idx="7">
                  <c:v>33554432</c:v>
                </c:pt>
                <c:pt idx="8">
                  <c:v>205962976</c:v>
                </c:pt>
                <c:pt idx="9">
                  <c:v>7962624</c:v>
                </c:pt>
              </c:numCache>
            </c:numRef>
          </c:xVal>
          <c:yVal>
            <c:numRef>
              <c:f>АД_РЕГРЕССИЯ_Полином6!$B$30:$B$39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81E-4767-9616-12D4EBA2E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219648"/>
        <c:axId val="220234112"/>
      </c:scatterChart>
      <c:valAx>
        <c:axId val="22021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234112"/>
        <c:crosses val="autoZero"/>
        <c:crossBetween val="midCat"/>
      </c:valAx>
      <c:valAx>
        <c:axId val="220234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219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x⁶ 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 </c:v>
          </c:tx>
          <c:spPr>
            <a:ln w="28575">
              <a:noFill/>
            </a:ln>
          </c:spPr>
          <c:xVal>
            <c:numRef>
              <c:f>'Полином 6 степени'!$H$5:$H$14</c:f>
              <c:numCache>
                <c:formatCode>General</c:formatCode>
                <c:ptCount val="10"/>
                <c:pt idx="0">
                  <c:v>887503681</c:v>
                </c:pt>
                <c:pt idx="1">
                  <c:v>148035889</c:v>
                </c:pt>
                <c:pt idx="2">
                  <c:v>3010936384</c:v>
                </c:pt>
                <c:pt idx="3">
                  <c:v>10779215329</c:v>
                </c:pt>
                <c:pt idx="4">
                  <c:v>9474296896</c:v>
                </c:pt>
                <c:pt idx="5">
                  <c:v>13841287201</c:v>
                </c:pt>
                <c:pt idx="6">
                  <c:v>64000000</c:v>
                </c:pt>
                <c:pt idx="7">
                  <c:v>1073741824</c:v>
                </c:pt>
                <c:pt idx="8">
                  <c:v>9474296896</c:v>
                </c:pt>
                <c:pt idx="9">
                  <c:v>191102976</c:v>
                </c:pt>
              </c:numCache>
            </c:numRef>
          </c:xVal>
          <c:yVal>
            <c:numRef>
              <c:f>'Полином 6 степени'!$B$5:$B$14</c:f>
              <c:numCache>
                <c:formatCode>General</c:formatCode>
                <c:ptCount val="10"/>
                <c:pt idx="0">
                  <c:v>38</c:v>
                </c:pt>
                <c:pt idx="1">
                  <c:v>26</c:v>
                </c:pt>
                <c:pt idx="2">
                  <c:v>40</c:v>
                </c:pt>
                <c:pt idx="3">
                  <c:v>45</c:v>
                </c:pt>
                <c:pt idx="4">
                  <c:v>51</c:v>
                </c:pt>
                <c:pt idx="5">
                  <c:v>49</c:v>
                </c:pt>
                <c:pt idx="6">
                  <c:v>34</c:v>
                </c:pt>
                <c:pt idx="7">
                  <c:v>35</c:v>
                </c:pt>
                <c:pt idx="8">
                  <c:v>42</c:v>
                </c:pt>
                <c:pt idx="9">
                  <c:v>24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F6A-4534-9E18-0786DCA98B24}"/>
            </c:ext>
          </c:extLst>
        </c:ser>
        <c:ser>
          <c:idx val="1"/>
          <c:order val="1"/>
          <c:tx>
            <c:v>Предсказанное y </c:v>
          </c:tx>
          <c:spPr>
            <a:ln w="28575">
              <a:noFill/>
            </a:ln>
          </c:spPr>
          <c:xVal>
            <c:numRef>
              <c:f>'Полином 6 степени'!$H$5:$H$14</c:f>
              <c:numCache>
                <c:formatCode>General</c:formatCode>
                <c:ptCount val="10"/>
                <c:pt idx="0">
                  <c:v>887503681</c:v>
                </c:pt>
                <c:pt idx="1">
                  <c:v>148035889</c:v>
                </c:pt>
                <c:pt idx="2">
                  <c:v>3010936384</c:v>
                </c:pt>
                <c:pt idx="3">
                  <c:v>10779215329</c:v>
                </c:pt>
                <c:pt idx="4">
                  <c:v>9474296896</c:v>
                </c:pt>
                <c:pt idx="5">
                  <c:v>13841287201</c:v>
                </c:pt>
                <c:pt idx="6">
                  <c:v>64000000</c:v>
                </c:pt>
                <c:pt idx="7">
                  <c:v>1073741824</c:v>
                </c:pt>
                <c:pt idx="8">
                  <c:v>9474296896</c:v>
                </c:pt>
                <c:pt idx="9">
                  <c:v>191102976</c:v>
                </c:pt>
              </c:numCache>
            </c:numRef>
          </c:xVal>
          <c:yVal>
            <c:numRef>
              <c:f>АД_РЕГРЕССИЯ_Полином6!$B$30:$B$39</c:f>
              <c:numCache>
                <c:formatCode>General</c:formatCode>
                <c:ptCount val="10"/>
                <c:pt idx="0">
                  <c:v>36.266562457535656</c:v>
                </c:pt>
                <c:pt idx="1">
                  <c:v>24.273681800689474</c:v>
                </c:pt>
                <c:pt idx="2">
                  <c:v>40.077114183823142</c:v>
                </c:pt>
                <c:pt idx="3">
                  <c:v>45.989025104237953</c:v>
                </c:pt>
                <c:pt idx="4">
                  <c:v>46.06504391731869</c:v>
                </c:pt>
                <c:pt idx="5">
                  <c:v>48.801219231070718</c:v>
                </c:pt>
                <c:pt idx="6">
                  <c:v>34.169298377379789</c:v>
                </c:pt>
                <c:pt idx="7">
                  <c:v>36.420668623093661</c:v>
                </c:pt>
                <c:pt idx="8">
                  <c:v>46.06504391731869</c:v>
                </c:pt>
                <c:pt idx="9">
                  <c:v>25.872342387635854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F6A-4534-9E18-0786DCA98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530944"/>
        <c:axId val="220537216"/>
      </c:scatterChart>
      <c:valAx>
        <c:axId val="220530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x⁶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537216"/>
        <c:crosses val="autoZero"/>
        <c:crossBetween val="midCat"/>
      </c:valAx>
      <c:valAx>
        <c:axId val="220537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53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АД_РЕГРЕССИЯ_Полином6!$F$30:$F$39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АД_РЕГРЕССИЯ_Полином6!$G$30:$G$39</c:f>
              <c:numCache>
                <c:formatCode>General</c:formatCode>
                <c:ptCount val="10"/>
                <c:pt idx="0">
                  <c:v>24</c:v>
                </c:pt>
                <c:pt idx="1">
                  <c:v>26</c:v>
                </c:pt>
                <c:pt idx="2">
                  <c:v>34</c:v>
                </c:pt>
                <c:pt idx="3">
                  <c:v>35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45</c:v>
                </c:pt>
                <c:pt idx="8">
                  <c:v>49</c:v>
                </c:pt>
                <c:pt idx="9">
                  <c:v>51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F0B-455B-94E9-162075D86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0558464"/>
        <c:axId val="220560384"/>
      </c:scatterChart>
      <c:valAx>
        <c:axId val="220558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560384"/>
        <c:crosses val="autoZero"/>
        <c:crossBetween val="midCat"/>
      </c:valAx>
      <c:valAx>
        <c:axId val="220560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0558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9.xml"/><Relationship Id="rId3" Type="http://schemas.openxmlformats.org/officeDocument/2006/relationships/image" Target="../media/image2.png"/><Relationship Id="rId7" Type="http://schemas.openxmlformats.org/officeDocument/2006/relationships/chart" Target="../charts/chart3.xml"/><Relationship Id="rId12" Type="http://schemas.openxmlformats.org/officeDocument/2006/relationships/chart" Target="../charts/chart8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11" Type="http://schemas.openxmlformats.org/officeDocument/2006/relationships/chart" Target="../charts/chart7.xml"/><Relationship Id="rId5" Type="http://schemas.openxmlformats.org/officeDocument/2006/relationships/image" Target="../media/image4.png"/><Relationship Id="rId10" Type="http://schemas.openxmlformats.org/officeDocument/2006/relationships/chart" Target="../charts/chart6.xml"/><Relationship Id="rId4" Type="http://schemas.openxmlformats.org/officeDocument/2006/relationships/image" Target="../media/image3.png"/><Relationship Id="rId9" Type="http://schemas.openxmlformats.org/officeDocument/2006/relationships/chart" Target="../charts/chart5.xml"/><Relationship Id="rId14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2.xml"/><Relationship Id="rId7" Type="http://schemas.openxmlformats.org/officeDocument/2006/relationships/chart" Target="../charts/chart15.xml"/><Relationship Id="rId2" Type="http://schemas.openxmlformats.org/officeDocument/2006/relationships/chart" Target="../charts/chart11.xml"/><Relationship Id="rId1" Type="http://schemas.openxmlformats.org/officeDocument/2006/relationships/image" Target="../media/image5.png"/><Relationship Id="rId6" Type="http://schemas.openxmlformats.org/officeDocument/2006/relationships/chart" Target="../charts/chart14.xml"/><Relationship Id="rId5" Type="http://schemas.openxmlformats.org/officeDocument/2006/relationships/image" Target="../media/image6.png"/><Relationship Id="rId4" Type="http://schemas.openxmlformats.org/officeDocument/2006/relationships/chart" Target="../charts/chart13.xml"/><Relationship Id="rId9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1.xml"/><Relationship Id="rId7" Type="http://schemas.openxmlformats.org/officeDocument/2006/relationships/chart" Target="../charts/chart24.xml"/><Relationship Id="rId12" Type="http://schemas.openxmlformats.org/officeDocument/2006/relationships/chart" Target="../charts/chart27.xml"/><Relationship Id="rId2" Type="http://schemas.openxmlformats.org/officeDocument/2006/relationships/image" Target="../media/image7.png"/><Relationship Id="rId1" Type="http://schemas.openxmlformats.org/officeDocument/2006/relationships/image" Target="../media/image4.png"/><Relationship Id="rId6" Type="http://schemas.openxmlformats.org/officeDocument/2006/relationships/image" Target="../media/image6.png"/><Relationship Id="rId11" Type="http://schemas.openxmlformats.org/officeDocument/2006/relationships/chart" Target="../charts/chart26.xml"/><Relationship Id="rId5" Type="http://schemas.openxmlformats.org/officeDocument/2006/relationships/chart" Target="../charts/chart23.xml"/><Relationship Id="rId10" Type="http://schemas.openxmlformats.org/officeDocument/2006/relationships/image" Target="../media/image9.png"/><Relationship Id="rId4" Type="http://schemas.openxmlformats.org/officeDocument/2006/relationships/chart" Target="../charts/chart22.xml"/><Relationship Id="rId9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3" Type="http://schemas.openxmlformats.org/officeDocument/2006/relationships/image" Target="../media/image11.png"/><Relationship Id="rId7" Type="http://schemas.openxmlformats.org/officeDocument/2006/relationships/chart" Target="../charts/chart33.xml"/><Relationship Id="rId2" Type="http://schemas.openxmlformats.org/officeDocument/2006/relationships/image" Target="../media/image10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11" Type="http://schemas.openxmlformats.org/officeDocument/2006/relationships/chart" Target="../charts/chart37.xml"/><Relationship Id="rId5" Type="http://schemas.openxmlformats.org/officeDocument/2006/relationships/chart" Target="../charts/chart32.xml"/><Relationship Id="rId10" Type="http://schemas.openxmlformats.org/officeDocument/2006/relationships/chart" Target="../charts/chart36.xml"/><Relationship Id="rId4" Type="http://schemas.openxmlformats.org/officeDocument/2006/relationships/chart" Target="../charts/chart31.xml"/><Relationship Id="rId9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3" Type="http://schemas.openxmlformats.org/officeDocument/2006/relationships/image" Target="../media/image11.png"/><Relationship Id="rId7" Type="http://schemas.openxmlformats.org/officeDocument/2006/relationships/chart" Target="../charts/chart43.xml"/><Relationship Id="rId2" Type="http://schemas.openxmlformats.org/officeDocument/2006/relationships/image" Target="../media/image10.png"/><Relationship Id="rId1" Type="http://schemas.openxmlformats.org/officeDocument/2006/relationships/image" Target="../media/image3.png"/><Relationship Id="rId6" Type="http://schemas.openxmlformats.org/officeDocument/2006/relationships/chart" Target="../charts/chart42.xml"/><Relationship Id="rId5" Type="http://schemas.openxmlformats.org/officeDocument/2006/relationships/image" Target="../media/image6.png"/><Relationship Id="rId10" Type="http://schemas.openxmlformats.org/officeDocument/2006/relationships/chart" Target="../charts/chart46.xml"/><Relationship Id="rId4" Type="http://schemas.openxmlformats.org/officeDocument/2006/relationships/chart" Target="../charts/chart41.xml"/><Relationship Id="rId9" Type="http://schemas.openxmlformats.org/officeDocument/2006/relationships/chart" Target="../charts/chart4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2.xml"/><Relationship Id="rId7" Type="http://schemas.openxmlformats.org/officeDocument/2006/relationships/chart" Target="../charts/chart55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4.xml"/><Relationship Id="rId5" Type="http://schemas.openxmlformats.org/officeDocument/2006/relationships/image" Target="../media/image12.png"/><Relationship Id="rId4" Type="http://schemas.openxmlformats.org/officeDocument/2006/relationships/chart" Target="../charts/chart53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8.xml"/><Relationship Id="rId2" Type="http://schemas.openxmlformats.org/officeDocument/2006/relationships/chart" Target="../charts/chart57.xml"/><Relationship Id="rId1" Type="http://schemas.openxmlformats.org/officeDocument/2006/relationships/chart" Target="../charts/chart56.xml"/><Relationship Id="rId5" Type="http://schemas.openxmlformats.org/officeDocument/2006/relationships/chart" Target="../charts/chart60.xml"/><Relationship Id="rId4" Type="http://schemas.openxmlformats.org/officeDocument/2006/relationships/chart" Target="../charts/chart59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3.xml"/><Relationship Id="rId7" Type="http://schemas.openxmlformats.org/officeDocument/2006/relationships/chart" Target="../charts/chart67.xml"/><Relationship Id="rId2" Type="http://schemas.openxmlformats.org/officeDocument/2006/relationships/chart" Target="../charts/chart62.xml"/><Relationship Id="rId1" Type="http://schemas.openxmlformats.org/officeDocument/2006/relationships/chart" Target="../charts/chart61.xml"/><Relationship Id="rId6" Type="http://schemas.openxmlformats.org/officeDocument/2006/relationships/chart" Target="../charts/chart66.xml"/><Relationship Id="rId5" Type="http://schemas.openxmlformats.org/officeDocument/2006/relationships/chart" Target="../charts/chart65.xml"/><Relationship Id="rId4" Type="http://schemas.openxmlformats.org/officeDocument/2006/relationships/chart" Target="../charts/chart6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0.xml"/><Relationship Id="rId7" Type="http://schemas.openxmlformats.org/officeDocument/2006/relationships/chart" Target="../charts/chart74.xml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3.xml"/><Relationship Id="rId5" Type="http://schemas.openxmlformats.org/officeDocument/2006/relationships/chart" Target="../charts/chart72.xml"/><Relationship Id="rId4" Type="http://schemas.openxmlformats.org/officeDocument/2006/relationships/chart" Target="../charts/chart71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2.xml"/><Relationship Id="rId3" Type="http://schemas.openxmlformats.org/officeDocument/2006/relationships/chart" Target="../charts/chart77.xml"/><Relationship Id="rId7" Type="http://schemas.openxmlformats.org/officeDocument/2006/relationships/chart" Target="../charts/chart81.xml"/><Relationship Id="rId2" Type="http://schemas.openxmlformats.org/officeDocument/2006/relationships/chart" Target="../charts/chart76.xml"/><Relationship Id="rId1" Type="http://schemas.openxmlformats.org/officeDocument/2006/relationships/chart" Target="../charts/chart75.xml"/><Relationship Id="rId6" Type="http://schemas.openxmlformats.org/officeDocument/2006/relationships/chart" Target="../charts/chart80.xml"/><Relationship Id="rId5" Type="http://schemas.openxmlformats.org/officeDocument/2006/relationships/chart" Target="../charts/chart79.xml"/><Relationship Id="rId4" Type="http://schemas.openxmlformats.org/officeDocument/2006/relationships/chart" Target="../charts/chart78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0.xml"/><Relationship Id="rId3" Type="http://schemas.openxmlformats.org/officeDocument/2006/relationships/chart" Target="../charts/chart85.xml"/><Relationship Id="rId7" Type="http://schemas.openxmlformats.org/officeDocument/2006/relationships/chart" Target="../charts/chart89.xml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8.xml"/><Relationship Id="rId5" Type="http://schemas.openxmlformats.org/officeDocument/2006/relationships/chart" Target="../charts/chart87.xml"/><Relationship Id="rId4" Type="http://schemas.openxmlformats.org/officeDocument/2006/relationships/chart" Target="../charts/chart86.xml"/><Relationship Id="rId9" Type="http://schemas.openxmlformats.org/officeDocument/2006/relationships/chart" Target="../charts/chart91.xm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9.xml"/><Relationship Id="rId3" Type="http://schemas.openxmlformats.org/officeDocument/2006/relationships/chart" Target="../charts/chart94.xml"/><Relationship Id="rId7" Type="http://schemas.openxmlformats.org/officeDocument/2006/relationships/chart" Target="../charts/chart98.xml"/><Relationship Id="rId2" Type="http://schemas.openxmlformats.org/officeDocument/2006/relationships/chart" Target="../charts/chart93.xml"/><Relationship Id="rId1" Type="http://schemas.openxmlformats.org/officeDocument/2006/relationships/chart" Target="../charts/chart92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Relationship Id="rId9" Type="http://schemas.openxmlformats.org/officeDocument/2006/relationships/chart" Target="../charts/chart100.xm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8.xml"/><Relationship Id="rId3" Type="http://schemas.openxmlformats.org/officeDocument/2006/relationships/chart" Target="../charts/chart103.xml"/><Relationship Id="rId7" Type="http://schemas.openxmlformats.org/officeDocument/2006/relationships/chart" Target="../charts/chart107.xml"/><Relationship Id="rId2" Type="http://schemas.openxmlformats.org/officeDocument/2006/relationships/chart" Target="../charts/chart102.xml"/><Relationship Id="rId1" Type="http://schemas.openxmlformats.org/officeDocument/2006/relationships/chart" Target="../charts/chart101.xml"/><Relationship Id="rId6" Type="http://schemas.openxmlformats.org/officeDocument/2006/relationships/chart" Target="../charts/chart106.xml"/><Relationship Id="rId11" Type="http://schemas.openxmlformats.org/officeDocument/2006/relationships/chart" Target="../charts/chart111.xml"/><Relationship Id="rId5" Type="http://schemas.openxmlformats.org/officeDocument/2006/relationships/chart" Target="../charts/chart105.xml"/><Relationship Id="rId10" Type="http://schemas.openxmlformats.org/officeDocument/2006/relationships/chart" Target="../charts/chart110.xml"/><Relationship Id="rId4" Type="http://schemas.openxmlformats.org/officeDocument/2006/relationships/chart" Target="../charts/chart104.xml"/><Relationship Id="rId9" Type="http://schemas.openxmlformats.org/officeDocument/2006/relationships/chart" Target="../charts/chart109.xml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9.xml"/><Relationship Id="rId3" Type="http://schemas.openxmlformats.org/officeDocument/2006/relationships/chart" Target="../charts/chart114.xml"/><Relationship Id="rId7" Type="http://schemas.openxmlformats.org/officeDocument/2006/relationships/chart" Target="../charts/chart118.xml"/><Relationship Id="rId2" Type="http://schemas.openxmlformats.org/officeDocument/2006/relationships/chart" Target="../charts/chart113.xml"/><Relationship Id="rId1" Type="http://schemas.openxmlformats.org/officeDocument/2006/relationships/chart" Target="../charts/chart112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10" Type="http://schemas.openxmlformats.org/officeDocument/2006/relationships/chart" Target="../charts/chart121.xml"/><Relationship Id="rId4" Type="http://schemas.openxmlformats.org/officeDocument/2006/relationships/chart" Target="../charts/chart115.xml"/><Relationship Id="rId9" Type="http://schemas.openxmlformats.org/officeDocument/2006/relationships/chart" Target="../charts/chart120.xml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9.xml"/><Relationship Id="rId13" Type="http://schemas.openxmlformats.org/officeDocument/2006/relationships/chart" Target="../charts/chart134.xml"/><Relationship Id="rId3" Type="http://schemas.openxmlformats.org/officeDocument/2006/relationships/chart" Target="../charts/chart124.xml"/><Relationship Id="rId7" Type="http://schemas.openxmlformats.org/officeDocument/2006/relationships/chart" Target="../charts/chart128.xml"/><Relationship Id="rId12" Type="http://schemas.openxmlformats.org/officeDocument/2006/relationships/chart" Target="../charts/chart133.xml"/><Relationship Id="rId2" Type="http://schemas.openxmlformats.org/officeDocument/2006/relationships/chart" Target="../charts/chart123.xml"/><Relationship Id="rId1" Type="http://schemas.openxmlformats.org/officeDocument/2006/relationships/chart" Target="../charts/chart122.xml"/><Relationship Id="rId6" Type="http://schemas.openxmlformats.org/officeDocument/2006/relationships/chart" Target="../charts/chart127.xml"/><Relationship Id="rId11" Type="http://schemas.openxmlformats.org/officeDocument/2006/relationships/chart" Target="../charts/chart132.xml"/><Relationship Id="rId5" Type="http://schemas.openxmlformats.org/officeDocument/2006/relationships/chart" Target="../charts/chart126.xml"/><Relationship Id="rId10" Type="http://schemas.openxmlformats.org/officeDocument/2006/relationships/chart" Target="../charts/chart131.xml"/><Relationship Id="rId4" Type="http://schemas.openxmlformats.org/officeDocument/2006/relationships/chart" Target="../charts/chart125.xml"/><Relationship Id="rId9" Type="http://schemas.openxmlformats.org/officeDocument/2006/relationships/chart" Target="../charts/chart1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3</xdr:row>
      <xdr:rowOff>46603</xdr:rowOff>
    </xdr:from>
    <xdr:to>
      <xdr:col>9</xdr:col>
      <xdr:colOff>952500</xdr:colOff>
      <xdr:row>8</xdr:row>
      <xdr:rowOff>28542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2416423"/>
          <a:ext cx="6865620" cy="911579"/>
        </a:xfrm>
        <a:prstGeom prst="rect">
          <a:avLst/>
        </a:prstGeom>
      </xdr:spPr>
    </xdr:pic>
    <xdr:clientData/>
  </xdr:twoCellAnchor>
  <xdr:twoCellAnchor>
    <xdr:from>
      <xdr:col>4</xdr:col>
      <xdr:colOff>30480</xdr:colOff>
      <xdr:row>12</xdr:row>
      <xdr:rowOff>15240</xdr:rowOff>
    </xdr:from>
    <xdr:to>
      <xdr:col>9</xdr:col>
      <xdr:colOff>1112520</xdr:colOff>
      <xdr:row>17</xdr:row>
      <xdr:rowOff>82924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000-000003000000}"/>
            </a:ext>
            <a:ext uri="{147F2762-F138-4A5C-976F-8EAC2B608ADB}">
              <a16:predDERef xmlns:a16="http://schemas.microsoft.com/office/drawing/2014/main" xmlns="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11</xdr:col>
      <xdr:colOff>152399</xdr:colOff>
      <xdr:row>25</xdr:row>
      <xdr:rowOff>74060</xdr:rowOff>
    </xdr:from>
    <xdr:ext cx="45719" cy="4571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 flipH="1">
          <a:off x="9014459" y="8806580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9</xdr:col>
      <xdr:colOff>1607821</xdr:colOff>
      <xdr:row>26</xdr:row>
      <xdr:rowOff>68580</xdr:rowOff>
    </xdr:from>
    <xdr:ext cx="53340" cy="4571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8191501" y="8983980"/>
          <a:ext cx="5334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9</xdr:col>
      <xdr:colOff>1539240</xdr:colOff>
      <xdr:row>27</xdr:row>
      <xdr:rowOff>5480</xdr:rowOff>
    </xdr:from>
    <xdr:ext cx="91440" cy="4571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8122920" y="9103760"/>
          <a:ext cx="9144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10</xdr:col>
      <xdr:colOff>381000</xdr:colOff>
      <xdr:row>26</xdr:row>
      <xdr:rowOff>20720</xdr:rowOff>
    </xdr:from>
    <xdr:ext cx="45720" cy="4571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8633460" y="8936120"/>
          <a:ext cx="4572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twoCellAnchor editAs="oneCell">
    <xdr:from>
      <xdr:col>6</xdr:col>
      <xdr:colOff>175260</xdr:colOff>
      <xdr:row>33</xdr:row>
      <xdr:rowOff>350520</xdr:rowOff>
    </xdr:from>
    <xdr:to>
      <xdr:col>7</xdr:col>
      <xdr:colOff>228676</xdr:colOff>
      <xdr:row>33</xdr:row>
      <xdr:rowOff>655346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74820" y="39883080"/>
          <a:ext cx="868755" cy="304826"/>
        </a:xfrm>
        <a:prstGeom prst="rect">
          <a:avLst/>
        </a:prstGeom>
      </xdr:spPr>
    </xdr:pic>
    <xdr:clientData/>
  </xdr:twoCellAnchor>
  <xdr:twoCellAnchor editAs="oneCell">
    <xdr:from>
      <xdr:col>6</xdr:col>
      <xdr:colOff>175260</xdr:colOff>
      <xdr:row>33</xdr:row>
      <xdr:rowOff>685800</xdr:rowOff>
    </xdr:from>
    <xdr:to>
      <xdr:col>7</xdr:col>
      <xdr:colOff>221056</xdr:colOff>
      <xdr:row>33</xdr:row>
      <xdr:rowOff>967764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74820" y="40218360"/>
          <a:ext cx="861135" cy="281964"/>
        </a:xfrm>
        <a:prstGeom prst="rect">
          <a:avLst/>
        </a:prstGeom>
      </xdr:spPr>
    </xdr:pic>
    <xdr:clientData/>
  </xdr:twoCellAnchor>
  <xdr:twoCellAnchor editAs="oneCell">
    <xdr:from>
      <xdr:col>6</xdr:col>
      <xdr:colOff>182880</xdr:colOff>
      <xdr:row>33</xdr:row>
      <xdr:rowOff>91440</xdr:rowOff>
    </xdr:from>
    <xdr:to>
      <xdr:col>8</xdr:col>
      <xdr:colOff>109</xdr:colOff>
      <xdr:row>33</xdr:row>
      <xdr:rowOff>350542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2440" y="39624000"/>
          <a:ext cx="1242168" cy="259102"/>
        </a:xfrm>
        <a:prstGeom prst="rect">
          <a:avLst/>
        </a:prstGeom>
      </xdr:spPr>
    </xdr:pic>
    <xdr:clientData/>
  </xdr:twoCellAnchor>
  <xdr:oneCellAnchor>
    <xdr:from>
      <xdr:col>11</xdr:col>
      <xdr:colOff>281940</xdr:colOff>
      <xdr:row>33</xdr:row>
      <xdr:rowOff>114300</xdr:rowOff>
    </xdr:from>
    <xdr:ext cx="251460" cy="22005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  <a:ext uri="{147F2762-F138-4A5C-976F-8EAC2B608ADB}">
              <a16:predDERef xmlns:a16="http://schemas.microsoft.com/office/drawing/2014/main" xmlns="" pred="{00000000-0008-0000-0000-000018000000}"/>
            </a:ext>
          </a:extLst>
        </xdr:cNvPr>
        <xdr:cNvSpPr txBox="1"/>
      </xdr:nvSpPr>
      <xdr:spPr>
        <a:xfrm>
          <a:off x="9144000" y="39646860"/>
          <a:ext cx="251460" cy="2200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400" b="1">
            <a:latin typeface="+mn-lt"/>
          </a:endParaRPr>
        </a:p>
      </xdr:txBody>
    </xdr:sp>
    <xdr:clientData/>
  </xdr:oneCellAnchor>
  <xdr:oneCellAnchor>
    <xdr:from>
      <xdr:col>12</xdr:col>
      <xdr:colOff>60960</xdr:colOff>
      <xdr:row>33</xdr:row>
      <xdr:rowOff>0</xdr:rowOff>
    </xdr:from>
    <xdr:ext cx="152400" cy="12780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532620" y="39532560"/>
          <a:ext cx="152400" cy="1278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200"/>
        </a:p>
      </xdr:txBody>
    </xdr:sp>
    <xdr:clientData/>
  </xdr:oneCellAnchor>
  <xdr:twoCellAnchor>
    <xdr:from>
      <xdr:col>0</xdr:col>
      <xdr:colOff>220981</xdr:colOff>
      <xdr:row>46</xdr:row>
      <xdr:rowOff>0</xdr:rowOff>
    </xdr:from>
    <xdr:to>
      <xdr:col>6</xdr:col>
      <xdr:colOff>141516</xdr:colOff>
      <xdr:row>60</xdr:row>
      <xdr:rowOff>182879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xmlns="" id="{00000000-0008-0000-0000-00000E000000}"/>
            </a:ext>
            <a:ext uri="{147F2762-F138-4A5C-976F-8EAC2B608ADB}">
              <a16:predDERef xmlns:a16="http://schemas.microsoft.com/office/drawing/2014/main" xmlns="" pre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594360</xdr:colOff>
      <xdr:row>46</xdr:row>
      <xdr:rowOff>38100</xdr:rowOff>
    </xdr:from>
    <xdr:to>
      <xdr:col>12</xdr:col>
      <xdr:colOff>594360</xdr:colOff>
      <xdr:row>61</xdr:row>
      <xdr:rowOff>7620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xmlns="" id="{00000000-0008-0000-0000-000014000000}"/>
            </a:ext>
            <a:ext uri="{147F2762-F138-4A5C-976F-8EAC2B608ADB}">
              <a16:predDERef xmlns:a16="http://schemas.microsoft.com/office/drawing/2014/main" xmlns="" pre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228600</xdr:colOff>
      <xdr:row>61</xdr:row>
      <xdr:rowOff>129540</xdr:rowOff>
    </xdr:from>
    <xdr:to>
      <xdr:col>6</xdr:col>
      <xdr:colOff>152400</xdr:colOff>
      <xdr:row>76</xdr:row>
      <xdr:rowOff>129540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xmlns="" id="{00000000-0008-0000-0000-000015000000}"/>
            </a:ext>
            <a:ext uri="{147F2762-F138-4A5C-976F-8EAC2B608ADB}">
              <a16:predDERef xmlns:a16="http://schemas.microsoft.com/office/drawing/2014/main" xmlns="" pre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586740</xdr:colOff>
      <xdr:row>61</xdr:row>
      <xdr:rowOff>121920</xdr:rowOff>
    </xdr:from>
    <xdr:to>
      <xdr:col>12</xdr:col>
      <xdr:colOff>594360</xdr:colOff>
      <xdr:row>76</xdr:row>
      <xdr:rowOff>101750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xmlns="" id="{00000000-0008-0000-0000-000016000000}"/>
            </a:ext>
            <a:ext uri="{147F2762-F138-4A5C-976F-8EAC2B608ADB}">
              <a16:predDERef xmlns:a16="http://schemas.microsoft.com/office/drawing/2014/main" xmlns="" pre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238126</xdr:colOff>
      <xdr:row>77</xdr:row>
      <xdr:rowOff>152400</xdr:rowOff>
    </xdr:from>
    <xdr:to>
      <xdr:col>6</xdr:col>
      <xdr:colOff>163287</xdr:colOff>
      <xdr:row>93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595E4119-9469-4811-A263-9971E496088F}"/>
            </a:ext>
            <a:ext uri="{147F2762-F138-4A5C-976F-8EAC2B608ADB}">
              <a16:predDERef xmlns:a16="http://schemas.microsoft.com/office/drawing/2014/main" xmlns="" pre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590550</xdr:colOff>
      <xdr:row>77</xdr:row>
      <xdr:rowOff>152400</xdr:rowOff>
    </xdr:from>
    <xdr:to>
      <xdr:col>12</xdr:col>
      <xdr:colOff>579120</xdr:colOff>
      <xdr:row>93</xdr:row>
      <xdr:rowOff>161925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A682D1C2-0B45-4682-AB95-CC41A931DD3D}"/>
            </a:ext>
            <a:ext uri="{147F2762-F138-4A5C-976F-8EAC2B608ADB}">
              <a16:predDERef xmlns:a16="http://schemas.microsoft.com/office/drawing/2014/main" xmlns="" pred="{595E4119-9469-4811-A263-9971E4960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247650</xdr:colOff>
      <xdr:row>94</xdr:row>
      <xdr:rowOff>152400</xdr:rowOff>
    </xdr:from>
    <xdr:to>
      <xdr:col>6</xdr:col>
      <xdr:colOff>174172</xdr:colOff>
      <xdr:row>110</xdr:row>
      <xdr:rowOff>152400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7E8894A-B4A3-410F-8E1A-EA32750F3D67}"/>
            </a:ext>
            <a:ext uri="{147F2762-F138-4A5C-976F-8EAC2B608ADB}">
              <a16:predDERef xmlns:a16="http://schemas.microsoft.com/office/drawing/2014/main" xmlns="" pred="{A682D1C2-0B45-4682-AB95-CC41A931D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581024</xdr:colOff>
      <xdr:row>94</xdr:row>
      <xdr:rowOff>161925</xdr:rowOff>
    </xdr:from>
    <xdr:to>
      <xdr:col>12</xdr:col>
      <xdr:colOff>579120</xdr:colOff>
      <xdr:row>110</xdr:row>
      <xdr:rowOff>123825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xmlns="" id="{8C0B2125-A788-4C25-8777-4AAB8D141B1B}"/>
            </a:ext>
            <a:ext uri="{147F2762-F138-4A5C-976F-8EAC2B608ADB}">
              <a16:predDERef xmlns:a16="http://schemas.microsoft.com/office/drawing/2014/main" xmlns="" pred="{07E8894A-B4A3-410F-8E1A-EA32750F3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247650</xdr:colOff>
      <xdr:row>111</xdr:row>
      <xdr:rowOff>123825</xdr:rowOff>
    </xdr:from>
    <xdr:to>
      <xdr:col>6</xdr:col>
      <xdr:colOff>174172</xdr:colOff>
      <xdr:row>127</xdr:row>
      <xdr:rowOff>104775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xmlns="" id="{96D5C65E-2A58-4810-90F8-B19786627188}"/>
            </a:ext>
            <a:ext uri="{147F2762-F138-4A5C-976F-8EAC2B608ADB}">
              <a16:predDERef xmlns:a16="http://schemas.microsoft.com/office/drawing/2014/main" xmlns="" pred="{8C0B2125-A788-4C25-8777-4AAB8D141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oneCellAnchor>
    <xdr:from>
      <xdr:col>0</xdr:col>
      <xdr:colOff>57151</xdr:colOff>
      <xdr:row>151</xdr:row>
      <xdr:rowOff>90488</xdr:rowOff>
    </xdr:from>
    <xdr:ext cx="826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57151" y="34250948"/>
              <a:ext cx="826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табл</m:t>
                        </m:r>
                      </m:sub>
                    </m:sSub>
                    <m:d>
                      <m:dPr>
                        <m:ctrlPr>
                          <a:rPr lang="ru-RU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0,05;</m:t>
                        </m:r>
                        <m:r>
                          <a:rPr lang="ru-RU" sz="1100" b="0" i="1">
                            <a:latin typeface="Cambria Math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7151" y="34250948"/>
              <a:ext cx="826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табл</a:t>
              </a:r>
              <a:r>
                <a:rPr lang="ru-RU" sz="1100" b="0" i="0">
                  <a:latin typeface="Cambria Math"/>
                </a:rPr>
                <a:t> (</a:t>
              </a:r>
              <a:r>
                <a:rPr lang="en-US" sz="1100" b="0" i="0">
                  <a:latin typeface="Cambria Math" panose="02040503050406030204" pitchFamily="18" charset="0"/>
                </a:rPr>
                <a:t>0,05;</a:t>
              </a:r>
              <a:r>
                <a:rPr lang="ru-RU" sz="1100" b="0" i="0">
                  <a:latin typeface="Cambria Math"/>
                </a:rPr>
                <a:t>8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90487</xdr:colOff>
      <xdr:row>157</xdr:row>
      <xdr:rowOff>76201</xdr:rowOff>
    </xdr:from>
    <xdr:ext cx="748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/>
            <xdr:cNvSpPr txBox="1"/>
          </xdr:nvSpPr>
          <xdr:spPr>
            <a:xfrm>
              <a:off x="90487" y="35867341"/>
              <a:ext cx="748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табл</m:t>
                        </m:r>
                      </m:sub>
                    </m:sSub>
                    <m:d>
                      <m:dPr>
                        <m:ctrlPr>
                          <a:rPr lang="ru-RU" sz="1100" b="0" i="1">
                            <a:latin typeface="Cambria Math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0,1;</m:t>
                        </m:r>
                        <m:r>
                          <a:rPr lang="ru-RU" sz="1100" b="0" i="1">
                            <a:latin typeface="Cambria Math"/>
                          </a:rPr>
                          <m:t>8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90487" y="35867341"/>
              <a:ext cx="748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табл</a:t>
              </a:r>
              <a:r>
                <a:rPr lang="ru-RU" sz="1100" b="0" i="0">
                  <a:latin typeface="Cambria Math"/>
                </a:rPr>
                <a:t> (</a:t>
              </a:r>
              <a:r>
                <a:rPr lang="en-US" sz="1100" b="0" i="0">
                  <a:latin typeface="Cambria Math" panose="02040503050406030204" pitchFamily="18" charset="0"/>
                </a:rPr>
                <a:t>0,1;</a:t>
              </a:r>
              <a:r>
                <a:rPr lang="ru-RU" sz="1100" b="0" i="0">
                  <a:latin typeface="Cambria Math"/>
                </a:rPr>
                <a:t>8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0</xdr:col>
      <xdr:colOff>494824</xdr:colOff>
      <xdr:row>148</xdr:row>
      <xdr:rowOff>76676</xdr:rowOff>
    </xdr:from>
    <xdr:ext cx="170368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494824" y="33467516"/>
              <a:ext cx="17036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494824" y="33467516"/>
              <a:ext cx="17036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313849</xdr:colOff>
      <xdr:row>149</xdr:row>
      <xdr:rowOff>47148</xdr:rowOff>
    </xdr:from>
    <xdr:ext cx="539315" cy="201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/>
            <xdr:cNvSpPr txBox="1"/>
          </xdr:nvSpPr>
          <xdr:spPr>
            <a:xfrm>
              <a:off x="313849" y="33735168"/>
              <a:ext cx="539315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𝑆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313849" y="33735168"/>
              <a:ext cx="539315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𝑚</a:t>
              </a:r>
              <a:r>
                <a:rPr lang="ru-RU" sz="1100" b="0" i="0">
                  <a:latin typeface="Cambria Math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/>
                </a:rPr>
                <a:t> </a:t>
              </a:r>
              <a:r>
                <a:rPr lang="ru-RU" sz="1100" b="0" i="0">
                  <a:latin typeface="Cambria Math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=𝑆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152</xdr:row>
      <xdr:rowOff>99060</xdr:rowOff>
    </xdr:from>
    <xdr:ext cx="1224439" cy="201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/>
            <xdr:cNvSpPr txBox="1"/>
          </xdr:nvSpPr>
          <xdr:spPr>
            <a:xfrm>
              <a:off x="0" y="34556700"/>
              <a:ext cx="1224439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 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табл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0" y="34556700"/>
              <a:ext cx="1224439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/>
                </a:rPr>
                <a:t> </a:t>
              </a:r>
              <a:r>
                <a:rPr lang="ru-RU" sz="1100" b="0" i="0">
                  <a:latin typeface="Cambria Math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=𝑚</a:t>
              </a:r>
              <a:r>
                <a:rPr lang="en-US" sz="1100" b="0" i="0">
                  <a:latin typeface="Cambria Math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табл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33337</xdr:colOff>
      <xdr:row>158</xdr:row>
      <xdr:rowOff>61913</xdr:rowOff>
    </xdr:from>
    <xdr:ext cx="1039131" cy="201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/>
            <xdr:cNvSpPr txBox="1"/>
          </xdr:nvSpPr>
          <xdr:spPr>
            <a:xfrm>
              <a:off x="33337" y="36173093"/>
              <a:ext cx="1039131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sSub>
                          <m:sSubPr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 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табл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33337" y="36173093"/>
              <a:ext cx="1039131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/>
                </a:rPr>
                <a:t> </a:t>
              </a:r>
              <a:r>
                <a:rPr lang="ru-RU" sz="1100" b="0" i="0">
                  <a:latin typeface="Cambria Math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=𝑚</a:t>
              </a:r>
              <a:r>
                <a:rPr lang="en-US" sz="1100" b="0" i="0">
                  <a:latin typeface="Cambria Math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r>
                <a:rPr lang="en-US" sz="1100" b="0" i="0">
                  <a:latin typeface="Cambria Math"/>
                </a:rPr>
                <a:t> )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табл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392907</xdr:colOff>
      <xdr:row>154</xdr:row>
      <xdr:rowOff>66198</xdr:rowOff>
    </xdr:from>
    <xdr:ext cx="656270" cy="201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/>
            <xdr:cNvSpPr txBox="1"/>
          </xdr:nvSpPr>
          <xdr:spPr>
            <a:xfrm>
              <a:off x="392907" y="35202018"/>
              <a:ext cx="656270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392907" y="35202018"/>
              <a:ext cx="656270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325756</xdr:colOff>
      <xdr:row>154</xdr:row>
      <xdr:rowOff>58103</xdr:rowOff>
    </xdr:from>
    <xdr:ext cx="170368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/>
            <xdr:cNvSpPr txBox="1"/>
          </xdr:nvSpPr>
          <xdr:spPr>
            <a:xfrm>
              <a:off x="1514476" y="35193923"/>
              <a:ext cx="17036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514476" y="35193923"/>
              <a:ext cx="17036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34289</xdr:colOff>
      <xdr:row>154</xdr:row>
      <xdr:rowOff>71438</xdr:rowOff>
    </xdr:from>
    <xdr:ext cx="695447" cy="201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/>
            <xdr:cNvSpPr txBox="1"/>
          </xdr:nvSpPr>
          <xdr:spPr>
            <a:xfrm>
              <a:off x="2007869" y="35207258"/>
              <a:ext cx="695447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2007869" y="35207258"/>
              <a:ext cx="695447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200025</xdr:colOff>
      <xdr:row>155</xdr:row>
      <xdr:rowOff>15240</xdr:rowOff>
    </xdr:from>
    <xdr:ext cx="460062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/>
            <xdr:cNvSpPr txBox="1"/>
          </xdr:nvSpPr>
          <xdr:spPr>
            <a:xfrm>
              <a:off x="1388745" y="35471100"/>
              <a:ext cx="46006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1388745" y="35471100"/>
              <a:ext cx="46006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&lt;𝑦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𝑝&lt;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431007</xdr:colOff>
      <xdr:row>160</xdr:row>
      <xdr:rowOff>58578</xdr:rowOff>
    </xdr:from>
    <xdr:ext cx="656270" cy="201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/>
            <xdr:cNvSpPr txBox="1"/>
          </xdr:nvSpPr>
          <xdr:spPr>
            <a:xfrm>
              <a:off x="431007" y="36505038"/>
              <a:ext cx="656270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sub>
                    </m:sSub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431007" y="36505038"/>
              <a:ext cx="656270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𝑝−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318136</xdr:colOff>
      <xdr:row>160</xdr:row>
      <xdr:rowOff>50483</xdr:rowOff>
    </xdr:from>
    <xdr:ext cx="170368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/>
            <xdr:cNvSpPr txBox="1"/>
          </xdr:nvSpPr>
          <xdr:spPr>
            <a:xfrm>
              <a:off x="1506856" y="36496943"/>
              <a:ext cx="17036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1506856" y="36496943"/>
              <a:ext cx="17036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</xdr:col>
      <xdr:colOff>26669</xdr:colOff>
      <xdr:row>160</xdr:row>
      <xdr:rowOff>56198</xdr:rowOff>
    </xdr:from>
    <xdr:ext cx="695447" cy="201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/>
            <xdr:cNvSpPr txBox="1"/>
          </xdr:nvSpPr>
          <xdr:spPr>
            <a:xfrm>
              <a:off x="2000249" y="36502658"/>
              <a:ext cx="695447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</m:e>
                      <m:sub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2000249" y="36502658"/>
              <a:ext cx="695447" cy="201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𝑝+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184785</xdr:colOff>
      <xdr:row>161</xdr:row>
      <xdr:rowOff>0</xdr:rowOff>
    </xdr:from>
    <xdr:ext cx="460062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/>
            <xdr:cNvSpPr txBox="1"/>
          </xdr:nvSpPr>
          <xdr:spPr>
            <a:xfrm>
              <a:off x="1373505" y="36751260"/>
              <a:ext cx="46006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  <m:sSub>
                      <m:sSubPr>
                        <m:ctrlPr>
                          <a:rPr lang="ru-RU" sz="110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&lt;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1373505" y="36751260"/>
              <a:ext cx="460062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&lt;𝑦</a:t>
              </a:r>
              <a:r>
                <a:rPr lang="ru-RU" sz="1100" b="0" i="0">
                  <a:latin typeface="Cambria Math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𝑝&lt;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599122</xdr:colOff>
      <xdr:row>170</xdr:row>
      <xdr:rowOff>41910</xdr:rowOff>
    </xdr:from>
    <xdr:ext cx="65" cy="172227"/>
    <xdr:sp macro="" textlink="">
      <xdr:nvSpPr>
        <xdr:cNvPr id="37" name="TextBox 36"/>
        <xdr:cNvSpPr txBox="1"/>
      </xdr:nvSpPr>
      <xdr:spPr>
        <a:xfrm>
          <a:off x="599122" y="38629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555307</xdr:colOff>
      <xdr:row>170</xdr:row>
      <xdr:rowOff>38100</xdr:rowOff>
    </xdr:from>
    <xdr:ext cx="65" cy="172227"/>
    <xdr:sp macro="" textlink="">
      <xdr:nvSpPr>
        <xdr:cNvPr id="38" name="TextBox 37"/>
        <xdr:cNvSpPr txBox="1"/>
      </xdr:nvSpPr>
      <xdr:spPr>
        <a:xfrm>
          <a:off x="555307" y="386257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1158241</xdr:colOff>
      <xdr:row>173</xdr:row>
      <xdr:rowOff>53339</xdr:rowOff>
    </xdr:from>
    <xdr:ext cx="1143000" cy="344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/>
            <xdr:cNvSpPr txBox="1"/>
          </xdr:nvSpPr>
          <xdr:spPr>
            <a:xfrm>
              <a:off x="1158241" y="39433499"/>
              <a:ext cx="114300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 </a:t>
              </a:r>
              <a14:m>
                <m:oMath xmlns:m="http://schemas.openxmlformats.org/officeDocument/2006/math">
                  <m:r>
                    <m:rPr>
                      <m:nor/>
                    </m:rPr>
                    <a:rPr lang="cy-GB" sz="11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ŷₓ</m:t>
                  </m:r>
                  <m:r>
                    <m:rPr>
                      <m:nor/>
                    </m:rPr>
                    <a:rPr lang="ru-RU" sz="1100" b="0" i="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ru-RU" sz="11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ru-RU" sz="1100" i="1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m:rPr>
                      <m:nor/>
                    </m:rPr>
                    <a:rPr lang="ru-RU" sz="11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3,8657</m:t>
                  </m:r>
                  <m:r>
                    <m:rPr>
                      <m:nor/>
                    </m:rPr>
                    <a:rPr lang="ru-RU" sz="11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x</m:t>
                  </m:r>
                  <m:r>
                    <m:rPr>
                      <m:nor/>
                    </m:rPr>
                    <a:rPr lang="ru-RU" sz="1100" baseline="300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0,6438</m:t>
                  </m:r>
                </m:oMath>
              </a14:m>
              <a:endParaRPr lang="ru-RU">
                <a:effectLst/>
              </a:endParaRPr>
            </a:p>
            <a:p>
              <a:endParaRPr lang="ru-RU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1158241" y="39433499"/>
              <a:ext cx="1143000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/>
                <a:t> </a:t>
              </a:r>
              <a:r>
                <a:rPr lang="cy-GB" sz="110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"ŷₓ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ru-RU" sz="110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3,8657x</a:t>
              </a:r>
              <a:r>
                <a:rPr lang="ru-RU" sz="1100" i="0" baseline="3000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0,6438</a:t>
              </a:r>
              <a:r>
                <a:rPr lang="ru-RU" sz="1100" i="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ru-RU">
                <a:effectLst/>
              </a:endParaRPr>
            </a:p>
            <a:p>
              <a:pPr/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851534</xdr:colOff>
      <xdr:row>174</xdr:row>
      <xdr:rowOff>21908</xdr:rowOff>
    </xdr:from>
    <xdr:ext cx="2398413" cy="2282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/>
            <xdr:cNvSpPr txBox="1"/>
          </xdr:nvSpPr>
          <xdr:spPr>
            <a:xfrm>
              <a:off x="851534" y="39653528"/>
              <a:ext cx="2398413" cy="228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en-US" sz="12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y</m:t>
                            </m:r>
                          </m:e>
                        </m:acc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x</m:t>
                        </m:r>
                      </m:sub>
                    </m:sSub>
                    <m:sSup>
                      <m:sSup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sty m:val="p"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e</m:t>
                        </m:r>
                      </m:e>
                      <m:sup>
                        <m: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2,92+</m:t>
                        </m:r>
                        <m:r>
                          <a:rPr lang="ru-RU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0,019</m:t>
                        </m:r>
                        <m: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7</m:t>
                        </m:r>
                        <m:r>
                          <a:rPr lang="ru-RU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∗х</m:t>
                        </m:r>
                      </m:sup>
                    </m:sSup>
                    <m:r>
                      <a:rPr lang="ru-RU" sz="12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 </m:t>
                    </m:r>
                    <m:sSup>
                      <m:sSup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ru-RU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18,549 </m:t>
                        </m:r>
                        <m:r>
                          <m:rPr>
                            <m:sty m:val="p"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e</m:t>
                        </m:r>
                      </m:e>
                      <m:sup>
                        <m:r>
                          <a:rPr lang="ru-RU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0,019</m:t>
                        </m:r>
                        <m: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7</m:t>
                        </m:r>
                        <m:r>
                          <a:rPr lang="ru-RU" sz="12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∗х</m:t>
                        </m:r>
                      </m:sup>
                    </m:sSup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851534" y="39653528"/>
              <a:ext cx="2398413" cy="2282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y ̂_x 〖=e〗^(2,92+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0,019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18,549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e〗^(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0,019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7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∗х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2</xdr:col>
      <xdr:colOff>434340</xdr:colOff>
      <xdr:row>170</xdr:row>
      <xdr:rowOff>33338</xdr:rowOff>
    </xdr:from>
    <xdr:ext cx="65" cy="172227"/>
    <xdr:sp macro="" textlink="">
      <xdr:nvSpPr>
        <xdr:cNvPr id="41" name="TextBox 40"/>
        <xdr:cNvSpPr txBox="1"/>
      </xdr:nvSpPr>
      <xdr:spPr>
        <a:xfrm>
          <a:off x="2415540" y="386210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106680</xdr:colOff>
      <xdr:row>170</xdr:row>
      <xdr:rowOff>107632</xdr:rowOff>
    </xdr:from>
    <xdr:ext cx="65" cy="172227"/>
    <xdr:sp macro="" textlink="">
      <xdr:nvSpPr>
        <xdr:cNvPr id="42" name="TextBox 41"/>
        <xdr:cNvSpPr txBox="1"/>
      </xdr:nvSpPr>
      <xdr:spPr>
        <a:xfrm>
          <a:off x="106680" y="38695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68580</xdr:colOff>
      <xdr:row>170</xdr:row>
      <xdr:rowOff>55245</xdr:rowOff>
    </xdr:from>
    <xdr:ext cx="65" cy="172227"/>
    <xdr:sp macro="" textlink="">
      <xdr:nvSpPr>
        <xdr:cNvPr id="43" name="TextBox 42"/>
        <xdr:cNvSpPr txBox="1"/>
      </xdr:nvSpPr>
      <xdr:spPr>
        <a:xfrm>
          <a:off x="68580" y="38642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>
            <a:effectLst/>
          </a:endParaRPr>
        </a:p>
      </xdr:txBody>
    </xdr:sp>
    <xdr:clientData/>
  </xdr:oneCellAnchor>
  <xdr:oneCellAnchor>
    <xdr:from>
      <xdr:col>10</xdr:col>
      <xdr:colOff>83820</xdr:colOff>
      <xdr:row>166</xdr:row>
      <xdr:rowOff>109537</xdr:rowOff>
    </xdr:from>
    <xdr:ext cx="3817620" cy="172227"/>
    <xdr:sp macro="" textlink="">
      <xdr:nvSpPr>
        <xdr:cNvPr id="44" name="TextBox 43"/>
        <xdr:cNvSpPr txBox="1"/>
      </xdr:nvSpPr>
      <xdr:spPr>
        <a:xfrm>
          <a:off x="8724900" y="37965697"/>
          <a:ext cx="381762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553403</xdr:colOff>
      <xdr:row>165</xdr:row>
      <xdr:rowOff>152400</xdr:rowOff>
    </xdr:from>
    <xdr:ext cx="1732597" cy="279859"/>
    <xdr:sp macro="" textlink="">
      <xdr:nvSpPr>
        <xdr:cNvPr id="45" name="TextBox 44"/>
        <xdr:cNvSpPr txBox="1"/>
      </xdr:nvSpPr>
      <xdr:spPr>
        <a:xfrm>
          <a:off x="9804083" y="37825680"/>
          <a:ext cx="1732597" cy="279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5</xdr:col>
      <xdr:colOff>266223</xdr:colOff>
      <xdr:row>170</xdr:row>
      <xdr:rowOff>22384</xdr:rowOff>
    </xdr:from>
    <xdr:ext cx="228844" cy="2153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/>
            <xdr:cNvSpPr txBox="1"/>
          </xdr:nvSpPr>
          <xdr:spPr>
            <a:xfrm>
              <a:off x="4236243" y="38610064"/>
              <a:ext cx="228844" cy="215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𝑥𝑦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6" name="TextBox 45"/>
            <xdr:cNvSpPr txBox="1"/>
          </xdr:nvSpPr>
          <xdr:spPr>
            <a:xfrm>
              <a:off x="4236243" y="38610064"/>
              <a:ext cx="228844" cy="2153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𝑝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𝑥𝑦^2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262413</xdr:colOff>
      <xdr:row>170</xdr:row>
      <xdr:rowOff>41434</xdr:rowOff>
    </xdr:from>
    <xdr:ext cx="122533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5878353" y="38629114"/>
              <a:ext cx="122533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5878353" y="38629114"/>
              <a:ext cx="122533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</a:t>
              </a:r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6</xdr:col>
      <xdr:colOff>349091</xdr:colOff>
      <xdr:row>170</xdr:row>
      <xdr:rowOff>42387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/>
            <xdr:cNvSpPr txBox="1"/>
          </xdr:nvSpPr>
          <xdr:spPr>
            <a:xfrm>
              <a:off x="5149691" y="38630067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8" name="TextBox 47"/>
            <xdr:cNvSpPr txBox="1"/>
          </xdr:nvSpPr>
          <xdr:spPr>
            <a:xfrm>
              <a:off x="5149691" y="38630067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8</xdr:col>
      <xdr:colOff>380878</xdr:colOff>
      <xdr:row>170</xdr:row>
      <xdr:rowOff>64735</xdr:rowOff>
    </xdr:from>
    <xdr:ext cx="64826" cy="172227"/>
    <xdr:sp macro="" textlink="">
      <xdr:nvSpPr>
        <xdr:cNvPr id="49" name="TextBox 48"/>
        <xdr:cNvSpPr txBox="1"/>
      </xdr:nvSpPr>
      <xdr:spPr>
        <a:xfrm>
          <a:off x="6606418" y="38652415"/>
          <a:ext cx="64826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F</a:t>
          </a:r>
          <a:endParaRPr lang="ru-RU" sz="1100"/>
        </a:p>
      </xdr:txBody>
    </xdr:sp>
    <xdr:clientData/>
  </xdr:oneCellAnchor>
  <xdr:oneCellAnchor>
    <xdr:from>
      <xdr:col>9</xdr:col>
      <xdr:colOff>634328</xdr:colOff>
      <xdr:row>170</xdr:row>
      <xdr:rowOff>66271</xdr:rowOff>
    </xdr:from>
    <xdr:ext cx="334194" cy="172227"/>
    <xdr:sp macro="" textlink="">
      <xdr:nvSpPr>
        <xdr:cNvPr id="50" name="TextBox 49"/>
        <xdr:cNvSpPr txBox="1"/>
      </xdr:nvSpPr>
      <xdr:spPr>
        <a:xfrm>
          <a:off x="7606628" y="38653951"/>
          <a:ext cx="3341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F</a:t>
          </a:r>
          <a:r>
            <a:rPr lang="ru-RU" sz="1100"/>
            <a:t>табл</a:t>
          </a:r>
        </a:p>
      </xdr:txBody>
    </xdr:sp>
    <xdr:clientData/>
  </xdr:oneCellAnchor>
  <xdr:oneCellAnchor>
    <xdr:from>
      <xdr:col>11</xdr:col>
      <xdr:colOff>553403</xdr:colOff>
      <xdr:row>150</xdr:row>
      <xdr:rowOff>152400</xdr:rowOff>
    </xdr:from>
    <xdr:ext cx="1732597" cy="279859"/>
    <xdr:sp macro="" textlink="">
      <xdr:nvSpPr>
        <xdr:cNvPr id="51" name="TextBox 50"/>
        <xdr:cNvSpPr txBox="1"/>
      </xdr:nvSpPr>
      <xdr:spPr>
        <a:xfrm>
          <a:off x="9971723" y="37917120"/>
          <a:ext cx="1732597" cy="2798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</xdr:colOff>
      <xdr:row>20</xdr:row>
      <xdr:rowOff>60961</xdr:rowOff>
    </xdr:from>
    <xdr:to>
      <xdr:col>0</xdr:col>
      <xdr:colOff>761578</xdr:colOff>
      <xdr:row>20</xdr:row>
      <xdr:rowOff>422969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100-000005000000}"/>
            </a:ext>
            <a:ext uri="{147F2762-F138-4A5C-976F-8EAC2B608ADB}">
              <a16:predDERef xmlns:a16="http://schemas.microsoft.com/office/drawing/2014/main" xmlns="" pred="{24157F89-E887-71C0-F8AC-E49CAC5A1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" y="4343401"/>
          <a:ext cx="700619" cy="362008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62</xdr:row>
      <xdr:rowOff>161925</xdr:rowOff>
    </xdr:from>
    <xdr:to>
      <xdr:col>9</xdr:col>
      <xdr:colOff>28575</xdr:colOff>
      <xdr:row>74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0000000-0008-0000-0100-000007000000}"/>
            </a:ext>
            <a:ext uri="{147F2762-F138-4A5C-976F-8EAC2B608ADB}">
              <a16:predDERef xmlns:a16="http://schemas.microsoft.com/office/drawing/2014/main" xmlns="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137160</xdr:colOff>
      <xdr:row>78</xdr:row>
      <xdr:rowOff>85725</xdr:rowOff>
    </xdr:from>
    <xdr:to>
      <xdr:col>6</xdr:col>
      <xdr:colOff>217170</xdr:colOff>
      <xdr:row>92</xdr:row>
      <xdr:rowOff>146685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00000000-0008-0000-0100-000008000000}"/>
            </a:ext>
            <a:ext uri="{147F2762-F138-4A5C-976F-8EAC2B608ADB}">
              <a16:predDERef xmlns:a16="http://schemas.microsoft.com/office/drawing/2014/main" xmlns="" pre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126066</xdr:colOff>
      <xdr:row>97</xdr:row>
      <xdr:rowOff>8965</xdr:rowOff>
    </xdr:from>
    <xdr:to>
      <xdr:col>7</xdr:col>
      <xdr:colOff>466164</xdr:colOff>
      <xdr:row>114</xdr:row>
      <xdr:rowOff>1121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xmlns="" id="{00000000-0008-0000-0100-000009000000}"/>
            </a:ext>
            <a:ext uri="{147F2762-F138-4A5C-976F-8EAC2B608ADB}">
              <a16:predDERef xmlns:a16="http://schemas.microsoft.com/office/drawing/2014/main" xmlns="" pre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123825</xdr:colOff>
      <xdr:row>116</xdr:row>
      <xdr:rowOff>57150</xdr:rowOff>
    </xdr:from>
    <xdr:to>
      <xdr:col>1</xdr:col>
      <xdr:colOff>32385</xdr:colOff>
      <xdr:row>119</xdr:row>
      <xdr:rowOff>57151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xmlns="" id="{00000000-0008-0000-0100-00000B000000}"/>
            </a:ext>
            <a:ext uri="{147F2762-F138-4A5C-976F-8EAC2B608ADB}">
              <a16:predDERef xmlns:a16="http://schemas.microsoft.com/office/drawing/2014/main" xmlns="" pred="{92BA63DE-03EF-42D6-BDAC-B24B31A9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30651450"/>
          <a:ext cx="1211580" cy="548640"/>
        </a:xfrm>
        <a:prstGeom prst="rect">
          <a:avLst/>
        </a:prstGeom>
      </xdr:spPr>
    </xdr:pic>
    <xdr:clientData/>
  </xdr:twoCellAnchor>
  <xdr:oneCellAnchor>
    <xdr:from>
      <xdr:col>4</xdr:col>
      <xdr:colOff>22860</xdr:colOff>
      <xdr:row>120</xdr:row>
      <xdr:rowOff>0</xdr:rowOff>
    </xdr:from>
    <xdr:ext cx="601980" cy="2768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xmlns="" id="{00000000-0008-0000-0100-00000C000000}"/>
                </a:ext>
                <a:ext uri="{147F2762-F138-4A5C-976F-8EAC2B608ADB}">
                  <a16:predDERef xmlns:a16="http://schemas.microsoft.com/office/drawing/2014/main" xmlns="" pred="{00000000-0008-0000-0100-00000B000000}"/>
                </a:ext>
              </a:extLst>
            </xdr:cNvPr>
            <xdr:cNvSpPr txBox="1"/>
          </xdr:nvSpPr>
          <xdr:spPr>
            <a:xfrm>
              <a:off x="3215640" y="31325820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  <m:sup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6000000}"/>
                </a:ext>
              </a:extLst>
            </xdr:cNvPr>
            <xdr:cNvSpPr txBox="1"/>
          </xdr:nvSpPr>
          <xdr:spPr>
            <a:xfrm>
              <a:off x="3215640" y="31325820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586740</xdr:colOff>
      <xdr:row>120</xdr:row>
      <xdr:rowOff>30480</xdr:rowOff>
    </xdr:from>
    <xdr:ext cx="66294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xmlns="" id="{00000000-0008-0000-0100-00000D000000}"/>
                </a:ext>
              </a:extLst>
            </xdr:cNvPr>
            <xdr:cNvSpPr txBox="1"/>
          </xdr:nvSpPr>
          <xdr:spPr>
            <a:xfrm>
              <a:off x="3779520" y="31356300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8000000}"/>
                </a:ext>
              </a:extLst>
            </xdr:cNvPr>
            <xdr:cNvSpPr txBox="1"/>
          </xdr:nvSpPr>
          <xdr:spPr>
            <a:xfrm>
              <a:off x="3779520" y="31356300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𝜀∙𝜀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114300</xdr:colOff>
      <xdr:row>134</xdr:row>
      <xdr:rowOff>148590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xmlns="" id="{00000000-0008-0000-0100-00000E000000}"/>
                </a:ext>
              </a:extLst>
            </xdr:cNvPr>
            <xdr:cNvSpPr txBox="1"/>
          </xdr:nvSpPr>
          <xdr:spPr>
            <a:xfrm>
              <a:off x="114300" y="341642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𝑐𝑜𝑣</m:t>
                    </m:r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C000000}"/>
                </a:ext>
              </a:extLst>
            </xdr:cNvPr>
            <xdr:cNvSpPr txBox="1"/>
          </xdr:nvSpPr>
          <xdr:spPr>
            <a:xfrm>
              <a:off x="114300" y="341642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139</xdr:row>
      <xdr:rowOff>0</xdr:rowOff>
    </xdr:from>
    <xdr:ext cx="1539240" cy="464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xmlns="" id="{00000000-0008-0000-0100-00000F000000}"/>
                </a:ext>
              </a:extLst>
            </xdr:cNvPr>
            <xdr:cNvSpPr txBox="1"/>
          </xdr:nvSpPr>
          <xdr:spPr>
            <a:xfrm>
              <a:off x="0" y="25069800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𝑒𝑖𝑒𝑗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𝑐𝑜𝑣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D000000}"/>
                </a:ext>
              </a:extLst>
            </xdr:cNvPr>
            <xdr:cNvSpPr txBox="1"/>
          </xdr:nvSpPr>
          <xdr:spPr>
            <a:xfrm>
              <a:off x="0" y="25069800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𝑒𝑖𝑒𝑗=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) 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twoCellAnchor>
    <xdr:from>
      <xdr:col>12</xdr:col>
      <xdr:colOff>286870</xdr:colOff>
      <xdr:row>0</xdr:row>
      <xdr:rowOff>112059</xdr:rowOff>
    </xdr:from>
    <xdr:to>
      <xdr:col>19</xdr:col>
      <xdr:colOff>591670</xdr:colOff>
      <xdr:row>15</xdr:row>
      <xdr:rowOff>129987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xmlns="" id="{00000000-0008-0000-0100-000011000000}"/>
            </a:ext>
            <a:ext uri="{147F2762-F138-4A5C-976F-8EAC2B608ADB}">
              <a16:predDERef xmlns:a16="http://schemas.microsoft.com/office/drawing/2014/main" xmlns="" pred="{00000000-0008-0000-01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609599</xdr:colOff>
      <xdr:row>97</xdr:row>
      <xdr:rowOff>0</xdr:rowOff>
    </xdr:from>
    <xdr:to>
      <xdr:col>14</xdr:col>
      <xdr:colOff>17928</xdr:colOff>
      <xdr:row>113</xdr:row>
      <xdr:rowOff>143435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xmlns="" id="{00000000-0008-0000-0100-000012000000}"/>
            </a:ext>
            <a:ext uri="{147F2762-F138-4A5C-976F-8EAC2B608ADB}">
              <a16:predDERef xmlns:a16="http://schemas.microsoft.com/office/drawing/2014/main" xmlns="" pred="{00000000-0008-0000-0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4</xdr:col>
      <xdr:colOff>241514</xdr:colOff>
      <xdr:row>24</xdr:row>
      <xdr:rowOff>6529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5279679" y="4309588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5279679" y="4309588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188258</xdr:colOff>
      <xdr:row>146</xdr:row>
      <xdr:rowOff>143435</xdr:rowOff>
    </xdr:from>
    <xdr:to>
      <xdr:col>6</xdr:col>
      <xdr:colOff>537882</xdr:colOff>
      <xdr:row>160</xdr:row>
      <xdr:rowOff>17929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xmlns="" id="{00000000-0008-0000-0200-000004000000}"/>
            </a:ext>
            <a:ext uri="{147F2762-F138-4A5C-976F-8EAC2B608ADB}">
              <a16:predDERef xmlns:a16="http://schemas.microsoft.com/office/drawing/2014/main" xmlns="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277907</xdr:colOff>
      <xdr:row>16</xdr:row>
      <xdr:rowOff>80684</xdr:rowOff>
    </xdr:from>
    <xdr:to>
      <xdr:col>20</xdr:col>
      <xdr:colOff>8965</xdr:colOff>
      <xdr:row>29</xdr:row>
      <xdr:rowOff>116543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xmlns="" id="{00000000-0008-0000-0000-00000E000000}"/>
            </a:ext>
            <a:ext uri="{147F2762-F138-4A5C-976F-8EAC2B608ADB}">
              <a16:predDERef xmlns:a16="http://schemas.microsoft.com/office/drawing/2014/main" xmlns="" pre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281940</xdr:colOff>
      <xdr:row>12</xdr:row>
      <xdr:rowOff>38100</xdr:rowOff>
    </xdr:from>
    <xdr:to>
      <xdr:col>15</xdr:col>
      <xdr:colOff>281940</xdr:colOff>
      <xdr:row>22</xdr:row>
      <xdr:rowOff>30480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200-000003000000}"/>
            </a:ext>
            <a:ext uri="{147F2762-F138-4A5C-976F-8EAC2B608ADB}">
              <a16:predDERef xmlns:a16="http://schemas.microsoft.com/office/drawing/2014/main" xmlns="" pre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327660</xdr:colOff>
      <xdr:row>23</xdr:row>
      <xdr:rowOff>83820</xdr:rowOff>
    </xdr:from>
    <xdr:to>
      <xdr:col>15</xdr:col>
      <xdr:colOff>327660</xdr:colOff>
      <xdr:row>33</xdr:row>
      <xdr:rowOff>106680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200-000004000000}"/>
            </a:ext>
            <a:ext uri="{147F2762-F138-4A5C-976F-8EAC2B608ADB}">
              <a16:predDERef xmlns:a16="http://schemas.microsoft.com/office/drawing/2014/main" xmlns="" pre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548640</xdr:colOff>
      <xdr:row>0</xdr:row>
      <xdr:rowOff>251460</xdr:rowOff>
    </xdr:from>
    <xdr:to>
      <xdr:col>6</xdr:col>
      <xdr:colOff>571608</xdr:colOff>
      <xdr:row>0</xdr:row>
      <xdr:rowOff>510562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7560" y="251460"/>
          <a:ext cx="1242168" cy="25910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</xdr:colOff>
      <xdr:row>23</xdr:row>
      <xdr:rowOff>83820</xdr:rowOff>
    </xdr:from>
    <xdr:to>
      <xdr:col>0</xdr:col>
      <xdr:colOff>835083</xdr:colOff>
      <xdr:row>23</xdr:row>
      <xdr:rowOff>251460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300-000007000000}"/>
            </a:ext>
            <a:ext uri="{147F2762-F138-4A5C-976F-8EAC2B608ADB}">
              <a16:predDERef xmlns:a16="http://schemas.microsoft.com/office/drawing/2014/main" xmlns="" pre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4" y="4945380"/>
          <a:ext cx="730309" cy="167640"/>
        </a:xfrm>
        <a:prstGeom prst="rect">
          <a:avLst/>
        </a:prstGeom>
      </xdr:spPr>
    </xdr:pic>
    <xdr:clientData/>
  </xdr:twoCellAnchor>
  <xdr:twoCellAnchor>
    <xdr:from>
      <xdr:col>13</xdr:col>
      <xdr:colOff>297180</xdr:colOff>
      <xdr:row>5</xdr:row>
      <xdr:rowOff>11430</xdr:rowOff>
    </xdr:from>
    <xdr:to>
      <xdr:col>17</xdr:col>
      <xdr:colOff>655320</xdr:colOff>
      <xdr:row>19</xdr:row>
      <xdr:rowOff>179070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00000000-0008-0000-0300-000008000000}"/>
            </a:ext>
            <a:ext uri="{147F2762-F138-4A5C-976F-8EAC2B608ADB}">
              <a16:predDERef xmlns:a16="http://schemas.microsoft.com/office/drawing/2014/main" xmlns="" pre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438150</xdr:colOff>
      <xdr:row>53</xdr:row>
      <xdr:rowOff>161925</xdr:rowOff>
    </xdr:from>
    <xdr:to>
      <xdr:col>9</xdr:col>
      <xdr:colOff>28575</xdr:colOff>
      <xdr:row>65</xdr:row>
      <xdr:rowOff>171450</xdr:rowOff>
    </xdr:to>
    <xdr:graphicFrame macro="">
      <xdr:nvGraphicFramePr>
        <xdr:cNvPr id="3" name="Диаграмма 6">
          <a:extLst>
            <a:ext uri="{FF2B5EF4-FFF2-40B4-BE49-F238E27FC236}">
              <a16:creationId xmlns:a16="http://schemas.microsoft.com/office/drawing/2014/main" xmlns="" id="{00000000-0008-0000-0300-000003000000}"/>
            </a:ext>
            <a:ext uri="{147F2762-F138-4A5C-976F-8EAC2B608ADB}">
              <a16:predDERef xmlns:a16="http://schemas.microsoft.com/office/drawing/2014/main" xmlns="" pre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137160</xdr:colOff>
      <xdr:row>69</xdr:row>
      <xdr:rowOff>85725</xdr:rowOff>
    </xdr:from>
    <xdr:to>
      <xdr:col>6</xdr:col>
      <xdr:colOff>217170</xdr:colOff>
      <xdr:row>83</xdr:row>
      <xdr:rowOff>146685</xdr:rowOff>
    </xdr:to>
    <xdr:graphicFrame macro="">
      <xdr:nvGraphicFramePr>
        <xdr:cNvPr id="4" name="Диаграмма 7">
          <a:extLst>
            <a:ext uri="{FF2B5EF4-FFF2-40B4-BE49-F238E27FC236}">
              <a16:creationId xmlns:a16="http://schemas.microsoft.com/office/drawing/2014/main" xmlns="" id="{00000000-0008-0000-0300-000004000000}"/>
            </a:ext>
            <a:ext uri="{147F2762-F138-4A5C-976F-8EAC2B608ADB}">
              <a16:predDERef xmlns:a16="http://schemas.microsoft.com/office/drawing/2014/main" xmlns="" pre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123825</xdr:colOff>
      <xdr:row>103</xdr:row>
      <xdr:rowOff>161925</xdr:rowOff>
    </xdr:from>
    <xdr:to>
      <xdr:col>1</xdr:col>
      <xdr:colOff>180975</xdr:colOff>
      <xdr:row>106</xdr:row>
      <xdr:rowOff>47625</xdr:rowOff>
    </xdr:to>
    <xdr:pic>
      <xdr:nvPicPr>
        <xdr:cNvPr id="9" name="Рисунок 10">
          <a:extLst>
            <a:ext uri="{FF2B5EF4-FFF2-40B4-BE49-F238E27FC236}">
              <a16:creationId xmlns:a16="http://schemas.microsoft.com/office/drawing/2014/main" xmlns="" id="{00000000-0008-0000-0300-000009000000}"/>
            </a:ext>
            <a:ext uri="{147F2762-F138-4A5C-976F-8EAC2B608ADB}">
              <a16:predDERef xmlns:a16="http://schemas.microsoft.com/office/drawing/2014/main" xmlns="" pred="{3EA058FA-F3ED-4911-B137-84B386BE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0697825"/>
          <a:ext cx="990600" cy="457200"/>
        </a:xfrm>
        <a:prstGeom prst="rect">
          <a:avLst/>
        </a:prstGeom>
      </xdr:spPr>
    </xdr:pic>
    <xdr:clientData/>
  </xdr:twoCellAnchor>
  <xdr:oneCellAnchor>
    <xdr:from>
      <xdr:col>4</xdr:col>
      <xdr:colOff>15240</xdr:colOff>
      <xdr:row>106</xdr:row>
      <xdr:rowOff>137160</xdr:rowOff>
    </xdr:from>
    <xdr:ext cx="601980" cy="2768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11">
              <a:extLst>
                <a:ext uri="{FF2B5EF4-FFF2-40B4-BE49-F238E27FC236}">
                  <a16:creationId xmlns:a16="http://schemas.microsoft.com/office/drawing/2014/main" xmlns="" id="{00000000-0008-0000-0300-00000A000000}"/>
                </a:ext>
                <a:ext uri="{147F2762-F138-4A5C-976F-8EAC2B608ADB}">
                  <a16:predDERef xmlns:a16="http://schemas.microsoft.com/office/drawing/2014/main" xmlns="" pred="{468E1A81-DCA2-4383-B55C-F502926596C2}"/>
                </a:ext>
              </a:extLst>
            </xdr:cNvPr>
            <xdr:cNvSpPr txBox="1"/>
          </xdr:nvSpPr>
          <xdr:spPr>
            <a:xfrm>
              <a:off x="2804160" y="21343620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  <m:sup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0" name="TextBox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300-00000A000000}"/>
                </a:ext>
                <a:ext uri="{147F2762-F138-4A5C-976F-8EAC2B608ADB}">
                  <a16:predDERef xmlns="" xmlns:a16="http://schemas.microsoft.com/office/drawing/2014/main" xmlns:a14="http://schemas.microsoft.com/office/drawing/2010/main" pred="{468E1A81-DCA2-4383-B55C-F502926596C2}"/>
                </a:ext>
              </a:extLst>
            </xdr:cNvPr>
            <xdr:cNvSpPr txBox="1"/>
          </xdr:nvSpPr>
          <xdr:spPr>
            <a:xfrm>
              <a:off x="2804160" y="21343620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5</xdr:col>
      <xdr:colOff>15240</xdr:colOff>
      <xdr:row>106</xdr:row>
      <xdr:rowOff>129540</xdr:rowOff>
    </xdr:from>
    <xdr:ext cx="66294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2">
              <a:extLst>
                <a:ext uri="{FF2B5EF4-FFF2-40B4-BE49-F238E27FC236}">
                  <a16:creationId xmlns:a16="http://schemas.microsoft.com/office/drawing/2014/main" xmlns="" id="{00000000-0008-0000-0300-00000B000000}"/>
                </a:ext>
                <a:ext uri="{147F2762-F138-4A5C-976F-8EAC2B608ADB}">
                  <a16:predDERef xmlns:a16="http://schemas.microsoft.com/office/drawing/2014/main" xmlns="" pred="{FEE209AF-F639-4238-A472-BAE582589DB2}"/>
                </a:ext>
              </a:extLst>
            </xdr:cNvPr>
            <xdr:cNvSpPr txBox="1"/>
          </xdr:nvSpPr>
          <xdr:spPr>
            <a:xfrm>
              <a:off x="3413760" y="21336000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1" name="TextBox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300-00000B000000}"/>
                </a:ext>
                <a:ext uri="{147F2762-F138-4A5C-976F-8EAC2B608ADB}">
                  <a16:predDERef xmlns="" xmlns:a16="http://schemas.microsoft.com/office/drawing/2014/main" xmlns:a14="http://schemas.microsoft.com/office/drawing/2010/main" pred="{FEE209AF-F639-4238-A472-BAE582589DB2}"/>
                </a:ext>
              </a:extLst>
            </xdr:cNvPr>
            <xdr:cNvSpPr txBox="1"/>
          </xdr:nvSpPr>
          <xdr:spPr>
            <a:xfrm>
              <a:off x="3413760" y="21336000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𝜀∙𝜀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114300</xdr:colOff>
      <xdr:row>121</xdr:row>
      <xdr:rowOff>148590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3">
              <a:extLst>
                <a:ext uri="{FF2B5EF4-FFF2-40B4-BE49-F238E27FC236}">
                  <a16:creationId xmlns:a16="http://schemas.microsoft.com/office/drawing/2014/main" xmlns="" id="{00000000-0008-0000-0300-00000C000000}"/>
                </a:ext>
                <a:ext uri="{147F2762-F138-4A5C-976F-8EAC2B608ADB}">
                  <a16:predDERef xmlns:a16="http://schemas.microsoft.com/office/drawing/2014/main" xmlns="" pred="{3EFE400D-BE2D-441A-9A17-FEF5A84598F7}"/>
                </a:ext>
              </a:extLst>
            </xdr:cNvPr>
            <xdr:cNvSpPr txBox="1"/>
          </xdr:nvSpPr>
          <xdr:spPr>
            <a:xfrm>
              <a:off x="114300" y="2402776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𝑐𝑜𝑣</m:t>
                    </m:r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C000000}"/>
                </a:ext>
              </a:extLst>
            </xdr:cNvPr>
            <xdr:cNvSpPr txBox="1"/>
          </xdr:nvSpPr>
          <xdr:spPr>
            <a:xfrm>
              <a:off x="114300" y="341642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126</xdr:row>
      <xdr:rowOff>0</xdr:rowOff>
    </xdr:from>
    <xdr:ext cx="1539240" cy="464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4">
              <a:extLst>
                <a:ext uri="{FF2B5EF4-FFF2-40B4-BE49-F238E27FC236}">
                  <a16:creationId xmlns:a16="http://schemas.microsoft.com/office/drawing/2014/main" xmlns="" id="{00000000-0008-0000-0300-00000D000000}"/>
                </a:ext>
                <a:ext uri="{147F2762-F138-4A5C-976F-8EAC2B608ADB}">
                  <a16:predDERef xmlns:a16="http://schemas.microsoft.com/office/drawing/2014/main" xmlns="" pred="{36915DD0-E45C-467C-AAFB-ABDF9CCBDC1F}"/>
                </a:ext>
              </a:extLst>
            </xdr:cNvPr>
            <xdr:cNvSpPr txBox="1"/>
          </xdr:nvSpPr>
          <xdr:spPr>
            <a:xfrm>
              <a:off x="0" y="24841200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𝑒𝑖𝑒𝑗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𝑐𝑜𝑣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D000000}"/>
                </a:ext>
              </a:extLst>
            </xdr:cNvPr>
            <xdr:cNvSpPr txBox="1"/>
          </xdr:nvSpPr>
          <xdr:spPr>
            <a:xfrm>
              <a:off x="0" y="25069800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𝑒𝑖𝑒𝑗=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) 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twoCellAnchor>
    <xdr:from>
      <xdr:col>0</xdr:col>
      <xdr:colOff>142875</xdr:colOff>
      <xdr:row>87</xdr:row>
      <xdr:rowOff>152400</xdr:rowOff>
    </xdr:from>
    <xdr:to>
      <xdr:col>6</xdr:col>
      <xdr:colOff>257175</xdr:colOff>
      <xdr:row>100</xdr:row>
      <xdr:rowOff>152400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xmlns="" id="{00000000-0008-0000-0300-00000F000000}"/>
            </a:ext>
            <a:ext uri="{147F2762-F138-4A5C-976F-8EAC2B608ADB}">
              <a16:predDERef xmlns:a16="http://schemas.microsoft.com/office/drawing/2014/main" xmlns="" pred="{00000000-0008-0000-03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66675</xdr:colOff>
      <xdr:row>131</xdr:row>
      <xdr:rowOff>114300</xdr:rowOff>
    </xdr:from>
    <xdr:to>
      <xdr:col>5</xdr:col>
      <xdr:colOff>352425</xdr:colOff>
      <xdr:row>141</xdr:row>
      <xdr:rowOff>43815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xmlns="" id="{00000000-0008-0000-0300-000010000000}"/>
            </a:ext>
            <a:ext uri="{147F2762-F138-4A5C-976F-8EAC2B608ADB}">
              <a16:predDERef xmlns:a16="http://schemas.microsoft.com/office/drawing/2014/main" xmlns="" pred="{00000000-0008-0000-0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45720</xdr:colOff>
      <xdr:row>22</xdr:row>
      <xdr:rowOff>7344</xdr:rowOff>
    </xdr:from>
    <xdr:to>
      <xdr:col>0</xdr:col>
      <xdr:colOff>922130</xdr:colOff>
      <xdr:row>22</xdr:row>
      <xdr:rowOff>419151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720" y="4426944"/>
          <a:ext cx="876410" cy="411807"/>
        </a:xfrm>
        <a:prstGeom prst="rect">
          <a:avLst/>
        </a:prstGeom>
      </xdr:spPr>
    </xdr:pic>
    <xdr:clientData/>
  </xdr:twoCellAnchor>
  <xdr:oneCellAnchor>
    <xdr:from>
      <xdr:col>11</xdr:col>
      <xdr:colOff>241514</xdr:colOff>
      <xdr:row>34</xdr:row>
      <xdr:rowOff>6529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5278334" y="4372789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5278334" y="4372789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12</xdr:col>
      <xdr:colOff>89200</xdr:colOff>
      <xdr:row>34</xdr:row>
      <xdr:rowOff>12999</xdr:rowOff>
    </xdr:from>
    <xdr:to>
      <xdr:col>13</xdr:col>
      <xdr:colOff>73960</xdr:colOff>
      <xdr:row>35</xdr:row>
      <xdr:rowOff>87979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70565" y="7148905"/>
          <a:ext cx="594360" cy="272203"/>
        </a:xfrm>
        <a:prstGeom prst="rect">
          <a:avLst/>
        </a:prstGeom>
      </xdr:spPr>
    </xdr:pic>
    <xdr:clientData/>
  </xdr:twoCellAnchor>
  <xdr:twoCellAnchor>
    <xdr:from>
      <xdr:col>13</xdr:col>
      <xdr:colOff>304800</xdr:colOff>
      <xdr:row>20</xdr:row>
      <xdr:rowOff>83820</xdr:rowOff>
    </xdr:from>
    <xdr:to>
      <xdr:col>17</xdr:col>
      <xdr:colOff>655320</xdr:colOff>
      <xdr:row>32</xdr:row>
      <xdr:rowOff>167640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xmlns="" id="{00000000-0008-0000-0000-000014000000}"/>
            </a:ext>
            <a:ext uri="{147F2762-F138-4A5C-976F-8EAC2B608ADB}">
              <a16:predDERef xmlns:a16="http://schemas.microsoft.com/office/drawing/2014/main" xmlns="" pre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434340</xdr:colOff>
      <xdr:row>87</xdr:row>
      <xdr:rowOff>160020</xdr:rowOff>
    </xdr:from>
    <xdr:to>
      <xdr:col>12</xdr:col>
      <xdr:colOff>601980</xdr:colOff>
      <xdr:row>100</xdr:row>
      <xdr:rowOff>129540</xdr:rowOff>
    </xdr:to>
    <xdr:graphicFrame macro="">
      <xdr:nvGraphicFramePr>
        <xdr:cNvPr id="20" name="Диаграмма 6">
          <a:extLst>
            <a:ext uri="{FF2B5EF4-FFF2-40B4-BE49-F238E27FC236}">
              <a16:creationId xmlns:a16="http://schemas.microsoft.com/office/drawing/2014/main" xmlns="" id="{00000000-0008-0000-0300-000003000000}"/>
            </a:ext>
            <a:ext uri="{147F2762-F138-4A5C-976F-8EAC2B608ADB}">
              <a16:predDERef xmlns:a16="http://schemas.microsoft.com/office/drawing/2014/main" xmlns="" pre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281940</xdr:colOff>
      <xdr:row>11</xdr:row>
      <xdr:rowOff>144780</xdr:rowOff>
    </xdr:from>
    <xdr:to>
      <xdr:col>15</xdr:col>
      <xdr:colOff>281940</xdr:colOff>
      <xdr:row>21</xdr:row>
      <xdr:rowOff>137160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400-000003000000}"/>
            </a:ext>
            <a:ext uri="{147F2762-F138-4A5C-976F-8EAC2B608ADB}">
              <a16:predDERef xmlns:a16="http://schemas.microsoft.com/office/drawing/2014/main" xmlns="" pre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304800</xdr:colOff>
      <xdr:row>22</xdr:row>
      <xdr:rowOff>53340</xdr:rowOff>
    </xdr:from>
    <xdr:to>
      <xdr:col>15</xdr:col>
      <xdr:colOff>304800</xdr:colOff>
      <xdr:row>32</xdr:row>
      <xdr:rowOff>68580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400-000004000000}"/>
            </a:ext>
            <a:ext uri="{147F2762-F138-4A5C-976F-8EAC2B608ADB}">
              <a16:predDERef xmlns:a16="http://schemas.microsoft.com/office/drawing/2014/main" xmlns="" pre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160020</xdr:colOff>
      <xdr:row>0</xdr:row>
      <xdr:rowOff>167640</xdr:rowOff>
    </xdr:from>
    <xdr:to>
      <xdr:col>6</xdr:col>
      <xdr:colOff>419175</xdr:colOff>
      <xdr:row>0</xdr:row>
      <xdr:rowOff>472466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8020" y="167640"/>
          <a:ext cx="868755" cy="304826"/>
        </a:xfrm>
        <a:prstGeom prst="rect">
          <a:avLst/>
        </a:prstGeom>
      </xdr:spPr>
    </xdr:pic>
    <xdr:clientData/>
  </xdr:twoCellAnchor>
  <xdr:twoCellAnchor editAs="oneCell">
    <xdr:from>
      <xdr:col>0</xdr:col>
      <xdr:colOff>144599</xdr:colOff>
      <xdr:row>22</xdr:row>
      <xdr:rowOff>22860</xdr:rowOff>
    </xdr:from>
    <xdr:to>
      <xdr:col>0</xdr:col>
      <xdr:colOff>1005840</xdr:colOff>
      <xdr:row>22</xdr:row>
      <xdr:rowOff>426720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599" y="4716780"/>
          <a:ext cx="861241" cy="403860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23</xdr:row>
      <xdr:rowOff>37600</xdr:rowOff>
    </xdr:from>
    <xdr:to>
      <xdr:col>0</xdr:col>
      <xdr:colOff>1036320</xdr:colOff>
      <xdr:row>23</xdr:row>
      <xdr:rowOff>259080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" y="4944880"/>
          <a:ext cx="792480" cy="221480"/>
        </a:xfrm>
        <a:prstGeom prst="rect">
          <a:avLst/>
        </a:prstGeom>
      </xdr:spPr>
    </xdr:pic>
    <xdr:clientData/>
  </xdr:twoCellAnchor>
  <xdr:twoCellAnchor>
    <xdr:from>
      <xdr:col>12</xdr:col>
      <xdr:colOff>228600</xdr:colOff>
      <xdr:row>25</xdr:row>
      <xdr:rowOff>198120</xdr:rowOff>
    </xdr:from>
    <xdr:to>
      <xdr:col>19</xdr:col>
      <xdr:colOff>7620</xdr:colOff>
      <xdr:row>37</xdr:row>
      <xdr:rowOff>68580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0500-000005000000}"/>
            </a:ext>
            <a:ext uri="{147F2762-F138-4A5C-976F-8EAC2B608ADB}">
              <a16:predDERef xmlns:a16="http://schemas.microsoft.com/office/drawing/2014/main" xmlns="" pre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</xdr:col>
      <xdr:colOff>38100</xdr:colOff>
      <xdr:row>25</xdr:row>
      <xdr:rowOff>400050</xdr:rowOff>
    </xdr:from>
    <xdr:ext cx="1775460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="" id="{00000000-0008-0000-0500-000006000000}"/>
                </a:ext>
              </a:extLst>
            </xdr:cNvPr>
            <xdr:cNvSpPr txBox="1"/>
          </xdr:nvSpPr>
          <xdr:spPr>
            <a:xfrm>
              <a:off x="4968240" y="6275070"/>
              <a:ext cx="177546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cy-GB" sz="1400" baseline="0">
                        <a:effectLst/>
                      </a:rPr>
                      <m:t>ŷₓ</m:t>
                    </m:r>
                    <m:r>
                      <m:rPr>
                        <m:nor/>
                      </m:rPr>
                      <a:rPr lang="ru-RU" sz="1400" b="0" i="0" baseline="0">
                        <a:effectLst/>
                      </a:rPr>
                      <m:t> </m:t>
                    </m:r>
                    <m:r>
                      <m:rPr>
                        <m:nor/>
                      </m:rPr>
                      <a:rPr lang="ru-RU" sz="1400" baseline="0">
                        <a:effectLst/>
                      </a:rPr>
                      <m:t>= 3,8657</m:t>
                    </m:r>
                    <m:r>
                      <m:rPr>
                        <m:nor/>
                      </m:rPr>
                      <a:rPr lang="ru-RU" sz="1400" baseline="0">
                        <a:effectLst/>
                      </a:rPr>
                      <m:t>x</m:t>
                    </m:r>
                    <m:r>
                      <m:rPr>
                        <m:nor/>
                      </m:rPr>
                      <a:rPr lang="ru-RU" sz="1400" baseline="30000">
                        <a:effectLst/>
                      </a:rPr>
                      <m:t>0,6438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500-000006000000}"/>
                </a:ext>
              </a:extLst>
            </xdr:cNvPr>
            <xdr:cNvSpPr txBox="1"/>
          </xdr:nvSpPr>
          <xdr:spPr>
            <a:xfrm>
              <a:off x="4968240" y="6275070"/>
              <a:ext cx="177546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cy-GB" sz="1400" i="0" baseline="0">
                  <a:effectLst/>
                  <a:latin typeface="Cambria Math"/>
                </a:rPr>
                <a:t>"ŷₓ</a:t>
              </a:r>
              <a:r>
                <a:rPr lang="ru-RU" sz="1400" b="0" i="0" baseline="0">
                  <a:effectLst/>
                  <a:latin typeface="Cambria Math"/>
                </a:rPr>
                <a:t> </a:t>
              </a:r>
              <a:r>
                <a:rPr lang="ru-RU" sz="1400" i="0" baseline="0">
                  <a:effectLst/>
                  <a:latin typeface="Cambria Math"/>
                </a:rPr>
                <a:t>= 3,8657x</a:t>
              </a:r>
              <a:r>
                <a:rPr lang="ru-RU" sz="1400" i="0" baseline="30000">
                  <a:effectLst/>
                  <a:latin typeface="Cambria Math"/>
                </a:rPr>
                <a:t>0,6438</a:t>
              </a:r>
              <a:r>
                <a:rPr lang="ru-RU" sz="1400" i="0" baseline="30000">
                  <a:effectLst/>
                </a:rPr>
                <a:t>"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30480</xdr:colOff>
      <xdr:row>6</xdr:row>
      <xdr:rowOff>26670</xdr:rowOff>
    </xdr:from>
    <xdr:ext cx="982980" cy="275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="" id="{00000000-0008-0000-0500-000007000000}"/>
                </a:ext>
              </a:extLst>
            </xdr:cNvPr>
            <xdr:cNvSpPr txBox="1"/>
          </xdr:nvSpPr>
          <xdr:spPr>
            <a:xfrm>
              <a:off x="9662160" y="1779270"/>
              <a:ext cx="982980" cy="275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cy-GB" sz="1100" b="0" i="0">
                      <a:latin typeface="Cambria Math"/>
                    </a:rPr>
                    <m:t>ŷₓ </m:t>
                  </m:r>
                </m:oMath>
              </a14:m>
              <a:r>
                <a:rPr lang="en-US" sz="1100" b="0" i="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0" i="1">
                          <a:latin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/>
                        </a:rPr>
                        <m:t>e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/>
                        </a:rPr>
                        <m:t>a</m:t>
                      </m:r>
                    </m:sup>
                  </m:sSup>
                  <m:r>
                    <a:rPr lang="en-US" sz="1100" b="0" i="0">
                      <a:latin typeface="Cambria Math"/>
                    </a:rPr>
                    <m:t>∗</m:t>
                  </m:r>
                  <m:sSup>
                    <m:sSupPr>
                      <m:ctrlPr>
                        <a:rPr lang="en-US" sz="1100" b="0" i="1">
                          <a:latin typeface="Cambria Math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/>
                        </a:rPr>
                        <m:t>x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/>
                        </a:rPr>
                        <m:t>b</m:t>
                      </m:r>
                    </m:sup>
                  </m:sSup>
                </m:oMath>
              </a14:m>
              <a:endParaRPr lang="ru-RU" sz="1100" b="0" i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500-000007000000}"/>
                </a:ext>
              </a:extLst>
            </xdr:cNvPr>
            <xdr:cNvSpPr txBox="1"/>
          </xdr:nvSpPr>
          <xdr:spPr>
            <a:xfrm>
              <a:off x="9662160" y="1779270"/>
              <a:ext cx="982980" cy="275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cy-GB" sz="1100" b="0" i="0">
                  <a:latin typeface="Cambria Math"/>
                </a:rPr>
                <a:t>ŷₓ </a:t>
              </a:r>
              <a:r>
                <a:rPr lang="en-US" sz="1100" b="0" i="0"/>
                <a:t> = </a:t>
              </a:r>
              <a:r>
                <a:rPr lang="en-US" sz="1100" b="0" i="0">
                  <a:latin typeface="Cambria Math"/>
                </a:rPr>
                <a:t>e^a∗x^b</a:t>
              </a:r>
              <a:endParaRPr lang="ru-RU" sz="1100" b="0" i="0"/>
            </a:p>
          </xdr:txBody>
        </xdr:sp>
      </mc:Fallback>
    </mc:AlternateContent>
    <xdr:clientData/>
  </xdr:oneCellAnchor>
  <xdr:twoCellAnchor>
    <xdr:from>
      <xdr:col>2</xdr:col>
      <xdr:colOff>523875</xdr:colOff>
      <xdr:row>54</xdr:row>
      <xdr:rowOff>142875</xdr:rowOff>
    </xdr:from>
    <xdr:to>
      <xdr:col>9</xdr:col>
      <xdr:colOff>114300</xdr:colOff>
      <xdr:row>66</xdr:row>
      <xdr:rowOff>152400</xdr:rowOff>
    </xdr:to>
    <xdr:graphicFrame macro="">
      <xdr:nvGraphicFramePr>
        <xdr:cNvPr id="8" name="Диаграмма 6">
          <a:extLst>
            <a:ext uri="{FF2B5EF4-FFF2-40B4-BE49-F238E27FC236}">
              <a16:creationId xmlns:a16="http://schemas.microsoft.com/office/drawing/2014/main" xmlns="" id="{00000000-0008-0000-0500-000008000000}"/>
            </a:ext>
            <a:ext uri="{147F2762-F138-4A5C-976F-8EAC2B608ADB}">
              <a16:predDERef xmlns:a16="http://schemas.microsoft.com/office/drawing/2014/main" xmlns="" pre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123825</xdr:colOff>
      <xdr:row>104</xdr:row>
      <xdr:rowOff>161925</xdr:rowOff>
    </xdr:from>
    <xdr:to>
      <xdr:col>1</xdr:col>
      <xdr:colOff>9525</xdr:colOff>
      <xdr:row>107</xdr:row>
      <xdr:rowOff>47625</xdr:rowOff>
    </xdr:to>
    <xdr:pic>
      <xdr:nvPicPr>
        <xdr:cNvPr id="10" name="Рисунок 10">
          <a:extLst>
            <a:ext uri="{FF2B5EF4-FFF2-40B4-BE49-F238E27FC236}">
              <a16:creationId xmlns:a16="http://schemas.microsoft.com/office/drawing/2014/main" xmlns="" id="{00000000-0008-0000-0500-00000A000000}"/>
            </a:ext>
            <a:ext uri="{147F2762-F138-4A5C-976F-8EAC2B608ADB}">
              <a16:predDERef xmlns:a16="http://schemas.microsoft.com/office/drawing/2014/main" xmlns="" pred="{2E298BDF-A3D1-4EDA-9267-15692D289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0316825"/>
          <a:ext cx="990600" cy="457200"/>
        </a:xfrm>
        <a:prstGeom prst="rect">
          <a:avLst/>
        </a:prstGeom>
      </xdr:spPr>
    </xdr:pic>
    <xdr:clientData/>
  </xdr:twoCellAnchor>
  <xdr:oneCellAnchor>
    <xdr:from>
      <xdr:col>4</xdr:col>
      <xdr:colOff>22860</xdr:colOff>
      <xdr:row>108</xdr:row>
      <xdr:rowOff>0</xdr:rowOff>
    </xdr:from>
    <xdr:ext cx="601980" cy="2768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1">
              <a:extLst>
                <a:ext uri="{FF2B5EF4-FFF2-40B4-BE49-F238E27FC236}">
                  <a16:creationId xmlns:a16="http://schemas.microsoft.com/office/drawing/2014/main" xmlns="" id="{00000000-0008-0000-0500-00000B000000}"/>
                </a:ext>
                <a:ext uri="{147F2762-F138-4A5C-976F-8EAC2B608ADB}">
                  <a16:predDERef xmlns:a16="http://schemas.microsoft.com/office/drawing/2014/main" xmlns="" pred="{480152EF-918C-4CE1-9AE3-918C2ECF0F0F}"/>
                </a:ext>
              </a:extLst>
            </xdr:cNvPr>
            <xdr:cNvSpPr txBox="1"/>
          </xdr:nvSpPr>
          <xdr:spPr>
            <a:xfrm>
              <a:off x="2785110" y="20916900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  <m:sup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6000000}"/>
                </a:ext>
              </a:extLst>
            </xdr:cNvPr>
            <xdr:cNvSpPr txBox="1"/>
          </xdr:nvSpPr>
          <xdr:spPr>
            <a:xfrm>
              <a:off x="3215640" y="31325820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586740</xdr:colOff>
      <xdr:row>108</xdr:row>
      <xdr:rowOff>30480</xdr:rowOff>
    </xdr:from>
    <xdr:ext cx="66294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2">
              <a:extLst>
                <a:ext uri="{FF2B5EF4-FFF2-40B4-BE49-F238E27FC236}">
                  <a16:creationId xmlns:a16="http://schemas.microsoft.com/office/drawing/2014/main" xmlns="" id="{00000000-0008-0000-0500-00000C000000}"/>
                </a:ext>
                <a:ext uri="{147F2762-F138-4A5C-976F-8EAC2B608ADB}">
                  <a16:predDERef xmlns:a16="http://schemas.microsoft.com/office/drawing/2014/main" xmlns="" pred="{9BF64BD6-AE3E-472A-84A9-EE9C6BEC95AB}"/>
                </a:ext>
              </a:extLst>
            </xdr:cNvPr>
            <xdr:cNvSpPr txBox="1"/>
          </xdr:nvSpPr>
          <xdr:spPr>
            <a:xfrm>
              <a:off x="3348990" y="20947380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8000000}"/>
                </a:ext>
              </a:extLst>
            </xdr:cNvPr>
            <xdr:cNvSpPr txBox="1"/>
          </xdr:nvSpPr>
          <xdr:spPr>
            <a:xfrm>
              <a:off x="3779520" y="31356300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𝜀∙𝜀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114300</xdr:colOff>
      <xdr:row>122</xdr:row>
      <xdr:rowOff>148590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3">
              <a:extLst>
                <a:ext uri="{FF2B5EF4-FFF2-40B4-BE49-F238E27FC236}">
                  <a16:creationId xmlns:a16="http://schemas.microsoft.com/office/drawing/2014/main" xmlns="" id="{00000000-0008-0000-0500-00000D000000}"/>
                </a:ext>
                <a:ext uri="{147F2762-F138-4A5C-976F-8EAC2B608ADB}">
                  <a16:predDERef xmlns:a16="http://schemas.microsoft.com/office/drawing/2014/main" xmlns="" pred="{3C10C1E5-F068-4320-9F52-6977FB085D47}"/>
                </a:ext>
              </a:extLst>
            </xdr:cNvPr>
            <xdr:cNvSpPr txBox="1"/>
          </xdr:nvSpPr>
          <xdr:spPr>
            <a:xfrm>
              <a:off x="114300" y="2394204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𝑐𝑜𝑣</m:t>
                    </m:r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C000000}"/>
                </a:ext>
              </a:extLst>
            </xdr:cNvPr>
            <xdr:cNvSpPr txBox="1"/>
          </xdr:nvSpPr>
          <xdr:spPr>
            <a:xfrm>
              <a:off x="114300" y="341642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127</xdr:row>
      <xdr:rowOff>0</xdr:rowOff>
    </xdr:from>
    <xdr:ext cx="1539240" cy="464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4">
              <a:extLst>
                <a:ext uri="{FF2B5EF4-FFF2-40B4-BE49-F238E27FC236}">
                  <a16:creationId xmlns:a16="http://schemas.microsoft.com/office/drawing/2014/main" xmlns="" id="{00000000-0008-0000-0500-00000E000000}"/>
                </a:ext>
                <a:ext uri="{147F2762-F138-4A5C-976F-8EAC2B608ADB}">
                  <a16:predDERef xmlns:a16="http://schemas.microsoft.com/office/drawing/2014/main" xmlns="" pred="{725AEDBF-B806-4C6F-A1FA-F55418C5DD71}"/>
                </a:ext>
              </a:extLst>
            </xdr:cNvPr>
            <xdr:cNvSpPr txBox="1"/>
          </xdr:nvSpPr>
          <xdr:spPr>
            <a:xfrm>
              <a:off x="0" y="24803100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𝑒𝑖𝑒𝑗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𝑐𝑜𝑣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D000000}"/>
                </a:ext>
              </a:extLst>
            </xdr:cNvPr>
            <xdr:cNvSpPr txBox="1"/>
          </xdr:nvSpPr>
          <xdr:spPr>
            <a:xfrm>
              <a:off x="0" y="25069800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𝑒𝑖𝑒𝑗=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) 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twoCellAnchor>
    <xdr:from>
      <xdr:col>0</xdr:col>
      <xdr:colOff>123825</xdr:colOff>
      <xdr:row>70</xdr:row>
      <xdr:rowOff>104775</xdr:rowOff>
    </xdr:from>
    <xdr:to>
      <xdr:col>6</xdr:col>
      <xdr:colOff>428625</xdr:colOff>
      <xdr:row>84</xdr:row>
      <xdr:rowOff>180975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xmlns="" id="{00000000-0008-0000-0500-000012000000}"/>
            </a:ext>
            <a:ext uri="{147F2762-F138-4A5C-976F-8EAC2B608ADB}">
              <a16:predDERef xmlns:a16="http://schemas.microsoft.com/office/drawing/2014/main" xmlns="" pred="{00000000-0008-0000-05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85725</xdr:colOff>
      <xdr:row>88</xdr:row>
      <xdr:rowOff>161925</xdr:rowOff>
    </xdr:from>
    <xdr:to>
      <xdr:col>5</xdr:col>
      <xdr:colOff>600075</xdr:colOff>
      <xdr:row>101</xdr:row>
      <xdr:rowOff>171450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xmlns="" id="{00000000-0008-0000-0500-000013000000}"/>
            </a:ext>
            <a:ext uri="{147F2762-F138-4A5C-976F-8EAC2B608ADB}">
              <a16:predDERef xmlns:a16="http://schemas.microsoft.com/office/drawing/2014/main" xmlns="" pre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219075</xdr:colOff>
      <xdr:row>88</xdr:row>
      <xdr:rowOff>180975</xdr:rowOff>
    </xdr:from>
    <xdr:to>
      <xdr:col>12</xdr:col>
      <xdr:colOff>314325</xdr:colOff>
      <xdr:row>101</xdr:row>
      <xdr:rowOff>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xmlns="" id="{00000000-0008-0000-0500-000014000000}"/>
            </a:ext>
            <a:ext uri="{147F2762-F138-4A5C-976F-8EAC2B608ADB}">
              <a16:predDERef xmlns:a16="http://schemas.microsoft.com/office/drawing/2014/main" xmlns="" pred="{00000000-0008-0000-05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66675</xdr:colOff>
      <xdr:row>132</xdr:row>
      <xdr:rowOff>142875</xdr:rowOff>
    </xdr:from>
    <xdr:to>
      <xdr:col>5</xdr:col>
      <xdr:colOff>66675</xdr:colOff>
      <xdr:row>142</xdr:row>
      <xdr:rowOff>72390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xmlns="" id="{00000000-0008-0000-0500-000015000000}"/>
            </a:ext>
            <a:ext uri="{147F2762-F138-4A5C-976F-8EAC2B608ADB}">
              <a16:predDERef xmlns:a16="http://schemas.microsoft.com/office/drawing/2014/main" xmlns="" pred="{00000000-0008-0000-05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11</xdr:col>
      <xdr:colOff>249134</xdr:colOff>
      <xdr:row>35</xdr:row>
      <xdr:rowOff>75109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/>
            <xdr:cNvSpPr txBox="1"/>
          </xdr:nvSpPr>
          <xdr:spPr>
            <a:xfrm>
              <a:off x="8052014" y="7862749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8052014" y="7862749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12</xdr:col>
      <xdr:colOff>266700</xdr:colOff>
      <xdr:row>38</xdr:row>
      <xdr:rowOff>15240</xdr:rowOff>
    </xdr:from>
    <xdr:to>
      <xdr:col>19</xdr:col>
      <xdr:colOff>60960</xdr:colOff>
      <xdr:row>52</xdr:row>
      <xdr:rowOff>106680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xmlns="" id="{00000000-0008-0000-0000-000015000000}"/>
            </a:ext>
            <a:ext uri="{147F2762-F138-4A5C-976F-8EAC2B608ADB}">
              <a16:predDERef xmlns:a16="http://schemas.microsoft.com/office/drawing/2014/main" xmlns="" pre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274320</xdr:colOff>
      <xdr:row>11</xdr:row>
      <xdr:rowOff>99060</xdr:rowOff>
    </xdr:from>
    <xdr:to>
      <xdr:col>15</xdr:col>
      <xdr:colOff>274320</xdr:colOff>
      <xdr:row>21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600-000003000000}"/>
            </a:ext>
            <a:ext uri="{147F2762-F138-4A5C-976F-8EAC2B608ADB}">
              <a16:predDERef xmlns:a16="http://schemas.microsoft.com/office/drawing/2014/main" xmlns="" pre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289560</xdr:colOff>
      <xdr:row>22</xdr:row>
      <xdr:rowOff>53340</xdr:rowOff>
    </xdr:from>
    <xdr:to>
      <xdr:col>15</xdr:col>
      <xdr:colOff>289560</xdr:colOff>
      <xdr:row>32</xdr:row>
      <xdr:rowOff>68580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600-000004000000}"/>
            </a:ext>
            <a:ext uri="{147F2762-F138-4A5C-976F-8EAC2B608ADB}">
              <a16:predDERef xmlns:a16="http://schemas.microsoft.com/office/drawing/2014/main" xmlns="" pre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335280</xdr:colOff>
      <xdr:row>0</xdr:row>
      <xdr:rowOff>190500</xdr:rowOff>
    </xdr:from>
    <xdr:to>
      <xdr:col>7</xdr:col>
      <xdr:colOff>304875</xdr:colOff>
      <xdr:row>0</xdr:row>
      <xdr:rowOff>472464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1060" y="190500"/>
          <a:ext cx="861135" cy="28196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19</xdr:row>
      <xdr:rowOff>30480</xdr:rowOff>
    </xdr:from>
    <xdr:to>
      <xdr:col>0</xdr:col>
      <xdr:colOff>937441</xdr:colOff>
      <xdr:row>19</xdr:row>
      <xdr:rowOff>434340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916680"/>
          <a:ext cx="861241" cy="403860"/>
        </a:xfrm>
        <a:prstGeom prst="rect">
          <a:avLst/>
        </a:prstGeom>
      </xdr:spPr>
    </xdr:pic>
    <xdr:clientData/>
  </xdr:twoCellAnchor>
  <xdr:twoCellAnchor editAs="oneCell">
    <xdr:from>
      <xdr:col>0</xdr:col>
      <xdr:colOff>84001</xdr:colOff>
      <xdr:row>20</xdr:row>
      <xdr:rowOff>52840</xdr:rowOff>
    </xdr:from>
    <xdr:to>
      <xdr:col>0</xdr:col>
      <xdr:colOff>876481</xdr:colOff>
      <xdr:row>20</xdr:row>
      <xdr:rowOff>274320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001" y="4419100"/>
          <a:ext cx="792480" cy="221480"/>
        </a:xfrm>
        <a:prstGeom prst="rect">
          <a:avLst/>
        </a:prstGeom>
      </xdr:spPr>
    </xdr:pic>
    <xdr:clientData/>
  </xdr:twoCellAnchor>
  <xdr:oneCellAnchor>
    <xdr:from>
      <xdr:col>7</xdr:col>
      <xdr:colOff>31375</xdr:colOff>
      <xdr:row>22</xdr:row>
      <xdr:rowOff>29359</xdr:rowOff>
    </xdr:from>
    <xdr:ext cx="3590365" cy="3536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="" id="{00000000-0008-0000-0700-000006000000}"/>
                </a:ext>
              </a:extLst>
            </xdr:cNvPr>
            <xdr:cNvSpPr txBox="1"/>
          </xdr:nvSpPr>
          <xdr:spPr>
            <a:xfrm>
              <a:off x="5544669" y="5829524"/>
              <a:ext cx="3590365" cy="3536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en-US" sz="16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y</m:t>
                            </m:r>
                          </m:e>
                        </m:acc>
                      </m:e>
                      <m:sub>
                        <m:r>
                          <m:rPr>
                            <m:sty m:val="p"/>
                          </m:rPr>
                          <a:rPr lang="en-US" sz="16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x</m:t>
                        </m:r>
                      </m:sub>
                    </m:sSub>
                    <m:sSup>
                      <m:sSup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sty m:val="p"/>
                          </m:rP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</m:t>
                        </m:r>
                      </m:e>
                      <m:sup>
                        <m:r>
                          <a:rPr lang="en-US" sz="14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2,92+</m:t>
                        </m:r>
                        <m:r>
                          <a:rPr lang="ru-RU" sz="14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0,0197∗х</m:t>
                        </m:r>
                      </m:sup>
                    </m:sSup>
                    <m:r>
                      <a:rPr lang="ru-RU" sz="1600" b="0" i="0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 </m:t>
                    </m:r>
                    <m:sSup>
                      <m:sSupPr>
                        <m:ctrlPr>
                          <a:rPr lang="en-US" sz="16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ru-RU" sz="14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18,549</m:t>
                        </m:r>
                        <m:r>
                          <a:rPr lang="ru-RU" sz="14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US" sz="16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e</m:t>
                        </m:r>
                      </m:e>
                      <m:sup>
                        <m:r>
                          <a:rPr lang="ru-RU" sz="1600" b="0" i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0,0197∗х</m:t>
                        </m:r>
                      </m:sup>
                    </m:sSup>
                  </m:oMath>
                </m:oMathPara>
              </a14:m>
              <a:endParaRPr lang="ru-RU" sz="1600" b="0" i="0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700-000006000000}"/>
                </a:ext>
              </a:extLst>
            </xdr:cNvPr>
            <xdr:cNvSpPr txBox="1"/>
          </xdr:nvSpPr>
          <xdr:spPr>
            <a:xfrm>
              <a:off x="5544669" y="5829524"/>
              <a:ext cx="3590365" cy="3536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y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̂_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x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〖=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e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〗^(2,92+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0,0197∗х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=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18,549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e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〗^(</a:t>
              </a:r>
              <a:r>
                <a:rPr lang="ru-RU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0,0197∗х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 sz="1600" b="0" i="0">
                <a:effectLst/>
              </a:endParaRPr>
            </a:p>
          </xdr:txBody>
        </xdr:sp>
      </mc:Fallback>
    </mc:AlternateContent>
    <xdr:clientData/>
  </xdr:oneCellAnchor>
  <xdr:oneCellAnchor>
    <xdr:from>
      <xdr:col>13</xdr:col>
      <xdr:colOff>8964</xdr:colOff>
      <xdr:row>3</xdr:row>
      <xdr:rowOff>80459</xdr:rowOff>
    </xdr:from>
    <xdr:ext cx="914400" cy="2628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="" id="{00000000-0008-0000-0700-000007000000}"/>
                </a:ext>
              </a:extLst>
            </xdr:cNvPr>
            <xdr:cNvSpPr txBox="1"/>
          </xdr:nvSpPr>
          <xdr:spPr>
            <a:xfrm>
              <a:off x="10847293" y="1487918"/>
              <a:ext cx="914400" cy="262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  <m:r>
                          <m:rPr>
                            <m:nor/>
                          </m:r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ru-RU">
                <a:effectLst/>
              </a:endParaRPr>
            </a:p>
            <a:p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700-000007000000}"/>
                </a:ext>
              </a:extLst>
            </xdr:cNvPr>
            <xdr:cNvSpPr txBox="1"/>
          </xdr:nvSpPr>
          <xdr:spPr>
            <a:xfrm>
              <a:off x="10847293" y="1487918"/>
              <a:ext cx="914400" cy="262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̂_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𝑏∙𝑥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  <a:p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523875</xdr:colOff>
      <xdr:row>51</xdr:row>
      <xdr:rowOff>152400</xdr:rowOff>
    </xdr:from>
    <xdr:to>
      <xdr:col>7</xdr:col>
      <xdr:colOff>627530</xdr:colOff>
      <xdr:row>63</xdr:row>
      <xdr:rowOff>161925</xdr:rowOff>
    </xdr:to>
    <xdr:graphicFrame macro="">
      <xdr:nvGraphicFramePr>
        <xdr:cNvPr id="3" name="Диаграмма 6">
          <a:extLst>
            <a:ext uri="{FF2B5EF4-FFF2-40B4-BE49-F238E27FC236}">
              <a16:creationId xmlns:a16="http://schemas.microsoft.com/office/drawing/2014/main" xmlns="" id="{00000000-0008-0000-0700-000003000000}"/>
            </a:ext>
            <a:ext uri="{147F2762-F138-4A5C-976F-8EAC2B608ADB}">
              <a16:predDERef xmlns:a16="http://schemas.microsoft.com/office/drawing/2014/main" xmlns="" pre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123825</xdr:colOff>
      <xdr:row>101</xdr:row>
      <xdr:rowOff>161925</xdr:rowOff>
    </xdr:from>
    <xdr:to>
      <xdr:col>0</xdr:col>
      <xdr:colOff>1114425</xdr:colOff>
      <xdr:row>104</xdr:row>
      <xdr:rowOff>76201</xdr:rowOff>
    </xdr:to>
    <xdr:pic>
      <xdr:nvPicPr>
        <xdr:cNvPr id="9" name="Рисунок 10">
          <a:extLst>
            <a:ext uri="{FF2B5EF4-FFF2-40B4-BE49-F238E27FC236}">
              <a16:creationId xmlns:a16="http://schemas.microsoft.com/office/drawing/2014/main" xmlns="" id="{00000000-0008-0000-0700-000009000000}"/>
            </a:ext>
            <a:ext uri="{147F2762-F138-4A5C-976F-8EAC2B608ADB}">
              <a16:predDERef xmlns:a16="http://schemas.microsoft.com/office/drawing/2014/main" xmlns="" pred="{449845A2-99DD-4AB1-9747-25A532A53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" y="21412200"/>
          <a:ext cx="990600" cy="457200"/>
        </a:xfrm>
        <a:prstGeom prst="rect">
          <a:avLst/>
        </a:prstGeom>
      </xdr:spPr>
    </xdr:pic>
    <xdr:clientData/>
  </xdr:twoCellAnchor>
  <xdr:oneCellAnchor>
    <xdr:from>
      <xdr:col>4</xdr:col>
      <xdr:colOff>165735</xdr:colOff>
      <xdr:row>105</xdr:row>
      <xdr:rowOff>85725</xdr:rowOff>
    </xdr:from>
    <xdr:ext cx="601980" cy="2768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11">
              <a:extLst>
                <a:ext uri="{FF2B5EF4-FFF2-40B4-BE49-F238E27FC236}">
                  <a16:creationId xmlns:a16="http://schemas.microsoft.com/office/drawing/2014/main" xmlns="" id="{00000000-0008-0000-0700-00000A000000}"/>
                </a:ext>
                <a:ext uri="{147F2762-F138-4A5C-976F-8EAC2B608ADB}">
                  <a16:predDERef xmlns:a16="http://schemas.microsoft.com/office/drawing/2014/main" xmlns="" pred="{60B03B54-E210-4D6C-9143-990D91EA2CC8}"/>
                </a:ext>
              </a:extLst>
            </xdr:cNvPr>
            <xdr:cNvSpPr txBox="1"/>
          </xdr:nvSpPr>
          <xdr:spPr>
            <a:xfrm>
              <a:off x="3223260" y="21269325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  <m:sup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6000000}"/>
                </a:ext>
              </a:extLst>
            </xdr:cNvPr>
            <xdr:cNvSpPr txBox="1"/>
          </xdr:nvSpPr>
          <xdr:spPr>
            <a:xfrm>
              <a:off x="3215640" y="31325820"/>
              <a:ext cx="601980" cy="2768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872490</xdr:colOff>
      <xdr:row>105</xdr:row>
      <xdr:rowOff>59055</xdr:rowOff>
    </xdr:from>
    <xdr:ext cx="66294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2">
              <a:extLst>
                <a:ext uri="{FF2B5EF4-FFF2-40B4-BE49-F238E27FC236}">
                  <a16:creationId xmlns:a16="http://schemas.microsoft.com/office/drawing/2014/main" xmlns="" id="{00000000-0008-0000-0700-00000B000000}"/>
                </a:ext>
                <a:ext uri="{147F2762-F138-4A5C-976F-8EAC2B608ADB}">
                  <a16:predDERef xmlns:a16="http://schemas.microsoft.com/office/drawing/2014/main" xmlns="" pred="{B9AC4A00-E8E4-4A2F-B1E3-43F395FA84C6}"/>
                </a:ext>
              </a:extLst>
            </xdr:cNvPr>
            <xdr:cNvSpPr txBox="1"/>
          </xdr:nvSpPr>
          <xdr:spPr>
            <a:xfrm>
              <a:off x="3930015" y="21242655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8000000}"/>
                </a:ext>
              </a:extLst>
            </xdr:cNvPr>
            <xdr:cNvSpPr txBox="1"/>
          </xdr:nvSpPr>
          <xdr:spPr>
            <a:xfrm>
              <a:off x="3779520" y="31356300"/>
              <a:ext cx="66294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𝜀∙𝜀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114300</xdr:colOff>
      <xdr:row>119</xdr:row>
      <xdr:rowOff>148590</xdr:rowOff>
    </xdr:from>
    <xdr:ext cx="914400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3">
              <a:extLst>
                <a:ext uri="{FF2B5EF4-FFF2-40B4-BE49-F238E27FC236}">
                  <a16:creationId xmlns:a16="http://schemas.microsoft.com/office/drawing/2014/main" xmlns="" id="{00000000-0008-0000-0700-00000C000000}"/>
                </a:ext>
                <a:ext uri="{147F2762-F138-4A5C-976F-8EAC2B608ADB}">
                  <a16:predDERef xmlns:a16="http://schemas.microsoft.com/office/drawing/2014/main" xmlns="" pred="{6597AFFB-C3E3-43B0-AC3F-24196B2CAC99}"/>
                </a:ext>
              </a:extLst>
            </xdr:cNvPr>
            <xdr:cNvSpPr txBox="1"/>
          </xdr:nvSpPr>
          <xdr:spPr>
            <a:xfrm>
              <a:off x="114300" y="25037415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𝑐𝑜𝑣</m:t>
                    </m:r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sSub>
                      <m:sSub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C000000}"/>
                </a:ext>
              </a:extLst>
            </xdr:cNvPr>
            <xdr:cNvSpPr txBox="1"/>
          </xdr:nvSpPr>
          <xdr:spPr>
            <a:xfrm>
              <a:off x="114300" y="34164270"/>
              <a:ext cx="9144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124</xdr:row>
      <xdr:rowOff>0</xdr:rowOff>
    </xdr:from>
    <xdr:ext cx="1539240" cy="4648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4">
              <a:extLst>
                <a:ext uri="{FF2B5EF4-FFF2-40B4-BE49-F238E27FC236}">
                  <a16:creationId xmlns:a16="http://schemas.microsoft.com/office/drawing/2014/main" xmlns="" id="{00000000-0008-0000-0700-00000D000000}"/>
                </a:ext>
                <a:ext uri="{147F2762-F138-4A5C-976F-8EAC2B608ADB}">
                  <a16:predDERef xmlns:a16="http://schemas.microsoft.com/office/drawing/2014/main" xmlns="" pred="{FFE7DF2A-CDEA-427A-A6F0-D21EE7EAFDEF}"/>
                </a:ext>
              </a:extLst>
            </xdr:cNvPr>
            <xdr:cNvSpPr txBox="1"/>
          </xdr:nvSpPr>
          <xdr:spPr>
            <a:xfrm>
              <a:off x="0" y="25898475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e>
                      <m: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𝑒𝑖𝑒𝑗</m:t>
                        </m:r>
                      </m:sub>
                    </m:sSub>
                    <m:r>
                      <a:rPr lang="en-US" sz="11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𝑐𝑜𝑣</m:t>
                        </m:r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𝜀</m:t>
                            </m:r>
                          </m:e>
                          <m:sub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b>
                        </m:sSub>
                        <m:r>
                          <a:rPr lang="en-US" sz="11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 baseline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sSub>
                              <m:sSubPr>
                                <m:ctrlP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𝜀</m:t>
                                </m:r>
                              </m:e>
                              <m:sub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 baseline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−1</m:t>
                                </m:r>
                              </m:sub>
                            </m:sSub>
                          </m:sub>
                        </m:sSub>
                      </m:den>
                    </m:f>
                  </m:oMath>
                </m:oMathPara>
              </a14:m>
              <a:endParaRPr lang="ru-RU">
                <a:effectLst/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D000000}"/>
                </a:ext>
              </a:extLst>
            </xdr:cNvPr>
            <xdr:cNvSpPr txBox="1"/>
          </xdr:nvSpPr>
          <xdr:spPr>
            <a:xfrm>
              <a:off x="0" y="25069800"/>
              <a:ext cx="1539240" cy="464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𝑟</a:t>
              </a:r>
              <a:r>
                <a:rPr lang="ru-RU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𝑒𝑖𝑒𝑗=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𝑐𝑜𝑣(𝜀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𝑖,𝜀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)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∙𝜎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𝜀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_(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 ) )</a:t>
              </a:r>
              <a:endParaRPr lang="ru-RU">
                <a:effectLst/>
              </a:endParaRPr>
            </a:p>
          </xdr:txBody>
        </xdr:sp>
      </mc:Fallback>
    </mc:AlternateContent>
    <xdr:clientData/>
  </xdr:oneCellAnchor>
  <xdr:twoCellAnchor>
    <xdr:from>
      <xdr:col>0</xdr:col>
      <xdr:colOff>123826</xdr:colOff>
      <xdr:row>67</xdr:row>
      <xdr:rowOff>114300</xdr:rowOff>
    </xdr:from>
    <xdr:to>
      <xdr:col>5</xdr:col>
      <xdr:colOff>242048</xdr:colOff>
      <xdr:row>82</xdr:row>
      <xdr:rowOff>9525</xdr:rowOff>
    </xdr:to>
    <xdr:graphicFrame macro="">
      <xdr:nvGraphicFramePr>
        <xdr:cNvPr id="14" name="Диаграмма 17">
          <a:extLst>
            <a:ext uri="{FF2B5EF4-FFF2-40B4-BE49-F238E27FC236}">
              <a16:creationId xmlns:a16="http://schemas.microsoft.com/office/drawing/2014/main" xmlns="" id="{00000000-0008-0000-0700-00000E000000}"/>
            </a:ext>
            <a:ext uri="{147F2762-F138-4A5C-976F-8EAC2B608ADB}">
              <a16:predDERef xmlns:a16="http://schemas.microsoft.com/office/drawing/2014/main" xmlns="" pred="{00000000-0008-0000-07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143435</xdr:colOff>
      <xdr:row>85</xdr:row>
      <xdr:rowOff>170328</xdr:rowOff>
    </xdr:from>
    <xdr:to>
      <xdr:col>5</xdr:col>
      <xdr:colOff>45720</xdr:colOff>
      <xdr:row>99</xdr:row>
      <xdr:rowOff>22859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xmlns="" id="{00000000-0008-0000-0700-000012000000}"/>
            </a:ext>
            <a:ext uri="{147F2762-F138-4A5C-976F-8EAC2B608ADB}">
              <a16:predDERef xmlns:a16="http://schemas.microsoft.com/office/drawing/2014/main" xmlns="" pred="{00000000-0008-0000-07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259081</xdr:colOff>
      <xdr:row>85</xdr:row>
      <xdr:rowOff>167640</xdr:rowOff>
    </xdr:from>
    <xdr:to>
      <xdr:col>10</xdr:col>
      <xdr:colOff>388621</xdr:colOff>
      <xdr:row>99</xdr:row>
      <xdr:rowOff>22860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xmlns="" id="{00000000-0008-0000-0700-000013000000}"/>
            </a:ext>
            <a:ext uri="{147F2762-F138-4A5C-976F-8EAC2B608ADB}">
              <a16:predDERef xmlns:a16="http://schemas.microsoft.com/office/drawing/2014/main" xmlns="" pred="{00000000-0008-0000-07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38100</xdr:colOff>
      <xdr:row>129</xdr:row>
      <xdr:rowOff>57150</xdr:rowOff>
    </xdr:from>
    <xdr:to>
      <xdr:col>4</xdr:col>
      <xdr:colOff>638175</xdr:colOff>
      <xdr:row>139</xdr:row>
      <xdr:rowOff>81915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xmlns="" id="{00000000-0008-0000-0700-000014000000}"/>
            </a:ext>
            <a:ext uri="{147F2762-F138-4A5C-976F-8EAC2B608ADB}">
              <a16:predDERef xmlns:a16="http://schemas.microsoft.com/office/drawing/2014/main" xmlns="" pred="{00000000-0008-0000-07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9</xdr:col>
      <xdr:colOff>267063</xdr:colOff>
      <xdr:row>34</xdr:row>
      <xdr:rowOff>12356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7340216" y="8215062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7340216" y="8215062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10</xdr:col>
      <xdr:colOff>579568</xdr:colOff>
      <xdr:row>85</xdr:row>
      <xdr:rowOff>137160</xdr:rowOff>
    </xdr:from>
    <xdr:to>
      <xdr:col>14</xdr:col>
      <xdr:colOff>358140</xdr:colOff>
      <xdr:row>99</xdr:row>
      <xdr:rowOff>5827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xmlns="" id="{00000000-0008-0000-0000-000016000000}"/>
            </a:ext>
            <a:ext uri="{147F2762-F138-4A5C-976F-8EAC2B608ADB}">
              <a16:predDERef xmlns:a16="http://schemas.microsoft.com/office/drawing/2014/main" xmlns="" pre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274320</xdr:colOff>
      <xdr:row>11</xdr:row>
      <xdr:rowOff>160020</xdr:rowOff>
    </xdr:from>
    <xdr:to>
      <xdr:col>15</xdr:col>
      <xdr:colOff>274320</xdr:colOff>
      <xdr:row>21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800-000003000000}"/>
            </a:ext>
            <a:ext uri="{147F2762-F138-4A5C-976F-8EAC2B608ADB}">
              <a16:predDERef xmlns:a16="http://schemas.microsoft.com/office/drawing/2014/main" xmlns="" pre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289560</xdr:colOff>
      <xdr:row>22</xdr:row>
      <xdr:rowOff>137160</xdr:rowOff>
    </xdr:from>
    <xdr:to>
      <xdr:col>15</xdr:col>
      <xdr:colOff>289560</xdr:colOff>
      <xdr:row>32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800-000004000000}"/>
            </a:ext>
            <a:ext uri="{147F2762-F138-4A5C-976F-8EAC2B608ADB}">
              <a16:predDERef xmlns:a16="http://schemas.microsoft.com/office/drawing/2014/main" xmlns="" pre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502024</xdr:colOff>
      <xdr:row>46</xdr:row>
      <xdr:rowOff>143435</xdr:rowOff>
    </xdr:from>
    <xdr:to>
      <xdr:col>7</xdr:col>
      <xdr:colOff>645458</xdr:colOff>
      <xdr:row>58</xdr:row>
      <xdr:rowOff>152960</xdr:rowOff>
    </xdr:to>
    <xdr:graphicFrame macro="">
      <xdr:nvGraphicFramePr>
        <xdr:cNvPr id="16" name="Диаграмма 6">
          <a:extLst>
            <a:ext uri="{FF2B5EF4-FFF2-40B4-BE49-F238E27FC236}">
              <a16:creationId xmlns:a16="http://schemas.microsoft.com/office/drawing/2014/main" xmlns="" id="{00000000-0008-0000-0900-000010000000}"/>
            </a:ext>
            <a:ext uri="{147F2762-F138-4A5C-976F-8EAC2B608ADB}">
              <a16:predDERef xmlns:a16="http://schemas.microsoft.com/office/drawing/2014/main" xmlns="" pre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291240</xdr:colOff>
      <xdr:row>98</xdr:row>
      <xdr:rowOff>5043</xdr:rowOff>
    </xdr:from>
    <xdr:ext cx="601980" cy="264560"/>
    <xdr:sp macro="" textlink="">
      <xdr:nvSpPr>
        <xdr:cNvPr id="18" name="TextBox 11">
          <a:extLst>
            <a:ext uri="{FF2B5EF4-FFF2-40B4-BE49-F238E27FC236}">
              <a16:creationId xmlns:a16="http://schemas.microsoft.com/office/drawing/2014/main" xmlns="" id="{00000000-0008-0000-0900-000012000000}"/>
            </a:ext>
            <a:ext uri="{147F2762-F138-4A5C-976F-8EAC2B608ADB}">
              <a16:predDERef xmlns:a16="http://schemas.microsoft.com/office/drawing/2014/main" xmlns="" pred="{60B03B54-E210-4D6C-9143-990D91EA2CC8}"/>
            </a:ext>
          </a:extLst>
        </xdr:cNvPr>
        <xdr:cNvSpPr txBox="1"/>
      </xdr:nvSpPr>
      <xdr:spPr>
        <a:xfrm>
          <a:off x="3186840" y="18517161"/>
          <a:ext cx="601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2914</xdr:colOff>
      <xdr:row>98</xdr:row>
      <xdr:rowOff>23196</xdr:rowOff>
    </xdr:from>
    <xdr:ext cx="662940" cy="264560"/>
    <xdr:sp macro="" textlink="">
      <xdr:nvSpPr>
        <xdr:cNvPr id="19" name="TextBox 12">
          <a:extLst>
            <a:ext uri="{FF2B5EF4-FFF2-40B4-BE49-F238E27FC236}">
              <a16:creationId xmlns:a16="http://schemas.microsoft.com/office/drawing/2014/main" xmlns="" id="{00000000-0008-0000-0900-000013000000}"/>
            </a:ext>
            <a:ext uri="{147F2762-F138-4A5C-976F-8EAC2B608ADB}">
              <a16:predDERef xmlns:a16="http://schemas.microsoft.com/office/drawing/2014/main" xmlns="" pred="{B9AC4A00-E8E4-4A2F-B1E3-43F395FA84C6}"/>
            </a:ext>
          </a:extLst>
        </xdr:cNvPr>
        <xdr:cNvSpPr txBox="1"/>
      </xdr:nvSpPr>
      <xdr:spPr>
        <a:xfrm>
          <a:off x="3714302" y="18535314"/>
          <a:ext cx="662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6</xdr:col>
      <xdr:colOff>382345</xdr:colOff>
      <xdr:row>99</xdr:row>
      <xdr:rowOff>66440</xdr:rowOff>
    </xdr:from>
    <xdr:ext cx="45719" cy="45719"/>
    <xdr:sp macro="" textlink="">
      <xdr:nvSpPr>
        <xdr:cNvPr id="20" name="TextBox 13">
          <a:extLst>
            <a:ext uri="{FF2B5EF4-FFF2-40B4-BE49-F238E27FC236}">
              <a16:creationId xmlns:a16="http://schemas.microsoft.com/office/drawing/2014/main" xmlns="" id="{00000000-0008-0000-0900-000014000000}"/>
            </a:ext>
            <a:ext uri="{147F2762-F138-4A5C-976F-8EAC2B608ADB}">
              <a16:predDERef xmlns:a16="http://schemas.microsoft.com/office/drawing/2014/main" xmlns="" pred="{6597AFFB-C3E3-43B0-AC3F-24196B2CAC99}"/>
            </a:ext>
          </a:extLst>
        </xdr:cNvPr>
        <xdr:cNvSpPr txBox="1"/>
      </xdr:nvSpPr>
      <xdr:spPr>
        <a:xfrm>
          <a:off x="5160533" y="18883358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498438</xdr:colOff>
      <xdr:row>98</xdr:row>
      <xdr:rowOff>192841</xdr:rowOff>
    </xdr:from>
    <xdr:ext cx="45719" cy="45719"/>
    <xdr:sp macro="" textlink="">
      <xdr:nvSpPr>
        <xdr:cNvPr id="21" name="TextBox 14">
          <a:extLst>
            <a:ext uri="{FF2B5EF4-FFF2-40B4-BE49-F238E27FC236}">
              <a16:creationId xmlns:a16="http://schemas.microsoft.com/office/drawing/2014/main" xmlns="" id="{00000000-0008-0000-0900-000015000000}"/>
            </a:ext>
            <a:ext uri="{147F2762-F138-4A5C-976F-8EAC2B608ADB}">
              <a16:predDERef xmlns:a16="http://schemas.microsoft.com/office/drawing/2014/main" xmlns="" pred="{FFE7DF2A-CDEA-427A-A6F0-D21EE7EAFDEF}"/>
            </a:ext>
          </a:extLst>
        </xdr:cNvPr>
        <xdr:cNvSpPr txBox="1"/>
      </xdr:nvSpPr>
      <xdr:spPr>
        <a:xfrm flipV="1">
          <a:off x="4667026" y="18704959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twoCellAnchor>
    <xdr:from>
      <xdr:col>0</xdr:col>
      <xdr:colOff>161363</xdr:colOff>
      <xdr:row>115</xdr:row>
      <xdr:rowOff>116540</xdr:rowOff>
    </xdr:from>
    <xdr:to>
      <xdr:col>5</xdr:col>
      <xdr:colOff>197224</xdr:colOff>
      <xdr:row>129</xdr:row>
      <xdr:rowOff>98612</xdr:rowOff>
    </xdr:to>
    <xdr:graphicFrame macro="">
      <xdr:nvGraphicFramePr>
        <xdr:cNvPr id="27" name="Диаграмма 26">
          <a:extLst>
            <a:ext uri="{FF2B5EF4-FFF2-40B4-BE49-F238E27FC236}">
              <a16:creationId xmlns:a16="http://schemas.microsoft.com/office/drawing/2014/main" xmlns="" id="{00000000-0008-0000-0900-00001B000000}"/>
            </a:ext>
            <a:ext uri="{147F2762-F138-4A5C-976F-8EAC2B608ADB}">
              <a16:predDERef xmlns:a16="http://schemas.microsoft.com/office/drawing/2014/main" xmlns="" pred="{00000000-0008-0000-09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116540</xdr:colOff>
      <xdr:row>62</xdr:row>
      <xdr:rowOff>143436</xdr:rowOff>
    </xdr:from>
    <xdr:to>
      <xdr:col>4</xdr:col>
      <xdr:colOff>1174375</xdr:colOff>
      <xdr:row>76</xdr:row>
      <xdr:rowOff>161364</xdr:rowOff>
    </xdr:to>
    <xdr:graphicFrame macro="">
      <xdr:nvGraphicFramePr>
        <xdr:cNvPr id="28" name="Диаграмма 27">
          <a:extLst>
            <a:ext uri="{FF2B5EF4-FFF2-40B4-BE49-F238E27FC236}">
              <a16:creationId xmlns:a16="http://schemas.microsoft.com/office/drawing/2014/main" xmlns="" id="{00000000-0008-0000-0900-00001C000000}"/>
            </a:ext>
            <a:ext uri="{147F2762-F138-4A5C-976F-8EAC2B608ADB}">
              <a16:predDERef xmlns:a16="http://schemas.microsoft.com/office/drawing/2014/main" xmlns="" pred="{00000000-0008-0000-09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1322742</xdr:colOff>
      <xdr:row>62</xdr:row>
      <xdr:rowOff>150157</xdr:rowOff>
    </xdr:from>
    <xdr:to>
      <xdr:col>9</xdr:col>
      <xdr:colOff>251011</xdr:colOff>
      <xdr:row>76</xdr:row>
      <xdr:rowOff>170328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xmlns="" id="{00000000-0008-0000-0900-00001D000000}"/>
            </a:ext>
            <a:ext uri="{147F2762-F138-4A5C-976F-8EAC2B608ADB}">
              <a16:predDERef xmlns:a16="http://schemas.microsoft.com/office/drawing/2014/main" xmlns="" pred="{00000000-0008-0000-09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10</xdr:col>
      <xdr:colOff>267063</xdr:colOff>
      <xdr:row>33</xdr:row>
      <xdr:rowOff>12356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8496663" y="6449015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8496663" y="6449015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11</xdr:col>
      <xdr:colOff>80682</xdr:colOff>
      <xdr:row>32</xdr:row>
      <xdr:rowOff>150699</xdr:rowOff>
    </xdr:from>
    <xdr:to>
      <xdr:col>19</xdr:col>
      <xdr:colOff>346497</xdr:colOff>
      <xdr:row>35</xdr:row>
      <xdr:rowOff>94175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9482" y="6623217"/>
          <a:ext cx="5142615" cy="517217"/>
        </a:xfrm>
        <a:prstGeom prst="rect">
          <a:avLst/>
        </a:prstGeom>
      </xdr:spPr>
    </xdr:pic>
    <xdr:clientData/>
  </xdr:twoCellAnchor>
  <xdr:twoCellAnchor>
    <xdr:from>
      <xdr:col>10</xdr:col>
      <xdr:colOff>170329</xdr:colOff>
      <xdr:row>1</xdr:row>
      <xdr:rowOff>170329</xdr:rowOff>
    </xdr:from>
    <xdr:to>
      <xdr:col>18</xdr:col>
      <xdr:colOff>358588</xdr:colOff>
      <xdr:row>17</xdr:row>
      <xdr:rowOff>170328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xmlns="" id="{595E4119-9469-4811-A263-9971E496088F}"/>
            </a:ext>
            <a:ext uri="{147F2762-F138-4A5C-976F-8EAC2B608ADB}">
              <a16:predDERef xmlns:a16="http://schemas.microsoft.com/office/drawing/2014/main" xmlns="" pre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134471</xdr:colOff>
      <xdr:row>80</xdr:row>
      <xdr:rowOff>170330</xdr:rowOff>
    </xdr:from>
    <xdr:to>
      <xdr:col>4</xdr:col>
      <xdr:colOff>1407458</xdr:colOff>
      <xdr:row>93</xdr:row>
      <xdr:rowOff>18490</xdr:rowOff>
    </xdr:to>
    <xdr:graphicFrame macro="">
      <xdr:nvGraphicFramePr>
        <xdr:cNvPr id="14" name="Диаграмма 6">
          <a:extLst>
            <a:ext uri="{FF2B5EF4-FFF2-40B4-BE49-F238E27FC236}">
              <a16:creationId xmlns:a16="http://schemas.microsoft.com/office/drawing/2014/main" xmlns="" id="{00000000-0008-0000-0900-000010000000}"/>
            </a:ext>
            <a:ext uri="{147F2762-F138-4A5C-976F-8EAC2B608ADB}">
              <a16:predDERef xmlns:a16="http://schemas.microsoft.com/office/drawing/2014/main" xmlns="" pre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274320</xdr:colOff>
      <xdr:row>11</xdr:row>
      <xdr:rowOff>83820</xdr:rowOff>
    </xdr:from>
    <xdr:to>
      <xdr:col>15</xdr:col>
      <xdr:colOff>274320</xdr:colOff>
      <xdr:row>21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A00-000003000000}"/>
            </a:ext>
            <a:ext uri="{147F2762-F138-4A5C-976F-8EAC2B608ADB}">
              <a16:predDERef xmlns:a16="http://schemas.microsoft.com/office/drawing/2014/main" xmlns="" pre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289560</xdr:colOff>
      <xdr:row>22</xdr:row>
      <xdr:rowOff>22860</xdr:rowOff>
    </xdr:from>
    <xdr:to>
      <xdr:col>15</xdr:col>
      <xdr:colOff>289560</xdr:colOff>
      <xdr:row>32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A00-000004000000}"/>
            </a:ext>
            <a:ext uri="{147F2762-F138-4A5C-976F-8EAC2B608ADB}">
              <a16:predDERef xmlns:a16="http://schemas.microsoft.com/office/drawing/2014/main" xmlns="" pre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312420</xdr:colOff>
      <xdr:row>32</xdr:row>
      <xdr:rowOff>167640</xdr:rowOff>
    </xdr:from>
    <xdr:to>
      <xdr:col>15</xdr:col>
      <xdr:colOff>312420</xdr:colOff>
      <xdr:row>43</xdr:row>
      <xdr:rowOff>7620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0A00-000005000000}"/>
            </a:ext>
            <a:ext uri="{147F2762-F138-4A5C-976F-8EAC2B608ADB}">
              <a16:predDERef xmlns:a16="http://schemas.microsoft.com/office/drawing/2014/main" xmlns="" pre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205740</xdr:colOff>
      <xdr:row>36</xdr:row>
      <xdr:rowOff>129540</xdr:rowOff>
    </xdr:from>
    <xdr:to>
      <xdr:col>8</xdr:col>
      <xdr:colOff>632460</xdr:colOff>
      <xdr:row>46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00000000-0008-0000-0A00-000006000000}"/>
            </a:ext>
            <a:ext uri="{147F2762-F138-4A5C-976F-8EAC2B608ADB}">
              <a16:predDERef xmlns:a16="http://schemas.microsoft.com/office/drawing/2014/main" xmlns="" pre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502024</xdr:colOff>
      <xdr:row>45</xdr:row>
      <xdr:rowOff>143435</xdr:rowOff>
    </xdr:from>
    <xdr:to>
      <xdr:col>7</xdr:col>
      <xdr:colOff>645458</xdr:colOff>
      <xdr:row>57</xdr:row>
      <xdr:rowOff>152960</xdr:rowOff>
    </xdr:to>
    <xdr:graphicFrame macro="">
      <xdr:nvGraphicFramePr>
        <xdr:cNvPr id="2" name="Диаграмма 6">
          <a:extLst>
            <a:ext uri="{FF2B5EF4-FFF2-40B4-BE49-F238E27FC236}">
              <a16:creationId xmlns:a16="http://schemas.microsoft.com/office/drawing/2014/main" xmlns="" id="{00000000-0008-0000-0B00-000002000000}"/>
            </a:ext>
            <a:ext uri="{147F2762-F138-4A5C-976F-8EAC2B608ADB}">
              <a16:predDERef xmlns:a16="http://schemas.microsoft.com/office/drawing/2014/main" xmlns="" pre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291240</xdr:colOff>
      <xdr:row>97</xdr:row>
      <xdr:rowOff>5043</xdr:rowOff>
    </xdr:from>
    <xdr:ext cx="601980" cy="264560"/>
    <xdr:sp macro="" textlink="">
      <xdr:nvSpPr>
        <xdr:cNvPr id="3" name="TextBox 11">
          <a:extLst>
            <a:ext uri="{FF2B5EF4-FFF2-40B4-BE49-F238E27FC236}">
              <a16:creationId xmlns:a16="http://schemas.microsoft.com/office/drawing/2014/main" xmlns="" id="{00000000-0008-0000-0B00-000003000000}"/>
            </a:ext>
            <a:ext uri="{147F2762-F138-4A5C-976F-8EAC2B608ADB}">
              <a16:predDERef xmlns:a16="http://schemas.microsoft.com/office/drawing/2014/main" xmlns="" pred="{60B03B54-E210-4D6C-9143-990D91EA2CC8}"/>
            </a:ext>
          </a:extLst>
        </xdr:cNvPr>
        <xdr:cNvSpPr txBox="1"/>
      </xdr:nvSpPr>
      <xdr:spPr>
        <a:xfrm>
          <a:off x="3186840" y="18453063"/>
          <a:ext cx="601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2914</xdr:colOff>
      <xdr:row>97</xdr:row>
      <xdr:rowOff>23196</xdr:rowOff>
    </xdr:from>
    <xdr:ext cx="662940" cy="264560"/>
    <xdr:sp macro="" textlink="">
      <xdr:nvSpPr>
        <xdr:cNvPr id="4" name="TextBox 12">
          <a:extLst>
            <a:ext uri="{FF2B5EF4-FFF2-40B4-BE49-F238E27FC236}">
              <a16:creationId xmlns:a16="http://schemas.microsoft.com/office/drawing/2014/main" xmlns="" id="{00000000-0008-0000-0B00-000004000000}"/>
            </a:ext>
            <a:ext uri="{147F2762-F138-4A5C-976F-8EAC2B608ADB}">
              <a16:predDERef xmlns:a16="http://schemas.microsoft.com/office/drawing/2014/main" xmlns="" pred="{B9AC4A00-E8E4-4A2F-B1E3-43F395FA84C6}"/>
            </a:ext>
          </a:extLst>
        </xdr:cNvPr>
        <xdr:cNvSpPr txBox="1"/>
      </xdr:nvSpPr>
      <xdr:spPr>
        <a:xfrm>
          <a:off x="4171054" y="18471216"/>
          <a:ext cx="662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6</xdr:col>
      <xdr:colOff>382345</xdr:colOff>
      <xdr:row>98</xdr:row>
      <xdr:rowOff>66440</xdr:rowOff>
    </xdr:from>
    <xdr:ext cx="45719" cy="45719"/>
    <xdr:sp macro="" textlink="">
      <xdr:nvSpPr>
        <xdr:cNvPr id="5" name="TextBox 13">
          <a:extLst>
            <a:ext uri="{FF2B5EF4-FFF2-40B4-BE49-F238E27FC236}">
              <a16:creationId xmlns:a16="http://schemas.microsoft.com/office/drawing/2014/main" xmlns="" id="{00000000-0008-0000-0B00-000005000000}"/>
            </a:ext>
            <a:ext uri="{147F2762-F138-4A5C-976F-8EAC2B608ADB}">
              <a16:predDERef xmlns:a16="http://schemas.microsoft.com/office/drawing/2014/main" xmlns="" pred="{6597AFFB-C3E3-43B0-AC3F-24196B2CAC99}"/>
            </a:ext>
          </a:extLst>
        </xdr:cNvPr>
        <xdr:cNvSpPr txBox="1"/>
      </xdr:nvSpPr>
      <xdr:spPr>
        <a:xfrm>
          <a:off x="5160085" y="18819260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498438</xdr:colOff>
      <xdr:row>97</xdr:row>
      <xdr:rowOff>192841</xdr:rowOff>
    </xdr:from>
    <xdr:ext cx="45719" cy="45719"/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xmlns="" id="{00000000-0008-0000-0B00-000006000000}"/>
            </a:ext>
            <a:ext uri="{147F2762-F138-4A5C-976F-8EAC2B608ADB}">
              <a16:predDERef xmlns:a16="http://schemas.microsoft.com/office/drawing/2014/main" xmlns="" pred="{FFE7DF2A-CDEA-427A-A6F0-D21EE7EAFDEF}"/>
            </a:ext>
          </a:extLst>
        </xdr:cNvPr>
        <xdr:cNvSpPr txBox="1"/>
      </xdr:nvSpPr>
      <xdr:spPr>
        <a:xfrm flipV="1">
          <a:off x="4666578" y="18640861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twoCellAnchor>
    <xdr:from>
      <xdr:col>0</xdr:col>
      <xdr:colOff>129540</xdr:colOff>
      <xdr:row>80</xdr:row>
      <xdr:rowOff>7620</xdr:rowOff>
    </xdr:from>
    <xdr:to>
      <xdr:col>5</xdr:col>
      <xdr:colOff>685800</xdr:colOff>
      <xdr:row>92</xdr:row>
      <xdr:rowOff>32385</xdr:rowOff>
    </xdr:to>
    <xdr:graphicFrame macro="">
      <xdr:nvGraphicFramePr>
        <xdr:cNvPr id="10" name="Диаграмма 6">
          <a:extLst>
            <a:ext uri="{FF2B5EF4-FFF2-40B4-BE49-F238E27FC236}">
              <a16:creationId xmlns:a16="http://schemas.microsoft.com/office/drawing/2014/main" xmlns="" id="{00000000-0008-0000-0B00-00000A000000}"/>
            </a:ext>
            <a:ext uri="{147F2762-F138-4A5C-976F-8EAC2B608ADB}">
              <a16:predDERef xmlns:a16="http://schemas.microsoft.com/office/drawing/2014/main" xmlns="" pred="{00000000-0008-0000-0B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129540</xdr:colOff>
      <xdr:row>114</xdr:row>
      <xdr:rowOff>175260</xdr:rowOff>
    </xdr:from>
    <xdr:to>
      <xdr:col>5</xdr:col>
      <xdr:colOff>579120</xdr:colOff>
      <xdr:row>127</xdr:row>
      <xdr:rowOff>137160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xmlns="" id="{00000000-0008-0000-0B00-00000B000000}"/>
            </a:ext>
            <a:ext uri="{147F2762-F138-4A5C-976F-8EAC2B608ADB}">
              <a16:predDERef xmlns:a16="http://schemas.microsoft.com/office/drawing/2014/main" xmlns="" pred="{00000000-0008-0000-0B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106680</xdr:colOff>
      <xdr:row>62</xdr:row>
      <xdr:rowOff>0</xdr:rowOff>
    </xdr:from>
    <xdr:to>
      <xdr:col>5</xdr:col>
      <xdr:colOff>640080</xdr:colOff>
      <xdr:row>75</xdr:row>
      <xdr:rowOff>175260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xmlns="" id="{00000000-0008-0000-0B00-00000C000000}"/>
            </a:ext>
            <a:ext uri="{147F2762-F138-4A5C-976F-8EAC2B608ADB}">
              <a16:predDERef xmlns:a16="http://schemas.microsoft.com/office/drawing/2014/main" xmlns="" pred="{00000000-0008-0000-0B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746760</xdr:colOff>
      <xdr:row>62</xdr:row>
      <xdr:rowOff>7620</xdr:rowOff>
    </xdr:from>
    <xdr:to>
      <xdr:col>9</xdr:col>
      <xdr:colOff>563880</xdr:colOff>
      <xdr:row>76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xmlns="" id="{00000000-0008-0000-0B00-00000D000000}"/>
            </a:ext>
            <a:ext uri="{147F2762-F138-4A5C-976F-8EAC2B608ADB}">
              <a16:predDERef xmlns:a16="http://schemas.microsoft.com/office/drawing/2014/main" xmlns="" pred="{00000000-0008-0000-0B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22860</xdr:colOff>
      <xdr:row>62</xdr:row>
      <xdr:rowOff>7620</xdr:rowOff>
    </xdr:from>
    <xdr:to>
      <xdr:col>16</xdr:col>
      <xdr:colOff>487680</xdr:colOff>
      <xdr:row>76</xdr:row>
      <xdr:rowOff>15240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xmlns="" id="{00000000-0008-0000-0B00-00000E000000}"/>
            </a:ext>
            <a:ext uri="{147F2762-F138-4A5C-976F-8EAC2B608ADB}">
              <a16:predDERef xmlns:a16="http://schemas.microsoft.com/office/drawing/2014/main" xmlns="" pred="{00000000-0008-0000-0B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8</xdr:col>
      <xdr:colOff>724263</xdr:colOff>
      <xdr:row>32</xdr:row>
      <xdr:rowOff>19976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6812643" y="639791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812643" y="639791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11</xdr:col>
      <xdr:colOff>426720</xdr:colOff>
      <xdr:row>2</xdr:row>
      <xdr:rowOff>0</xdr:rowOff>
    </xdr:from>
    <xdr:to>
      <xdr:col>19</xdr:col>
      <xdr:colOff>220980</xdr:colOff>
      <xdr:row>16</xdr:row>
      <xdr:rowOff>146685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xmlns="" id="{A682D1C2-0B45-4682-AB95-CC41A931DD3D}"/>
            </a:ext>
            <a:ext uri="{147F2762-F138-4A5C-976F-8EAC2B608ADB}">
              <a16:predDERef xmlns:a16="http://schemas.microsoft.com/office/drawing/2014/main" xmlns="" pred="{595E4119-9469-4811-A263-9971E49608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289560</xdr:colOff>
      <xdr:row>11</xdr:row>
      <xdr:rowOff>91440</xdr:rowOff>
    </xdr:from>
    <xdr:to>
      <xdr:col>15</xdr:col>
      <xdr:colOff>289560</xdr:colOff>
      <xdr:row>21</xdr:row>
      <xdr:rowOff>83820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C00-000003000000}"/>
            </a:ext>
            <a:ext uri="{147F2762-F138-4A5C-976F-8EAC2B608ADB}">
              <a16:predDERef xmlns:a16="http://schemas.microsoft.com/office/drawing/2014/main" xmlns="" pre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320040</xdr:colOff>
      <xdr:row>22</xdr:row>
      <xdr:rowOff>22860</xdr:rowOff>
    </xdr:from>
    <xdr:to>
      <xdr:col>15</xdr:col>
      <xdr:colOff>320040</xdr:colOff>
      <xdr:row>32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C00-000004000000}"/>
            </a:ext>
            <a:ext uri="{147F2762-F138-4A5C-976F-8EAC2B608ADB}">
              <a16:predDERef xmlns:a16="http://schemas.microsoft.com/office/drawing/2014/main" xmlns="" pre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335280</xdr:colOff>
      <xdr:row>32</xdr:row>
      <xdr:rowOff>175260</xdr:rowOff>
    </xdr:from>
    <xdr:to>
      <xdr:col>15</xdr:col>
      <xdr:colOff>335280</xdr:colOff>
      <xdr:row>43</xdr:row>
      <xdr:rowOff>15240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0C00-000005000000}"/>
            </a:ext>
            <a:ext uri="{147F2762-F138-4A5C-976F-8EAC2B608ADB}">
              <a16:predDERef xmlns:a16="http://schemas.microsoft.com/office/drawing/2014/main" xmlns="" pre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381000</xdr:colOff>
      <xdr:row>44</xdr:row>
      <xdr:rowOff>7620</xdr:rowOff>
    </xdr:from>
    <xdr:to>
      <xdr:col>15</xdr:col>
      <xdr:colOff>381000</xdr:colOff>
      <xdr:row>54</xdr:row>
      <xdr:rowOff>30480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00000000-0008-0000-0C00-000006000000}"/>
            </a:ext>
            <a:ext uri="{147F2762-F138-4A5C-976F-8EAC2B608ADB}">
              <a16:predDERef xmlns:a16="http://schemas.microsoft.com/office/drawing/2014/main" xmlns="" pre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388620</xdr:colOff>
      <xdr:row>55</xdr:row>
      <xdr:rowOff>0</xdr:rowOff>
    </xdr:from>
    <xdr:to>
      <xdr:col>15</xdr:col>
      <xdr:colOff>388620</xdr:colOff>
      <xdr:row>65</xdr:row>
      <xdr:rowOff>22860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0000000-0008-0000-0C00-000007000000}"/>
            </a:ext>
            <a:ext uri="{147F2762-F138-4A5C-976F-8EAC2B608ADB}">
              <a16:predDERef xmlns:a16="http://schemas.microsoft.com/office/drawing/2014/main" xmlns="" pred="{00000000-0008-0000-0C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678180</xdr:colOff>
      <xdr:row>37</xdr:row>
      <xdr:rowOff>7620</xdr:rowOff>
    </xdr:from>
    <xdr:to>
      <xdr:col>9</xdr:col>
      <xdr:colOff>137161</xdr:colOff>
      <xdr:row>47</xdr:row>
      <xdr:rowOff>30480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00000000-0008-0000-0C00-000008000000}"/>
            </a:ext>
            <a:ext uri="{147F2762-F138-4A5C-976F-8EAC2B608ADB}">
              <a16:predDERef xmlns:a16="http://schemas.microsoft.com/office/drawing/2014/main" xmlns="" pred="{00000000-0008-0000-0C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502024</xdr:colOff>
      <xdr:row>45</xdr:row>
      <xdr:rowOff>143435</xdr:rowOff>
    </xdr:from>
    <xdr:to>
      <xdr:col>7</xdr:col>
      <xdr:colOff>645458</xdr:colOff>
      <xdr:row>57</xdr:row>
      <xdr:rowOff>152960</xdr:rowOff>
    </xdr:to>
    <xdr:graphicFrame macro="">
      <xdr:nvGraphicFramePr>
        <xdr:cNvPr id="2" name="Диаграмма 6">
          <a:extLst>
            <a:ext uri="{FF2B5EF4-FFF2-40B4-BE49-F238E27FC236}">
              <a16:creationId xmlns:a16="http://schemas.microsoft.com/office/drawing/2014/main" xmlns="" id="{00000000-0008-0000-0D00-000002000000}"/>
            </a:ext>
            <a:ext uri="{147F2762-F138-4A5C-976F-8EAC2B608ADB}">
              <a16:predDERef xmlns:a16="http://schemas.microsoft.com/office/drawing/2014/main" xmlns="" pre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291240</xdr:colOff>
      <xdr:row>97</xdr:row>
      <xdr:rowOff>5043</xdr:rowOff>
    </xdr:from>
    <xdr:ext cx="601980" cy="264560"/>
    <xdr:sp macro="" textlink="">
      <xdr:nvSpPr>
        <xdr:cNvPr id="3" name="TextBox 11">
          <a:extLst>
            <a:ext uri="{FF2B5EF4-FFF2-40B4-BE49-F238E27FC236}">
              <a16:creationId xmlns:a16="http://schemas.microsoft.com/office/drawing/2014/main" xmlns="" id="{00000000-0008-0000-0D00-000003000000}"/>
            </a:ext>
            <a:ext uri="{147F2762-F138-4A5C-976F-8EAC2B608ADB}">
              <a16:predDERef xmlns:a16="http://schemas.microsoft.com/office/drawing/2014/main" xmlns="" pred="{60B03B54-E210-4D6C-9143-990D91EA2CC8}"/>
            </a:ext>
          </a:extLst>
        </xdr:cNvPr>
        <xdr:cNvSpPr txBox="1"/>
      </xdr:nvSpPr>
      <xdr:spPr>
        <a:xfrm>
          <a:off x="3072540" y="18674043"/>
          <a:ext cx="601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2914</xdr:colOff>
      <xdr:row>97</xdr:row>
      <xdr:rowOff>23196</xdr:rowOff>
    </xdr:from>
    <xdr:ext cx="662940" cy="264560"/>
    <xdr:sp macro="" textlink="">
      <xdr:nvSpPr>
        <xdr:cNvPr id="4" name="TextBox 12">
          <a:extLst>
            <a:ext uri="{FF2B5EF4-FFF2-40B4-BE49-F238E27FC236}">
              <a16:creationId xmlns:a16="http://schemas.microsoft.com/office/drawing/2014/main" xmlns="" id="{00000000-0008-0000-0D00-000004000000}"/>
            </a:ext>
            <a:ext uri="{147F2762-F138-4A5C-976F-8EAC2B608ADB}">
              <a16:predDERef xmlns:a16="http://schemas.microsoft.com/office/drawing/2014/main" xmlns="" pred="{B9AC4A00-E8E4-4A2F-B1E3-43F395FA84C6}"/>
            </a:ext>
          </a:extLst>
        </xdr:cNvPr>
        <xdr:cNvSpPr txBox="1"/>
      </xdr:nvSpPr>
      <xdr:spPr>
        <a:xfrm>
          <a:off x="3393814" y="18692196"/>
          <a:ext cx="662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6</xdr:col>
      <xdr:colOff>382345</xdr:colOff>
      <xdr:row>98</xdr:row>
      <xdr:rowOff>66440</xdr:rowOff>
    </xdr:from>
    <xdr:ext cx="45719" cy="45719"/>
    <xdr:sp macro="" textlink="">
      <xdr:nvSpPr>
        <xdr:cNvPr id="5" name="TextBox 13">
          <a:extLst>
            <a:ext uri="{FF2B5EF4-FFF2-40B4-BE49-F238E27FC236}">
              <a16:creationId xmlns:a16="http://schemas.microsoft.com/office/drawing/2014/main" xmlns="" id="{00000000-0008-0000-0D00-000005000000}"/>
            </a:ext>
            <a:ext uri="{147F2762-F138-4A5C-976F-8EAC2B608ADB}">
              <a16:predDERef xmlns:a16="http://schemas.microsoft.com/office/drawing/2014/main" xmlns="" pred="{6597AFFB-C3E3-43B0-AC3F-24196B2CAC99}"/>
            </a:ext>
          </a:extLst>
        </xdr:cNvPr>
        <xdr:cNvSpPr txBox="1"/>
      </xdr:nvSpPr>
      <xdr:spPr>
        <a:xfrm>
          <a:off x="5152465" y="18918320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498438</xdr:colOff>
      <xdr:row>97</xdr:row>
      <xdr:rowOff>192841</xdr:rowOff>
    </xdr:from>
    <xdr:ext cx="45719" cy="45719"/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xmlns="" id="{00000000-0008-0000-0D00-000006000000}"/>
            </a:ext>
            <a:ext uri="{147F2762-F138-4A5C-976F-8EAC2B608ADB}">
              <a16:predDERef xmlns:a16="http://schemas.microsoft.com/office/drawing/2014/main" xmlns="" pred="{FFE7DF2A-CDEA-427A-A6F0-D21EE7EAFDEF}"/>
            </a:ext>
          </a:extLst>
        </xdr:cNvPr>
        <xdr:cNvSpPr txBox="1"/>
      </xdr:nvSpPr>
      <xdr:spPr>
        <a:xfrm flipV="1">
          <a:off x="3889338" y="18854221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twoCellAnchor>
    <xdr:from>
      <xdr:col>0</xdr:col>
      <xdr:colOff>160020</xdr:colOff>
      <xdr:row>115</xdr:row>
      <xdr:rowOff>7620</xdr:rowOff>
    </xdr:from>
    <xdr:to>
      <xdr:col>6</xdr:col>
      <xdr:colOff>556260</xdr:colOff>
      <xdr:row>128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xmlns="" id="{00000000-0008-0000-0D00-00000A000000}"/>
            </a:ext>
            <a:ext uri="{147F2762-F138-4A5C-976F-8EAC2B608ADB}">
              <a16:predDERef xmlns:a16="http://schemas.microsoft.com/office/drawing/2014/main" xmlns="" pred="{00000000-0008-0000-0D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80</xdr:row>
      <xdr:rowOff>0</xdr:rowOff>
    </xdr:from>
    <xdr:to>
      <xdr:col>6</xdr:col>
      <xdr:colOff>562534</xdr:colOff>
      <xdr:row>92</xdr:row>
      <xdr:rowOff>24765</xdr:rowOff>
    </xdr:to>
    <xdr:graphicFrame macro="">
      <xdr:nvGraphicFramePr>
        <xdr:cNvPr id="11" name="Диаграмма 6">
          <a:extLst>
            <a:ext uri="{FF2B5EF4-FFF2-40B4-BE49-F238E27FC236}">
              <a16:creationId xmlns:a16="http://schemas.microsoft.com/office/drawing/2014/main" xmlns="" id="{00000000-0008-0000-0D00-00000B000000}"/>
            </a:ext>
            <a:ext uri="{147F2762-F138-4A5C-976F-8EAC2B608ADB}">
              <a16:predDERef xmlns:a16="http://schemas.microsoft.com/office/drawing/2014/main" xmlns="" pred="{00000000-0008-0000-0D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160020</xdr:colOff>
      <xdr:row>61</xdr:row>
      <xdr:rowOff>167640</xdr:rowOff>
    </xdr:from>
    <xdr:to>
      <xdr:col>5</xdr:col>
      <xdr:colOff>312420</xdr:colOff>
      <xdr:row>74</xdr:row>
      <xdr:rowOff>175260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xmlns="" id="{00000000-0008-0000-0D00-00000C000000}"/>
            </a:ext>
            <a:ext uri="{147F2762-F138-4A5C-976F-8EAC2B608ADB}">
              <a16:predDERef xmlns:a16="http://schemas.microsoft.com/office/drawing/2014/main" xmlns="" pred="{00000000-0008-0000-0D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373380</xdr:colOff>
      <xdr:row>61</xdr:row>
      <xdr:rowOff>152400</xdr:rowOff>
    </xdr:from>
    <xdr:to>
      <xdr:col>9</xdr:col>
      <xdr:colOff>457200</xdr:colOff>
      <xdr:row>74</xdr:row>
      <xdr:rowOff>137160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xmlns="" id="{00000000-0008-0000-0D00-00000D000000}"/>
            </a:ext>
            <a:ext uri="{147F2762-F138-4A5C-976F-8EAC2B608ADB}">
              <a16:predDERef xmlns:a16="http://schemas.microsoft.com/office/drawing/2014/main" xmlns="" pred="{00000000-0008-0000-0D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541020</xdr:colOff>
      <xdr:row>61</xdr:row>
      <xdr:rowOff>144780</xdr:rowOff>
    </xdr:from>
    <xdr:to>
      <xdr:col>14</xdr:col>
      <xdr:colOff>137160</xdr:colOff>
      <xdr:row>74</xdr:row>
      <xdr:rowOff>129540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xmlns="" id="{00000000-0008-0000-0D00-00000E000000}"/>
            </a:ext>
            <a:ext uri="{147F2762-F138-4A5C-976F-8EAC2B608ADB}">
              <a16:predDERef xmlns:a16="http://schemas.microsoft.com/office/drawing/2014/main" xmlns="" pred="{00000000-0008-0000-0D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190500</xdr:colOff>
      <xdr:row>61</xdr:row>
      <xdr:rowOff>144780</xdr:rowOff>
    </xdr:from>
    <xdr:to>
      <xdr:col>20</xdr:col>
      <xdr:colOff>190500</xdr:colOff>
      <xdr:row>74</xdr:row>
      <xdr:rowOff>129540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xmlns="" id="{00000000-0008-0000-0D00-00000F000000}"/>
            </a:ext>
            <a:ext uri="{147F2762-F138-4A5C-976F-8EAC2B608ADB}">
              <a16:predDERef xmlns:a16="http://schemas.microsoft.com/office/drawing/2014/main" xmlns="" pred="{00000000-0008-0000-0D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8</xdr:col>
      <xdr:colOff>274683</xdr:colOff>
      <xdr:row>32</xdr:row>
      <xdr:rowOff>4736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6675483" y="653507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6675483" y="653507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12</xdr:col>
      <xdr:colOff>182880</xdr:colOff>
      <xdr:row>1</xdr:row>
      <xdr:rowOff>30480</xdr:rowOff>
    </xdr:from>
    <xdr:to>
      <xdr:col>20</xdr:col>
      <xdr:colOff>466725</xdr:colOff>
      <xdr:row>16</xdr:row>
      <xdr:rowOff>38100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xmlns="" id="{07E8894A-B4A3-410F-8E1A-EA32750F3D67}"/>
            </a:ext>
            <a:ext uri="{147F2762-F138-4A5C-976F-8EAC2B608ADB}">
              <a16:predDERef xmlns:a16="http://schemas.microsoft.com/office/drawing/2014/main" xmlns="" pred="{A682D1C2-0B45-4682-AB95-CC41A931D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297180</xdr:colOff>
      <xdr:row>11</xdr:row>
      <xdr:rowOff>60960</xdr:rowOff>
    </xdr:from>
    <xdr:to>
      <xdr:col>15</xdr:col>
      <xdr:colOff>297180</xdr:colOff>
      <xdr:row>21</xdr:row>
      <xdr:rowOff>53340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0E00-000003000000}"/>
            </a:ext>
            <a:ext uri="{147F2762-F138-4A5C-976F-8EAC2B608ADB}">
              <a16:predDERef xmlns:a16="http://schemas.microsoft.com/office/drawing/2014/main" xmlns="" pre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320040</xdr:colOff>
      <xdr:row>21</xdr:row>
      <xdr:rowOff>129540</xdr:rowOff>
    </xdr:from>
    <xdr:to>
      <xdr:col>15</xdr:col>
      <xdr:colOff>320040</xdr:colOff>
      <xdr:row>31</xdr:row>
      <xdr:rowOff>144780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0E00-000004000000}"/>
            </a:ext>
            <a:ext uri="{147F2762-F138-4A5C-976F-8EAC2B608ADB}">
              <a16:predDERef xmlns:a16="http://schemas.microsoft.com/office/drawing/2014/main" xmlns="" pre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312420</xdr:colOff>
      <xdr:row>32</xdr:row>
      <xdr:rowOff>83820</xdr:rowOff>
    </xdr:from>
    <xdr:to>
      <xdr:col>15</xdr:col>
      <xdr:colOff>312420</xdr:colOff>
      <xdr:row>42</xdr:row>
      <xdr:rowOff>106680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0E00-000005000000}"/>
            </a:ext>
            <a:ext uri="{147F2762-F138-4A5C-976F-8EAC2B608ADB}">
              <a16:predDERef xmlns:a16="http://schemas.microsoft.com/office/drawing/2014/main" xmlns="" pred="{00000000-0008-0000-0E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373380</xdr:colOff>
      <xdr:row>1</xdr:row>
      <xdr:rowOff>22860</xdr:rowOff>
    </xdr:from>
    <xdr:to>
      <xdr:col>21</xdr:col>
      <xdr:colOff>373380</xdr:colOff>
      <xdr:row>11</xdr:row>
      <xdr:rowOff>22860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00000000-0008-0000-0E00-000006000000}"/>
            </a:ext>
            <a:ext uri="{147F2762-F138-4A5C-976F-8EAC2B608ADB}">
              <a16:predDERef xmlns:a16="http://schemas.microsoft.com/office/drawing/2014/main" xmlns="" pred="{00000000-0008-0000-0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426720</xdr:colOff>
      <xdr:row>11</xdr:row>
      <xdr:rowOff>114300</xdr:rowOff>
    </xdr:from>
    <xdr:to>
      <xdr:col>21</xdr:col>
      <xdr:colOff>426720</xdr:colOff>
      <xdr:row>21</xdr:row>
      <xdr:rowOff>106680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0000000-0008-0000-0E00-000007000000}"/>
            </a:ext>
            <a:ext uri="{147F2762-F138-4A5C-976F-8EAC2B608ADB}">
              <a16:predDERef xmlns:a16="http://schemas.microsoft.com/office/drawing/2014/main" xmlns="" pred="{00000000-0008-0000-0E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487680</xdr:colOff>
      <xdr:row>22</xdr:row>
      <xdr:rowOff>38100</xdr:rowOff>
    </xdr:from>
    <xdr:to>
      <xdr:col>21</xdr:col>
      <xdr:colOff>487681</xdr:colOff>
      <xdr:row>32</xdr:row>
      <xdr:rowOff>53340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00000000-0008-0000-0E00-000008000000}"/>
            </a:ext>
            <a:ext uri="{147F2762-F138-4A5C-976F-8EAC2B608ADB}">
              <a16:predDERef xmlns:a16="http://schemas.microsoft.com/office/drawing/2014/main" xmlns="" pred="{00000000-0008-0000-0E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495300</xdr:colOff>
      <xdr:row>32</xdr:row>
      <xdr:rowOff>175260</xdr:rowOff>
    </xdr:from>
    <xdr:to>
      <xdr:col>21</xdr:col>
      <xdr:colOff>495301</xdr:colOff>
      <xdr:row>43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xmlns="" id="{00000000-0008-0000-0E00-000009000000}"/>
            </a:ext>
            <a:ext uri="{147F2762-F138-4A5C-976F-8EAC2B608ADB}">
              <a16:predDERef xmlns:a16="http://schemas.microsoft.com/office/drawing/2014/main" xmlns="" pred="{00000000-0008-0000-0E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640080</xdr:colOff>
      <xdr:row>38</xdr:row>
      <xdr:rowOff>99060</xdr:rowOff>
    </xdr:from>
    <xdr:to>
      <xdr:col>9</xdr:col>
      <xdr:colOff>99061</xdr:colOff>
      <xdr:row>48</xdr:row>
      <xdr:rowOff>114300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xmlns="" id="{00000000-0008-0000-0E00-00000A000000}"/>
            </a:ext>
            <a:ext uri="{147F2762-F138-4A5C-976F-8EAC2B608ADB}">
              <a16:predDERef xmlns:a16="http://schemas.microsoft.com/office/drawing/2014/main" xmlns="" pred="{00000000-0008-0000-0E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502024</xdr:colOff>
      <xdr:row>45</xdr:row>
      <xdr:rowOff>143435</xdr:rowOff>
    </xdr:from>
    <xdr:to>
      <xdr:col>7</xdr:col>
      <xdr:colOff>645458</xdr:colOff>
      <xdr:row>57</xdr:row>
      <xdr:rowOff>152960</xdr:rowOff>
    </xdr:to>
    <xdr:graphicFrame macro="">
      <xdr:nvGraphicFramePr>
        <xdr:cNvPr id="2" name="Диаграмма 6">
          <a:extLst>
            <a:ext uri="{FF2B5EF4-FFF2-40B4-BE49-F238E27FC236}">
              <a16:creationId xmlns:a16="http://schemas.microsoft.com/office/drawing/2014/main" xmlns="" id="{00000000-0008-0000-0F00-000002000000}"/>
            </a:ext>
            <a:ext uri="{147F2762-F138-4A5C-976F-8EAC2B608ADB}">
              <a16:predDERef xmlns:a16="http://schemas.microsoft.com/office/drawing/2014/main" xmlns="" pre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291240</xdr:colOff>
      <xdr:row>115</xdr:row>
      <xdr:rowOff>5043</xdr:rowOff>
    </xdr:from>
    <xdr:ext cx="601980" cy="264560"/>
    <xdr:sp macro="" textlink="">
      <xdr:nvSpPr>
        <xdr:cNvPr id="3" name="TextBox 11">
          <a:extLst>
            <a:ext uri="{FF2B5EF4-FFF2-40B4-BE49-F238E27FC236}">
              <a16:creationId xmlns:a16="http://schemas.microsoft.com/office/drawing/2014/main" xmlns="" id="{00000000-0008-0000-0F00-000003000000}"/>
            </a:ext>
            <a:ext uri="{147F2762-F138-4A5C-976F-8EAC2B608ADB}">
              <a16:predDERef xmlns:a16="http://schemas.microsoft.com/office/drawing/2014/main" xmlns="" pred="{60B03B54-E210-4D6C-9143-990D91EA2CC8}"/>
            </a:ext>
          </a:extLst>
        </xdr:cNvPr>
        <xdr:cNvSpPr txBox="1"/>
      </xdr:nvSpPr>
      <xdr:spPr>
        <a:xfrm>
          <a:off x="3186840" y="18620703"/>
          <a:ext cx="601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2914</xdr:colOff>
      <xdr:row>115</xdr:row>
      <xdr:rowOff>23196</xdr:rowOff>
    </xdr:from>
    <xdr:ext cx="662940" cy="264560"/>
    <xdr:sp macro="" textlink="">
      <xdr:nvSpPr>
        <xdr:cNvPr id="4" name="TextBox 12">
          <a:extLst>
            <a:ext uri="{FF2B5EF4-FFF2-40B4-BE49-F238E27FC236}">
              <a16:creationId xmlns:a16="http://schemas.microsoft.com/office/drawing/2014/main" xmlns="" id="{00000000-0008-0000-0F00-000004000000}"/>
            </a:ext>
            <a:ext uri="{147F2762-F138-4A5C-976F-8EAC2B608ADB}">
              <a16:predDERef xmlns:a16="http://schemas.microsoft.com/office/drawing/2014/main" xmlns="" pred="{B9AC4A00-E8E4-4A2F-B1E3-43F395FA84C6}"/>
            </a:ext>
          </a:extLst>
        </xdr:cNvPr>
        <xdr:cNvSpPr txBox="1"/>
      </xdr:nvSpPr>
      <xdr:spPr>
        <a:xfrm>
          <a:off x="3508114" y="18638856"/>
          <a:ext cx="662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6</xdr:col>
      <xdr:colOff>382345</xdr:colOff>
      <xdr:row>116</xdr:row>
      <xdr:rowOff>66440</xdr:rowOff>
    </xdr:from>
    <xdr:ext cx="45719" cy="45719"/>
    <xdr:sp macro="" textlink="">
      <xdr:nvSpPr>
        <xdr:cNvPr id="5" name="TextBox 13">
          <a:extLst>
            <a:ext uri="{FF2B5EF4-FFF2-40B4-BE49-F238E27FC236}">
              <a16:creationId xmlns:a16="http://schemas.microsoft.com/office/drawing/2014/main" xmlns="" id="{00000000-0008-0000-0F00-000005000000}"/>
            </a:ext>
            <a:ext uri="{147F2762-F138-4A5C-976F-8EAC2B608ADB}">
              <a16:predDERef xmlns:a16="http://schemas.microsoft.com/office/drawing/2014/main" xmlns="" pred="{6597AFFB-C3E3-43B0-AC3F-24196B2CAC99}"/>
            </a:ext>
          </a:extLst>
        </xdr:cNvPr>
        <xdr:cNvSpPr txBox="1"/>
      </xdr:nvSpPr>
      <xdr:spPr>
        <a:xfrm>
          <a:off x="4497145" y="18864980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498438</xdr:colOff>
      <xdr:row>115</xdr:row>
      <xdr:rowOff>192841</xdr:rowOff>
    </xdr:from>
    <xdr:ext cx="45719" cy="45719"/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xmlns="" id="{00000000-0008-0000-0F00-000006000000}"/>
            </a:ext>
            <a:ext uri="{147F2762-F138-4A5C-976F-8EAC2B608ADB}">
              <a16:predDERef xmlns:a16="http://schemas.microsoft.com/office/drawing/2014/main" xmlns="" pred="{FFE7DF2A-CDEA-427A-A6F0-D21EE7EAFDEF}"/>
            </a:ext>
          </a:extLst>
        </xdr:cNvPr>
        <xdr:cNvSpPr txBox="1"/>
      </xdr:nvSpPr>
      <xdr:spPr>
        <a:xfrm flipV="1">
          <a:off x="4003638" y="18800881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twoCellAnchor>
    <xdr:from>
      <xdr:col>0</xdr:col>
      <xdr:colOff>60960</xdr:colOff>
      <xdr:row>61</xdr:row>
      <xdr:rowOff>106680</xdr:rowOff>
    </xdr:from>
    <xdr:to>
      <xdr:col>4</xdr:col>
      <xdr:colOff>548640</xdr:colOff>
      <xdr:row>71</xdr:row>
      <xdr:rowOff>129540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xmlns="" id="{00000000-0008-0000-0F00-00000B000000}"/>
            </a:ext>
            <a:ext uri="{147F2762-F138-4A5C-976F-8EAC2B608ADB}">
              <a16:predDERef xmlns:a16="http://schemas.microsoft.com/office/drawing/2014/main" xmlns="" pred="{00000000-0008-0000-0F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7620</xdr:colOff>
      <xdr:row>61</xdr:row>
      <xdr:rowOff>114300</xdr:rowOff>
    </xdr:from>
    <xdr:to>
      <xdr:col>9</xdr:col>
      <xdr:colOff>342900</xdr:colOff>
      <xdr:row>71</xdr:row>
      <xdr:rowOff>129540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xmlns="" id="{00000000-0008-0000-0F00-00000C000000}"/>
            </a:ext>
            <a:ext uri="{147F2762-F138-4A5C-976F-8EAC2B608ADB}">
              <a16:predDERef xmlns:a16="http://schemas.microsoft.com/office/drawing/2014/main" xmlns="" pred="{00000000-0008-0000-0F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91440</xdr:colOff>
      <xdr:row>72</xdr:row>
      <xdr:rowOff>53340</xdr:rowOff>
    </xdr:from>
    <xdr:to>
      <xdr:col>4</xdr:col>
      <xdr:colOff>579120</xdr:colOff>
      <xdr:row>82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xmlns="" id="{00000000-0008-0000-0F00-00000D000000}"/>
            </a:ext>
            <a:ext uri="{147F2762-F138-4A5C-976F-8EAC2B608ADB}">
              <a16:predDERef xmlns:a16="http://schemas.microsoft.com/office/drawing/2014/main" xmlns="" pred="{00000000-0008-0000-0F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22860</xdr:colOff>
      <xdr:row>72</xdr:row>
      <xdr:rowOff>53340</xdr:rowOff>
    </xdr:from>
    <xdr:to>
      <xdr:col>9</xdr:col>
      <xdr:colOff>358140</xdr:colOff>
      <xdr:row>82</xdr:row>
      <xdr:rowOff>83820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xmlns="" id="{00000000-0008-0000-0F00-00000E000000}"/>
            </a:ext>
            <a:ext uri="{147F2762-F138-4A5C-976F-8EAC2B608ADB}">
              <a16:predDERef xmlns:a16="http://schemas.microsoft.com/office/drawing/2014/main" xmlns="" pred="{00000000-0008-0000-0F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114300</xdr:colOff>
      <xdr:row>82</xdr:row>
      <xdr:rowOff>175260</xdr:rowOff>
    </xdr:from>
    <xdr:to>
      <xdr:col>4</xdr:col>
      <xdr:colOff>601980</xdr:colOff>
      <xdr:row>93</xdr:row>
      <xdr:rowOff>15240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xmlns="" id="{00000000-0008-0000-0F00-00000F000000}"/>
            </a:ext>
            <a:ext uri="{147F2762-F138-4A5C-976F-8EAC2B608ADB}">
              <a16:predDERef xmlns:a16="http://schemas.microsoft.com/office/drawing/2014/main" xmlns="" pred="{00000000-0008-0000-0F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243840</xdr:colOff>
      <xdr:row>98</xdr:row>
      <xdr:rowOff>7620</xdr:rowOff>
    </xdr:from>
    <xdr:to>
      <xdr:col>4</xdr:col>
      <xdr:colOff>402514</xdr:colOff>
      <xdr:row>110</xdr:row>
      <xdr:rowOff>32385</xdr:rowOff>
    </xdr:to>
    <xdr:graphicFrame macro="">
      <xdr:nvGraphicFramePr>
        <xdr:cNvPr id="16" name="Диаграмма 6">
          <a:extLst>
            <a:ext uri="{FF2B5EF4-FFF2-40B4-BE49-F238E27FC236}">
              <a16:creationId xmlns:a16="http://schemas.microsoft.com/office/drawing/2014/main" xmlns="" id="{00000000-0008-0000-0F00-000010000000}"/>
            </a:ext>
            <a:ext uri="{147F2762-F138-4A5C-976F-8EAC2B608ADB}">
              <a16:predDERef xmlns:a16="http://schemas.microsoft.com/office/drawing/2014/main" xmlns="" pred="{00000000-0008-0000-0F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160020</xdr:colOff>
      <xdr:row>132</xdr:row>
      <xdr:rowOff>121920</xdr:rowOff>
    </xdr:from>
    <xdr:to>
      <xdr:col>5</xdr:col>
      <xdr:colOff>30481</xdr:colOff>
      <xdr:row>145</xdr:row>
      <xdr:rowOff>160020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xmlns="" id="{00000000-0008-0000-0F00-000011000000}"/>
            </a:ext>
            <a:ext uri="{147F2762-F138-4A5C-976F-8EAC2B608ADB}">
              <a16:predDERef xmlns:a16="http://schemas.microsoft.com/office/drawing/2014/main" xmlns="" pred="{00000000-0008-0000-0F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8</xdr:col>
      <xdr:colOff>320403</xdr:colOff>
      <xdr:row>32</xdr:row>
      <xdr:rowOff>4736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6751683" y="633695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6751683" y="633695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13</xdr:col>
      <xdr:colOff>259080</xdr:colOff>
      <xdr:row>1</xdr:row>
      <xdr:rowOff>167640</xdr:rowOff>
    </xdr:from>
    <xdr:to>
      <xdr:col>21</xdr:col>
      <xdr:colOff>38100</xdr:colOff>
      <xdr:row>16</xdr:row>
      <xdr:rowOff>15240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xmlns="" id="{8C0B2125-A788-4C25-8777-4AAB8D141B1B}"/>
            </a:ext>
            <a:ext uri="{147F2762-F138-4A5C-976F-8EAC2B608ADB}">
              <a16:predDERef xmlns:a16="http://schemas.microsoft.com/office/drawing/2014/main" xmlns="" pred="{07E8894A-B4A3-410F-8E1A-EA32750F3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289560</xdr:colOff>
      <xdr:row>11</xdr:row>
      <xdr:rowOff>91440</xdr:rowOff>
    </xdr:from>
    <xdr:to>
      <xdr:col>15</xdr:col>
      <xdr:colOff>289560</xdr:colOff>
      <xdr:row>21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1000-000003000000}"/>
            </a:ext>
            <a:ext uri="{147F2762-F138-4A5C-976F-8EAC2B608ADB}">
              <a16:predDERef xmlns:a16="http://schemas.microsoft.com/office/drawing/2014/main" xmlns="" pre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312420</xdr:colOff>
      <xdr:row>22</xdr:row>
      <xdr:rowOff>22860</xdr:rowOff>
    </xdr:from>
    <xdr:to>
      <xdr:col>15</xdr:col>
      <xdr:colOff>312420</xdr:colOff>
      <xdr:row>32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1000-000004000000}"/>
            </a:ext>
            <a:ext uri="{147F2762-F138-4A5C-976F-8EAC2B608ADB}">
              <a16:predDERef xmlns:a16="http://schemas.microsoft.com/office/drawing/2014/main" xmlns="" pre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320040</xdr:colOff>
      <xdr:row>32</xdr:row>
      <xdr:rowOff>144780</xdr:rowOff>
    </xdr:from>
    <xdr:to>
      <xdr:col>15</xdr:col>
      <xdr:colOff>320040</xdr:colOff>
      <xdr:row>42</xdr:row>
      <xdr:rowOff>167640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1000-000005000000}"/>
            </a:ext>
            <a:ext uri="{147F2762-F138-4A5C-976F-8EAC2B608ADB}">
              <a16:predDERef xmlns:a16="http://schemas.microsoft.com/office/drawing/2014/main" xmlns="" pre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342900</xdr:colOff>
      <xdr:row>43</xdr:row>
      <xdr:rowOff>114300</xdr:rowOff>
    </xdr:from>
    <xdr:to>
      <xdr:col>15</xdr:col>
      <xdr:colOff>342900</xdr:colOff>
      <xdr:row>53</xdr:row>
      <xdr:rowOff>137160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00000000-0008-0000-1000-000006000000}"/>
            </a:ext>
            <a:ext uri="{147F2762-F138-4A5C-976F-8EAC2B608ADB}">
              <a16:predDERef xmlns:a16="http://schemas.microsoft.com/office/drawing/2014/main" xmlns="" pre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396240</xdr:colOff>
      <xdr:row>1</xdr:row>
      <xdr:rowOff>15240</xdr:rowOff>
    </xdr:from>
    <xdr:to>
      <xdr:col>21</xdr:col>
      <xdr:colOff>396240</xdr:colOff>
      <xdr:row>11</xdr:row>
      <xdr:rowOff>7620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0000000-0008-0000-1000-000007000000}"/>
            </a:ext>
            <a:ext uri="{147F2762-F138-4A5C-976F-8EAC2B608ADB}">
              <a16:predDERef xmlns:a16="http://schemas.microsoft.com/office/drawing/2014/main" xmlns="" pred="{00000000-0008-0000-1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381000</xdr:colOff>
      <xdr:row>11</xdr:row>
      <xdr:rowOff>99060</xdr:rowOff>
    </xdr:from>
    <xdr:to>
      <xdr:col>21</xdr:col>
      <xdr:colOff>381001</xdr:colOff>
      <xdr:row>21</xdr:row>
      <xdr:rowOff>106680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00000000-0008-0000-1000-000008000000}"/>
            </a:ext>
            <a:ext uri="{147F2762-F138-4A5C-976F-8EAC2B608ADB}">
              <a16:predDERef xmlns:a16="http://schemas.microsoft.com/office/drawing/2014/main" xmlns="" pred="{00000000-0008-0000-1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403860</xdr:colOff>
      <xdr:row>22</xdr:row>
      <xdr:rowOff>30480</xdr:rowOff>
    </xdr:from>
    <xdr:to>
      <xdr:col>21</xdr:col>
      <xdr:colOff>403861</xdr:colOff>
      <xdr:row>32</xdr:row>
      <xdr:rowOff>38100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xmlns="" id="{00000000-0008-0000-1000-000009000000}"/>
            </a:ext>
            <a:ext uri="{147F2762-F138-4A5C-976F-8EAC2B608ADB}">
              <a16:predDERef xmlns:a16="http://schemas.microsoft.com/office/drawing/2014/main" xmlns="" pred="{00000000-0008-0000-1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434340</xdr:colOff>
      <xdr:row>32</xdr:row>
      <xdr:rowOff>160020</xdr:rowOff>
    </xdr:from>
    <xdr:to>
      <xdr:col>21</xdr:col>
      <xdr:colOff>434341</xdr:colOff>
      <xdr:row>42</xdr:row>
      <xdr:rowOff>160020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xmlns="" id="{00000000-0008-0000-1000-00000A000000}"/>
            </a:ext>
            <a:ext uri="{147F2762-F138-4A5C-976F-8EAC2B608ADB}">
              <a16:predDERef xmlns:a16="http://schemas.microsoft.com/office/drawing/2014/main" xmlns="" pred="{00000000-0008-0000-1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434340</xdr:colOff>
      <xdr:row>43</xdr:row>
      <xdr:rowOff>114300</xdr:rowOff>
    </xdr:from>
    <xdr:to>
      <xdr:col>21</xdr:col>
      <xdr:colOff>434341</xdr:colOff>
      <xdr:row>53</xdr:row>
      <xdr:rowOff>129540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xmlns="" id="{00000000-0008-0000-1000-00000B000000}"/>
            </a:ext>
            <a:ext uri="{147F2762-F138-4A5C-976F-8EAC2B608ADB}">
              <a16:predDERef xmlns:a16="http://schemas.microsoft.com/office/drawing/2014/main" xmlns="" pred="{00000000-0008-0000-1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457200</xdr:colOff>
      <xdr:row>40</xdr:row>
      <xdr:rowOff>167640</xdr:rowOff>
    </xdr:from>
    <xdr:to>
      <xdr:col>8</xdr:col>
      <xdr:colOff>883921</xdr:colOff>
      <xdr:row>51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xmlns="" id="{00000000-0008-0000-1000-00000C000000}"/>
            </a:ext>
            <a:ext uri="{147F2762-F138-4A5C-976F-8EAC2B608ADB}">
              <a16:predDERef xmlns:a16="http://schemas.microsoft.com/office/drawing/2014/main" xmlns="" pred="{00000000-0008-0000-1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502024</xdr:colOff>
      <xdr:row>45</xdr:row>
      <xdr:rowOff>143435</xdr:rowOff>
    </xdr:from>
    <xdr:to>
      <xdr:col>7</xdr:col>
      <xdr:colOff>645458</xdr:colOff>
      <xdr:row>57</xdr:row>
      <xdr:rowOff>152960</xdr:rowOff>
    </xdr:to>
    <xdr:graphicFrame macro="">
      <xdr:nvGraphicFramePr>
        <xdr:cNvPr id="2" name="Диаграмма 6">
          <a:extLst>
            <a:ext uri="{FF2B5EF4-FFF2-40B4-BE49-F238E27FC236}">
              <a16:creationId xmlns:a16="http://schemas.microsoft.com/office/drawing/2014/main" xmlns="" id="{00000000-0008-0000-1100-000002000000}"/>
            </a:ext>
            <a:ext uri="{147F2762-F138-4A5C-976F-8EAC2B608ADB}">
              <a16:predDERef xmlns:a16="http://schemas.microsoft.com/office/drawing/2014/main" xmlns="" pre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291240</xdr:colOff>
      <xdr:row>105</xdr:row>
      <xdr:rowOff>5043</xdr:rowOff>
    </xdr:from>
    <xdr:ext cx="601980" cy="264560"/>
    <xdr:sp macro="" textlink="">
      <xdr:nvSpPr>
        <xdr:cNvPr id="3" name="TextBox 11">
          <a:extLst>
            <a:ext uri="{FF2B5EF4-FFF2-40B4-BE49-F238E27FC236}">
              <a16:creationId xmlns:a16="http://schemas.microsoft.com/office/drawing/2014/main" xmlns="" id="{00000000-0008-0000-1100-000003000000}"/>
            </a:ext>
            <a:ext uri="{147F2762-F138-4A5C-976F-8EAC2B608ADB}">
              <a16:predDERef xmlns:a16="http://schemas.microsoft.com/office/drawing/2014/main" xmlns="" pred="{60B03B54-E210-4D6C-9143-990D91EA2CC8}"/>
            </a:ext>
          </a:extLst>
        </xdr:cNvPr>
        <xdr:cNvSpPr txBox="1"/>
      </xdr:nvSpPr>
      <xdr:spPr>
        <a:xfrm>
          <a:off x="3461160" y="21912543"/>
          <a:ext cx="6019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2914</xdr:colOff>
      <xdr:row>105</xdr:row>
      <xdr:rowOff>23196</xdr:rowOff>
    </xdr:from>
    <xdr:ext cx="662940" cy="264560"/>
    <xdr:sp macro="" textlink="">
      <xdr:nvSpPr>
        <xdr:cNvPr id="4" name="TextBox 12">
          <a:extLst>
            <a:ext uri="{FF2B5EF4-FFF2-40B4-BE49-F238E27FC236}">
              <a16:creationId xmlns:a16="http://schemas.microsoft.com/office/drawing/2014/main" xmlns="" id="{00000000-0008-0000-1100-000004000000}"/>
            </a:ext>
            <a:ext uri="{147F2762-F138-4A5C-976F-8EAC2B608ADB}">
              <a16:predDERef xmlns:a16="http://schemas.microsoft.com/office/drawing/2014/main" xmlns="" pred="{B9AC4A00-E8E4-4A2F-B1E3-43F395FA84C6}"/>
            </a:ext>
          </a:extLst>
        </xdr:cNvPr>
        <xdr:cNvSpPr txBox="1"/>
      </xdr:nvSpPr>
      <xdr:spPr>
        <a:xfrm>
          <a:off x="3790054" y="21930696"/>
          <a:ext cx="6629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6</xdr:col>
      <xdr:colOff>382345</xdr:colOff>
      <xdr:row>106</xdr:row>
      <xdr:rowOff>66440</xdr:rowOff>
    </xdr:from>
    <xdr:ext cx="45719" cy="45719"/>
    <xdr:sp macro="" textlink="">
      <xdr:nvSpPr>
        <xdr:cNvPr id="5" name="TextBox 13">
          <a:extLst>
            <a:ext uri="{FF2B5EF4-FFF2-40B4-BE49-F238E27FC236}">
              <a16:creationId xmlns:a16="http://schemas.microsoft.com/office/drawing/2014/main" xmlns="" id="{00000000-0008-0000-1100-000005000000}"/>
            </a:ext>
            <a:ext uri="{147F2762-F138-4A5C-976F-8EAC2B608ADB}">
              <a16:predDERef xmlns:a16="http://schemas.microsoft.com/office/drawing/2014/main" xmlns="" pred="{6597AFFB-C3E3-43B0-AC3F-24196B2CAC99}"/>
            </a:ext>
          </a:extLst>
        </xdr:cNvPr>
        <xdr:cNvSpPr txBox="1"/>
      </xdr:nvSpPr>
      <xdr:spPr>
        <a:xfrm>
          <a:off x="4786705" y="22156820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oneCellAnchor>
    <xdr:from>
      <xdr:col>5</xdr:col>
      <xdr:colOff>498438</xdr:colOff>
      <xdr:row>105</xdr:row>
      <xdr:rowOff>192841</xdr:rowOff>
    </xdr:from>
    <xdr:ext cx="45719" cy="45719"/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xmlns="" id="{00000000-0008-0000-1100-000006000000}"/>
            </a:ext>
            <a:ext uri="{147F2762-F138-4A5C-976F-8EAC2B608ADB}">
              <a16:predDERef xmlns:a16="http://schemas.microsoft.com/office/drawing/2014/main" xmlns="" pred="{FFE7DF2A-CDEA-427A-A6F0-D21EE7EAFDEF}"/>
            </a:ext>
          </a:extLst>
        </xdr:cNvPr>
        <xdr:cNvSpPr txBox="1"/>
      </xdr:nvSpPr>
      <xdr:spPr>
        <a:xfrm flipV="1">
          <a:off x="4285578" y="22092721"/>
          <a:ext cx="45719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>
            <a:effectLst/>
          </a:endParaRPr>
        </a:p>
      </xdr:txBody>
    </xdr:sp>
    <xdr:clientData/>
  </xdr:oneCellAnchor>
  <xdr:twoCellAnchor>
    <xdr:from>
      <xdr:col>0</xdr:col>
      <xdr:colOff>114300</xdr:colOff>
      <xdr:row>122</xdr:row>
      <xdr:rowOff>160020</xdr:rowOff>
    </xdr:from>
    <xdr:to>
      <xdr:col>5</xdr:col>
      <xdr:colOff>464820</xdr:colOff>
      <xdr:row>135</xdr:row>
      <xdr:rowOff>144780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xmlns="" id="{00000000-0008-0000-1100-00000E000000}"/>
            </a:ext>
            <a:ext uri="{147F2762-F138-4A5C-976F-8EAC2B608ADB}">
              <a16:predDERef xmlns:a16="http://schemas.microsoft.com/office/drawing/2014/main" xmlns="" pred="{00000000-0008-0000-1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61</xdr:row>
      <xdr:rowOff>99060</xdr:rowOff>
    </xdr:from>
    <xdr:to>
      <xdr:col>4</xdr:col>
      <xdr:colOff>601980</xdr:colOff>
      <xdr:row>71</xdr:row>
      <xdr:rowOff>121920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xmlns="" id="{00000000-0008-0000-1100-00000F000000}"/>
            </a:ext>
            <a:ext uri="{147F2762-F138-4A5C-976F-8EAC2B608ADB}">
              <a16:predDERef xmlns:a16="http://schemas.microsoft.com/office/drawing/2014/main" xmlns="" pred="{00000000-0008-0000-1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99060</xdr:colOff>
      <xdr:row>61</xdr:row>
      <xdr:rowOff>114300</xdr:rowOff>
    </xdr:from>
    <xdr:to>
      <xdr:col>9</xdr:col>
      <xdr:colOff>7620</xdr:colOff>
      <xdr:row>71</xdr:row>
      <xdr:rowOff>129540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xmlns="" id="{00000000-0008-0000-1100-000010000000}"/>
            </a:ext>
            <a:ext uri="{147F2762-F138-4A5C-976F-8EAC2B608ADB}">
              <a16:predDERef xmlns:a16="http://schemas.microsoft.com/office/drawing/2014/main" xmlns="" pred="{00000000-0008-0000-11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137160</xdr:colOff>
      <xdr:row>61</xdr:row>
      <xdr:rowOff>114300</xdr:rowOff>
    </xdr:from>
    <xdr:to>
      <xdr:col>12</xdr:col>
      <xdr:colOff>190500</xdr:colOff>
      <xdr:row>71</xdr:row>
      <xdr:rowOff>137160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xmlns="" id="{00000000-0008-0000-1100-000011000000}"/>
            </a:ext>
            <a:ext uri="{147F2762-F138-4A5C-976F-8EAC2B608ADB}">
              <a16:predDERef xmlns:a16="http://schemas.microsoft.com/office/drawing/2014/main" xmlns="" pred="{00000000-0008-0000-1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129540</xdr:colOff>
      <xdr:row>72</xdr:row>
      <xdr:rowOff>167640</xdr:rowOff>
    </xdr:from>
    <xdr:to>
      <xdr:col>5</xdr:col>
      <xdr:colOff>0</xdr:colOff>
      <xdr:row>83</xdr:row>
      <xdr:rowOff>15240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xmlns="" id="{00000000-0008-0000-1100-000012000000}"/>
            </a:ext>
            <a:ext uri="{147F2762-F138-4A5C-976F-8EAC2B608ADB}">
              <a16:predDERef xmlns:a16="http://schemas.microsoft.com/office/drawing/2014/main" xmlns="" pred="{00000000-0008-0000-11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114300</xdr:colOff>
      <xdr:row>72</xdr:row>
      <xdr:rowOff>175260</xdr:rowOff>
    </xdr:from>
    <xdr:to>
      <xdr:col>9</xdr:col>
      <xdr:colOff>22860</xdr:colOff>
      <xdr:row>83</xdr:row>
      <xdr:rowOff>15240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xmlns="" id="{00000000-0008-0000-1100-000013000000}"/>
            </a:ext>
            <a:ext uri="{147F2762-F138-4A5C-976F-8EAC2B608ADB}">
              <a16:predDERef xmlns:a16="http://schemas.microsoft.com/office/drawing/2014/main" xmlns="" pred="{00000000-0008-0000-11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152400</xdr:colOff>
      <xdr:row>73</xdr:row>
      <xdr:rowOff>0</xdr:rowOff>
    </xdr:from>
    <xdr:to>
      <xdr:col>12</xdr:col>
      <xdr:colOff>205740</xdr:colOff>
      <xdr:row>83</xdr:row>
      <xdr:rowOff>15240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xmlns="" id="{00000000-0008-0000-1100-000014000000}"/>
            </a:ext>
            <a:ext uri="{147F2762-F138-4A5C-976F-8EAC2B608ADB}">
              <a16:predDERef xmlns:a16="http://schemas.microsoft.com/office/drawing/2014/main" xmlns="" pred="{00000000-0008-0000-11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190500</xdr:colOff>
      <xdr:row>87</xdr:row>
      <xdr:rowOff>167640</xdr:rowOff>
    </xdr:from>
    <xdr:to>
      <xdr:col>4</xdr:col>
      <xdr:colOff>463474</xdr:colOff>
      <xdr:row>100</xdr:row>
      <xdr:rowOff>9525</xdr:rowOff>
    </xdr:to>
    <xdr:graphicFrame macro="">
      <xdr:nvGraphicFramePr>
        <xdr:cNvPr id="21" name="Диаграмма 6">
          <a:extLst>
            <a:ext uri="{FF2B5EF4-FFF2-40B4-BE49-F238E27FC236}">
              <a16:creationId xmlns:a16="http://schemas.microsoft.com/office/drawing/2014/main" xmlns="" id="{00000000-0008-0000-1100-000015000000}"/>
            </a:ext>
            <a:ext uri="{147F2762-F138-4A5C-976F-8EAC2B608ADB}">
              <a16:predDERef xmlns:a16="http://schemas.microsoft.com/office/drawing/2014/main" xmlns="" pred="{00000000-0008-0000-11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8</xdr:col>
      <xdr:colOff>724263</xdr:colOff>
      <xdr:row>32</xdr:row>
      <xdr:rowOff>19976</xdr:rowOff>
    </xdr:from>
    <xdr:ext cx="119776" cy="181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/>
            <xdr:cNvSpPr txBox="1"/>
          </xdr:nvSpPr>
          <xdr:spPr>
            <a:xfrm>
              <a:off x="7833723" y="635219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pos m:val="top"/>
                        <m:ctrlPr>
                          <a:rPr lang="ru-RU" sz="1100" i="1">
                            <a:latin typeface="Cambria Math"/>
                          </a:rPr>
                        </m:ctrlPr>
                      </m:bar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∋</m:t>
                        </m:r>
                      </m:e>
                    </m:ba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7833723" y="6352196"/>
              <a:ext cx="119776" cy="181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/>
                </a:rPr>
                <a:t>¯(</a:t>
              </a:r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∋</a:t>
              </a:r>
              <a:r>
                <a:rPr lang="ru-RU" sz="1100" i="0">
                  <a:latin typeface="Cambria Math"/>
                  <a:ea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14</xdr:col>
      <xdr:colOff>137160</xdr:colOff>
      <xdr:row>1</xdr:row>
      <xdr:rowOff>175260</xdr:rowOff>
    </xdr:from>
    <xdr:to>
      <xdr:col>23</xdr:col>
      <xdr:colOff>137160</xdr:colOff>
      <xdr:row>17</xdr:row>
      <xdr:rowOff>60960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xmlns="" id="{96D5C65E-2A58-4810-90F8-B19786627188}"/>
            </a:ext>
            <a:ext uri="{147F2762-F138-4A5C-976F-8EAC2B608ADB}">
              <a16:predDERef xmlns:a16="http://schemas.microsoft.com/office/drawing/2014/main" xmlns="" pred="{8C0B2125-A788-4C25-8777-4AAB8D141B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289560</xdr:colOff>
      <xdr:row>11</xdr:row>
      <xdr:rowOff>83820</xdr:rowOff>
    </xdr:from>
    <xdr:to>
      <xdr:col>15</xdr:col>
      <xdr:colOff>289560</xdr:colOff>
      <xdr:row>21</xdr:row>
      <xdr:rowOff>83820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00000000-0008-0000-1200-000003000000}"/>
            </a:ext>
            <a:ext uri="{147F2762-F138-4A5C-976F-8EAC2B608ADB}">
              <a16:predDERef xmlns:a16="http://schemas.microsoft.com/office/drawing/2014/main" xmlns="" pre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297180</xdr:colOff>
      <xdr:row>21</xdr:row>
      <xdr:rowOff>175260</xdr:rowOff>
    </xdr:from>
    <xdr:to>
      <xdr:col>15</xdr:col>
      <xdr:colOff>297180</xdr:colOff>
      <xdr:row>32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xmlns="" id="{00000000-0008-0000-1200-000004000000}"/>
            </a:ext>
            <a:ext uri="{147F2762-F138-4A5C-976F-8EAC2B608ADB}">
              <a16:predDERef xmlns:a16="http://schemas.microsoft.com/office/drawing/2014/main" xmlns="" pre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312420</xdr:colOff>
      <xdr:row>32</xdr:row>
      <xdr:rowOff>114300</xdr:rowOff>
    </xdr:from>
    <xdr:to>
      <xdr:col>15</xdr:col>
      <xdr:colOff>312420</xdr:colOff>
      <xdr:row>42</xdr:row>
      <xdr:rowOff>137160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xmlns="" id="{00000000-0008-0000-1200-000005000000}"/>
            </a:ext>
            <a:ext uri="{147F2762-F138-4A5C-976F-8EAC2B608ADB}">
              <a16:predDERef xmlns:a16="http://schemas.microsoft.com/office/drawing/2014/main" xmlns="" pred="{00000000-0008-0000-1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342900</xdr:colOff>
      <xdr:row>43</xdr:row>
      <xdr:rowOff>68580</xdr:rowOff>
    </xdr:from>
    <xdr:to>
      <xdr:col>15</xdr:col>
      <xdr:colOff>342900</xdr:colOff>
      <xdr:row>53</xdr:row>
      <xdr:rowOff>91440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00000000-0008-0000-1200-000006000000}"/>
            </a:ext>
            <a:ext uri="{147F2762-F138-4A5C-976F-8EAC2B608ADB}">
              <a16:predDERef xmlns:a16="http://schemas.microsoft.com/office/drawing/2014/main" xmlns="" pred="{00000000-0008-0000-1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365760</xdr:colOff>
      <xdr:row>54</xdr:row>
      <xdr:rowOff>15240</xdr:rowOff>
    </xdr:from>
    <xdr:to>
      <xdr:col>15</xdr:col>
      <xdr:colOff>365760</xdr:colOff>
      <xdr:row>64</xdr:row>
      <xdr:rowOff>30480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xmlns="" id="{00000000-0008-0000-1200-000007000000}"/>
            </a:ext>
            <a:ext uri="{147F2762-F138-4A5C-976F-8EAC2B608ADB}">
              <a16:predDERef xmlns:a16="http://schemas.microsoft.com/office/drawing/2014/main" xmlns="" pred="{00000000-0008-0000-1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464820</xdr:colOff>
      <xdr:row>1</xdr:row>
      <xdr:rowOff>22860</xdr:rowOff>
    </xdr:from>
    <xdr:to>
      <xdr:col>21</xdr:col>
      <xdr:colOff>464821</xdr:colOff>
      <xdr:row>11</xdr:row>
      <xdr:rowOff>15240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xmlns="" id="{00000000-0008-0000-1200-000008000000}"/>
            </a:ext>
            <a:ext uri="{147F2762-F138-4A5C-976F-8EAC2B608ADB}">
              <a16:predDERef xmlns:a16="http://schemas.microsoft.com/office/drawing/2014/main" xmlns="" pred="{00000000-0008-0000-1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480060</xdr:colOff>
      <xdr:row>11</xdr:row>
      <xdr:rowOff>114300</xdr:rowOff>
    </xdr:from>
    <xdr:to>
      <xdr:col>21</xdr:col>
      <xdr:colOff>480061</xdr:colOff>
      <xdr:row>21</xdr:row>
      <xdr:rowOff>114300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xmlns="" id="{00000000-0008-0000-1200-000009000000}"/>
            </a:ext>
            <a:ext uri="{147F2762-F138-4A5C-976F-8EAC2B608ADB}">
              <a16:predDERef xmlns:a16="http://schemas.microsoft.com/office/drawing/2014/main" xmlns="" pred="{00000000-0008-0000-1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518160</xdr:colOff>
      <xdr:row>22</xdr:row>
      <xdr:rowOff>15240</xdr:rowOff>
    </xdr:from>
    <xdr:to>
      <xdr:col>21</xdr:col>
      <xdr:colOff>518161</xdr:colOff>
      <xdr:row>32</xdr:row>
      <xdr:rowOff>7620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xmlns="" id="{00000000-0008-0000-1200-00000A000000}"/>
            </a:ext>
            <a:ext uri="{147F2762-F138-4A5C-976F-8EAC2B608ADB}">
              <a16:predDERef xmlns:a16="http://schemas.microsoft.com/office/drawing/2014/main" xmlns="" pred="{00000000-0008-0000-1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533400</xdr:colOff>
      <xdr:row>32</xdr:row>
      <xdr:rowOff>137160</xdr:rowOff>
    </xdr:from>
    <xdr:to>
      <xdr:col>21</xdr:col>
      <xdr:colOff>533401</xdr:colOff>
      <xdr:row>42</xdr:row>
      <xdr:rowOff>144780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xmlns="" id="{00000000-0008-0000-1200-00000B000000}"/>
            </a:ext>
            <a:ext uri="{147F2762-F138-4A5C-976F-8EAC2B608ADB}">
              <a16:predDERef xmlns:a16="http://schemas.microsoft.com/office/drawing/2014/main" xmlns="" pred="{00000000-0008-0000-1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548640</xdr:colOff>
      <xdr:row>43</xdr:row>
      <xdr:rowOff>91440</xdr:rowOff>
    </xdr:from>
    <xdr:to>
      <xdr:col>21</xdr:col>
      <xdr:colOff>548641</xdr:colOff>
      <xdr:row>53</xdr:row>
      <xdr:rowOff>106680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xmlns="" id="{00000000-0008-0000-1200-00000C000000}"/>
            </a:ext>
            <a:ext uri="{147F2762-F138-4A5C-976F-8EAC2B608ADB}">
              <a16:predDERef xmlns:a16="http://schemas.microsoft.com/office/drawing/2014/main" xmlns="" pred="{00000000-0008-0000-1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548640</xdr:colOff>
      <xdr:row>54</xdr:row>
      <xdr:rowOff>30480</xdr:rowOff>
    </xdr:from>
    <xdr:to>
      <xdr:col>21</xdr:col>
      <xdr:colOff>548641</xdr:colOff>
      <xdr:row>64</xdr:row>
      <xdr:rowOff>45720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xmlns="" id="{00000000-0008-0000-1200-00000D000000}"/>
            </a:ext>
            <a:ext uri="{147F2762-F138-4A5C-976F-8EAC2B608ADB}">
              <a16:predDERef xmlns:a16="http://schemas.microsoft.com/office/drawing/2014/main" xmlns="" pred="{00000000-0008-0000-1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441961</xdr:colOff>
      <xdr:row>40</xdr:row>
      <xdr:rowOff>144780</xdr:rowOff>
    </xdr:from>
    <xdr:to>
      <xdr:col>8</xdr:col>
      <xdr:colOff>868681</xdr:colOff>
      <xdr:row>50</xdr:row>
      <xdr:rowOff>152400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xmlns="" id="{00000000-0008-0000-1200-00000E000000}"/>
            </a:ext>
            <a:ext uri="{147F2762-F138-4A5C-976F-8EAC2B608ADB}">
              <a16:predDERef xmlns:a16="http://schemas.microsoft.com/office/drawing/2014/main" xmlns="" pred="{00000000-0008-0000-1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4"/>
  <sheetViews>
    <sheetView topLeftCell="A166" zoomScaleNormal="100" workbookViewId="0">
      <selection activeCell="G175" sqref="G175"/>
    </sheetView>
  </sheetViews>
  <sheetFormatPr defaultRowHeight="14.4" x14ac:dyDescent="0.3"/>
  <cols>
    <col min="1" max="1" width="17.33203125" customWidth="1"/>
    <col min="2" max="2" width="11.5546875" bestFit="1" customWidth="1"/>
    <col min="3" max="3" width="9" bestFit="1" customWidth="1"/>
    <col min="4" max="4" width="10" customWidth="1"/>
    <col min="5" max="5" width="11.6640625" customWidth="1"/>
    <col min="6" max="6" width="12.77734375" customWidth="1"/>
    <col min="7" max="7" width="11.88671875" customWidth="1"/>
    <col min="9" max="9" width="10.88671875" customWidth="1"/>
    <col min="10" max="10" width="24.33203125" customWidth="1"/>
    <col min="11" max="14" width="9" bestFit="1" customWidth="1"/>
    <col min="15" max="15" width="9.88671875" bestFit="1" customWidth="1"/>
    <col min="16" max="17" width="11" customWidth="1"/>
  </cols>
  <sheetData>
    <row r="1" spans="1:17" ht="36" customHeight="1" x14ac:dyDescent="0.3">
      <c r="A1" s="152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</row>
    <row r="2" spans="1:17" ht="25.95" customHeight="1" x14ac:dyDescent="0.3">
      <c r="A2" s="153" t="s">
        <v>1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</row>
    <row r="3" spans="1:17" ht="124.95" customHeight="1" x14ac:dyDescent="0.3">
      <c r="A3" s="144" t="s">
        <v>2</v>
      </c>
      <c r="B3" s="144"/>
      <c r="C3" s="144"/>
      <c r="D3" s="144"/>
      <c r="E3" s="144"/>
      <c r="F3" s="144"/>
      <c r="G3" s="144"/>
      <c r="H3" s="144"/>
      <c r="I3" s="144"/>
      <c r="J3" s="144"/>
      <c r="K3" s="144"/>
    </row>
    <row r="4" spans="1:17" ht="15.6" customHeight="1" x14ac:dyDescent="0.3">
      <c r="A4" s="144"/>
      <c r="B4" s="144"/>
      <c r="C4" s="144"/>
      <c r="D4" s="144"/>
      <c r="E4" s="144"/>
      <c r="F4" s="144"/>
      <c r="G4" s="144"/>
      <c r="H4" s="144"/>
      <c r="I4" s="144"/>
      <c r="J4" s="144"/>
      <c r="K4" s="144"/>
    </row>
    <row r="5" spans="1:17" x14ac:dyDescent="0.3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</row>
    <row r="6" spans="1:17" x14ac:dyDescent="0.3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</row>
    <row r="7" spans="1:17" x14ac:dyDescent="0.3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</row>
    <row r="8" spans="1:17" x14ac:dyDescent="0.3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</row>
    <row r="9" spans="1:17" x14ac:dyDescent="0.3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</row>
    <row r="10" spans="1:17" ht="39" customHeight="1" x14ac:dyDescent="0.3">
      <c r="A10" s="151" t="s">
        <v>3</v>
      </c>
      <c r="B10" s="151"/>
      <c r="C10" s="151"/>
      <c r="D10" s="151"/>
      <c r="E10" s="151"/>
      <c r="F10" s="151"/>
      <c r="G10" s="151"/>
      <c r="H10" s="151"/>
      <c r="I10" s="151"/>
      <c r="J10" s="151"/>
      <c r="K10" s="151"/>
      <c r="L10" s="1"/>
      <c r="M10" s="1"/>
      <c r="N10" s="1"/>
      <c r="O10" s="1"/>
      <c r="P10" s="1"/>
      <c r="Q10" s="1"/>
    </row>
    <row r="12" spans="1:17" x14ac:dyDescent="0.3">
      <c r="A12" s="2">
        <v>1</v>
      </c>
      <c r="B12" s="2">
        <v>2</v>
      </c>
      <c r="C12" s="2">
        <v>3</v>
      </c>
    </row>
    <row r="13" spans="1:17" ht="166.2" x14ac:dyDescent="0.3">
      <c r="A13" s="3"/>
      <c r="B13" s="5" t="s">
        <v>4</v>
      </c>
      <c r="C13" s="5" t="s">
        <v>5</v>
      </c>
    </row>
    <row r="14" spans="1:17" x14ac:dyDescent="0.3">
      <c r="A14" s="2">
        <v>1</v>
      </c>
      <c r="B14" s="4">
        <v>31</v>
      </c>
      <c r="C14" s="4">
        <v>38</v>
      </c>
    </row>
    <row r="15" spans="1:17" x14ac:dyDescent="0.3">
      <c r="A15" s="2">
        <v>2</v>
      </c>
      <c r="B15" s="4">
        <v>23</v>
      </c>
      <c r="C15" s="4">
        <v>26</v>
      </c>
    </row>
    <row r="16" spans="1:17" x14ac:dyDescent="0.3">
      <c r="A16" s="2">
        <v>3</v>
      </c>
      <c r="B16" s="4">
        <v>38</v>
      </c>
      <c r="C16" s="4">
        <v>40</v>
      </c>
    </row>
    <row r="17" spans="1:20" x14ac:dyDescent="0.3">
      <c r="A17" s="2">
        <v>4</v>
      </c>
      <c r="B17" s="4">
        <v>47</v>
      </c>
      <c r="C17" s="4">
        <v>45</v>
      </c>
    </row>
    <row r="18" spans="1:20" x14ac:dyDescent="0.3">
      <c r="A18" s="2">
        <v>5</v>
      </c>
      <c r="B18" s="4">
        <v>46</v>
      </c>
      <c r="C18" s="4">
        <v>51</v>
      </c>
    </row>
    <row r="19" spans="1:20" x14ac:dyDescent="0.3">
      <c r="A19" s="2">
        <v>6</v>
      </c>
      <c r="B19" s="4">
        <v>49</v>
      </c>
      <c r="C19" s="4">
        <v>49</v>
      </c>
    </row>
    <row r="20" spans="1:20" x14ac:dyDescent="0.3">
      <c r="A20" s="2">
        <v>7</v>
      </c>
      <c r="B20" s="4">
        <v>20</v>
      </c>
      <c r="C20" s="4">
        <v>34</v>
      </c>
    </row>
    <row r="21" spans="1:20" x14ac:dyDescent="0.3">
      <c r="A21" s="2">
        <v>8</v>
      </c>
      <c r="B21" s="4">
        <v>32</v>
      </c>
      <c r="C21" s="4">
        <v>35</v>
      </c>
    </row>
    <row r="22" spans="1:20" x14ac:dyDescent="0.3">
      <c r="A22" s="2">
        <v>9</v>
      </c>
      <c r="B22" s="4">
        <v>46</v>
      </c>
      <c r="C22" s="4">
        <v>42</v>
      </c>
    </row>
    <row r="23" spans="1:20" x14ac:dyDescent="0.3">
      <c r="A23" s="2">
        <v>10</v>
      </c>
      <c r="B23" s="4">
        <v>24</v>
      </c>
      <c r="C23" s="4">
        <v>24</v>
      </c>
    </row>
    <row r="24" spans="1:20" x14ac:dyDescent="0.3">
      <c r="A24" s="4" t="s">
        <v>6</v>
      </c>
      <c r="B24" s="4">
        <f>SUM(B14:B23)</f>
        <v>356</v>
      </c>
      <c r="C24" s="4">
        <f>SUM(C14:C23)</f>
        <v>384</v>
      </c>
    </row>
    <row r="25" spans="1:20" x14ac:dyDescent="0.3">
      <c r="A25" s="4" t="s">
        <v>7</v>
      </c>
      <c r="B25" s="4">
        <f>AVERAGE(B14:B23)</f>
        <v>35.6</v>
      </c>
      <c r="C25" s="4">
        <f>AVERAGE(C14:C23)</f>
        <v>38.4</v>
      </c>
    </row>
    <row r="26" spans="1:20" x14ac:dyDescent="0.3">
      <c r="A26" s="4" t="s">
        <v>8</v>
      </c>
      <c r="B26" s="4">
        <f>SQRT(B27)</f>
        <v>10.499523798725349</v>
      </c>
      <c r="C26" s="4">
        <f t="shared" ref="C26" si="0">SQRT(C27)</f>
        <v>8.4994117443503114</v>
      </c>
    </row>
    <row r="27" spans="1:20" x14ac:dyDescent="0.3">
      <c r="A27" s="4" t="s">
        <v>9</v>
      </c>
      <c r="B27" s="4">
        <f>_xlfn.VAR.P(B14:B23)</f>
        <v>110.24</v>
      </c>
      <c r="C27" s="4">
        <f>_xlfn.VAR.P(C14:C23)</f>
        <v>72.239999999999995</v>
      </c>
    </row>
    <row r="31" spans="1:20" ht="58.95" customHeight="1" x14ac:dyDescent="0.3">
      <c r="A31" s="151" t="s">
        <v>10</v>
      </c>
      <c r="B31" s="151"/>
      <c r="C31" s="151"/>
      <c r="D31" s="151"/>
      <c r="E31" s="151"/>
      <c r="F31" s="151"/>
      <c r="G31" s="151"/>
      <c r="H31" s="151"/>
      <c r="I31" s="151"/>
      <c r="J31" s="40"/>
      <c r="K31" s="40"/>
    </row>
    <row r="32" spans="1:20" s="41" customFormat="1" ht="16.95" customHeight="1" x14ac:dyDescent="0.3">
      <c r="A32" s="26" t="s">
        <v>11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4" spans="1:9" ht="79.2" customHeight="1" x14ac:dyDescent="0.3">
      <c r="A34" s="155" t="s">
        <v>12</v>
      </c>
      <c r="B34" s="155"/>
      <c r="C34" s="155"/>
      <c r="D34" s="155"/>
      <c r="E34" s="155"/>
      <c r="F34" s="155"/>
      <c r="G34" s="156"/>
      <c r="H34" s="156"/>
      <c r="I34" s="156"/>
    </row>
    <row r="35" spans="1:9" ht="32.4" customHeight="1" x14ac:dyDescent="0.3">
      <c r="A35" s="154" t="s">
        <v>13</v>
      </c>
      <c r="B35" s="154"/>
      <c r="C35" s="154"/>
      <c r="D35" s="154"/>
      <c r="E35" s="154"/>
      <c r="F35" s="154"/>
      <c r="G35" s="37"/>
      <c r="H35" s="37"/>
      <c r="I35" s="37"/>
    </row>
    <row r="36" spans="1:9" ht="37.950000000000003" customHeight="1" x14ac:dyDescent="0.3">
      <c r="A36" s="154" t="s">
        <v>14</v>
      </c>
      <c r="B36" s="154"/>
      <c r="C36" s="154"/>
      <c r="D36" s="154"/>
      <c r="E36" s="154"/>
      <c r="F36" s="154"/>
      <c r="G36" s="37"/>
      <c r="H36" s="37"/>
      <c r="I36" s="37"/>
    </row>
    <row r="37" spans="1:9" ht="27" customHeight="1" x14ac:dyDescent="0.3">
      <c r="A37" s="154" t="s">
        <v>15</v>
      </c>
      <c r="B37" s="154"/>
      <c r="C37" s="154"/>
      <c r="D37" s="154"/>
      <c r="E37" s="154"/>
      <c r="F37" s="154"/>
      <c r="G37" s="37"/>
      <c r="H37" s="37"/>
      <c r="I37" s="37"/>
    </row>
    <row r="39" spans="1:9" ht="15.6" x14ac:dyDescent="0.3">
      <c r="A39" s="26" t="s">
        <v>16</v>
      </c>
    </row>
    <row r="41" spans="1:9" x14ac:dyDescent="0.3">
      <c r="A41" s="151" t="s">
        <v>17</v>
      </c>
      <c r="B41" s="151"/>
      <c r="C41" s="151"/>
      <c r="D41" s="151"/>
      <c r="E41" s="151"/>
      <c r="F41" s="151"/>
      <c r="G41" s="151"/>
      <c r="H41" s="151"/>
      <c r="I41" s="151"/>
    </row>
    <row r="42" spans="1:9" x14ac:dyDescent="0.3">
      <c r="A42" s="151"/>
      <c r="B42" s="151"/>
      <c r="C42" s="151"/>
      <c r="D42" s="151"/>
      <c r="E42" s="151"/>
      <c r="F42" s="151"/>
      <c r="G42" s="151"/>
      <c r="H42" s="151"/>
      <c r="I42" s="151"/>
    </row>
    <row r="43" spans="1:9" x14ac:dyDescent="0.3">
      <c r="A43" s="151"/>
      <c r="B43" s="151"/>
      <c r="C43" s="151"/>
      <c r="D43" s="151"/>
      <c r="E43" s="151"/>
      <c r="F43" s="151"/>
      <c r="G43" s="151"/>
      <c r="H43" s="151"/>
      <c r="I43" s="151"/>
    </row>
    <row r="44" spans="1:9" x14ac:dyDescent="0.3">
      <c r="A44" s="151"/>
      <c r="B44" s="151"/>
      <c r="C44" s="151"/>
      <c r="D44" s="151"/>
      <c r="E44" s="151"/>
      <c r="F44" s="151"/>
      <c r="G44" s="151"/>
      <c r="H44" s="151"/>
      <c r="I44" s="151"/>
    </row>
    <row r="45" spans="1:9" x14ac:dyDescent="0.3">
      <c r="A45" s="151"/>
      <c r="B45" s="151"/>
      <c r="C45" s="151"/>
      <c r="D45" s="151"/>
      <c r="E45" s="151"/>
      <c r="F45" s="151"/>
      <c r="G45" s="151"/>
      <c r="H45" s="151"/>
      <c r="I45" s="151"/>
    </row>
    <row r="130" spans="1:18" x14ac:dyDescent="0.3">
      <c r="A130" s="155" t="s">
        <v>191</v>
      </c>
      <c r="B130" s="155"/>
      <c r="C130" s="155"/>
      <c r="D130" s="155"/>
      <c r="E130" s="155"/>
      <c r="F130" s="155"/>
      <c r="G130" s="155"/>
      <c r="H130" s="155"/>
      <c r="I130" s="155"/>
      <c r="J130" s="155"/>
    </row>
    <row r="131" spans="1:18" ht="14.4" customHeight="1" x14ac:dyDescent="0.3">
      <c r="A131" s="155"/>
      <c r="B131" s="155"/>
      <c r="C131" s="155"/>
      <c r="D131" s="155"/>
      <c r="E131" s="155"/>
      <c r="F131" s="155"/>
      <c r="G131" s="155"/>
      <c r="H131" s="155"/>
      <c r="I131" s="155"/>
      <c r="J131" s="155"/>
    </row>
    <row r="132" spans="1:18" ht="14.4" customHeight="1" x14ac:dyDescent="0.3">
      <c r="A132" s="155"/>
      <c r="B132" s="155"/>
      <c r="C132" s="155"/>
      <c r="D132" s="155"/>
      <c r="E132" s="155"/>
      <c r="F132" s="155"/>
      <c r="G132" s="155"/>
      <c r="H132" s="155"/>
      <c r="I132" s="155"/>
      <c r="J132" s="155"/>
    </row>
    <row r="133" spans="1:18" ht="14.4" customHeight="1" x14ac:dyDescent="0.3">
      <c r="A133" s="155"/>
      <c r="B133" s="155"/>
      <c r="C133" s="155"/>
      <c r="D133" s="155"/>
      <c r="E133" s="155"/>
      <c r="F133" s="155"/>
      <c r="G133" s="155"/>
      <c r="H133" s="155"/>
      <c r="I133" s="155"/>
      <c r="J133" s="155"/>
    </row>
    <row r="134" spans="1:18" ht="14.4" customHeight="1" x14ac:dyDescent="0.3">
      <c r="A134" s="155"/>
      <c r="B134" s="155"/>
      <c r="C134" s="155"/>
      <c r="D134" s="155"/>
      <c r="E134" s="155"/>
      <c r="F134" s="155"/>
      <c r="G134" s="155"/>
      <c r="H134" s="155"/>
      <c r="I134" s="155"/>
      <c r="J134" s="155"/>
    </row>
    <row r="135" spans="1:18" ht="14.4" customHeight="1" x14ac:dyDescent="0.3">
      <c r="A135" s="155"/>
      <c r="B135" s="155"/>
      <c r="C135" s="155"/>
      <c r="D135" s="155"/>
      <c r="E135" s="155"/>
      <c r="F135" s="155"/>
      <c r="G135" s="155"/>
      <c r="H135" s="155"/>
      <c r="I135" s="155"/>
      <c r="J135" s="155"/>
      <c r="K135" s="142"/>
      <c r="L135" s="142"/>
      <c r="M135" s="142"/>
      <c r="N135" s="142"/>
      <c r="O135" s="142"/>
      <c r="P135" s="142"/>
      <c r="Q135" s="142"/>
      <c r="R135" s="142"/>
    </row>
    <row r="136" spans="1:18" ht="21" customHeight="1" x14ac:dyDescent="0.3">
      <c r="A136" s="158" t="s">
        <v>192</v>
      </c>
      <c r="B136" s="158"/>
      <c r="C136" s="158"/>
      <c r="D136" s="158"/>
      <c r="E136" s="158"/>
      <c r="F136" s="158"/>
      <c r="G136" s="158"/>
      <c r="H136" s="158"/>
      <c r="I136" s="158"/>
      <c r="J136" s="158"/>
    </row>
    <row r="137" spans="1:18" x14ac:dyDescent="0.3">
      <c r="A137" s="158"/>
      <c r="B137" s="158"/>
      <c r="C137" s="158"/>
      <c r="D137" s="158"/>
      <c r="E137" s="158"/>
      <c r="F137" s="158"/>
      <c r="G137" s="158"/>
      <c r="H137" s="158"/>
      <c r="I137" s="158"/>
      <c r="J137" s="158"/>
    </row>
    <row r="138" spans="1:18" ht="14.4" customHeight="1" x14ac:dyDescent="0.3">
      <c r="A138" s="158"/>
      <c r="B138" s="158"/>
      <c r="C138" s="158"/>
      <c r="D138" s="158"/>
      <c r="E138" s="158"/>
      <c r="F138" s="158"/>
      <c r="G138" s="158"/>
      <c r="H138" s="158"/>
      <c r="I138" s="158"/>
      <c r="J138" s="158"/>
    </row>
    <row r="139" spans="1:18" ht="14.4" customHeight="1" x14ac:dyDescent="0.3">
      <c r="A139" s="92"/>
      <c r="B139" s="92"/>
      <c r="C139" s="92"/>
      <c r="D139" s="92"/>
      <c r="E139" s="92"/>
      <c r="F139" s="92"/>
      <c r="G139" s="92"/>
      <c r="H139" s="92"/>
      <c r="I139" s="92"/>
      <c r="J139" s="92"/>
    </row>
    <row r="140" spans="1:18" ht="18" x14ac:dyDescent="0.3">
      <c r="A140" s="138" t="s">
        <v>178</v>
      </c>
      <c r="B140" s="42"/>
      <c r="C140" s="42"/>
      <c r="D140" s="42"/>
      <c r="E140" s="42"/>
      <c r="F140" s="42"/>
      <c r="G140" s="42"/>
      <c r="H140" s="42"/>
      <c r="J140" s="2">
        <v>1</v>
      </c>
      <c r="K140" s="2">
        <v>2</v>
      </c>
      <c r="L140" s="2">
        <v>3</v>
      </c>
    </row>
    <row r="141" spans="1:18" ht="15.6" x14ac:dyDescent="0.3">
      <c r="A141" s="141">
        <f>1.15*K153</f>
        <v>40.94</v>
      </c>
      <c r="B141" s="42"/>
      <c r="C141" s="42"/>
      <c r="D141" s="42"/>
      <c r="E141" s="42"/>
      <c r="F141" s="42"/>
      <c r="G141" s="42"/>
      <c r="H141" s="42"/>
      <c r="J141" s="3"/>
      <c r="K141" s="5" t="s">
        <v>20</v>
      </c>
      <c r="L141" s="5" t="s">
        <v>21</v>
      </c>
    </row>
    <row r="142" spans="1:18" x14ac:dyDescent="0.3">
      <c r="A142" s="42"/>
      <c r="B142" s="42"/>
      <c r="C142" s="42"/>
      <c r="D142" s="42"/>
      <c r="E142" s="42"/>
      <c r="F142" s="42"/>
      <c r="G142" s="42"/>
      <c r="H142" s="42"/>
      <c r="J142" s="2">
        <v>1</v>
      </c>
      <c r="K142" s="4">
        <v>31</v>
      </c>
      <c r="L142" s="4">
        <v>38</v>
      </c>
    </row>
    <row r="143" spans="1:18" ht="14.4" customHeight="1" thickBot="1" x14ac:dyDescent="0.35">
      <c r="A143" s="42"/>
      <c r="B143" s="42"/>
      <c r="C143" s="92"/>
      <c r="D143" s="92"/>
      <c r="E143" s="92"/>
      <c r="F143" s="92"/>
      <c r="G143" s="92"/>
      <c r="H143" s="92"/>
      <c r="J143" s="2">
        <v>2</v>
      </c>
      <c r="K143" s="4">
        <v>23</v>
      </c>
      <c r="L143" s="4">
        <v>26</v>
      </c>
    </row>
    <row r="144" spans="1:18" ht="14.4" customHeight="1" x14ac:dyDescent="0.3">
      <c r="A144" s="46"/>
      <c r="B144" s="46" t="s">
        <v>77</v>
      </c>
      <c r="C144" s="42"/>
      <c r="D144" s="42"/>
      <c r="E144" s="42"/>
      <c r="F144" s="42"/>
      <c r="G144" s="42"/>
      <c r="H144" s="42"/>
      <c r="J144" s="2">
        <v>3</v>
      </c>
      <c r="K144" s="4">
        <v>38</v>
      </c>
      <c r="L144" s="4">
        <v>40</v>
      </c>
    </row>
    <row r="145" spans="1:12" ht="14.4" customHeight="1" x14ac:dyDescent="0.3">
      <c r="A145" s="90" t="s">
        <v>84</v>
      </c>
      <c r="B145" s="140">
        <v>12.70754716981132</v>
      </c>
      <c r="C145" s="42"/>
      <c r="D145" s="42"/>
      <c r="E145" s="42"/>
      <c r="F145" s="42"/>
      <c r="G145" s="42"/>
      <c r="H145" s="42"/>
      <c r="J145" s="2">
        <v>4</v>
      </c>
      <c r="K145" s="4">
        <v>47</v>
      </c>
      <c r="L145" s="4">
        <v>45</v>
      </c>
    </row>
    <row r="146" spans="1:12" ht="15" thickBot="1" x14ac:dyDescent="0.35">
      <c r="A146" s="127" t="s">
        <v>20</v>
      </c>
      <c r="B146" s="127">
        <v>0.72169811320754707</v>
      </c>
      <c r="C146" s="42"/>
      <c r="D146" s="42"/>
      <c r="E146" s="42"/>
      <c r="F146" s="42"/>
      <c r="G146" s="42"/>
      <c r="H146" s="42"/>
      <c r="J146" s="2">
        <v>5</v>
      </c>
      <c r="K146" s="4">
        <v>46</v>
      </c>
      <c r="L146" s="4">
        <v>51</v>
      </c>
    </row>
    <row r="147" spans="1:12" x14ac:dyDescent="0.3">
      <c r="A147" s="42"/>
      <c r="B147" s="42"/>
      <c r="C147" s="42"/>
      <c r="D147" s="42"/>
      <c r="E147" s="42"/>
      <c r="F147" s="42"/>
      <c r="G147" s="42"/>
      <c r="H147" s="42"/>
      <c r="J147" s="2">
        <v>6</v>
      </c>
      <c r="K147" s="4">
        <v>49</v>
      </c>
      <c r="L147" s="4">
        <v>49</v>
      </c>
    </row>
    <row r="148" spans="1:12" x14ac:dyDescent="0.3">
      <c r="A148" s="42"/>
      <c r="B148" s="42"/>
      <c r="C148" s="42"/>
      <c r="D148" s="42"/>
      <c r="E148" s="42"/>
      <c r="F148" s="42"/>
      <c r="G148" s="42"/>
      <c r="H148" s="42"/>
      <c r="J148" s="2">
        <v>7</v>
      </c>
      <c r="K148" s="4">
        <v>20</v>
      </c>
      <c r="L148" s="4">
        <v>34</v>
      </c>
    </row>
    <row r="149" spans="1:12" ht="23.4" customHeight="1" x14ac:dyDescent="0.3">
      <c r="A149" s="139"/>
      <c r="B149" s="61">
        <f>B145+B146*A141</f>
        <v>42.253867924528294</v>
      </c>
      <c r="C149" s="94"/>
      <c r="D149" s="42"/>
      <c r="E149" s="42"/>
      <c r="F149" s="42"/>
      <c r="G149" s="42"/>
      <c r="H149" s="42"/>
      <c r="J149" s="2">
        <v>8</v>
      </c>
      <c r="K149" s="4">
        <v>32</v>
      </c>
      <c r="L149" s="4">
        <v>35</v>
      </c>
    </row>
    <row r="150" spans="1:12" ht="21" customHeight="1" x14ac:dyDescent="0.3">
      <c r="A150" s="139"/>
      <c r="B150" s="61">
        <f>'Линейное уравнение'!C27</f>
        <v>4.3043144217760663</v>
      </c>
      <c r="C150" s="94"/>
      <c r="D150" s="42"/>
      <c r="E150" s="42"/>
      <c r="F150" s="42"/>
      <c r="G150" s="42"/>
      <c r="H150" s="42"/>
      <c r="J150" s="2">
        <v>9</v>
      </c>
      <c r="K150" s="4">
        <v>46</v>
      </c>
      <c r="L150" s="4">
        <v>42</v>
      </c>
    </row>
    <row r="151" spans="1:12" x14ac:dyDescent="0.3">
      <c r="A151" s="94"/>
      <c r="B151" s="94"/>
      <c r="C151" s="42"/>
      <c r="D151" s="42"/>
      <c r="E151" s="42"/>
      <c r="F151" s="42"/>
      <c r="G151" s="42"/>
      <c r="H151" s="42"/>
      <c r="J151" s="2">
        <v>10</v>
      </c>
      <c r="K151" s="4">
        <v>24</v>
      </c>
      <c r="L151" s="4">
        <v>24</v>
      </c>
    </row>
    <row r="152" spans="1:12" ht="25.2" customHeight="1" x14ac:dyDescent="0.3">
      <c r="A152" s="139"/>
      <c r="B152" s="95">
        <f>_xlfn.T.INV.2T(0.05,8)</f>
        <v>2.3060041352041671</v>
      </c>
      <c r="C152" s="42"/>
      <c r="D152" s="42"/>
      <c r="E152" s="42"/>
      <c r="F152" s="42"/>
      <c r="G152" s="42"/>
      <c r="H152" s="42"/>
      <c r="J152" s="4" t="s">
        <v>6</v>
      </c>
      <c r="K152" s="4">
        <f>SUM(K142:K151)</f>
        <v>356</v>
      </c>
      <c r="L152" s="4">
        <f>SUM(L142:L151)</f>
        <v>384</v>
      </c>
    </row>
    <row r="153" spans="1:12" ht="31.8" customHeight="1" x14ac:dyDescent="0.3">
      <c r="A153" s="139"/>
      <c r="B153" s="61">
        <f>B150*B152</f>
        <v>9.9257668558345422</v>
      </c>
      <c r="C153" s="42"/>
      <c r="D153" s="42"/>
      <c r="E153" s="42"/>
      <c r="F153" s="42"/>
      <c r="G153" s="42"/>
      <c r="H153" s="42"/>
      <c r="J153" s="4" t="s">
        <v>7</v>
      </c>
      <c r="K153" s="4">
        <f>AVERAGE(K142:K151)</f>
        <v>35.6</v>
      </c>
      <c r="L153" s="4">
        <f>AVERAGE(L142:L151)</f>
        <v>38.4</v>
      </c>
    </row>
    <row r="154" spans="1:12" ht="16.2" customHeight="1" x14ac:dyDescent="0.3"/>
    <row r="155" spans="1:12" ht="25.2" customHeight="1" x14ac:dyDescent="0.3">
      <c r="A155" s="138"/>
      <c r="B155" s="138"/>
      <c r="C155" s="138"/>
      <c r="D155" s="42"/>
      <c r="E155" s="42"/>
      <c r="F155" s="42"/>
      <c r="G155" s="42"/>
      <c r="H155" s="42"/>
    </row>
    <row r="156" spans="1:12" ht="15.6" x14ac:dyDescent="0.3">
      <c r="A156" s="61">
        <f>B149-B153</f>
        <v>32.328101068693755</v>
      </c>
      <c r="B156" s="61"/>
      <c r="C156" s="61">
        <f>B149+B153</f>
        <v>52.179634780362832</v>
      </c>
      <c r="D156" s="42"/>
      <c r="E156" s="42"/>
      <c r="F156" s="42"/>
      <c r="G156" s="42"/>
      <c r="H156" s="42"/>
    </row>
    <row r="157" spans="1:12" x14ac:dyDescent="0.3">
      <c r="A157" s="94"/>
      <c r="B157" s="94"/>
      <c r="C157" s="94"/>
      <c r="D157" s="42"/>
      <c r="E157" s="42"/>
      <c r="F157" s="42"/>
      <c r="G157" s="42"/>
      <c r="H157" s="42"/>
    </row>
    <row r="158" spans="1:12" ht="22.8" customHeight="1" x14ac:dyDescent="0.3">
      <c r="A158" s="139"/>
      <c r="B158" s="61">
        <f>_xlfn.T.INV.2T(0.1,8)</f>
        <v>1.8595480375308981</v>
      </c>
      <c r="C158" s="42"/>
      <c r="D158" s="42"/>
      <c r="E158" s="42"/>
      <c r="F158" s="42"/>
      <c r="G158" s="42"/>
      <c r="H158" s="42"/>
    </row>
    <row r="159" spans="1:12" ht="26.4" customHeight="1" x14ac:dyDescent="0.3">
      <c r="A159" s="139"/>
      <c r="B159" s="61">
        <f>B158*B150</f>
        <v>8.0040794359296275</v>
      </c>
      <c r="C159" s="42"/>
      <c r="D159" s="42"/>
      <c r="E159" s="42"/>
      <c r="F159" s="42"/>
      <c r="G159" s="42"/>
      <c r="H159" s="42"/>
    </row>
    <row r="160" spans="1:12" ht="18" customHeight="1" x14ac:dyDescent="0.3"/>
    <row r="161" spans="1:10" ht="24" customHeight="1" x14ac:dyDescent="0.3">
      <c r="A161" s="138"/>
      <c r="B161" s="138"/>
      <c r="C161" s="138"/>
      <c r="D161" s="42"/>
      <c r="E161" s="42"/>
      <c r="F161" s="42"/>
      <c r="G161" s="42"/>
      <c r="H161" s="42"/>
    </row>
    <row r="162" spans="1:10" ht="15.6" x14ac:dyDescent="0.3">
      <c r="A162" s="61">
        <f>B149-B159</f>
        <v>34.249788488598668</v>
      </c>
      <c r="B162" s="61"/>
      <c r="C162" s="61">
        <f>B149+B159</f>
        <v>50.257947360457919</v>
      </c>
      <c r="D162" s="42"/>
      <c r="E162" s="42"/>
      <c r="F162" s="42"/>
      <c r="G162" s="42"/>
      <c r="H162" s="42"/>
    </row>
    <row r="164" spans="1:10" x14ac:dyDescent="0.3">
      <c r="A164" s="151" t="s">
        <v>18</v>
      </c>
      <c r="B164" s="151"/>
      <c r="C164" s="151"/>
      <c r="D164" s="151"/>
      <c r="E164" s="151"/>
      <c r="F164" s="151"/>
      <c r="G164" s="151"/>
      <c r="H164" s="151"/>
      <c r="I164" s="151"/>
      <c r="J164" s="151"/>
    </row>
    <row r="165" spans="1:10" x14ac:dyDescent="0.3">
      <c r="A165" s="151"/>
      <c r="B165" s="151"/>
      <c r="C165" s="151"/>
      <c r="D165" s="151"/>
      <c r="E165" s="151"/>
      <c r="F165" s="151"/>
      <c r="G165" s="151"/>
      <c r="H165" s="151"/>
      <c r="I165" s="151"/>
      <c r="J165" s="151"/>
    </row>
    <row r="166" spans="1:10" x14ac:dyDescent="0.3">
      <c r="A166" s="151"/>
      <c r="B166" s="151"/>
      <c r="C166" s="151"/>
      <c r="D166" s="151"/>
      <c r="E166" s="151"/>
      <c r="F166" s="151"/>
      <c r="G166" s="151"/>
      <c r="H166" s="151"/>
      <c r="I166" s="151"/>
      <c r="J166" s="151"/>
    </row>
    <row r="167" spans="1:10" x14ac:dyDescent="0.3">
      <c r="A167" s="151"/>
      <c r="B167" s="151"/>
      <c r="C167" s="151"/>
      <c r="D167" s="151"/>
      <c r="E167" s="151"/>
      <c r="F167" s="151"/>
      <c r="G167" s="151"/>
      <c r="H167" s="151"/>
      <c r="I167" s="151"/>
      <c r="J167" s="151"/>
    </row>
    <row r="168" spans="1:10" x14ac:dyDescent="0.3">
      <c r="A168" s="151"/>
      <c r="B168" s="151"/>
      <c r="C168" s="151"/>
      <c r="D168" s="151"/>
      <c r="E168" s="151"/>
      <c r="F168" s="151"/>
      <c r="G168" s="151"/>
      <c r="H168" s="151"/>
      <c r="I168" s="151"/>
      <c r="J168" s="151"/>
    </row>
    <row r="169" spans="1:10" x14ac:dyDescent="0.3">
      <c r="A169" s="151"/>
      <c r="B169" s="151"/>
      <c r="C169" s="151"/>
      <c r="D169" s="151"/>
      <c r="E169" s="151"/>
      <c r="F169" s="151"/>
      <c r="G169" s="151"/>
      <c r="H169" s="151"/>
      <c r="I169" s="151"/>
      <c r="J169" s="151"/>
    </row>
    <row r="171" spans="1:10" ht="22.8" customHeight="1" x14ac:dyDescent="0.3">
      <c r="A171" s="148"/>
      <c r="B171" s="149"/>
      <c r="C171" s="149"/>
      <c r="D171" s="149"/>
      <c r="E171" s="150"/>
      <c r="F171" s="97"/>
      <c r="G171" s="97"/>
      <c r="H171" s="97"/>
      <c r="I171" s="97"/>
      <c r="J171" s="97"/>
    </row>
    <row r="172" spans="1:10" ht="19.95" customHeight="1" x14ac:dyDescent="0.3">
      <c r="A172" s="159" t="s">
        <v>179</v>
      </c>
      <c r="B172" s="160"/>
      <c r="C172" s="160"/>
      <c r="D172" s="160"/>
      <c r="E172" s="161"/>
      <c r="F172" s="143">
        <f>АД_РЕГРЕССИЯ_ЛИНЕЙНАЯ!B5</f>
        <v>0.79482699178837835</v>
      </c>
      <c r="G172" s="143">
        <f>'Линейное уравнение'!E26</f>
        <v>0.66907429245283023</v>
      </c>
      <c r="H172" s="143">
        <f>'Линейное уравнение'!J16</f>
        <v>9.3113533970612128</v>
      </c>
      <c r="I172" s="143">
        <f>'Линейное уравнение'!B28</f>
        <v>30.991483673859094</v>
      </c>
      <c r="J172" s="143">
        <v>5.3176550715787174</v>
      </c>
    </row>
    <row r="173" spans="1:10" ht="19.95" customHeight="1" x14ac:dyDescent="0.3">
      <c r="A173" s="159" t="s">
        <v>100</v>
      </c>
      <c r="B173" s="160"/>
      <c r="C173" s="160"/>
      <c r="D173" s="160"/>
      <c r="E173" s="161"/>
      <c r="F173" s="61">
        <f>АД_РЕГРЕССИЯ_ПОЛУЛОГАРИФМИЧ!B5</f>
        <v>0.76512023976738075</v>
      </c>
      <c r="G173" s="61">
        <f>'Полулогарифмическое уравнение'!$L$36</f>
        <v>0.59445580479578386</v>
      </c>
      <c r="H173" s="61">
        <f>'Полулогарифмическое уравнение'!J36</f>
        <v>10.065473066721706</v>
      </c>
      <c r="I173" s="61">
        <f>'Полулогарифмическое уравнение'!B31</f>
        <v>26.059980272787215</v>
      </c>
      <c r="J173" s="61">
        <v>5.3176550715787174</v>
      </c>
    </row>
    <row r="174" spans="1:10" ht="19.95" customHeight="1" x14ac:dyDescent="0.3">
      <c r="A174" s="157"/>
      <c r="B174" s="157"/>
      <c r="C174" s="157"/>
      <c r="D174" s="157"/>
      <c r="E174" s="157"/>
      <c r="F174" s="61">
        <f>АД_РЕГРЕССИЯ_СТЕПЕНН!B5</f>
        <v>0.73574642254787614</v>
      </c>
      <c r="G174" s="61">
        <f>'Степенное уравнение'!L37</f>
        <v>0.64378893367422374</v>
      </c>
      <c r="H174" s="61">
        <f>'Степенное уравнение'!$J$37</f>
        <v>9.3772591894633806</v>
      </c>
      <c r="I174" s="61">
        <f>'Степенное уравнение'!$B$32</f>
        <v>22.273951547351906</v>
      </c>
      <c r="J174" s="61">
        <v>5.3176550715787174</v>
      </c>
    </row>
    <row r="175" spans="1:10" ht="24" customHeight="1" x14ac:dyDescent="0.3">
      <c r="A175" s="157"/>
      <c r="B175" s="157"/>
      <c r="C175" s="157"/>
      <c r="D175" s="157"/>
      <c r="E175" s="157"/>
      <c r="F175" s="61">
        <f>АД_РЕГРЕССИЯ_ЭКСПОНЕНЦ!B5</f>
        <v>0.75735108474907642</v>
      </c>
      <c r="G175" s="61">
        <f>'Экспоненциальное уравнение'!J36</f>
        <v>0.70081336288838159</v>
      </c>
      <c r="H175" s="61">
        <f>'Экспоненциальное уравнение'!J33</f>
        <v>9.186962740555316</v>
      </c>
      <c r="I175" s="61">
        <f>'Экспоненциальное уравнение'!B28</f>
        <v>24.969444729341525</v>
      </c>
      <c r="J175" s="61">
        <v>5.3176550715787174</v>
      </c>
    </row>
    <row r="176" spans="1:10" ht="19.95" customHeight="1" x14ac:dyDescent="0.3">
      <c r="A176" s="157" t="s">
        <v>155</v>
      </c>
      <c r="B176" s="157"/>
      <c r="C176" s="157"/>
      <c r="D176" s="157"/>
      <c r="E176" s="157"/>
      <c r="F176" s="61">
        <f>АД_РЕГРЕССИЯ_Полином2!B5</f>
        <v>0.80058689987207166</v>
      </c>
      <c r="G176" s="61">
        <f>'Полином 2 степени'!K35</f>
        <v>0.6969907891410404</v>
      </c>
      <c r="H176" s="61">
        <f>'Полином 2 степени'!J35</f>
        <v>9.2606310569899044</v>
      </c>
      <c r="I176" s="61">
        <f>'Полином 2 степени'!B26</f>
        <v>14.051504879843222</v>
      </c>
      <c r="J176" s="61">
        <v>4.7374141277758826</v>
      </c>
    </row>
    <row r="177" spans="1:10" ht="19.95" customHeight="1" x14ac:dyDescent="0.3">
      <c r="A177" s="157" t="s">
        <v>161</v>
      </c>
      <c r="B177" s="157"/>
      <c r="C177" s="157"/>
      <c r="D177" s="157"/>
      <c r="E177" s="157"/>
      <c r="F177" s="61">
        <f>АД_РЕГРЕССИЯ_Полином3!B5</f>
        <v>0.83181946397294559</v>
      </c>
      <c r="G177" s="61">
        <f>'Полином 3 степени'!I34</f>
        <v>1.1299998534704314</v>
      </c>
      <c r="H177" s="61">
        <f>'Полином 3 степени'!H34</f>
        <v>8.8980341778601417</v>
      </c>
      <c r="I177" s="61">
        <f>'Полином 3 степени'!B24</f>
        <v>9.8919825518826343</v>
      </c>
      <c r="J177" s="61">
        <v>4.7570626630894131</v>
      </c>
    </row>
    <row r="178" spans="1:10" ht="34.799999999999997" customHeight="1" x14ac:dyDescent="0.3">
      <c r="A178" s="145" t="s">
        <v>166</v>
      </c>
      <c r="B178" s="146"/>
      <c r="C178" s="146"/>
      <c r="D178" s="146"/>
      <c r="E178" s="147"/>
      <c r="F178" s="61">
        <f>АД_РЕГРЕССИЯ_Полином4!B5</f>
        <v>0.90020616680800913</v>
      </c>
      <c r="G178" s="61">
        <f>'Полином 4 степени'!I34</f>
        <v>0.89238392251779586</v>
      </c>
      <c r="H178" s="61">
        <f>'Полином 4 степени'!H34</f>
        <v>5.2527572595603811</v>
      </c>
      <c r="I178" s="61">
        <f>'Полином 4 степени'!D34</f>
        <v>11.275824091706701</v>
      </c>
      <c r="J178" s="61">
        <v>5.1921677728039226</v>
      </c>
    </row>
    <row r="179" spans="1:10" ht="40.799999999999997" customHeight="1" x14ac:dyDescent="0.3">
      <c r="A179" s="145" t="s">
        <v>172</v>
      </c>
      <c r="B179" s="146"/>
      <c r="C179" s="146"/>
      <c r="D179" s="146"/>
      <c r="E179" s="147"/>
      <c r="F179" s="61">
        <f>АД_РЕГРЕССИЯ_Полином5!B5</f>
        <v>0.92194201481389615</v>
      </c>
      <c r="G179" s="61">
        <f>'Полином 5 степени'!I34</f>
        <v>0.30961866498671797</v>
      </c>
      <c r="H179" s="61">
        <f>'Полином 5 степени'!H34</f>
        <v>4.4052502139195031</v>
      </c>
      <c r="I179" s="61">
        <f>АД_РЕГРЕССИЯ_Полином5!E12</f>
        <v>9.4487913067786735</v>
      </c>
      <c r="J179" s="61">
        <v>6.2560565021608845</v>
      </c>
    </row>
    <row r="180" spans="1:10" ht="36" customHeight="1" x14ac:dyDescent="0.3">
      <c r="A180" s="145" t="s">
        <v>177</v>
      </c>
      <c r="B180" s="146"/>
      <c r="C180" s="146"/>
      <c r="D180" s="146"/>
      <c r="E180" s="147"/>
      <c r="F180" s="61">
        <f>АД_РЕГРЕССИЯ_Полином6!B5</f>
        <v>0.92602490009798888</v>
      </c>
      <c r="G180" s="98">
        <f>'Полином 6 степени'!I34</f>
        <v>0.68509368150111261</v>
      </c>
      <c r="H180" s="61">
        <f>'Полином 6 степени'!H34</f>
        <v>4.5711133885961317</v>
      </c>
      <c r="I180" s="99">
        <f>'Полином 6 степени'!B24</f>
        <v>6.2590310883298539</v>
      </c>
      <c r="J180" s="61">
        <v>8.9406451207703839</v>
      </c>
    </row>
    <row r="182" spans="1:10" x14ac:dyDescent="0.3">
      <c r="A182" s="190" t="s">
        <v>193</v>
      </c>
      <c r="B182" s="190"/>
      <c r="C182" s="190"/>
      <c r="D182" s="190"/>
      <c r="E182" s="190"/>
      <c r="F182" s="190"/>
      <c r="G182" s="190"/>
      <c r="H182" s="190"/>
      <c r="I182" s="190"/>
      <c r="J182" s="190"/>
    </row>
    <row r="183" spans="1:10" x14ac:dyDescent="0.3">
      <c r="A183" s="190"/>
      <c r="B183" s="190"/>
      <c r="C183" s="190"/>
      <c r="D183" s="190"/>
      <c r="E183" s="190"/>
      <c r="F183" s="190"/>
      <c r="G183" s="190"/>
      <c r="H183" s="190"/>
      <c r="I183" s="190"/>
      <c r="J183" s="190"/>
    </row>
    <row r="184" spans="1:10" ht="50.4" customHeight="1" x14ac:dyDescent="0.3">
      <c r="A184" s="190"/>
      <c r="B184" s="190"/>
      <c r="C184" s="190"/>
      <c r="D184" s="190"/>
      <c r="E184" s="190"/>
      <c r="F184" s="190"/>
      <c r="G184" s="190"/>
      <c r="H184" s="190"/>
      <c r="I184" s="190"/>
      <c r="J184" s="190"/>
    </row>
  </sheetData>
  <mergeCells count="26">
    <mergeCell ref="A173:E173"/>
    <mergeCell ref="A1:K1"/>
    <mergeCell ref="A2:K2"/>
    <mergeCell ref="A10:K10"/>
    <mergeCell ref="A3:K3"/>
    <mergeCell ref="A36:F36"/>
    <mergeCell ref="A35:F35"/>
    <mergeCell ref="A31:I31"/>
    <mergeCell ref="A34:F34"/>
    <mergeCell ref="G34:I34"/>
    <mergeCell ref="A182:J184"/>
    <mergeCell ref="A4:K9"/>
    <mergeCell ref="A179:E179"/>
    <mergeCell ref="A180:E180"/>
    <mergeCell ref="A171:E171"/>
    <mergeCell ref="A41:I45"/>
    <mergeCell ref="A37:F37"/>
    <mergeCell ref="A174:E174"/>
    <mergeCell ref="A175:E175"/>
    <mergeCell ref="A176:E176"/>
    <mergeCell ref="A177:E177"/>
    <mergeCell ref="A178:E178"/>
    <mergeCell ref="A130:J135"/>
    <mergeCell ref="A136:J138"/>
    <mergeCell ref="A164:J169"/>
    <mergeCell ref="A172:E1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topLeftCell="A91" zoomScale="85" zoomScaleNormal="85" workbookViewId="0">
      <selection activeCell="D48" sqref="D48"/>
    </sheetView>
  </sheetViews>
  <sheetFormatPr defaultRowHeight="14.4" x14ac:dyDescent="0.3"/>
  <cols>
    <col min="1" max="1" width="14.44140625" customWidth="1"/>
    <col min="7" max="7" width="14.5546875" customWidth="1"/>
    <col min="9" max="9" width="10.44140625" customWidth="1"/>
    <col min="10" max="10" width="24" customWidth="1"/>
  </cols>
  <sheetData>
    <row r="1" spans="1:12" ht="15.6" x14ac:dyDescent="0.3">
      <c r="A1" s="163" t="s">
        <v>19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</row>
    <row r="3" spans="1:12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</row>
    <row r="4" spans="1:12" ht="15.6" x14ac:dyDescent="0.3">
      <c r="A4" s="3"/>
      <c r="B4" s="5" t="s">
        <v>20</v>
      </c>
      <c r="C4" s="5" t="s">
        <v>21</v>
      </c>
      <c r="D4" s="6" t="s">
        <v>22</v>
      </c>
      <c r="E4" s="6" t="s">
        <v>23</v>
      </c>
      <c r="F4" s="6" t="s">
        <v>24</v>
      </c>
      <c r="G4" s="7" t="s">
        <v>25</v>
      </c>
      <c r="H4" s="6" t="s">
        <v>26</v>
      </c>
      <c r="I4" s="6" t="s">
        <v>27</v>
      </c>
      <c r="J4" s="10" t="s">
        <v>28</v>
      </c>
      <c r="K4" s="11" t="s">
        <v>29</v>
      </c>
      <c r="L4" s="11" t="s">
        <v>30</v>
      </c>
    </row>
    <row r="5" spans="1:12" x14ac:dyDescent="0.3">
      <c r="A5" s="2">
        <v>1</v>
      </c>
      <c r="B5" s="4">
        <v>31</v>
      </c>
      <c r="C5" s="4">
        <v>38</v>
      </c>
      <c r="D5" s="13">
        <f>B5*C5</f>
        <v>1178</v>
      </c>
      <c r="E5" s="13">
        <f>B5^2</f>
        <v>961</v>
      </c>
      <c r="F5" s="13">
        <f>C5^2</f>
        <v>1444</v>
      </c>
      <c r="G5" s="13">
        <f>B$20+B$21*B5</f>
        <v>35.080188679245282</v>
      </c>
      <c r="H5" s="13">
        <f>C5-G5</f>
        <v>2.9198113207547181</v>
      </c>
      <c r="I5" s="13">
        <f>H5^2</f>
        <v>8.5252981488074102</v>
      </c>
      <c r="J5" s="13">
        <f>ABS((H5/C5)*100)</f>
        <v>7.6837140019861003</v>
      </c>
      <c r="K5" s="13">
        <f>(G5-C$16)^2</f>
        <v>11.021147205411175</v>
      </c>
      <c r="L5" s="13">
        <f>(C5-C$16)^2</f>
        <v>0.15999999999999887</v>
      </c>
    </row>
    <row r="6" spans="1:12" x14ac:dyDescent="0.3">
      <c r="A6" s="2">
        <v>2</v>
      </c>
      <c r="B6" s="4">
        <v>23</v>
      </c>
      <c r="C6" s="4">
        <v>26</v>
      </c>
      <c r="D6" s="13">
        <f t="shared" ref="D6:D14" si="0">B6*C6</f>
        <v>598</v>
      </c>
      <c r="E6" s="13">
        <f t="shared" ref="E6:F14" si="1">B6^2</f>
        <v>529</v>
      </c>
      <c r="F6" s="13">
        <f t="shared" si="1"/>
        <v>676</v>
      </c>
      <c r="G6" s="13">
        <f t="shared" ref="G6:G14" si="2">B$20+B$21*B6</f>
        <v>29.306603773584904</v>
      </c>
      <c r="H6" s="13">
        <f t="shared" ref="H6:H14" si="3">C6-G6</f>
        <v>-3.3066037735849036</v>
      </c>
      <c r="I6" s="13">
        <f t="shared" ref="I6:I14" si="4">H6^2</f>
        <v>10.933628515485925</v>
      </c>
      <c r="J6" s="13">
        <f t="shared" ref="J6:J14" si="5">ABS((H6/C6)*100)</f>
        <v>12.717706821480398</v>
      </c>
      <c r="K6" s="13">
        <f t="shared" ref="K6:K14" si="6">(G6-C$16)^2</f>
        <v>82.689854930580282</v>
      </c>
      <c r="L6" s="13">
        <f t="shared" ref="L6:L14" si="7">(C6-C$16)^2</f>
        <v>153.75999999999996</v>
      </c>
    </row>
    <row r="7" spans="1:12" x14ac:dyDescent="0.3">
      <c r="A7" s="2">
        <v>3</v>
      </c>
      <c r="B7" s="4">
        <v>38</v>
      </c>
      <c r="C7" s="4">
        <v>40</v>
      </c>
      <c r="D7" s="13">
        <f t="shared" si="0"/>
        <v>1520</v>
      </c>
      <c r="E7" s="13">
        <f t="shared" si="1"/>
        <v>1444</v>
      </c>
      <c r="F7" s="13">
        <f t="shared" si="1"/>
        <v>1600</v>
      </c>
      <c r="G7" s="13">
        <f t="shared" si="2"/>
        <v>40.132075471698109</v>
      </c>
      <c r="H7" s="13">
        <f t="shared" si="3"/>
        <v>-0.13207547169810852</v>
      </c>
      <c r="I7" s="13">
        <f t="shared" si="4"/>
        <v>1.7443930224277863E-2</v>
      </c>
      <c r="J7" s="13">
        <f t="shared" si="5"/>
        <v>0.33018867924527129</v>
      </c>
      <c r="K7" s="13">
        <f t="shared" si="6"/>
        <v>3.0000854396582302</v>
      </c>
      <c r="L7" s="13">
        <f t="shared" si="7"/>
        <v>2.5600000000000045</v>
      </c>
    </row>
    <row r="8" spans="1:12" x14ac:dyDescent="0.3">
      <c r="A8" s="2">
        <v>4</v>
      </c>
      <c r="B8" s="4">
        <v>47</v>
      </c>
      <c r="C8" s="4">
        <v>45</v>
      </c>
      <c r="D8" s="13">
        <f t="shared" si="0"/>
        <v>2115</v>
      </c>
      <c r="E8" s="13">
        <f t="shared" si="1"/>
        <v>2209</v>
      </c>
      <c r="F8" s="13">
        <f t="shared" si="1"/>
        <v>2025</v>
      </c>
      <c r="G8" s="13">
        <f t="shared" si="2"/>
        <v>46.627358490566039</v>
      </c>
      <c r="H8" s="13">
        <f t="shared" si="3"/>
        <v>-1.6273584905660385</v>
      </c>
      <c r="I8" s="13">
        <f t="shared" si="4"/>
        <v>2.6482956568173752</v>
      </c>
      <c r="J8" s="13">
        <f t="shared" si="5"/>
        <v>3.6163522012578637</v>
      </c>
      <c r="K8" s="13">
        <f t="shared" si="6"/>
        <v>67.689427732289104</v>
      </c>
      <c r="L8" s="13">
        <f t="shared" si="7"/>
        <v>43.560000000000016</v>
      </c>
    </row>
    <row r="9" spans="1:12" x14ac:dyDescent="0.3">
      <c r="A9" s="2">
        <v>5</v>
      </c>
      <c r="B9" s="4">
        <v>46</v>
      </c>
      <c r="C9" s="4">
        <v>51</v>
      </c>
      <c r="D9" s="13">
        <f t="shared" si="0"/>
        <v>2346</v>
      </c>
      <c r="E9" s="13">
        <f t="shared" si="1"/>
        <v>2116</v>
      </c>
      <c r="F9" s="13">
        <f t="shared" si="1"/>
        <v>2601</v>
      </c>
      <c r="G9" s="13">
        <f t="shared" si="2"/>
        <v>45.905660377358487</v>
      </c>
      <c r="H9" s="13">
        <f t="shared" si="3"/>
        <v>5.0943396226415132</v>
      </c>
      <c r="I9" s="13">
        <f t="shared" si="4"/>
        <v>25.952296190815275</v>
      </c>
      <c r="J9" s="13">
        <f t="shared" si="5"/>
        <v>9.9889012208657117</v>
      </c>
      <c r="K9" s="13">
        <f t="shared" si="6"/>
        <v>56.334937700249164</v>
      </c>
      <c r="L9" s="13">
        <f t="shared" si="7"/>
        <v>158.76000000000005</v>
      </c>
    </row>
    <row r="10" spans="1:12" x14ac:dyDescent="0.3">
      <c r="A10" s="2">
        <v>6</v>
      </c>
      <c r="B10" s="4">
        <v>49</v>
      </c>
      <c r="C10" s="4">
        <v>49</v>
      </c>
      <c r="D10" s="13">
        <f t="shared" si="0"/>
        <v>2401</v>
      </c>
      <c r="E10" s="13">
        <f t="shared" si="1"/>
        <v>2401</v>
      </c>
      <c r="F10" s="13">
        <f t="shared" si="1"/>
        <v>2401</v>
      </c>
      <c r="G10" s="13">
        <f t="shared" si="2"/>
        <v>48.070754716981128</v>
      </c>
      <c r="H10" s="13">
        <f t="shared" si="3"/>
        <v>0.92924528301887221</v>
      </c>
      <c r="I10" s="13">
        <f t="shared" si="4"/>
        <v>0.86349679601282392</v>
      </c>
      <c r="J10" s="13">
        <f t="shared" si="5"/>
        <v>1.8964189449364739</v>
      </c>
      <c r="K10" s="13">
        <f t="shared" si="6"/>
        <v>93.523496796012765</v>
      </c>
      <c r="L10" s="13">
        <f t="shared" si="7"/>
        <v>112.36000000000003</v>
      </c>
    </row>
    <row r="11" spans="1:12" x14ac:dyDescent="0.3">
      <c r="A11" s="2">
        <v>7</v>
      </c>
      <c r="B11" s="4">
        <v>20</v>
      </c>
      <c r="C11" s="4">
        <v>34</v>
      </c>
      <c r="D11" s="13">
        <f t="shared" si="0"/>
        <v>680</v>
      </c>
      <c r="E11" s="13">
        <f t="shared" si="1"/>
        <v>400</v>
      </c>
      <c r="F11" s="13">
        <f t="shared" si="1"/>
        <v>1156</v>
      </c>
      <c r="G11" s="13">
        <f t="shared" si="2"/>
        <v>27.141509433962263</v>
      </c>
      <c r="H11" s="13">
        <f t="shared" si="3"/>
        <v>6.8584905660377373</v>
      </c>
      <c r="I11" s="13">
        <f t="shared" si="4"/>
        <v>47.038892844428645</v>
      </c>
      <c r="J11" s="13">
        <f t="shared" si="5"/>
        <v>20.172031076581582</v>
      </c>
      <c r="K11" s="13">
        <f t="shared" si="6"/>
        <v>126.7536098255607</v>
      </c>
      <c r="L11" s="13">
        <f t="shared" si="7"/>
        <v>19.359999999999989</v>
      </c>
    </row>
    <row r="12" spans="1:12" x14ac:dyDescent="0.3">
      <c r="A12" s="2">
        <v>8</v>
      </c>
      <c r="B12" s="4">
        <v>32</v>
      </c>
      <c r="C12" s="4">
        <v>35</v>
      </c>
      <c r="D12" s="13">
        <f t="shared" si="0"/>
        <v>1120</v>
      </c>
      <c r="E12" s="13">
        <f t="shared" si="1"/>
        <v>1024</v>
      </c>
      <c r="F12" s="13">
        <f t="shared" si="1"/>
        <v>1225</v>
      </c>
      <c r="G12" s="13">
        <f t="shared" si="2"/>
        <v>35.801886792452827</v>
      </c>
      <c r="H12" s="13">
        <f t="shared" si="3"/>
        <v>-0.80188679245282657</v>
      </c>
      <c r="I12" s="13">
        <f t="shared" si="4"/>
        <v>0.64302242791028252</v>
      </c>
      <c r="J12" s="13">
        <f t="shared" si="5"/>
        <v>2.2911051212937901</v>
      </c>
      <c r="K12" s="13">
        <f t="shared" si="6"/>
        <v>6.7501922392310547</v>
      </c>
      <c r="L12" s="13">
        <f t="shared" si="7"/>
        <v>11.55999999999999</v>
      </c>
    </row>
    <row r="13" spans="1:12" x14ac:dyDescent="0.3">
      <c r="A13" s="2">
        <v>9</v>
      </c>
      <c r="B13" s="4">
        <v>46</v>
      </c>
      <c r="C13" s="4">
        <v>42</v>
      </c>
      <c r="D13" s="13">
        <f t="shared" si="0"/>
        <v>1932</v>
      </c>
      <c r="E13" s="13">
        <f t="shared" si="1"/>
        <v>2116</v>
      </c>
      <c r="F13" s="13">
        <f t="shared" si="1"/>
        <v>1764</v>
      </c>
      <c r="G13" s="13">
        <f t="shared" si="2"/>
        <v>45.905660377358487</v>
      </c>
      <c r="H13" s="13">
        <f t="shared" si="3"/>
        <v>-3.9056603773584868</v>
      </c>
      <c r="I13" s="13">
        <f t="shared" si="4"/>
        <v>15.254182983268038</v>
      </c>
      <c r="J13" s="13">
        <f t="shared" si="5"/>
        <v>9.2991913746630637</v>
      </c>
      <c r="K13" s="13">
        <f t="shared" si="6"/>
        <v>56.334937700249164</v>
      </c>
      <c r="L13" s="13">
        <f t="shared" si="7"/>
        <v>12.96000000000001</v>
      </c>
    </row>
    <row r="14" spans="1:12" x14ac:dyDescent="0.3">
      <c r="A14" s="2">
        <v>10</v>
      </c>
      <c r="B14" s="4">
        <v>24</v>
      </c>
      <c r="C14" s="4">
        <v>24</v>
      </c>
      <c r="D14" s="13">
        <f t="shared" si="0"/>
        <v>576</v>
      </c>
      <c r="E14" s="13">
        <f t="shared" si="1"/>
        <v>576</v>
      </c>
      <c r="F14" s="13">
        <f t="shared" si="1"/>
        <v>576</v>
      </c>
      <c r="G14" s="13">
        <f t="shared" si="2"/>
        <v>30.028301886792448</v>
      </c>
      <c r="H14" s="13">
        <f t="shared" si="3"/>
        <v>-6.0283018867924483</v>
      </c>
      <c r="I14" s="13">
        <f t="shared" si="4"/>
        <v>36.340423638305388</v>
      </c>
      <c r="J14" s="13">
        <f t="shared" si="5"/>
        <v>25.117924528301867</v>
      </c>
      <c r="K14" s="13">
        <f t="shared" si="6"/>
        <v>70.085329298682865</v>
      </c>
      <c r="L14" s="13">
        <f t="shared" si="7"/>
        <v>207.35999999999996</v>
      </c>
    </row>
    <row r="15" spans="1:12" x14ac:dyDescent="0.3">
      <c r="A15" s="4" t="s">
        <v>6</v>
      </c>
      <c r="B15" s="4">
        <f>SUM(B5:B14)</f>
        <v>356</v>
      </c>
      <c r="C15" s="4">
        <f>SUM(C5:C14)</f>
        <v>384</v>
      </c>
      <c r="D15" s="4">
        <f>SUM(D5:D14)</f>
        <v>14466</v>
      </c>
      <c r="E15" s="4">
        <f t="shared" ref="E15:L15" si="8">SUM(E5:E14)</f>
        <v>13776</v>
      </c>
      <c r="F15" s="4">
        <f t="shared" si="8"/>
        <v>15468</v>
      </c>
      <c r="G15" s="4">
        <f t="shared" si="8"/>
        <v>383.99999999999994</v>
      </c>
      <c r="H15" s="14">
        <f t="shared" si="8"/>
        <v>2.8421709430404007E-14</v>
      </c>
      <c r="I15" s="4">
        <f t="shared" si="8"/>
        <v>148.21698113207543</v>
      </c>
      <c r="J15" s="4">
        <f t="shared" si="8"/>
        <v>93.113533970612124</v>
      </c>
      <c r="K15" s="4">
        <f t="shared" si="8"/>
        <v>574.18301886792449</v>
      </c>
      <c r="L15" s="4">
        <f t="shared" si="8"/>
        <v>722.40000000000009</v>
      </c>
    </row>
    <row r="16" spans="1:12" x14ac:dyDescent="0.3">
      <c r="A16" s="4" t="s">
        <v>7</v>
      </c>
      <c r="B16" s="4">
        <f>AVERAGE(B5:B14)</f>
        <v>35.6</v>
      </c>
      <c r="C16" s="4">
        <f>AVERAGE(C5:C14)</f>
        <v>38.4</v>
      </c>
      <c r="D16" s="4">
        <f t="shared" ref="D16:L16" si="9">AVERAGE(D5:D14)</f>
        <v>1446.6</v>
      </c>
      <c r="E16" s="4">
        <f t="shared" si="9"/>
        <v>1377.6</v>
      </c>
      <c r="F16" s="4">
        <f t="shared" si="9"/>
        <v>1546.8</v>
      </c>
      <c r="G16" s="4">
        <f t="shared" si="9"/>
        <v>38.399999999999991</v>
      </c>
      <c r="H16" s="14">
        <f t="shared" si="9"/>
        <v>2.8421709430404009E-15</v>
      </c>
      <c r="I16" s="4">
        <f t="shared" si="9"/>
        <v>14.821698113207542</v>
      </c>
      <c r="J16" s="4">
        <f t="shared" si="9"/>
        <v>9.3113533970612128</v>
      </c>
      <c r="K16" s="4">
        <f t="shared" si="9"/>
        <v>57.418301886792449</v>
      </c>
      <c r="L16" s="4">
        <f t="shared" si="9"/>
        <v>72.240000000000009</v>
      </c>
    </row>
    <row r="17" spans="1:12" x14ac:dyDescent="0.3">
      <c r="A17" s="4" t="s">
        <v>8</v>
      </c>
      <c r="B17" s="4">
        <f>SQRT(B18)</f>
        <v>10.499523798725349</v>
      </c>
      <c r="C17" s="4">
        <f t="shared" ref="C17" si="10">SQRT(C18)</f>
        <v>8.4994117443503114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3">
      <c r="A18" s="4" t="s">
        <v>9</v>
      </c>
      <c r="B18" s="4">
        <f>_xlfn.VAR.P(B5:B14)</f>
        <v>110.24</v>
      </c>
      <c r="C18" s="4">
        <f>_xlfn.VAR.P(C5:C14)</f>
        <v>72.239999999999995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5.6" x14ac:dyDescent="0.3">
      <c r="A19" s="8" t="s">
        <v>31</v>
      </c>
      <c r="B19" s="4">
        <f>_xlfn.COVARIANCE.P(B5:B14,C5:C14)</f>
        <v>79.56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3">
      <c r="A20" s="9" t="s">
        <v>32</v>
      </c>
      <c r="B20" s="109">
        <f>C16-B21*B16</f>
        <v>12.707547169811317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37.950000000000003" customHeight="1" x14ac:dyDescent="0.3">
      <c r="A21" s="12"/>
      <c r="B21" s="109">
        <f>B19/B18</f>
        <v>0.72169811320754718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3" spans="1:12" ht="22.8" customHeight="1" x14ac:dyDescent="0.3">
      <c r="A23" s="166" t="s">
        <v>179</v>
      </c>
      <c r="B23" s="167"/>
      <c r="C23" s="168"/>
    </row>
    <row r="25" spans="1:12" ht="15.6" x14ac:dyDescent="0.3">
      <c r="A25" s="42" t="s">
        <v>33</v>
      </c>
      <c r="B25" s="4">
        <f t="array" ref="B25:C29">LINEST(C5:C14,B5:B14,1,1)</f>
        <v>0.72169811320754707</v>
      </c>
      <c r="C25" s="4">
        <v>12.70754716981132</v>
      </c>
      <c r="E25" s="61"/>
    </row>
    <row r="26" spans="1:12" x14ac:dyDescent="0.3">
      <c r="B26" s="4">
        <v>0.1296386159910935</v>
      </c>
      <c r="C26" s="4">
        <v>4.8116713139598746</v>
      </c>
      <c r="E26" s="4">
        <f>(B21*B16)/(B20+B21*B16)</f>
        <v>0.66907429245283023</v>
      </c>
    </row>
    <row r="27" spans="1:12" x14ac:dyDescent="0.3">
      <c r="B27" s="4">
        <v>0.79482699178837835</v>
      </c>
      <c r="C27" s="4">
        <v>4.3043144217760663</v>
      </c>
    </row>
    <row r="28" spans="1:12" x14ac:dyDescent="0.3">
      <c r="B28" s="4">
        <v>30.991483673859094</v>
      </c>
      <c r="C28" s="4">
        <v>8</v>
      </c>
    </row>
    <row r="29" spans="1:12" x14ac:dyDescent="0.3">
      <c r="B29" s="4">
        <v>574.1830188679246</v>
      </c>
      <c r="C29" s="4">
        <v>148.21698113207543</v>
      </c>
    </row>
    <row r="30" spans="1:12" ht="15" thickBot="1" x14ac:dyDescent="0.35">
      <c r="B30" s="94"/>
      <c r="C30" s="94"/>
    </row>
    <row r="31" spans="1:12" x14ac:dyDescent="0.3">
      <c r="A31" s="108"/>
      <c r="B31" s="44" t="s">
        <v>66</v>
      </c>
      <c r="C31" s="44">
        <v>0.89153070153998526</v>
      </c>
      <c r="E31" s="46"/>
      <c r="F31" s="46" t="s">
        <v>77</v>
      </c>
      <c r="G31" s="46" t="s">
        <v>68</v>
      </c>
      <c r="H31" s="46" t="s">
        <v>78</v>
      </c>
      <c r="I31" s="46" t="s">
        <v>79</v>
      </c>
    </row>
    <row r="32" spans="1:12" x14ac:dyDescent="0.3">
      <c r="B32" s="120" t="s">
        <v>35</v>
      </c>
      <c r="C32" s="120">
        <v>0.79482699178837835</v>
      </c>
      <c r="E32" s="90" t="s">
        <v>84</v>
      </c>
      <c r="F32" s="105">
        <v>12.70754716981132</v>
      </c>
      <c r="G32" s="105">
        <v>4.8116713139598746</v>
      </c>
      <c r="H32" s="105">
        <v>2.6409840449707183</v>
      </c>
      <c r="I32" s="105">
        <v>2.9667986220651903E-2</v>
      </c>
    </row>
    <row r="33" spans="1:20" ht="15" thickBot="1" x14ac:dyDescent="0.35">
      <c r="B33" s="120" t="s">
        <v>67</v>
      </c>
      <c r="C33" s="120">
        <v>0.76918036576192561</v>
      </c>
      <c r="E33" s="127" t="s">
        <v>20</v>
      </c>
      <c r="F33" s="127">
        <v>0.72169811320754707</v>
      </c>
      <c r="G33" s="127">
        <v>0.1296386159910935</v>
      </c>
      <c r="H33" s="127">
        <v>5.5669995216327326</v>
      </c>
      <c r="I33" s="127">
        <v>5.3030443669892788E-4</v>
      </c>
    </row>
    <row r="34" spans="1:20" x14ac:dyDescent="0.3">
      <c r="B34" s="45" t="s">
        <v>68</v>
      </c>
      <c r="C34" s="45">
        <v>4.3043144217760663</v>
      </c>
    </row>
    <row r="35" spans="1:20" x14ac:dyDescent="0.3">
      <c r="B35" s="94"/>
      <c r="C35" s="94"/>
      <c r="E35" s="164" t="s">
        <v>188</v>
      </c>
      <c r="F35" s="165"/>
    </row>
    <row r="36" spans="1:20" x14ac:dyDescent="0.3">
      <c r="B36" s="94"/>
      <c r="C36" s="94"/>
      <c r="E36" s="4" t="s">
        <v>186</v>
      </c>
      <c r="F36" s="4" t="s">
        <v>187</v>
      </c>
    </row>
    <row r="37" spans="1:20" x14ac:dyDescent="0.3">
      <c r="E37" s="4">
        <f>_xlfn.T.INV.2T(0.05,8)</f>
        <v>2.3060041352041671</v>
      </c>
      <c r="F37" s="4">
        <f>_xlfn.T.INV.2T(0.1,8)</f>
        <v>1.8595480375308981</v>
      </c>
    </row>
    <row r="38" spans="1:20" x14ac:dyDescent="0.3">
      <c r="G38" s="94"/>
      <c r="H38" s="94"/>
    </row>
    <row r="39" spans="1:20" ht="15.6" x14ac:dyDescent="0.3">
      <c r="A39" s="27" t="s">
        <v>34</v>
      </c>
      <c r="B39" s="17"/>
      <c r="C39" s="17"/>
      <c r="D39" s="17"/>
      <c r="E39" s="17"/>
      <c r="F39" s="17"/>
      <c r="G39" s="17"/>
      <c r="H39" s="17"/>
    </row>
    <row r="41" spans="1:20" ht="15.6" x14ac:dyDescent="0.3">
      <c r="A41" s="18" t="s">
        <v>35</v>
      </c>
      <c r="B41" s="18">
        <v>0.79482699178837835</v>
      </c>
      <c r="D41" s="110" t="s">
        <v>36</v>
      </c>
      <c r="E41" s="111"/>
      <c r="F41" s="111"/>
      <c r="G41" s="111"/>
      <c r="H41" s="111"/>
      <c r="I41" s="111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3"/>
    </row>
    <row r="44" spans="1:20" ht="15.6" x14ac:dyDescent="0.3">
      <c r="A44" s="27" t="s">
        <v>37</v>
      </c>
      <c r="B44" s="17"/>
      <c r="C44" s="17"/>
      <c r="D44" s="17"/>
      <c r="E44" s="17"/>
      <c r="F44" s="17"/>
      <c r="G44" s="17"/>
      <c r="H44" s="17"/>
      <c r="I44" s="17"/>
    </row>
    <row r="45" spans="1:20" ht="15" thickBot="1" x14ac:dyDescent="0.35">
      <c r="A45" s="24"/>
      <c r="B45" s="25"/>
    </row>
    <row r="46" spans="1:20" x14ac:dyDescent="0.3">
      <c r="A46" s="16" t="s">
        <v>38</v>
      </c>
      <c r="B46" s="20" t="s">
        <v>39</v>
      </c>
    </row>
    <row r="47" spans="1:20" x14ac:dyDescent="0.3">
      <c r="A47">
        <v>30.991483673859094</v>
      </c>
      <c r="B47">
        <v>5.3030443669892691E-4</v>
      </c>
    </row>
    <row r="49" spans="1:11" x14ac:dyDescent="0.3">
      <c r="A49" s="21" t="s">
        <v>40</v>
      </c>
      <c r="B49" s="4">
        <f>_xlfn.F.INV.RT(0.05,1,8)</f>
        <v>5.3176550715787174</v>
      </c>
    </row>
    <row r="50" spans="1:11" ht="15.6" x14ac:dyDescent="0.3">
      <c r="A50" s="22" t="s">
        <v>41</v>
      </c>
      <c r="B50" s="4">
        <f>_xlfn.F.INV.RT(0.1,1,8)</f>
        <v>3.4579189038850133</v>
      </c>
      <c r="D50" s="110" t="s">
        <v>42</v>
      </c>
      <c r="E50" s="114"/>
      <c r="F50" s="114"/>
      <c r="G50" s="114"/>
      <c r="H50" s="113"/>
      <c r="I50" s="113"/>
      <c r="J50" s="113"/>
      <c r="K50" s="113"/>
    </row>
    <row r="52" spans="1:11" ht="15.6" x14ac:dyDescent="0.3">
      <c r="A52" s="27" t="s">
        <v>43</v>
      </c>
      <c r="B52" s="17"/>
      <c r="C52" s="17"/>
      <c r="D52" s="17"/>
      <c r="E52" s="17"/>
      <c r="F52" s="17"/>
      <c r="G52" s="17"/>
      <c r="H52" s="17"/>
      <c r="I52" s="17"/>
      <c r="J52" s="17"/>
    </row>
    <row r="54" spans="1:11" ht="15.6" x14ac:dyDescent="0.3">
      <c r="A54" s="23" t="s">
        <v>44</v>
      </c>
    </row>
    <row r="55" spans="1:11" ht="15.6" x14ac:dyDescent="0.3">
      <c r="A55" s="26" t="s">
        <v>45</v>
      </c>
    </row>
    <row r="56" spans="1:11" ht="15.6" x14ac:dyDescent="0.3">
      <c r="A56" s="26" t="s">
        <v>46</v>
      </c>
    </row>
    <row r="57" spans="1:11" ht="15.6" x14ac:dyDescent="0.3">
      <c r="A57" s="26" t="s">
        <v>47</v>
      </c>
    </row>
    <row r="58" spans="1:11" ht="15.6" x14ac:dyDescent="0.3">
      <c r="A58" s="26" t="s">
        <v>48</v>
      </c>
    </row>
    <row r="59" spans="1:11" ht="15.6" x14ac:dyDescent="0.3">
      <c r="A59" s="26" t="s">
        <v>49</v>
      </c>
    </row>
    <row r="61" spans="1:11" ht="15.6" x14ac:dyDescent="0.3">
      <c r="A61" s="23" t="s">
        <v>45</v>
      </c>
    </row>
    <row r="62" spans="1:11" ht="15.6" x14ac:dyDescent="0.3">
      <c r="A62" s="26" t="s">
        <v>50</v>
      </c>
    </row>
    <row r="63" spans="1:11" ht="15" thickBot="1" x14ac:dyDescent="0.35"/>
    <row r="64" spans="1:11" ht="28.8" x14ac:dyDescent="0.3">
      <c r="A64" s="29" t="s">
        <v>51</v>
      </c>
      <c r="B64" s="19" t="s">
        <v>52</v>
      </c>
    </row>
    <row r="65" spans="1:2" x14ac:dyDescent="0.3">
      <c r="A65">
        <v>35.080188679245303</v>
      </c>
      <c r="B65">
        <v>2.9198113207547181</v>
      </c>
    </row>
    <row r="66" spans="1:2" x14ac:dyDescent="0.3">
      <c r="A66">
        <v>29.306603773584904</v>
      </c>
      <c r="B66">
        <v>-3.3066037735849036</v>
      </c>
    </row>
    <row r="67" spans="1:2" x14ac:dyDescent="0.3">
      <c r="A67">
        <v>40.132075471698109</v>
      </c>
      <c r="B67">
        <v>-0.13207547169810852</v>
      </c>
    </row>
    <row r="68" spans="1:2" x14ac:dyDescent="0.3">
      <c r="A68">
        <v>46.627358490566031</v>
      </c>
      <c r="B68">
        <v>-1.6273584905660314</v>
      </c>
    </row>
    <row r="69" spans="1:2" x14ac:dyDescent="0.3">
      <c r="A69">
        <v>45.905660377358487</v>
      </c>
      <c r="B69">
        <v>5.0943396226415132</v>
      </c>
    </row>
    <row r="70" spans="1:2" x14ac:dyDescent="0.3">
      <c r="A70">
        <v>48.070754716981128</v>
      </c>
      <c r="B70">
        <v>0.92924528301887221</v>
      </c>
    </row>
    <row r="71" spans="1:2" x14ac:dyDescent="0.3">
      <c r="A71">
        <v>27.141509433962263</v>
      </c>
      <c r="B71">
        <v>6.8584905660377373</v>
      </c>
    </row>
    <row r="72" spans="1:2" x14ac:dyDescent="0.3">
      <c r="A72">
        <v>35.801886792452827</v>
      </c>
      <c r="B72">
        <v>-0.80188679245282657</v>
      </c>
    </row>
    <row r="73" spans="1:2" x14ac:dyDescent="0.3">
      <c r="A73">
        <v>45.905660377358487</v>
      </c>
      <c r="B73">
        <v>-3.9056603773584868</v>
      </c>
    </row>
    <row r="74" spans="1:2" ht="15" thickBot="1" x14ac:dyDescent="0.35">
      <c r="A74" s="15">
        <v>30.028301886792448</v>
      </c>
      <c r="B74" s="15">
        <v>-6.0283018867924483</v>
      </c>
    </row>
    <row r="77" spans="1:2" ht="15.6" x14ac:dyDescent="0.3">
      <c r="A77" s="23" t="s">
        <v>46</v>
      </c>
    </row>
    <row r="78" spans="1:2" ht="15.6" x14ac:dyDescent="0.3">
      <c r="A78" s="30" t="s">
        <v>53</v>
      </c>
    </row>
    <row r="95" spans="1:1" ht="15.6" x14ac:dyDescent="0.3">
      <c r="A95" s="23" t="s">
        <v>47</v>
      </c>
    </row>
    <row r="96" spans="1:1" ht="15.6" x14ac:dyDescent="0.3">
      <c r="A96" s="26" t="s">
        <v>54</v>
      </c>
    </row>
    <row r="116" spans="1:6" ht="15.6" x14ac:dyDescent="0.3">
      <c r="A116" s="23" t="s">
        <v>48</v>
      </c>
    </row>
    <row r="121" spans="1:6" ht="24.6" customHeight="1" x14ac:dyDescent="0.3">
      <c r="A121" s="32" t="s">
        <v>55</v>
      </c>
      <c r="B121" s="33" t="s">
        <v>56</v>
      </c>
      <c r="C121" s="32" t="s">
        <v>57</v>
      </c>
      <c r="D121" s="33" t="s">
        <v>58</v>
      </c>
      <c r="E121" s="32" t="s">
        <v>55</v>
      </c>
      <c r="F121" s="32" t="s">
        <v>55</v>
      </c>
    </row>
    <row r="122" spans="1:6" x14ac:dyDescent="0.3">
      <c r="A122" s="32">
        <v>1</v>
      </c>
      <c r="B122" s="34">
        <v>2.9198113207547181</v>
      </c>
      <c r="C122" s="32" t="s">
        <v>55</v>
      </c>
      <c r="D122" s="32">
        <f>B122^2</f>
        <v>8.5252981488074102</v>
      </c>
      <c r="E122" s="32" t="s">
        <v>55</v>
      </c>
      <c r="F122" s="32" t="s">
        <v>55</v>
      </c>
    </row>
    <row r="123" spans="1:6" x14ac:dyDescent="0.3">
      <c r="A123" s="32">
        <v>2</v>
      </c>
      <c r="B123" s="34">
        <v>-3.3066037735849036</v>
      </c>
      <c r="C123" s="32">
        <f>B122</f>
        <v>2.9198113207547181</v>
      </c>
      <c r="D123" s="32">
        <f t="shared" ref="D123:D131" si="11">B123^2</f>
        <v>10.933628515485925</v>
      </c>
      <c r="E123" s="32">
        <f>D122</f>
        <v>8.5252981488074102</v>
      </c>
      <c r="F123" s="32">
        <f>B123*C123</f>
        <v>-9.6546591313634718</v>
      </c>
    </row>
    <row r="124" spans="1:6" x14ac:dyDescent="0.3">
      <c r="A124" s="32">
        <v>3</v>
      </c>
      <c r="B124" s="34">
        <v>-0.13207547169810852</v>
      </c>
      <c r="C124" s="32">
        <f t="shared" ref="C124:C131" si="12">B123</f>
        <v>-3.3066037735849036</v>
      </c>
      <c r="D124" s="32">
        <f t="shared" si="11"/>
        <v>1.7443930224277863E-2</v>
      </c>
      <c r="E124" s="32">
        <f t="shared" ref="E124:E131" si="13">D123</f>
        <v>10.933628515485925</v>
      </c>
      <c r="F124" s="32">
        <f t="shared" ref="F124:F131" si="14">B124*C124</f>
        <v>0.43672125311497179</v>
      </c>
    </row>
    <row r="125" spans="1:6" x14ac:dyDescent="0.3">
      <c r="A125" s="32">
        <v>4</v>
      </c>
      <c r="B125" s="34">
        <v>-1.6273584905660314</v>
      </c>
      <c r="C125" s="32">
        <f t="shared" si="12"/>
        <v>-0.13207547169810852</v>
      </c>
      <c r="D125" s="32">
        <f t="shared" si="11"/>
        <v>2.6482956568173521</v>
      </c>
      <c r="E125" s="32">
        <f t="shared" si="13"/>
        <v>1.7443930224277863E-2</v>
      </c>
      <c r="F125" s="32">
        <f t="shared" si="14"/>
        <v>0.21493414026343047</v>
      </c>
    </row>
    <row r="126" spans="1:6" x14ac:dyDescent="0.3">
      <c r="A126" s="32">
        <v>5</v>
      </c>
      <c r="B126" s="34">
        <v>5.0943396226415132</v>
      </c>
      <c r="C126" s="32">
        <f t="shared" si="12"/>
        <v>-1.6273584905660314</v>
      </c>
      <c r="D126" s="32">
        <f t="shared" si="11"/>
        <v>25.952296190815275</v>
      </c>
      <c r="E126" s="32">
        <f t="shared" si="13"/>
        <v>2.6482956568173521</v>
      </c>
      <c r="F126" s="32">
        <f t="shared" si="14"/>
        <v>-8.2903168387326183</v>
      </c>
    </row>
    <row r="127" spans="1:6" x14ac:dyDescent="0.3">
      <c r="A127" s="32">
        <v>6</v>
      </c>
      <c r="B127" s="34">
        <v>0.92924528301887221</v>
      </c>
      <c r="C127" s="32">
        <f t="shared" si="12"/>
        <v>5.0943396226415132</v>
      </c>
      <c r="D127" s="32">
        <f t="shared" si="11"/>
        <v>0.86349679601282392</v>
      </c>
      <c r="E127" s="32">
        <f t="shared" si="13"/>
        <v>25.952296190815275</v>
      </c>
      <c r="F127" s="32">
        <f t="shared" si="14"/>
        <v>4.7338910644357677</v>
      </c>
    </row>
    <row r="128" spans="1:6" x14ac:dyDescent="0.3">
      <c r="A128" s="32">
        <v>7</v>
      </c>
      <c r="B128" s="34">
        <v>6.8584905660377373</v>
      </c>
      <c r="C128" s="32">
        <f t="shared" si="12"/>
        <v>0.92924528301887221</v>
      </c>
      <c r="D128" s="32">
        <f t="shared" si="11"/>
        <v>47.038892844428645</v>
      </c>
      <c r="E128" s="32">
        <f t="shared" si="13"/>
        <v>0.86349679601282392</v>
      </c>
      <c r="F128" s="32">
        <f t="shared" si="14"/>
        <v>6.3732200071200023</v>
      </c>
    </row>
    <row r="129" spans="1:10" x14ac:dyDescent="0.3">
      <c r="A129" s="32">
        <v>8</v>
      </c>
      <c r="B129" s="34">
        <v>-0.80188679245282657</v>
      </c>
      <c r="C129" s="32">
        <f t="shared" si="12"/>
        <v>6.8584905660377373</v>
      </c>
      <c r="D129" s="32">
        <f t="shared" si="11"/>
        <v>0.64302242791028252</v>
      </c>
      <c r="E129" s="32">
        <f t="shared" si="13"/>
        <v>47.038892844428645</v>
      </c>
      <c r="F129" s="32">
        <f t="shared" si="14"/>
        <v>-5.4997330010679724</v>
      </c>
    </row>
    <row r="130" spans="1:10" x14ac:dyDescent="0.3">
      <c r="A130" s="32">
        <v>9</v>
      </c>
      <c r="B130" s="34">
        <v>-3.9056603773584868</v>
      </c>
      <c r="C130" s="32">
        <f t="shared" si="12"/>
        <v>-0.80188679245282657</v>
      </c>
      <c r="D130" s="32">
        <f t="shared" si="11"/>
        <v>15.254182983268038</v>
      </c>
      <c r="E130" s="32">
        <f t="shared" si="13"/>
        <v>0.64302242791028252</v>
      </c>
      <c r="F130" s="32">
        <f t="shared" si="14"/>
        <v>3.1318974724100932</v>
      </c>
    </row>
    <row r="131" spans="1:10" x14ac:dyDescent="0.3">
      <c r="A131" s="32">
        <v>10</v>
      </c>
      <c r="B131" s="34">
        <v>-6.0283018867924483</v>
      </c>
      <c r="C131" s="32">
        <f t="shared" si="12"/>
        <v>-3.9056603773584868</v>
      </c>
      <c r="D131" s="32">
        <f t="shared" si="11"/>
        <v>36.340423638305388</v>
      </c>
      <c r="E131" s="32">
        <f t="shared" si="13"/>
        <v>15.254182983268038</v>
      </c>
      <c r="F131" s="32">
        <f t="shared" si="14"/>
        <v>23.54449982200067</v>
      </c>
    </row>
    <row r="132" spans="1:10" x14ac:dyDescent="0.3">
      <c r="A132" s="32" t="s">
        <v>7</v>
      </c>
      <c r="B132" s="32">
        <f>AVERAGE(B123:B131)</f>
        <v>-0.32442348008385363</v>
      </c>
      <c r="C132" s="32">
        <f t="shared" ref="C132:F132" si="15">AVERAGE(C123:C131)</f>
        <v>0.66981132075472039</v>
      </c>
      <c r="D132" s="32">
        <f t="shared" si="15"/>
        <v>15.521298109252001</v>
      </c>
      <c r="E132" s="32">
        <f t="shared" si="15"/>
        <v>12.430728610418893</v>
      </c>
      <c r="F132" s="32">
        <f t="shared" si="15"/>
        <v>1.6656060875756524</v>
      </c>
    </row>
    <row r="133" spans="1:10" ht="15.6" x14ac:dyDescent="0.3">
      <c r="A133" s="35" t="s">
        <v>59</v>
      </c>
      <c r="B133" s="32">
        <f>_xlfn.VAR.P(B123:B131)</f>
        <v>15.416047514822283</v>
      </c>
      <c r="C133" s="32">
        <f>_xlfn.VAR.P(C123:C131)</f>
        <v>11.98208140500771</v>
      </c>
      <c r="D133" s="32" t="s">
        <v>55</v>
      </c>
      <c r="E133" s="32" t="s">
        <v>55</v>
      </c>
      <c r="F133" s="32" t="s">
        <v>55</v>
      </c>
    </row>
    <row r="134" spans="1:10" x14ac:dyDescent="0.3">
      <c r="A134" s="36" t="s">
        <v>9</v>
      </c>
      <c r="B134" s="32">
        <f>D132-B132^2</f>
        <v>15.416047514822283</v>
      </c>
      <c r="C134" s="32">
        <f>E132-C132^2</f>
        <v>11.98208140500771</v>
      </c>
      <c r="D134" s="32" t="s">
        <v>55</v>
      </c>
      <c r="E134" s="32" t="s">
        <v>55</v>
      </c>
      <c r="F134" s="32" t="s">
        <v>55</v>
      </c>
    </row>
    <row r="135" spans="1:10" ht="15.6" x14ac:dyDescent="0.3">
      <c r="A135" s="35" t="s">
        <v>8</v>
      </c>
      <c r="B135" s="32">
        <f>SQRT(B133)</f>
        <v>3.9263274844085898</v>
      </c>
      <c r="C135" s="32">
        <f>SQRT(C133)</f>
        <v>3.4615143225195113</v>
      </c>
      <c r="D135" s="32" t="s">
        <v>55</v>
      </c>
      <c r="E135" s="32" t="s">
        <v>55</v>
      </c>
      <c r="F135" s="32" t="s">
        <v>55</v>
      </c>
    </row>
    <row r="136" spans="1:10" x14ac:dyDescent="0.3">
      <c r="A136" s="32" t="s">
        <v>55</v>
      </c>
      <c r="B136" s="32">
        <f>F132-C132*B132</f>
        <v>1.8829086072544612</v>
      </c>
      <c r="C136" s="32" t="s">
        <v>55</v>
      </c>
      <c r="D136" s="32" t="s">
        <v>55</v>
      </c>
      <c r="E136" s="32" t="s">
        <v>55</v>
      </c>
      <c r="F136" s="32" t="s">
        <v>55</v>
      </c>
    </row>
    <row r="137" spans="1:10" x14ac:dyDescent="0.3">
      <c r="A137" s="32" t="s">
        <v>60</v>
      </c>
      <c r="B137" s="32">
        <f>_xlfn.COVARIANCE.P(B123:B131,C123:C131)</f>
        <v>1.8829086072544614</v>
      </c>
      <c r="C137" s="32" t="s">
        <v>55</v>
      </c>
      <c r="D137" s="32" t="s">
        <v>55</v>
      </c>
      <c r="E137" s="32" t="s">
        <v>55</v>
      </c>
      <c r="F137" s="32" t="s">
        <v>55</v>
      </c>
    </row>
    <row r="138" spans="1:10" x14ac:dyDescent="0.3">
      <c r="A138" s="162"/>
      <c r="B138" s="162"/>
      <c r="C138" s="31"/>
      <c r="D138" s="31"/>
      <c r="E138" s="31"/>
      <c r="F138" s="31"/>
    </row>
    <row r="139" spans="1:10" ht="18" x14ac:dyDescent="0.3">
      <c r="A139" s="38" t="s">
        <v>61</v>
      </c>
      <c r="B139" s="39">
        <f>CORREL(B123:B131,C123:C131)</f>
        <v>0.13854044800323215</v>
      </c>
      <c r="C139" s="31"/>
      <c r="D139" s="31"/>
      <c r="E139" s="31"/>
      <c r="F139" s="31"/>
    </row>
    <row r="140" spans="1:10" ht="39.6" customHeight="1" x14ac:dyDescent="0.3">
      <c r="A140" s="156"/>
      <c r="B140" s="156"/>
      <c r="C140" s="78">
        <f>B137/(B135*C135)</f>
        <v>0.13854044800323212</v>
      </c>
    </row>
    <row r="142" spans="1:10" ht="15.6" x14ac:dyDescent="0.3">
      <c r="A142" s="115" t="s">
        <v>62</v>
      </c>
      <c r="B142" s="116"/>
      <c r="C142" s="116"/>
      <c r="D142" s="116"/>
      <c r="E142" s="116"/>
      <c r="F142" s="116"/>
      <c r="G142" s="116"/>
      <c r="H142" s="116"/>
      <c r="I142" s="116"/>
      <c r="J142" s="116"/>
    </row>
    <row r="144" spans="1:10" ht="15.6" x14ac:dyDescent="0.3">
      <c r="A144" s="23" t="s">
        <v>49</v>
      </c>
    </row>
    <row r="163" spans="1:4" ht="15.6" x14ac:dyDescent="0.3">
      <c r="A163" s="117" t="s">
        <v>63</v>
      </c>
      <c r="B163" s="113"/>
      <c r="C163" s="113"/>
      <c r="D163" s="113"/>
    </row>
  </sheetData>
  <mergeCells count="5">
    <mergeCell ref="A138:B138"/>
    <mergeCell ref="A140:B140"/>
    <mergeCell ref="A1:L1"/>
    <mergeCell ref="E35:F35"/>
    <mergeCell ref="A23:C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C10" zoomScaleNormal="100" workbookViewId="0">
      <selection activeCell="I27" sqref="I27"/>
    </sheetView>
  </sheetViews>
  <sheetFormatPr defaultRowHeight="14.4" x14ac:dyDescent="0.3"/>
  <cols>
    <col min="1" max="1" width="24.88671875" bestFit="1" customWidth="1"/>
    <col min="2" max="2" width="16.332031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0.89153070153998526</v>
      </c>
    </row>
    <row r="5" spans="1:9" x14ac:dyDescent="0.3">
      <c r="A5" t="s">
        <v>35</v>
      </c>
      <c r="B5">
        <v>0.79482699178837835</v>
      </c>
    </row>
    <row r="6" spans="1:9" x14ac:dyDescent="0.3">
      <c r="A6" t="s">
        <v>67</v>
      </c>
      <c r="B6">
        <v>0.76918036576192561</v>
      </c>
    </row>
    <row r="7" spans="1:9" x14ac:dyDescent="0.3">
      <c r="A7" t="s">
        <v>68</v>
      </c>
      <c r="B7">
        <v>4.3043144217760663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1</v>
      </c>
      <c r="C12">
        <v>574.1830188679246</v>
      </c>
      <c r="D12">
        <v>574.1830188679246</v>
      </c>
      <c r="E12">
        <v>30.991483673859094</v>
      </c>
      <c r="F12">
        <v>5.3030443669892691E-4</v>
      </c>
    </row>
    <row r="13" spans="1:9" x14ac:dyDescent="0.3">
      <c r="A13" t="s">
        <v>75</v>
      </c>
      <c r="B13">
        <v>8</v>
      </c>
      <c r="C13">
        <v>148.21698113207543</v>
      </c>
      <c r="D13">
        <v>18.527122641509429</v>
      </c>
    </row>
    <row r="14" spans="1:9" ht="15" thickBot="1" x14ac:dyDescent="0.35">
      <c r="A14" s="15" t="s">
        <v>76</v>
      </c>
      <c r="B14" s="15">
        <v>9</v>
      </c>
      <c r="C14" s="15">
        <v>722.40000000000009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12.70754716981132</v>
      </c>
      <c r="C17">
        <v>4.8116713139598746</v>
      </c>
      <c r="D17">
        <v>2.6409840449707183</v>
      </c>
      <c r="E17">
        <v>2.9667986220651903E-2</v>
      </c>
      <c r="F17">
        <v>1.6118132225765809</v>
      </c>
      <c r="G17">
        <v>23.803281117046062</v>
      </c>
      <c r="H17">
        <v>3.7600132206935175</v>
      </c>
      <c r="I17">
        <v>21.655081118929125</v>
      </c>
    </row>
    <row r="18" spans="1:9" ht="15" thickBot="1" x14ac:dyDescent="0.35">
      <c r="A18" s="15" t="s">
        <v>20</v>
      </c>
      <c r="B18" s="15">
        <v>0.72169811320754707</v>
      </c>
      <c r="C18" s="15">
        <v>0.1296386159910935</v>
      </c>
      <c r="D18" s="15">
        <v>5.5669995216327326</v>
      </c>
      <c r="E18" s="15">
        <v>5.3030443669892788E-4</v>
      </c>
      <c r="F18" s="15">
        <v>0.42275092864994041</v>
      </c>
      <c r="G18" s="15">
        <v>1.0206452977651537</v>
      </c>
      <c r="H18" s="15">
        <v>0.48062887925308745</v>
      </c>
      <c r="I18" s="15">
        <v>0.96276734716200663</v>
      </c>
    </row>
    <row r="22" spans="1:9" x14ac:dyDescent="0.3">
      <c r="A22" t="s">
        <v>85</v>
      </c>
      <c r="F22" t="s">
        <v>86</v>
      </c>
    </row>
    <row r="23" spans="1:9" ht="15" thickBot="1" x14ac:dyDescent="0.35"/>
    <row r="24" spans="1:9" x14ac:dyDescent="0.3">
      <c r="A24" s="16" t="s">
        <v>87</v>
      </c>
      <c r="B24" s="16" t="s">
        <v>51</v>
      </c>
      <c r="C24" s="16" t="s">
        <v>52</v>
      </c>
      <c r="D24" s="16" t="s">
        <v>88</v>
      </c>
      <c r="F24" s="16" t="s">
        <v>89</v>
      </c>
      <c r="G24" s="16" t="s">
        <v>21</v>
      </c>
    </row>
    <row r="25" spans="1:9" x14ac:dyDescent="0.3">
      <c r="A25">
        <v>1</v>
      </c>
      <c r="B25">
        <v>35.080188679245282</v>
      </c>
      <c r="C25">
        <v>2.9198113207547181</v>
      </c>
      <c r="D25">
        <v>0.71949380866988288</v>
      </c>
      <c r="F25">
        <v>5</v>
      </c>
      <c r="G25">
        <v>24</v>
      </c>
    </row>
    <row r="26" spans="1:9" x14ac:dyDescent="0.3">
      <c r="A26">
        <v>2</v>
      </c>
      <c r="B26">
        <v>29.306603773584904</v>
      </c>
      <c r="C26">
        <v>-3.3066037735849036</v>
      </c>
      <c r="D26">
        <v>-0.81480639721742709</v>
      </c>
      <c r="F26">
        <v>15</v>
      </c>
      <c r="G26">
        <v>26</v>
      </c>
    </row>
    <row r="27" spans="1:9" x14ac:dyDescent="0.3">
      <c r="A27">
        <v>3</v>
      </c>
      <c r="B27">
        <v>40.132075471698109</v>
      </c>
      <c r="C27">
        <v>-0.13207547169810852</v>
      </c>
      <c r="D27">
        <v>-3.2545761943063002E-2</v>
      </c>
      <c r="F27">
        <v>25</v>
      </c>
      <c r="G27">
        <v>34</v>
      </c>
    </row>
    <row r="28" spans="1:9" x14ac:dyDescent="0.3">
      <c r="A28">
        <v>4</v>
      </c>
      <c r="B28">
        <v>46.627358490566031</v>
      </c>
      <c r="C28">
        <v>-1.6273584905660314</v>
      </c>
      <c r="D28">
        <v>-0.4010102810841818</v>
      </c>
      <c r="F28">
        <v>35</v>
      </c>
      <c r="G28">
        <v>35</v>
      </c>
    </row>
    <row r="29" spans="1:9" x14ac:dyDescent="0.3">
      <c r="A29">
        <v>5</v>
      </c>
      <c r="B29">
        <v>45.905660377358487</v>
      </c>
      <c r="C29">
        <v>5.0943396226415132</v>
      </c>
      <c r="D29">
        <v>1.2553365320896184</v>
      </c>
      <c r="F29">
        <v>45</v>
      </c>
      <c r="G29">
        <v>38</v>
      </c>
    </row>
    <row r="30" spans="1:9" x14ac:dyDescent="0.3">
      <c r="A30">
        <v>6</v>
      </c>
      <c r="B30">
        <v>48.070754716981128</v>
      </c>
      <c r="C30">
        <v>0.92924528301887221</v>
      </c>
      <c r="D30">
        <v>0.22898268224227386</v>
      </c>
      <c r="F30">
        <v>55</v>
      </c>
      <c r="G30">
        <v>40</v>
      </c>
    </row>
    <row r="31" spans="1:9" x14ac:dyDescent="0.3">
      <c r="A31">
        <v>7</v>
      </c>
      <c r="B31">
        <v>27.141509433962263</v>
      </c>
      <c r="C31">
        <v>6.8584905660377373</v>
      </c>
      <c r="D31">
        <v>1.690054923757689</v>
      </c>
      <c r="F31">
        <v>65</v>
      </c>
      <c r="G31">
        <v>42</v>
      </c>
    </row>
    <row r="32" spans="1:9" x14ac:dyDescent="0.3">
      <c r="A32">
        <v>8</v>
      </c>
      <c r="B32">
        <v>35.801886792452827</v>
      </c>
      <c r="C32">
        <v>-0.80188679245282657</v>
      </c>
      <c r="D32">
        <v>-0.19759926894003149</v>
      </c>
      <c r="F32">
        <v>75</v>
      </c>
      <c r="G32">
        <v>45</v>
      </c>
    </row>
    <row r="33" spans="1:7" x14ac:dyDescent="0.3">
      <c r="A33">
        <v>9</v>
      </c>
      <c r="B33">
        <v>45.905660377358487</v>
      </c>
      <c r="C33">
        <v>-3.9056603773584868</v>
      </c>
      <c r="D33">
        <v>-0.96242467460203907</v>
      </c>
      <c r="F33">
        <v>85</v>
      </c>
      <c r="G33">
        <v>49</v>
      </c>
    </row>
    <row r="34" spans="1:7" ht="15" thickBot="1" x14ac:dyDescent="0.35">
      <c r="A34" s="15">
        <v>10</v>
      </c>
      <c r="B34" s="15">
        <v>30.028301886792448</v>
      </c>
      <c r="C34" s="15">
        <v>-6.0283018867924483</v>
      </c>
      <c r="D34" s="15">
        <v>-1.4854815629727127</v>
      </c>
      <c r="F34" s="15">
        <v>95</v>
      </c>
      <c r="G34" s="15">
        <v>51</v>
      </c>
    </row>
  </sheetData>
  <sortState ref="G25:G34">
    <sortCondition ref="G25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zoomScale="85" zoomScaleNormal="85" workbookViewId="0">
      <selection activeCell="S13" sqref="S13"/>
    </sheetView>
  </sheetViews>
  <sheetFormatPr defaultRowHeight="14.4" x14ac:dyDescent="0.3"/>
  <cols>
    <col min="1" max="1" width="14" customWidth="1"/>
    <col min="10" max="10" width="10.5546875" customWidth="1"/>
    <col min="15" max="15" width="14.33203125" bestFit="1" customWidth="1"/>
    <col min="16" max="16" width="16.33203125" bestFit="1" customWidth="1"/>
    <col min="17" max="17" width="22.109375" bestFit="1" customWidth="1"/>
    <col min="18" max="18" width="15.109375" bestFit="1" customWidth="1"/>
    <col min="19" max="19" width="12.44140625" bestFit="1" customWidth="1"/>
  </cols>
  <sheetData>
    <row r="1" spans="1:13" ht="43.2" customHeight="1" x14ac:dyDescent="0.3">
      <c r="A1" s="169" t="s">
        <v>90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</row>
    <row r="3" spans="1:13" ht="15.6" x14ac:dyDescent="0.3">
      <c r="A3" s="172" t="s">
        <v>91</v>
      </c>
      <c r="B3" s="173"/>
    </row>
    <row r="4" spans="1:13" ht="27.6" customHeight="1" x14ac:dyDescent="0.3">
      <c r="A4" s="170" t="s">
        <v>92</v>
      </c>
      <c r="B4" s="171"/>
    </row>
    <row r="6" spans="1:13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/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</row>
    <row r="7" spans="1:13" ht="15.6" x14ac:dyDescent="0.3">
      <c r="A7" s="3"/>
      <c r="B7" s="5" t="s">
        <v>20</v>
      </c>
      <c r="C7" s="5" t="s">
        <v>185</v>
      </c>
      <c r="D7" s="6" t="s">
        <v>94</v>
      </c>
      <c r="E7" s="6" t="s">
        <v>184</v>
      </c>
      <c r="F7" s="6" t="s">
        <v>95</v>
      </c>
      <c r="G7" s="6" t="s">
        <v>24</v>
      </c>
      <c r="H7" s="7" t="s">
        <v>96</v>
      </c>
      <c r="I7" s="6" t="s">
        <v>26</v>
      </c>
      <c r="J7" s="6" t="s">
        <v>27</v>
      </c>
      <c r="K7" s="10" t="s">
        <v>97</v>
      </c>
      <c r="L7" s="11" t="s">
        <v>29</v>
      </c>
      <c r="M7" s="11" t="s">
        <v>30</v>
      </c>
    </row>
    <row r="8" spans="1:13" x14ac:dyDescent="0.3">
      <c r="A8" s="2">
        <v>1</v>
      </c>
      <c r="B8" s="4">
        <v>31</v>
      </c>
      <c r="C8" s="4">
        <f>LN(B8)</f>
        <v>3.4339872044851463</v>
      </c>
      <c r="D8" s="4">
        <v>38</v>
      </c>
      <c r="E8" s="13">
        <f>D8*C8</f>
        <v>130.49151377043555</v>
      </c>
      <c r="F8" s="13">
        <f>C8^2</f>
        <v>11.79226812056771</v>
      </c>
      <c r="G8" s="13">
        <f>D8^2</f>
        <v>1444</v>
      </c>
      <c r="H8" s="13">
        <f>B$24+B$23*C8</f>
        <v>36.271504386334676</v>
      </c>
      <c r="I8" s="13">
        <f>D8-H8</f>
        <v>1.7284956136653236</v>
      </c>
      <c r="J8" s="13">
        <f>I8^2</f>
        <v>2.9876970864602637</v>
      </c>
      <c r="K8" s="13">
        <f>ABS((I8/D8)*100)</f>
        <v>4.5486726675403251</v>
      </c>
      <c r="L8" s="13">
        <f>(H8-D$19)^2</f>
        <v>4.5304935773925159</v>
      </c>
      <c r="M8" s="13">
        <f>(D8-D$19)^2</f>
        <v>0.15999999999999887</v>
      </c>
    </row>
    <row r="9" spans="1:13" x14ac:dyDescent="0.3">
      <c r="A9" s="2">
        <v>2</v>
      </c>
      <c r="B9" s="4">
        <v>23</v>
      </c>
      <c r="C9" s="4">
        <f t="shared" ref="C9:C17" si="0">LN(B9)</f>
        <v>3.1354942159291497</v>
      </c>
      <c r="D9" s="4">
        <v>26</v>
      </c>
      <c r="E9" s="13">
        <f t="shared" ref="E9:E16" si="1">D9*C9</f>
        <v>81.522849614157892</v>
      </c>
      <c r="F9" s="13">
        <f t="shared" ref="F9:G16" si="2">C9^2</f>
        <v>9.8313239781251536</v>
      </c>
      <c r="G9" s="13">
        <f t="shared" si="2"/>
        <v>676</v>
      </c>
      <c r="H9" s="13">
        <f t="shared" ref="H9:H17" si="3">B$24+B$23*C9</f>
        <v>29.258664504606024</v>
      </c>
      <c r="I9" s="13">
        <f t="shared" ref="I9:I17" si="4">D9-H9</f>
        <v>-3.2586645046060241</v>
      </c>
      <c r="J9" s="13">
        <f t="shared" ref="J9:J17" si="5">I9^2</f>
        <v>10.618894353579224</v>
      </c>
      <c r="K9" s="13">
        <f t="shared" ref="K9:K17" si="6">ABS((I9/D9)*100)</f>
        <v>12.533325017715477</v>
      </c>
      <c r="L9" s="13">
        <f t="shared" ref="L9:L17" si="7">(H9-D$19)^2</f>
        <v>83.564014639349807</v>
      </c>
      <c r="M9" s="13">
        <f t="shared" ref="M9:M17" si="8">(D9-D$19)^2</f>
        <v>153.75999999999996</v>
      </c>
    </row>
    <row r="10" spans="1:13" x14ac:dyDescent="0.3">
      <c r="A10" s="2">
        <v>3</v>
      </c>
      <c r="B10" s="4">
        <v>38</v>
      </c>
      <c r="C10" s="4">
        <f t="shared" si="0"/>
        <v>3.6375861597263857</v>
      </c>
      <c r="D10" s="4">
        <v>40</v>
      </c>
      <c r="E10" s="13">
        <f t="shared" si="1"/>
        <v>145.50344638905543</v>
      </c>
      <c r="F10" s="13">
        <f t="shared" si="2"/>
        <v>13.232033069432955</v>
      </c>
      <c r="G10" s="13">
        <f t="shared" si="2"/>
        <v>1600</v>
      </c>
      <c r="H10" s="13">
        <f t="shared" si="3"/>
        <v>41.054889349918831</v>
      </c>
      <c r="I10" s="13">
        <f t="shared" si="4"/>
        <v>-1.054889349918831</v>
      </c>
      <c r="J10" s="13">
        <f t="shared" si="5"/>
        <v>1.1127915405721738</v>
      </c>
      <c r="K10" s="13">
        <f t="shared" si="6"/>
        <v>2.6372233747970775</v>
      </c>
      <c r="L10" s="13">
        <f t="shared" si="7"/>
        <v>7.0484374603124405</v>
      </c>
      <c r="M10" s="13">
        <f t="shared" si="8"/>
        <v>2.5600000000000045</v>
      </c>
    </row>
    <row r="11" spans="1:13" x14ac:dyDescent="0.3">
      <c r="A11" s="2">
        <v>4</v>
      </c>
      <c r="B11" s="4">
        <v>47</v>
      </c>
      <c r="C11" s="4">
        <f t="shared" si="0"/>
        <v>3.8501476017100584</v>
      </c>
      <c r="D11" s="4">
        <v>45</v>
      </c>
      <c r="E11" s="13">
        <f t="shared" si="1"/>
        <v>173.25664207695263</v>
      </c>
      <c r="F11" s="13">
        <f t="shared" si="2"/>
        <v>14.823636554953715</v>
      </c>
      <c r="G11" s="13">
        <f t="shared" si="2"/>
        <v>2025</v>
      </c>
      <c r="H11" s="13">
        <f t="shared" si="3"/>
        <v>46.048840346463614</v>
      </c>
      <c r="I11" s="13">
        <f t="shared" si="4"/>
        <v>-1.0488403464636136</v>
      </c>
      <c r="J11" s="13">
        <f t="shared" si="5"/>
        <v>1.1000660723699129</v>
      </c>
      <c r="K11" s="13">
        <f t="shared" si="6"/>
        <v>2.330756325474697</v>
      </c>
      <c r="L11" s="13">
        <f t="shared" si="7"/>
        <v>58.504758645689634</v>
      </c>
      <c r="M11" s="13">
        <f t="shared" si="8"/>
        <v>43.560000000000016</v>
      </c>
    </row>
    <row r="12" spans="1:13" x14ac:dyDescent="0.3">
      <c r="A12" s="2">
        <v>5</v>
      </c>
      <c r="B12" s="4">
        <v>46</v>
      </c>
      <c r="C12" s="4">
        <f t="shared" si="0"/>
        <v>3.8286413964890951</v>
      </c>
      <c r="D12" s="4">
        <v>51</v>
      </c>
      <c r="E12" s="13">
        <f t="shared" si="1"/>
        <v>195.26071122094385</v>
      </c>
      <c r="F12" s="13">
        <f t="shared" si="2"/>
        <v>14.658494942909968</v>
      </c>
      <c r="G12" s="13">
        <f t="shared" si="2"/>
        <v>2601</v>
      </c>
      <c r="H12" s="13">
        <f t="shared" si="3"/>
        <v>45.543570274935895</v>
      </c>
      <c r="I12" s="13">
        <f t="shared" si="4"/>
        <v>5.4564297250641047</v>
      </c>
      <c r="J12" s="13">
        <f t="shared" si="5"/>
        <v>29.772625344563142</v>
      </c>
      <c r="K12" s="13">
        <f t="shared" si="6"/>
        <v>10.698881813851186</v>
      </c>
      <c r="L12" s="13">
        <f t="shared" si="7"/>
        <v>51.030596272947726</v>
      </c>
      <c r="M12" s="13">
        <f t="shared" si="8"/>
        <v>158.76000000000005</v>
      </c>
    </row>
    <row r="13" spans="1:13" x14ac:dyDescent="0.3">
      <c r="A13" s="2">
        <v>6</v>
      </c>
      <c r="B13" s="4">
        <v>49</v>
      </c>
      <c r="C13" s="4">
        <f t="shared" si="0"/>
        <v>3.8918202981106265</v>
      </c>
      <c r="D13" s="4">
        <v>49</v>
      </c>
      <c r="E13" s="13">
        <f t="shared" si="1"/>
        <v>190.69919460742071</v>
      </c>
      <c r="F13" s="13">
        <f t="shared" si="2"/>
        <v>15.146265232785886</v>
      </c>
      <c r="G13" s="13">
        <f t="shared" si="2"/>
        <v>2401</v>
      </c>
      <c r="H13" s="13">
        <f t="shared" si="3"/>
        <v>47.027905043128165</v>
      </c>
      <c r="I13" s="13">
        <f t="shared" si="4"/>
        <v>1.9720949568718353</v>
      </c>
      <c r="J13" s="13">
        <f t="shared" si="5"/>
        <v>3.8891585189193263</v>
      </c>
      <c r="K13" s="13">
        <f t="shared" si="6"/>
        <v>4.024683585452725</v>
      </c>
      <c r="L13" s="13">
        <f t="shared" si="7"/>
        <v>74.440745433236444</v>
      </c>
      <c r="M13" s="13">
        <f t="shared" si="8"/>
        <v>112.36000000000003</v>
      </c>
    </row>
    <row r="14" spans="1:13" x14ac:dyDescent="0.3">
      <c r="A14" s="2">
        <v>7</v>
      </c>
      <c r="B14" s="4">
        <v>20</v>
      </c>
      <c r="C14" s="4">
        <f t="shared" si="0"/>
        <v>2.9957322735539909</v>
      </c>
      <c r="D14" s="4">
        <v>34</v>
      </c>
      <c r="E14" s="13">
        <f t="shared" si="1"/>
        <v>101.85489730083569</v>
      </c>
      <c r="F14" s="13">
        <f t="shared" si="2"/>
        <v>8.9744118548129634</v>
      </c>
      <c r="G14" s="13">
        <f t="shared" si="2"/>
        <v>1156</v>
      </c>
      <c r="H14" s="13">
        <f t="shared" si="3"/>
        <v>25.975076075350479</v>
      </c>
      <c r="I14" s="13">
        <f t="shared" si="4"/>
        <v>8.0249239246495208</v>
      </c>
      <c r="J14" s="13">
        <f t="shared" si="5"/>
        <v>64.399403996412261</v>
      </c>
      <c r="K14" s="13">
        <f t="shared" si="6"/>
        <v>23.602717425439767</v>
      </c>
      <c r="L14" s="13">
        <f t="shared" si="7"/>
        <v>154.37873453332801</v>
      </c>
      <c r="M14" s="13">
        <f t="shared" si="8"/>
        <v>19.359999999999989</v>
      </c>
    </row>
    <row r="15" spans="1:13" x14ac:dyDescent="0.3">
      <c r="A15" s="2">
        <v>8</v>
      </c>
      <c r="B15" s="4">
        <v>32</v>
      </c>
      <c r="C15" s="4">
        <f t="shared" si="0"/>
        <v>3.4657359027997265</v>
      </c>
      <c r="D15" s="4">
        <v>35</v>
      </c>
      <c r="E15" s="13">
        <f t="shared" si="1"/>
        <v>121.30075659799043</v>
      </c>
      <c r="F15" s="13">
        <f t="shared" si="2"/>
        <v>12.011325347955035</v>
      </c>
      <c r="G15" s="13">
        <f t="shared" si="2"/>
        <v>1225</v>
      </c>
      <c r="H15" s="13">
        <f t="shared" si="3"/>
        <v>37.017413155617852</v>
      </c>
      <c r="I15" s="13">
        <f t="shared" si="4"/>
        <v>-2.0174131556178523</v>
      </c>
      <c r="J15" s="13">
        <f t="shared" si="5"/>
        <v>4.0699558404599809</v>
      </c>
      <c r="K15" s="13">
        <f t="shared" si="6"/>
        <v>5.764037587479578</v>
      </c>
      <c r="L15" s="13">
        <f t="shared" si="7"/>
        <v>1.9115463822585812</v>
      </c>
      <c r="M15" s="13">
        <f t="shared" si="8"/>
        <v>11.55999999999999</v>
      </c>
    </row>
    <row r="16" spans="1:13" x14ac:dyDescent="0.3">
      <c r="A16" s="2">
        <v>9</v>
      </c>
      <c r="B16" s="4">
        <v>46</v>
      </c>
      <c r="C16" s="4">
        <f t="shared" si="0"/>
        <v>3.8286413964890951</v>
      </c>
      <c r="D16" s="4">
        <v>42</v>
      </c>
      <c r="E16" s="13">
        <f t="shared" si="1"/>
        <v>160.802938652542</v>
      </c>
      <c r="F16" s="13">
        <f t="shared" si="2"/>
        <v>14.658494942909968</v>
      </c>
      <c r="G16" s="13">
        <f t="shared" si="2"/>
        <v>1764</v>
      </c>
      <c r="H16" s="13">
        <f t="shared" si="3"/>
        <v>45.543570274935895</v>
      </c>
      <c r="I16" s="13">
        <f t="shared" si="4"/>
        <v>-3.5435702749358953</v>
      </c>
      <c r="J16" s="13">
        <f t="shared" si="5"/>
        <v>12.556890293409257</v>
      </c>
      <c r="K16" s="13">
        <f t="shared" si="6"/>
        <v>8.4370720831807038</v>
      </c>
      <c r="L16" s="13">
        <f t="shared" si="7"/>
        <v>51.030596272947726</v>
      </c>
      <c r="M16" s="13">
        <f t="shared" si="8"/>
        <v>12.96000000000001</v>
      </c>
    </row>
    <row r="17" spans="1:13" x14ac:dyDescent="0.3">
      <c r="A17" s="2">
        <v>10</v>
      </c>
      <c r="B17" s="4">
        <v>24</v>
      </c>
      <c r="C17" s="4">
        <f t="shared" si="0"/>
        <v>3.1780538303479458</v>
      </c>
      <c r="D17" s="4">
        <v>24</v>
      </c>
      <c r="E17" s="13">
        <f>D17*C17</f>
        <v>76.273291928350702</v>
      </c>
      <c r="F17" s="13">
        <f>C17^2</f>
        <v>10.100026148589249</v>
      </c>
      <c r="G17" s="13">
        <f>D17^2</f>
        <v>576</v>
      </c>
      <c r="H17" s="13">
        <f t="shared" si="3"/>
        <v>30.258566588708526</v>
      </c>
      <c r="I17" s="13">
        <f t="shared" si="4"/>
        <v>-6.2585665887085256</v>
      </c>
      <c r="J17" s="13">
        <f t="shared" si="5"/>
        <v>39.16965574529867</v>
      </c>
      <c r="K17" s="13">
        <f t="shared" si="6"/>
        <v>26.077360786285524</v>
      </c>
      <c r="L17" s="13">
        <f t="shared" si="7"/>
        <v>66.28293799049311</v>
      </c>
      <c r="M17" s="13">
        <f t="shared" si="8"/>
        <v>207.35999999999996</v>
      </c>
    </row>
    <row r="18" spans="1:13" x14ac:dyDescent="0.3">
      <c r="A18" s="4" t="s">
        <v>6</v>
      </c>
      <c r="B18" s="4">
        <f>SUM(B8:B17)</f>
        <v>356</v>
      </c>
      <c r="C18" s="4">
        <f>SUM(C8:C17)</f>
        <v>35.245840279641222</v>
      </c>
      <c r="D18" s="4">
        <f>SUM(D8:D17)</f>
        <v>384</v>
      </c>
      <c r="E18" s="4">
        <f t="shared" ref="E18:F18" si="9">SUM(E8:E17)</f>
        <v>1376.966242158685</v>
      </c>
      <c r="F18" s="4">
        <f t="shared" si="9"/>
        <v>125.22828019304259</v>
      </c>
      <c r="G18" s="4">
        <f>SUM(G8:G17)</f>
        <v>15468</v>
      </c>
      <c r="H18" s="4">
        <f>SUM(H8:H17)</f>
        <v>383.99999999999994</v>
      </c>
      <c r="I18" s="14">
        <f t="shared" ref="I18:M18" si="10">SUM(I8:I17)</f>
        <v>4.2632564145606011E-14</v>
      </c>
      <c r="J18" s="4">
        <f t="shared" si="10"/>
        <v>169.67713879204422</v>
      </c>
      <c r="K18" s="4">
        <f t="shared" si="10"/>
        <v>100.65473066721707</v>
      </c>
      <c r="L18" s="4">
        <f t="shared" si="10"/>
        <v>552.72286120795593</v>
      </c>
      <c r="M18" s="4">
        <f t="shared" si="10"/>
        <v>722.40000000000009</v>
      </c>
    </row>
    <row r="19" spans="1:13" x14ac:dyDescent="0.3">
      <c r="A19" s="4" t="s">
        <v>7</v>
      </c>
      <c r="B19" s="4">
        <f>AVERAGE(B8:B17)</f>
        <v>35.6</v>
      </c>
      <c r="C19" s="4">
        <f>AVERAGE(C8:C17)</f>
        <v>3.5245840279641221</v>
      </c>
      <c r="D19" s="4">
        <f t="shared" ref="D19:M19" si="11">AVERAGE(D8:D17)</f>
        <v>38.4</v>
      </c>
      <c r="E19" s="4">
        <f t="shared" si="11"/>
        <v>137.6966242158685</v>
      </c>
      <c r="F19" s="4">
        <f t="shared" si="11"/>
        <v>12.52282801930426</v>
      </c>
      <c r="G19" s="4">
        <f t="shared" si="11"/>
        <v>1546.8</v>
      </c>
      <c r="H19" s="4">
        <f t="shared" si="11"/>
        <v>38.399999999999991</v>
      </c>
      <c r="I19" s="14">
        <f t="shared" si="11"/>
        <v>4.263256414560601E-15</v>
      </c>
      <c r="J19" s="4">
        <f t="shared" si="11"/>
        <v>16.967713879204421</v>
      </c>
      <c r="K19" s="4">
        <f t="shared" si="11"/>
        <v>10.065473066721706</v>
      </c>
      <c r="L19" s="4">
        <f t="shared" si="11"/>
        <v>55.272286120795592</v>
      </c>
      <c r="M19" s="4">
        <f t="shared" si="11"/>
        <v>72.240000000000009</v>
      </c>
    </row>
    <row r="20" spans="1:13" x14ac:dyDescent="0.3">
      <c r="A20" s="4" t="s">
        <v>8</v>
      </c>
      <c r="B20" s="4" t="s">
        <v>98</v>
      </c>
      <c r="C20" s="4">
        <f t="shared" ref="C20" si="12">SQRT(C21)</f>
        <v>0.31644185741533243</v>
      </c>
      <c r="D20" s="4">
        <f>SQRT(D21)</f>
        <v>8.4994117443503114</v>
      </c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3">
      <c r="A21" s="4" t="s">
        <v>9</v>
      </c>
      <c r="B21" s="4" t="s">
        <v>98</v>
      </c>
      <c r="C21" s="4">
        <f>_xlfn.VAR.P(C8:C17)</f>
        <v>0.10013544912446556</v>
      </c>
      <c r="D21" s="4">
        <f>_xlfn.VAR.P(D8:D17)</f>
        <v>72.239999999999995</v>
      </c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3">
      <c r="A22" s="4" t="s">
        <v>99</v>
      </c>
      <c r="B22" s="4">
        <f>_xlfn.COVARIANCE.P(C8:C17,D8:D17)</f>
        <v>2.352597542046202</v>
      </c>
      <c r="C22" s="4"/>
      <c r="D22" s="4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34.950000000000003" customHeight="1" x14ac:dyDescent="0.3">
      <c r="A23" s="12"/>
      <c r="B23" s="109">
        <f>B22/C21</f>
        <v>23.494152796198968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24.6" customHeight="1" x14ac:dyDescent="0.3">
      <c r="A24" s="12"/>
      <c r="B24" s="109">
        <f>D19-B23*C19</f>
        <v>-44.407115696031504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6" spans="1:13" ht="18" x14ac:dyDescent="0.35">
      <c r="A26" s="174" t="s">
        <v>100</v>
      </c>
      <c r="B26" s="175"/>
      <c r="C26" s="175"/>
      <c r="D26" s="176"/>
    </row>
    <row r="28" spans="1:13" x14ac:dyDescent="0.3">
      <c r="A28" s="42" t="s">
        <v>33</v>
      </c>
      <c r="B28" s="4">
        <f t="array" ref="B28:C32">LINEST(D8:D17,C8:C17,1,1)</f>
        <v>23.494152796198964</v>
      </c>
      <c r="C28" s="4">
        <v>-44.407115696031489</v>
      </c>
    </row>
    <row r="29" spans="1:13" x14ac:dyDescent="0.3">
      <c r="A29" s="42"/>
      <c r="B29" s="4">
        <v>4.6022769292713512</v>
      </c>
      <c r="C29" s="4">
        <v>16.286357200852034</v>
      </c>
    </row>
    <row r="30" spans="1:13" x14ac:dyDescent="0.3">
      <c r="A30" s="42"/>
      <c r="B30" s="4">
        <v>0.76512023976738075</v>
      </c>
      <c r="C30" s="4">
        <v>4.6053927464447062</v>
      </c>
    </row>
    <row r="31" spans="1:13" x14ac:dyDescent="0.3">
      <c r="A31" s="42"/>
      <c r="B31" s="4">
        <v>26.059980272787215</v>
      </c>
      <c r="C31" s="4">
        <v>8</v>
      </c>
    </row>
    <row r="32" spans="1:13" x14ac:dyDescent="0.3">
      <c r="A32" s="42"/>
      <c r="B32" s="4">
        <v>552.72286120795593</v>
      </c>
      <c r="C32" s="4">
        <v>169.6771387920441</v>
      </c>
    </row>
    <row r="34" spans="1:19" ht="16.2" thickBot="1" x14ac:dyDescent="0.35">
      <c r="A34" s="48" t="s">
        <v>101</v>
      </c>
    </row>
    <row r="35" spans="1:19" ht="15.6" x14ac:dyDescent="0.3">
      <c r="A35" s="44" t="s">
        <v>66</v>
      </c>
      <c r="B35" s="44">
        <v>0.87471151802601799</v>
      </c>
      <c r="D35" s="16" t="s">
        <v>38</v>
      </c>
      <c r="E35" s="46" t="s">
        <v>39</v>
      </c>
      <c r="G35" s="121" t="s">
        <v>40</v>
      </c>
      <c r="H35" s="4">
        <f>_xlfn.F.INV.RT(0.05,1,8)</f>
        <v>5.3176550715787174</v>
      </c>
      <c r="J35" s="4" t="s">
        <v>102</v>
      </c>
      <c r="L35" s="61"/>
      <c r="O35" s="16"/>
      <c r="P35" s="16" t="s">
        <v>77</v>
      </c>
      <c r="Q35" s="16" t="s">
        <v>68</v>
      </c>
      <c r="R35" s="16" t="s">
        <v>78</v>
      </c>
      <c r="S35" s="16" t="s">
        <v>79</v>
      </c>
    </row>
    <row r="36" spans="1:19" x14ac:dyDescent="0.3">
      <c r="A36" s="120" t="s">
        <v>35</v>
      </c>
      <c r="B36" s="120">
        <v>0.76512023976738075</v>
      </c>
      <c r="D36" s="43">
        <v>26.059980272787215</v>
      </c>
      <c r="E36" s="43">
        <v>9.2424444716843407E-4</v>
      </c>
      <c r="G36" s="122" t="s">
        <v>103</v>
      </c>
      <c r="H36" s="4">
        <f>_xlfn.F.INV.RT(0.1,1,8)</f>
        <v>3.4579189038850133</v>
      </c>
      <c r="J36" s="4">
        <f>K19</f>
        <v>10.065473066721706</v>
      </c>
      <c r="L36" s="4">
        <f>B28/(B24+B23*LN(B19))</f>
        <v>0.59445580479578386</v>
      </c>
      <c r="O36" t="s">
        <v>84</v>
      </c>
      <c r="P36">
        <v>-44.407115696031489</v>
      </c>
      <c r="Q36">
        <v>16.286357200852034</v>
      </c>
      <c r="R36">
        <v>-2.7266450777407911</v>
      </c>
      <c r="S36">
        <v>2.5980262387747196E-2</v>
      </c>
    </row>
    <row r="37" spans="1:19" ht="14.4" customHeight="1" thickBot="1" x14ac:dyDescent="0.35">
      <c r="A37" s="45" t="s">
        <v>67</v>
      </c>
      <c r="B37" s="45">
        <v>0.73576026973830333</v>
      </c>
      <c r="E37" s="119"/>
      <c r="F37" s="119"/>
      <c r="O37" s="15" t="s">
        <v>93</v>
      </c>
      <c r="P37" s="15">
        <v>23.494152796198964</v>
      </c>
      <c r="Q37" s="15">
        <v>4.6022769292713512</v>
      </c>
      <c r="R37" s="15">
        <v>5.1048976750555166</v>
      </c>
      <c r="S37" s="15">
        <v>9.2424444716843407E-4</v>
      </c>
    </row>
    <row r="38" spans="1:19" ht="14.4" customHeight="1" x14ac:dyDescent="0.3">
      <c r="A38" s="119"/>
      <c r="B38" s="119"/>
      <c r="D38" s="178" t="s">
        <v>105</v>
      </c>
      <c r="E38" s="178"/>
      <c r="F38" s="119"/>
    </row>
    <row r="39" spans="1:19" ht="13.2" customHeight="1" x14ac:dyDescent="0.3">
      <c r="A39" s="177" t="s">
        <v>104</v>
      </c>
      <c r="B39" s="177"/>
      <c r="D39" s="178"/>
      <c r="E39" s="178"/>
      <c r="F39" s="119"/>
      <c r="R39" s="164" t="s">
        <v>188</v>
      </c>
      <c r="S39" s="165"/>
    </row>
    <row r="40" spans="1:19" x14ac:dyDescent="0.3">
      <c r="A40" s="177"/>
      <c r="B40" s="177"/>
      <c r="D40" s="178"/>
      <c r="E40" s="178"/>
      <c r="F40" s="119"/>
      <c r="R40" s="4" t="s">
        <v>186</v>
      </c>
      <c r="S40" s="4" t="s">
        <v>187</v>
      </c>
    </row>
    <row r="41" spans="1:19" x14ac:dyDescent="0.3">
      <c r="A41" s="177"/>
      <c r="B41" s="177"/>
      <c r="D41" s="178"/>
      <c r="E41" s="178"/>
      <c r="F41" s="119"/>
      <c r="R41" s="4">
        <f>_xlfn.T.INV.2T(0.05,8)</f>
        <v>2.3060041352041671</v>
      </c>
      <c r="S41" s="4">
        <f>_xlfn.T.INV.2T(0.1,8)</f>
        <v>1.8595480375308981</v>
      </c>
    </row>
    <row r="42" spans="1:19" x14ac:dyDescent="0.3">
      <c r="A42" s="177"/>
      <c r="B42" s="177"/>
      <c r="D42" s="178"/>
      <c r="E42" s="178"/>
      <c r="F42" s="119"/>
    </row>
    <row r="43" spans="1:19" ht="61.8" customHeight="1" x14ac:dyDescent="0.3">
      <c r="A43" s="177"/>
      <c r="B43" s="177"/>
      <c r="D43" s="119"/>
      <c r="E43" s="119"/>
      <c r="F43" s="119"/>
    </row>
    <row r="45" spans="1:19" ht="15.6" x14ac:dyDescent="0.3">
      <c r="A45" s="23" t="s">
        <v>44</v>
      </c>
    </row>
    <row r="46" spans="1:19" ht="15.6" x14ac:dyDescent="0.3">
      <c r="A46" s="26" t="s">
        <v>45</v>
      </c>
    </row>
    <row r="47" spans="1:19" ht="15.6" x14ac:dyDescent="0.3">
      <c r="A47" s="26" t="s">
        <v>46</v>
      </c>
    </row>
    <row r="48" spans="1:19" ht="15.6" x14ac:dyDescent="0.3">
      <c r="A48" s="26" t="s">
        <v>47</v>
      </c>
    </row>
    <row r="49" spans="1:2" ht="15.6" x14ac:dyDescent="0.3">
      <c r="A49" s="26" t="s">
        <v>48</v>
      </c>
    </row>
    <row r="50" spans="1:2" ht="15.6" x14ac:dyDescent="0.3">
      <c r="A50" s="26" t="s">
        <v>49</v>
      </c>
    </row>
    <row r="52" spans="1:2" ht="15.6" x14ac:dyDescent="0.3">
      <c r="A52" s="23" t="s">
        <v>45</v>
      </c>
    </row>
    <row r="53" spans="1:2" ht="15.6" x14ac:dyDescent="0.3">
      <c r="A53" s="26" t="s">
        <v>50</v>
      </c>
    </row>
    <row r="55" spans="1:2" x14ac:dyDescent="0.3">
      <c r="A55" s="46" t="s">
        <v>106</v>
      </c>
      <c r="B55" s="16" t="s">
        <v>52</v>
      </c>
    </row>
    <row r="56" spans="1:2" x14ac:dyDescent="0.3">
      <c r="A56">
        <v>36.271504386334676</v>
      </c>
      <c r="B56">
        <v>1.7284956136653236</v>
      </c>
    </row>
    <row r="57" spans="1:2" x14ac:dyDescent="0.3">
      <c r="A57">
        <v>29.258664504606024</v>
      </c>
      <c r="B57">
        <v>-3.2586645046060241</v>
      </c>
    </row>
    <row r="58" spans="1:2" x14ac:dyDescent="0.3">
      <c r="A58">
        <v>41.054889349918831</v>
      </c>
      <c r="B58">
        <v>-1.054889349918831</v>
      </c>
    </row>
    <row r="59" spans="1:2" x14ac:dyDescent="0.3">
      <c r="A59">
        <v>46.048840346463614</v>
      </c>
      <c r="B59">
        <v>-1.0488403464636136</v>
      </c>
    </row>
    <row r="60" spans="1:2" x14ac:dyDescent="0.3">
      <c r="A60">
        <v>45.543570274935895</v>
      </c>
      <c r="B60">
        <v>5.4564297250641047</v>
      </c>
    </row>
    <row r="61" spans="1:2" x14ac:dyDescent="0.3">
      <c r="A61">
        <v>47.027905043128179</v>
      </c>
      <c r="B61">
        <v>1.9720949568718211</v>
      </c>
    </row>
    <row r="62" spans="1:2" x14ac:dyDescent="0.3">
      <c r="A62">
        <v>25.975076075350479</v>
      </c>
      <c r="B62">
        <v>8.0249239246495208</v>
      </c>
    </row>
    <row r="63" spans="1:2" x14ac:dyDescent="0.3">
      <c r="A63">
        <v>37.017413155617852</v>
      </c>
      <c r="B63">
        <v>-2.0174131556178523</v>
      </c>
    </row>
    <row r="64" spans="1:2" x14ac:dyDescent="0.3">
      <c r="A64">
        <v>45.543570274935895</v>
      </c>
      <c r="B64">
        <v>-3.5435702749358953</v>
      </c>
    </row>
    <row r="65" spans="1:2" x14ac:dyDescent="0.3">
      <c r="A65" s="15">
        <v>30.258566588708526</v>
      </c>
      <c r="B65" s="15">
        <v>-6.2585665887085256</v>
      </c>
    </row>
    <row r="68" spans="1:2" ht="15.6" x14ac:dyDescent="0.3">
      <c r="A68" s="23" t="s">
        <v>46</v>
      </c>
    </row>
    <row r="69" spans="1:2" ht="15.6" x14ac:dyDescent="0.3">
      <c r="A69" s="30" t="s">
        <v>53</v>
      </c>
    </row>
    <row r="86" spans="1:1" ht="15.6" x14ac:dyDescent="0.3">
      <c r="A86" s="23" t="s">
        <v>47</v>
      </c>
    </row>
    <row r="87" spans="1:1" ht="15.6" x14ac:dyDescent="0.3">
      <c r="A87" s="26" t="s">
        <v>107</v>
      </c>
    </row>
    <row r="103" spans="1:6" ht="15.6" x14ac:dyDescent="0.3">
      <c r="A103" s="23" t="s">
        <v>48</v>
      </c>
    </row>
    <row r="108" spans="1:6" x14ac:dyDescent="0.3">
      <c r="A108" s="32" t="s">
        <v>55</v>
      </c>
      <c r="B108" s="76" t="s">
        <v>56</v>
      </c>
      <c r="C108" s="32" t="s">
        <v>57</v>
      </c>
      <c r="D108" s="33" t="s">
        <v>58</v>
      </c>
      <c r="E108" s="32" t="s">
        <v>55</v>
      </c>
      <c r="F108" s="32" t="s">
        <v>55</v>
      </c>
    </row>
    <row r="109" spans="1:6" x14ac:dyDescent="0.3">
      <c r="A109" s="74">
        <v>1</v>
      </c>
      <c r="B109" s="73">
        <v>1.7284956136653236</v>
      </c>
      <c r="C109" s="75" t="s">
        <v>55</v>
      </c>
      <c r="D109" s="32">
        <f>B109^2</f>
        <v>2.9876970864602637</v>
      </c>
      <c r="E109" s="32" t="s">
        <v>55</v>
      </c>
      <c r="F109" s="32" t="s">
        <v>55</v>
      </c>
    </row>
    <row r="110" spans="1:6" x14ac:dyDescent="0.3">
      <c r="A110" s="74">
        <v>2</v>
      </c>
      <c r="B110" s="73">
        <v>-3.2586645046060241</v>
      </c>
      <c r="C110" s="75">
        <f>B109</f>
        <v>1.7284956136653236</v>
      </c>
      <c r="D110" s="32">
        <f t="shared" ref="D110:D118" si="13">B110^2</f>
        <v>10.618894353579224</v>
      </c>
      <c r="E110" s="32">
        <f>D109</f>
        <v>2.9876970864602637</v>
      </c>
      <c r="F110" s="32">
        <f>B110*C110</f>
        <v>-5.632587302618397</v>
      </c>
    </row>
    <row r="111" spans="1:6" x14ac:dyDescent="0.3">
      <c r="A111" s="74">
        <v>3</v>
      </c>
      <c r="B111" s="73">
        <v>-1.054889349918831</v>
      </c>
      <c r="C111" s="75">
        <f t="shared" ref="C111:C118" si="14">B110</f>
        <v>-3.2586645046060241</v>
      </c>
      <c r="D111" s="32">
        <f t="shared" si="13"/>
        <v>1.1127915405721738</v>
      </c>
      <c r="E111" s="32">
        <f t="shared" ref="E111:E118" si="15">D110</f>
        <v>10.618894353579224</v>
      </c>
      <c r="F111" s="32">
        <f t="shared" ref="F111:F118" si="16">B111*C111</f>
        <v>3.4375304808674181</v>
      </c>
    </row>
    <row r="112" spans="1:6" x14ac:dyDescent="0.3">
      <c r="A112" s="74">
        <v>4</v>
      </c>
      <c r="B112" s="73">
        <v>-1.0488403464636136</v>
      </c>
      <c r="C112" s="75">
        <f t="shared" si="14"/>
        <v>-1.054889349918831</v>
      </c>
      <c r="D112" s="32">
        <f t="shared" si="13"/>
        <v>1.1000660723699129</v>
      </c>
      <c r="E112" s="32">
        <f t="shared" si="15"/>
        <v>1.1127915405721738</v>
      </c>
      <c r="F112" s="32">
        <f t="shared" si="16"/>
        <v>1.1064105112496427</v>
      </c>
    </row>
    <row r="113" spans="1:6" x14ac:dyDescent="0.3">
      <c r="A113" s="74">
        <v>5</v>
      </c>
      <c r="B113" s="73">
        <v>5.4564297250641047</v>
      </c>
      <c r="C113" s="75">
        <f t="shared" si="14"/>
        <v>-1.0488403464636136</v>
      </c>
      <c r="D113" s="32">
        <f t="shared" si="13"/>
        <v>29.772625344563142</v>
      </c>
      <c r="E113" s="32">
        <f t="shared" si="15"/>
        <v>1.1000660723699129</v>
      </c>
      <c r="F113" s="32">
        <f t="shared" si="16"/>
        <v>-5.7229236432905957</v>
      </c>
    </row>
    <row r="114" spans="1:6" x14ac:dyDescent="0.3">
      <c r="A114" s="74">
        <v>6</v>
      </c>
      <c r="B114" s="73">
        <v>1.9720949568718211</v>
      </c>
      <c r="C114" s="75">
        <f t="shared" si="14"/>
        <v>5.4564297250641047</v>
      </c>
      <c r="D114" s="32">
        <f t="shared" si="13"/>
        <v>3.8891585189192699</v>
      </c>
      <c r="E114" s="32">
        <f t="shared" si="15"/>
        <v>29.772625344563142</v>
      </c>
      <c r="F114" s="32">
        <f t="shared" si="16"/>
        <v>10.760597543324419</v>
      </c>
    </row>
    <row r="115" spans="1:6" x14ac:dyDescent="0.3">
      <c r="A115" s="74">
        <v>7</v>
      </c>
      <c r="B115" s="73">
        <v>8.0249239246495208</v>
      </c>
      <c r="C115" s="75">
        <f t="shared" si="14"/>
        <v>1.9720949568718211</v>
      </c>
      <c r="D115" s="32">
        <f t="shared" si="13"/>
        <v>64.399403996412261</v>
      </c>
      <c r="E115" s="32">
        <f t="shared" si="15"/>
        <v>3.8891585189192699</v>
      </c>
      <c r="F115" s="32">
        <f t="shared" si="16"/>
        <v>15.825912001081342</v>
      </c>
    </row>
    <row r="116" spans="1:6" x14ac:dyDescent="0.3">
      <c r="A116" s="74">
        <v>8</v>
      </c>
      <c r="B116" s="73">
        <v>-2.0174131556178523</v>
      </c>
      <c r="C116" s="75">
        <f t="shared" si="14"/>
        <v>8.0249239246495208</v>
      </c>
      <c r="D116" s="32">
        <f t="shared" si="13"/>
        <v>4.0699558404599809</v>
      </c>
      <c r="E116" s="32">
        <f t="shared" si="15"/>
        <v>64.399403996412261</v>
      </c>
      <c r="F116" s="32">
        <f t="shared" si="16"/>
        <v>-16.18958709842039</v>
      </c>
    </row>
    <row r="117" spans="1:6" x14ac:dyDescent="0.3">
      <c r="A117" s="74">
        <v>9</v>
      </c>
      <c r="B117" s="73">
        <v>-3.5435702749358953</v>
      </c>
      <c r="C117" s="75">
        <f t="shared" si="14"/>
        <v>-2.0174131556178523</v>
      </c>
      <c r="D117" s="32">
        <f t="shared" si="13"/>
        <v>12.556890293409257</v>
      </c>
      <c r="E117" s="32">
        <f t="shared" si="15"/>
        <v>4.0699558404599809</v>
      </c>
      <c r="F117" s="32">
        <f t="shared" si="16"/>
        <v>7.1488452905120452</v>
      </c>
    </row>
    <row r="118" spans="1:6" x14ac:dyDescent="0.3">
      <c r="A118" s="74">
        <v>10</v>
      </c>
      <c r="B118" s="73">
        <v>-6.2585665887085256</v>
      </c>
      <c r="C118" s="75">
        <f t="shared" si="14"/>
        <v>-3.5435702749358953</v>
      </c>
      <c r="D118" s="32">
        <f t="shared" si="13"/>
        <v>39.16965574529867</v>
      </c>
      <c r="E118" s="32">
        <f t="shared" si="15"/>
        <v>12.556890293409257</v>
      </c>
      <c r="F118" s="32">
        <f t="shared" si="16"/>
        <v>22.177670527454477</v>
      </c>
    </row>
    <row r="119" spans="1:6" x14ac:dyDescent="0.3">
      <c r="A119" s="32" t="s">
        <v>7</v>
      </c>
      <c r="B119" s="77">
        <f>AVERAGE(B110:B118)</f>
        <v>-0.19205506818503279</v>
      </c>
      <c r="C119" s="32">
        <f t="shared" ref="C119:F119" si="17">AVERAGE(C110:C118)</f>
        <v>0.69539628763428374</v>
      </c>
      <c r="D119" s="32">
        <f t="shared" si="17"/>
        <v>18.521049078398207</v>
      </c>
      <c r="E119" s="32">
        <f t="shared" si="17"/>
        <v>14.500831449638387</v>
      </c>
      <c r="F119" s="32">
        <f t="shared" si="17"/>
        <v>3.6568742566844401</v>
      </c>
    </row>
    <row r="120" spans="1:6" ht="15.6" x14ac:dyDescent="0.3">
      <c r="A120" s="35" t="s">
        <v>59</v>
      </c>
      <c r="B120" s="32">
        <f>_xlfn.VAR.P(B110:B118)</f>
        <v>18.48416392918265</v>
      </c>
      <c r="C120" s="32">
        <f>_xlfn.VAR.P(C110:C118)</f>
        <v>14.017255452782843</v>
      </c>
      <c r="D120" s="32" t="s">
        <v>55</v>
      </c>
      <c r="E120" s="32" t="s">
        <v>55</v>
      </c>
      <c r="F120" s="32" t="s">
        <v>55</v>
      </c>
    </row>
    <row r="121" spans="1:6" x14ac:dyDescent="0.3">
      <c r="A121" s="36" t="s">
        <v>9</v>
      </c>
      <c r="B121" s="32">
        <f>D119-B119^2</f>
        <v>18.48416392918265</v>
      </c>
      <c r="C121" s="32">
        <f>E119-C119^2</f>
        <v>14.017255452782843</v>
      </c>
      <c r="D121" s="32" t="s">
        <v>55</v>
      </c>
      <c r="E121" s="32" t="s">
        <v>55</v>
      </c>
      <c r="F121" s="32" t="s">
        <v>55</v>
      </c>
    </row>
    <row r="122" spans="1:6" ht="15.6" x14ac:dyDescent="0.3">
      <c r="A122" s="35" t="s">
        <v>8</v>
      </c>
      <c r="B122" s="32">
        <f>SQRT(B120)</f>
        <v>4.2993213335575007</v>
      </c>
      <c r="C122" s="32">
        <f>SQRT(C120)</f>
        <v>3.7439625335709281</v>
      </c>
      <c r="D122" s="32" t="s">
        <v>55</v>
      </c>
      <c r="E122" s="32" t="s">
        <v>55</v>
      </c>
      <c r="F122" s="32" t="s">
        <v>55</v>
      </c>
    </row>
    <row r="123" spans="1:6" x14ac:dyDescent="0.3">
      <c r="A123" s="32" t="s">
        <v>55</v>
      </c>
      <c r="B123" s="32">
        <f>F119-C119*B119</f>
        <v>3.7904286381216612</v>
      </c>
      <c r="C123" s="32" t="s">
        <v>55</v>
      </c>
      <c r="D123" s="32" t="s">
        <v>55</v>
      </c>
      <c r="E123" s="32" t="s">
        <v>55</v>
      </c>
      <c r="F123" s="32" t="s">
        <v>55</v>
      </c>
    </row>
    <row r="124" spans="1:6" x14ac:dyDescent="0.3">
      <c r="A124" s="32" t="s">
        <v>60</v>
      </c>
      <c r="B124" s="32">
        <f>_xlfn.COVARIANCE.P(B110:B118,C110:C118)</f>
        <v>3.7904286381216616</v>
      </c>
      <c r="C124" s="32" t="s">
        <v>55</v>
      </c>
      <c r="D124" s="32" t="s">
        <v>55</v>
      </c>
      <c r="E124" s="32" t="s">
        <v>55</v>
      </c>
      <c r="F124" s="32" t="s">
        <v>55</v>
      </c>
    </row>
    <row r="125" spans="1:6" x14ac:dyDescent="0.3">
      <c r="A125" s="162"/>
      <c r="B125" s="162"/>
      <c r="C125" s="31"/>
      <c r="D125" s="31"/>
      <c r="E125" s="31"/>
      <c r="F125" s="31"/>
    </row>
    <row r="126" spans="1:6" ht="18" x14ac:dyDescent="0.3">
      <c r="A126" s="38" t="s">
        <v>61</v>
      </c>
      <c r="B126" s="39">
        <f>CORREL(B110:B118,C110:C118)</f>
        <v>0.23548157120009369</v>
      </c>
      <c r="C126" s="31"/>
      <c r="D126" s="31"/>
      <c r="E126" s="31"/>
      <c r="F126" s="31"/>
    </row>
    <row r="127" spans="1:6" ht="37.5" customHeight="1" x14ac:dyDescent="0.3">
      <c r="A127" s="156"/>
      <c r="B127" s="156"/>
      <c r="C127" s="78">
        <f>B124/(B122*C122)</f>
        <v>0.23548157120009375</v>
      </c>
    </row>
    <row r="129" spans="1:11" ht="15.6" x14ac:dyDescent="0.3">
      <c r="A129" s="125" t="s">
        <v>62</v>
      </c>
      <c r="B129" s="116"/>
      <c r="C129" s="116"/>
      <c r="D129" s="116"/>
      <c r="E129" s="116"/>
      <c r="F129" s="116"/>
      <c r="G129" s="116"/>
      <c r="H129" s="116"/>
      <c r="I129" s="116"/>
      <c r="J129" s="116"/>
      <c r="K129" s="113"/>
    </row>
    <row r="131" spans="1:11" ht="15.6" x14ac:dyDescent="0.3">
      <c r="A131" s="23" t="s">
        <v>49</v>
      </c>
    </row>
    <row r="143" spans="1:11" ht="15.6" x14ac:dyDescent="0.3">
      <c r="A143" s="118" t="s">
        <v>63</v>
      </c>
      <c r="B143" s="113"/>
      <c r="C143" s="113"/>
      <c r="D143" s="113"/>
    </row>
  </sheetData>
  <mergeCells count="9">
    <mergeCell ref="R39:S39"/>
    <mergeCell ref="A1:M1"/>
    <mergeCell ref="A125:B125"/>
    <mergeCell ref="A127:B127"/>
    <mergeCell ref="A4:B4"/>
    <mergeCell ref="A3:B3"/>
    <mergeCell ref="A26:D26"/>
    <mergeCell ref="A39:B43"/>
    <mergeCell ref="D38:E4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E22" sqref="E22"/>
    </sheetView>
  </sheetViews>
  <sheetFormatPr defaultRowHeight="14.4" x14ac:dyDescent="0.3"/>
  <cols>
    <col min="1" max="1" width="24.88671875" bestFit="1" customWidth="1"/>
    <col min="2" max="2" width="15.8867187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664062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0.87471151802601799</v>
      </c>
    </row>
    <row r="5" spans="1:9" x14ac:dyDescent="0.3">
      <c r="A5" t="s">
        <v>35</v>
      </c>
      <c r="B5">
        <v>0.76512023976738075</v>
      </c>
    </row>
    <row r="6" spans="1:9" x14ac:dyDescent="0.3">
      <c r="A6" t="s">
        <v>67</v>
      </c>
      <c r="B6">
        <v>0.73576026973830333</v>
      </c>
    </row>
    <row r="7" spans="1:9" x14ac:dyDescent="0.3">
      <c r="A7" t="s">
        <v>68</v>
      </c>
      <c r="B7">
        <v>4.6053927464447062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1</v>
      </c>
      <c r="C12">
        <v>552.72286120795593</v>
      </c>
      <c r="D12">
        <v>552.72286120795593</v>
      </c>
      <c r="E12">
        <v>26.059980272787215</v>
      </c>
      <c r="F12">
        <v>9.2424444716843407E-4</v>
      </c>
    </row>
    <row r="13" spans="1:9" x14ac:dyDescent="0.3">
      <c r="A13" t="s">
        <v>75</v>
      </c>
      <c r="B13">
        <v>8</v>
      </c>
      <c r="C13">
        <v>169.6771387920441</v>
      </c>
      <c r="D13">
        <v>21.209642349005513</v>
      </c>
    </row>
    <row r="14" spans="1:9" ht="15" thickBot="1" x14ac:dyDescent="0.35">
      <c r="A14" s="15" t="s">
        <v>76</v>
      </c>
      <c r="B14" s="15">
        <v>9</v>
      </c>
      <c r="C14" s="15">
        <v>722.40000000000009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-44.407115696031489</v>
      </c>
      <c r="C17">
        <v>16.286357200852034</v>
      </c>
      <c r="D17">
        <v>-2.7266450777407911</v>
      </c>
      <c r="E17">
        <v>2.5980262387747196E-2</v>
      </c>
      <c r="F17">
        <v>-81.963522748608455</v>
      </c>
      <c r="G17">
        <v>-6.8507086434545315</v>
      </c>
      <c r="H17">
        <v>-74.692379267403098</v>
      </c>
      <c r="I17">
        <v>-14.121852124659878</v>
      </c>
    </row>
    <row r="18" spans="1:9" ht="15" thickBot="1" x14ac:dyDescent="0.35">
      <c r="A18" s="15" t="s">
        <v>93</v>
      </c>
      <c r="B18" s="15">
        <v>23.494152796198964</v>
      </c>
      <c r="C18" s="15">
        <v>4.6022769292713512</v>
      </c>
      <c r="D18" s="15">
        <v>5.1048976750555166</v>
      </c>
      <c r="E18" s="15">
        <v>9.2424444716843407E-4</v>
      </c>
      <c r="F18" s="15">
        <v>12.881283165944492</v>
      </c>
      <c r="G18" s="15">
        <v>34.10702242645344</v>
      </c>
      <c r="H18" s="15">
        <v>14.935997764198694</v>
      </c>
      <c r="I18" s="15">
        <v>32.052307828199233</v>
      </c>
    </row>
    <row r="22" spans="1:9" x14ac:dyDescent="0.3">
      <c r="A22" t="s">
        <v>85</v>
      </c>
      <c r="F22" t="s">
        <v>86</v>
      </c>
    </row>
    <row r="23" spans="1:9" ht="15" thickBot="1" x14ac:dyDescent="0.35"/>
    <row r="24" spans="1:9" x14ac:dyDescent="0.3">
      <c r="A24" s="16" t="s">
        <v>87</v>
      </c>
      <c r="B24" s="16" t="s">
        <v>106</v>
      </c>
      <c r="C24" s="16" t="s">
        <v>52</v>
      </c>
      <c r="D24" s="16" t="s">
        <v>88</v>
      </c>
      <c r="F24" s="16" t="s">
        <v>89</v>
      </c>
      <c r="G24" s="16" t="s">
        <v>94</v>
      </c>
    </row>
    <row r="25" spans="1:9" x14ac:dyDescent="0.3">
      <c r="A25">
        <v>1</v>
      </c>
      <c r="B25">
        <v>36.271504386334676</v>
      </c>
      <c r="C25">
        <v>1.7284956136653236</v>
      </c>
      <c r="D25">
        <v>0.39808688540760073</v>
      </c>
      <c r="F25">
        <v>5</v>
      </c>
      <c r="G25">
        <v>24</v>
      </c>
    </row>
    <row r="26" spans="1:9" x14ac:dyDescent="0.3">
      <c r="A26">
        <v>2</v>
      </c>
      <c r="B26">
        <v>29.258664504606024</v>
      </c>
      <c r="C26">
        <v>-3.2586645046060241</v>
      </c>
      <c r="D26">
        <v>-0.75049748056698751</v>
      </c>
      <c r="F26">
        <v>15</v>
      </c>
      <c r="G26">
        <v>26</v>
      </c>
    </row>
    <row r="27" spans="1:9" x14ac:dyDescent="0.3">
      <c r="A27">
        <v>3</v>
      </c>
      <c r="B27">
        <v>41.054889349918831</v>
      </c>
      <c r="C27">
        <v>-1.054889349918831</v>
      </c>
      <c r="D27">
        <v>-0.24294977229843617</v>
      </c>
      <c r="F27">
        <v>25</v>
      </c>
      <c r="G27">
        <v>34</v>
      </c>
    </row>
    <row r="28" spans="1:9" x14ac:dyDescent="0.3">
      <c r="A28">
        <v>4</v>
      </c>
      <c r="B28">
        <v>46.048840346463614</v>
      </c>
      <c r="C28">
        <v>-1.0488403464636136</v>
      </c>
      <c r="D28">
        <v>-0.24155663659923646</v>
      </c>
      <c r="F28">
        <v>35</v>
      </c>
      <c r="G28">
        <v>35</v>
      </c>
    </row>
    <row r="29" spans="1:9" x14ac:dyDescent="0.3">
      <c r="A29">
        <v>5</v>
      </c>
      <c r="B29">
        <v>45.543570274935895</v>
      </c>
      <c r="C29">
        <v>5.4564297250641047</v>
      </c>
      <c r="D29">
        <v>1.2566610511033645</v>
      </c>
      <c r="F29">
        <v>45</v>
      </c>
      <c r="G29">
        <v>38</v>
      </c>
    </row>
    <row r="30" spans="1:9" x14ac:dyDescent="0.3">
      <c r="A30">
        <v>6</v>
      </c>
      <c r="B30">
        <v>47.027905043128179</v>
      </c>
      <c r="C30">
        <v>1.9720949568718211</v>
      </c>
      <c r="D30">
        <v>0.45418983589110024</v>
      </c>
      <c r="F30">
        <v>55</v>
      </c>
      <c r="G30">
        <v>40</v>
      </c>
    </row>
    <row r="31" spans="1:9" x14ac:dyDescent="0.3">
      <c r="A31">
        <v>7</v>
      </c>
      <c r="B31">
        <v>25.975076075350479</v>
      </c>
      <c r="C31">
        <v>8.0249239246495208</v>
      </c>
      <c r="D31">
        <v>1.8482065823831579</v>
      </c>
      <c r="F31">
        <v>65</v>
      </c>
      <c r="G31">
        <v>42</v>
      </c>
    </row>
    <row r="32" spans="1:9" x14ac:dyDescent="0.3">
      <c r="A32">
        <v>8</v>
      </c>
      <c r="B32">
        <v>37.017413155617852</v>
      </c>
      <c r="C32">
        <v>-2.0174131556178523</v>
      </c>
      <c r="D32">
        <v>-0.46462699317889611</v>
      </c>
      <c r="F32">
        <v>75</v>
      </c>
      <c r="G32">
        <v>45</v>
      </c>
    </row>
    <row r="33" spans="1:7" x14ac:dyDescent="0.3">
      <c r="A33">
        <v>9</v>
      </c>
      <c r="B33">
        <v>45.543570274935895</v>
      </c>
      <c r="C33">
        <v>-3.5435702749358953</v>
      </c>
      <c r="D33">
        <v>-0.81611364403804609</v>
      </c>
      <c r="F33">
        <v>85</v>
      </c>
      <c r="G33">
        <v>49</v>
      </c>
    </row>
    <row r="34" spans="1:7" ht="15" thickBot="1" x14ac:dyDescent="0.35">
      <c r="A34" s="15">
        <v>10</v>
      </c>
      <c r="B34" s="15">
        <v>30.258566588708526</v>
      </c>
      <c r="C34" s="15">
        <v>-6.2585665887085256</v>
      </c>
      <c r="D34" s="15">
        <v>-1.4413998281036147</v>
      </c>
      <c r="F34" s="15">
        <v>95</v>
      </c>
      <c r="G34" s="15">
        <v>51</v>
      </c>
    </row>
  </sheetData>
  <sortState ref="G25:G34">
    <sortCondition ref="G2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4"/>
  <sheetViews>
    <sheetView topLeftCell="A25" workbookViewId="0">
      <selection activeCell="K78" sqref="K78"/>
    </sheetView>
  </sheetViews>
  <sheetFormatPr defaultRowHeight="14.4" x14ac:dyDescent="0.3"/>
  <cols>
    <col min="1" max="1" width="16.5546875" customWidth="1"/>
    <col min="2" max="2" width="10.88671875" customWidth="1"/>
    <col min="7" max="7" width="11.5546875" customWidth="1"/>
    <col min="9" max="9" width="13.44140625" customWidth="1"/>
    <col min="11" max="11" width="10.6640625" customWidth="1"/>
    <col min="15" max="15" width="14" customWidth="1"/>
    <col min="17" max="17" width="10.6640625" customWidth="1"/>
  </cols>
  <sheetData>
    <row r="1" spans="1:18" ht="45" customHeight="1" x14ac:dyDescent="0.3">
      <c r="A1" s="179" t="s">
        <v>108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3" spans="1:18" ht="15.6" x14ac:dyDescent="0.3">
      <c r="A3" s="26" t="s">
        <v>109</v>
      </c>
    </row>
    <row r="4" spans="1:18" ht="21.6" customHeight="1" x14ac:dyDescent="0.3">
      <c r="A4" s="181" t="s">
        <v>110</v>
      </c>
      <c r="B4" s="181"/>
      <c r="C4" s="181"/>
      <c r="D4" s="181"/>
    </row>
    <row r="5" spans="1:18" ht="27" customHeight="1" x14ac:dyDescent="0.3">
      <c r="A5" s="30" t="s">
        <v>189</v>
      </c>
      <c r="I5" s="56"/>
    </row>
    <row r="6" spans="1:18" x14ac:dyDescent="0.3">
      <c r="A6" s="2">
        <v>1</v>
      </c>
      <c r="B6" s="2">
        <v>2</v>
      </c>
      <c r="C6" s="2">
        <v>3</v>
      </c>
      <c r="D6" s="2">
        <v>4</v>
      </c>
      <c r="E6" s="2">
        <v>5</v>
      </c>
      <c r="F6" s="2">
        <v>6</v>
      </c>
      <c r="G6" s="2">
        <v>7</v>
      </c>
      <c r="H6" s="2">
        <v>8</v>
      </c>
      <c r="I6" s="2">
        <v>9</v>
      </c>
      <c r="J6" s="2">
        <v>10</v>
      </c>
      <c r="K6" s="2">
        <v>11</v>
      </c>
      <c r="L6" s="2">
        <v>12</v>
      </c>
      <c r="M6" s="2">
        <v>13</v>
      </c>
      <c r="N6" s="2">
        <v>14</v>
      </c>
      <c r="O6" s="2">
        <v>15</v>
      </c>
      <c r="P6" s="2">
        <v>16</v>
      </c>
      <c r="Q6" s="2">
        <v>17</v>
      </c>
      <c r="R6" s="2">
        <v>18</v>
      </c>
    </row>
    <row r="7" spans="1:18" ht="25.2" customHeight="1" x14ac:dyDescent="0.3">
      <c r="A7" s="3"/>
      <c r="B7" s="61" t="s">
        <v>111</v>
      </c>
      <c r="C7" s="61" t="s">
        <v>94</v>
      </c>
      <c r="D7" s="62" t="s">
        <v>112</v>
      </c>
      <c r="E7" s="58" t="s">
        <v>113</v>
      </c>
      <c r="F7" s="58" t="s">
        <v>114</v>
      </c>
      <c r="G7" s="58" t="s">
        <v>115</v>
      </c>
      <c r="H7" s="58" t="s">
        <v>116</v>
      </c>
      <c r="I7" s="59" t="s">
        <v>117</v>
      </c>
      <c r="J7" s="58" t="s">
        <v>118</v>
      </c>
      <c r="K7" s="58" t="s">
        <v>119</v>
      </c>
      <c r="L7" s="60" t="s">
        <v>120</v>
      </c>
      <c r="M7" s="63" t="s">
        <v>121</v>
      </c>
      <c r="N7" s="63" t="s">
        <v>122</v>
      </c>
      <c r="O7" s="100"/>
      <c r="P7" s="58" t="s">
        <v>26</v>
      </c>
      <c r="Q7" s="58" t="s">
        <v>27</v>
      </c>
      <c r="R7" s="60" t="s">
        <v>123</v>
      </c>
    </row>
    <row r="8" spans="1:18" x14ac:dyDescent="0.3">
      <c r="A8" s="2">
        <v>1</v>
      </c>
      <c r="B8" s="4">
        <v>31</v>
      </c>
      <c r="C8" s="4">
        <v>38</v>
      </c>
      <c r="D8" s="4">
        <f>LN(B8)</f>
        <v>3.4339872044851463</v>
      </c>
      <c r="E8" s="4">
        <f>LN(C8)</f>
        <v>3.6375861597263857</v>
      </c>
      <c r="F8" s="13">
        <f>D8*E8</f>
        <v>12.49142432771267</v>
      </c>
      <c r="G8" s="13">
        <f>D8^2</f>
        <v>11.79226812056771</v>
      </c>
      <c r="H8" s="13">
        <f>E8^2</f>
        <v>13.232033069432955</v>
      </c>
      <c r="I8" s="13">
        <f>B$24+B$23*D8</f>
        <v>3.5629050283385948</v>
      </c>
      <c r="J8" s="13">
        <f>E8-I8</f>
        <v>7.4681131387790867E-2</v>
      </c>
      <c r="K8" s="13">
        <f>J8^2</f>
        <v>5.5772713853604822E-3</v>
      </c>
      <c r="L8" s="13">
        <f>ABS((J8/E8)*100)</f>
        <v>2.0530408932886495</v>
      </c>
      <c r="M8" s="13">
        <f>(I8-E$19)^2</f>
        <v>3.4018327323911768E-3</v>
      </c>
      <c r="N8" s="13">
        <f>(E8-E$19)^2</f>
        <v>2.675154322941154E-4</v>
      </c>
      <c r="O8" s="13">
        <f>EXP(I8)</f>
        <v>35.265495747515139</v>
      </c>
      <c r="P8" s="4">
        <f>C8-O8</f>
        <v>2.7345042524848608</v>
      </c>
      <c r="Q8" s="4">
        <f>P8^2</f>
        <v>7.4775135068577878</v>
      </c>
      <c r="R8" s="4">
        <f>ABS((P8/C8)*100)</f>
        <v>7.1960638223285818</v>
      </c>
    </row>
    <row r="9" spans="1:18" x14ac:dyDescent="0.3">
      <c r="A9" s="2">
        <v>2</v>
      </c>
      <c r="B9" s="4">
        <v>23</v>
      </c>
      <c r="C9" s="4">
        <v>26</v>
      </c>
      <c r="D9" s="4">
        <f t="shared" ref="D9:D17" si="0">LN(B9)</f>
        <v>3.1354942159291497</v>
      </c>
      <c r="E9" s="4">
        <f t="shared" ref="E9:E17" si="1">LN(C9)</f>
        <v>3.2580965380214821</v>
      </c>
      <c r="F9" s="13">
        <f t="shared" ref="F9:F17" si="2">D9*E9</f>
        <v>10.215742849905144</v>
      </c>
      <c r="G9" s="13">
        <f t="shared" ref="G9:G17" si="3">D9^2</f>
        <v>9.8313239781251536</v>
      </c>
      <c r="H9" s="13">
        <f t="shared" ref="H9:H17" si="4">E9^2</f>
        <v>10.615193051067568</v>
      </c>
      <c r="I9" s="13">
        <f t="shared" ref="I9:I17" si="5">B$24+B$23*D9</f>
        <v>3.3707385455268972</v>
      </c>
      <c r="J9" s="13">
        <f t="shared" ref="J9:J17" si="6">E9-I9</f>
        <v>-0.11264200750541509</v>
      </c>
      <c r="K9" s="13">
        <f t="shared" ref="K9:K17" si="7">J9^2</f>
        <v>1.2688221854849989E-2</v>
      </c>
      <c r="L9" s="13">
        <f t="shared" ref="L9:L17" si="8">ABS((J9/E9)*100)</f>
        <v>3.4572949632062864</v>
      </c>
      <c r="M9" s="13">
        <f t="shared" ref="M9:M17" si="9">(I9-E$19)^2</f>
        <v>6.2746099380581177E-2</v>
      </c>
      <c r="N9" s="13">
        <f t="shared" ref="N9:N17" si="10">(E9-E$19)^2</f>
        <v>0.13186610056117207</v>
      </c>
      <c r="O9" s="13">
        <f>EXP(I9)</f>
        <v>29.100010806271012</v>
      </c>
      <c r="P9" s="4">
        <f t="shared" ref="P9:P17" si="11">C9-O9</f>
        <v>-3.1000108062710119</v>
      </c>
      <c r="Q9" s="4">
        <f t="shared" ref="Q9:Q17" si="12">P9^2</f>
        <v>9.6100669989970484</v>
      </c>
      <c r="R9" s="4">
        <f t="shared" ref="R9:R17" si="13">ABS((P9/C9)*100)</f>
        <v>11.923118485657739</v>
      </c>
    </row>
    <row r="10" spans="1:18" x14ac:dyDescent="0.3">
      <c r="A10" s="2">
        <v>3</v>
      </c>
      <c r="B10" s="4">
        <v>38</v>
      </c>
      <c r="C10" s="4">
        <v>40</v>
      </c>
      <c r="D10" s="4">
        <f t="shared" si="0"/>
        <v>3.6375861597263857</v>
      </c>
      <c r="E10" s="4">
        <f t="shared" si="1"/>
        <v>3.6888794541139363</v>
      </c>
      <c r="F10" s="13">
        <f t="shared" si="2"/>
        <v>13.418616847183879</v>
      </c>
      <c r="G10" s="13">
        <f t="shared" si="3"/>
        <v>13.232033069432955</v>
      </c>
      <c r="H10" s="13">
        <f t="shared" si="4"/>
        <v>13.607831626983932</v>
      </c>
      <c r="I10" s="13">
        <f t="shared" si="5"/>
        <v>3.6939797826305383</v>
      </c>
      <c r="J10" s="13">
        <f t="shared" si="6"/>
        <v>-5.1003285166020262E-3</v>
      </c>
      <c r="K10" s="13">
        <f t="shared" si="7"/>
        <v>2.6013350977263826E-5</v>
      </c>
      <c r="L10" s="13">
        <f t="shared" si="8"/>
        <v>0.13826227124104054</v>
      </c>
      <c r="M10" s="13">
        <f t="shared" si="9"/>
        <v>5.2924929381541908E-3</v>
      </c>
      <c r="N10" s="13">
        <f t="shared" si="10"/>
        <v>4.5764133667965346E-3</v>
      </c>
      <c r="O10" s="13">
        <f t="shared" ref="O10:O17" si="14">EXP(I10)</f>
        <v>40.204534293323505</v>
      </c>
      <c r="P10" s="4">
        <f t="shared" si="11"/>
        <v>-0.20453429332350481</v>
      </c>
      <c r="Q10" s="4">
        <f t="shared" si="12"/>
        <v>4.1834277145345503E-2</v>
      </c>
      <c r="R10" s="4">
        <f t="shared" si="13"/>
        <v>0.51133573330876203</v>
      </c>
    </row>
    <row r="11" spans="1:18" x14ac:dyDescent="0.3">
      <c r="A11" s="2">
        <v>4</v>
      </c>
      <c r="B11" s="4">
        <v>47</v>
      </c>
      <c r="C11" s="4">
        <v>45</v>
      </c>
      <c r="D11" s="4">
        <f t="shared" si="0"/>
        <v>3.8501476017100584</v>
      </c>
      <c r="E11" s="4">
        <f t="shared" si="1"/>
        <v>3.8066624897703196</v>
      </c>
      <c r="F11" s="13">
        <f t="shared" si="2"/>
        <v>14.656212455508836</v>
      </c>
      <c r="G11" s="13">
        <f t="shared" si="3"/>
        <v>14.823636554953715</v>
      </c>
      <c r="H11" s="13">
        <f t="shared" si="4"/>
        <v>14.490679311024369</v>
      </c>
      <c r="I11" s="13">
        <f t="shared" si="5"/>
        <v>3.8308244867054624</v>
      </c>
      <c r="J11" s="13">
        <f t="shared" si="6"/>
        <v>-2.416199693514276E-2</v>
      </c>
      <c r="K11" s="13">
        <f t="shared" si="7"/>
        <v>5.8380209589384811E-4</v>
      </c>
      <c r="L11" s="13">
        <f t="shared" si="8"/>
        <v>0.63472916235872046</v>
      </c>
      <c r="M11" s="13">
        <f t="shared" si="9"/>
        <v>4.3929739566278846E-2</v>
      </c>
      <c r="N11" s="13">
        <f t="shared" si="10"/>
        <v>3.4385111570423135E-2</v>
      </c>
      <c r="O11" s="13">
        <f t="shared" si="14"/>
        <v>46.100531845069689</v>
      </c>
      <c r="P11" s="4">
        <f t="shared" si="11"/>
        <v>-1.100531845069689</v>
      </c>
      <c r="Q11" s="4">
        <f t="shared" si="12"/>
        <v>1.211170342012494</v>
      </c>
      <c r="R11" s="4">
        <f t="shared" si="13"/>
        <v>2.4456263223770867</v>
      </c>
    </row>
    <row r="12" spans="1:18" x14ac:dyDescent="0.3">
      <c r="A12" s="2">
        <v>5</v>
      </c>
      <c r="B12" s="4">
        <v>46</v>
      </c>
      <c r="C12" s="4">
        <v>51</v>
      </c>
      <c r="D12" s="4">
        <f t="shared" si="0"/>
        <v>3.8286413964890951</v>
      </c>
      <c r="E12" s="4">
        <f t="shared" si="1"/>
        <v>3.9318256327243257</v>
      </c>
      <c r="F12" s="13">
        <f t="shared" si="2"/>
        <v>15.053550381225282</v>
      </c>
      <c r="G12" s="13">
        <f t="shared" si="3"/>
        <v>14.658494942909968</v>
      </c>
      <c r="H12" s="13">
        <f t="shared" si="4"/>
        <v>15.459252806148044</v>
      </c>
      <c r="I12" s="13">
        <f t="shared" si="5"/>
        <v>3.8169790297788793</v>
      </c>
      <c r="J12" s="13">
        <f t="shared" si="6"/>
        <v>0.11484660294544646</v>
      </c>
      <c r="K12" s="13">
        <f t="shared" si="7"/>
        <v>1.3189742208109033E-2</v>
      </c>
      <c r="L12" s="13">
        <f t="shared" si="8"/>
        <v>2.9209485280727039</v>
      </c>
      <c r="M12" s="13">
        <f t="shared" si="9"/>
        <v>3.8317580587911196E-2</v>
      </c>
      <c r="N12" s="13">
        <f t="shared" si="10"/>
        <v>9.6469485110259143E-2</v>
      </c>
      <c r="O12" s="13">
        <f t="shared" si="14"/>
        <v>45.466647254114932</v>
      </c>
      <c r="P12" s="4">
        <f t="shared" si="11"/>
        <v>5.5333527458850682</v>
      </c>
      <c r="Q12" s="4">
        <f t="shared" si="12"/>
        <v>30.617992610393824</v>
      </c>
      <c r="R12" s="4">
        <f t="shared" si="13"/>
        <v>10.849711266441311</v>
      </c>
    </row>
    <row r="13" spans="1:18" x14ac:dyDescent="0.3">
      <c r="A13" s="2">
        <v>6</v>
      </c>
      <c r="B13" s="4">
        <v>49</v>
      </c>
      <c r="C13" s="4">
        <v>49</v>
      </c>
      <c r="D13" s="4">
        <f t="shared" si="0"/>
        <v>3.8918202981106265</v>
      </c>
      <c r="E13" s="4">
        <f t="shared" si="1"/>
        <v>3.8918202981106265</v>
      </c>
      <c r="F13" s="13">
        <f t="shared" si="2"/>
        <v>15.146265232785886</v>
      </c>
      <c r="G13" s="13">
        <f t="shared" si="3"/>
        <v>15.146265232785886</v>
      </c>
      <c r="H13" s="13">
        <f t="shared" si="4"/>
        <v>15.146265232785886</v>
      </c>
      <c r="I13" s="13">
        <f t="shared" si="5"/>
        <v>3.8576529074845136</v>
      </c>
      <c r="J13" s="13">
        <f t="shared" si="6"/>
        <v>3.4167390626112848E-2</v>
      </c>
      <c r="K13" s="13">
        <f t="shared" si="7"/>
        <v>1.1674105821973841E-3</v>
      </c>
      <c r="L13" s="13">
        <f t="shared" si="8"/>
        <v>0.8779282702929575</v>
      </c>
      <c r="M13" s="13">
        <f t="shared" si="9"/>
        <v>5.5895667902950474E-2</v>
      </c>
      <c r="N13" s="13">
        <f t="shared" si="10"/>
        <v>7.3218968334846021E-2</v>
      </c>
      <c r="O13" s="13">
        <f t="shared" si="14"/>
        <v>47.354076435275651</v>
      </c>
      <c r="P13" s="4">
        <f t="shared" si="11"/>
        <v>1.6459235647243489</v>
      </c>
      <c r="Q13" s="4">
        <f t="shared" si="12"/>
        <v>2.7090643809149078</v>
      </c>
      <c r="R13" s="4">
        <f t="shared" si="13"/>
        <v>3.3590276831109165</v>
      </c>
    </row>
    <row r="14" spans="1:18" x14ac:dyDescent="0.3">
      <c r="A14" s="2">
        <v>7</v>
      </c>
      <c r="B14" s="4">
        <v>20</v>
      </c>
      <c r="C14" s="4">
        <v>34</v>
      </c>
      <c r="D14" s="4">
        <f t="shared" si="0"/>
        <v>2.9957322735539909</v>
      </c>
      <c r="E14" s="4">
        <f t="shared" si="1"/>
        <v>3.5263605246161616</v>
      </c>
      <c r="F14" s="13">
        <f t="shared" si="2"/>
        <v>10.564032031779417</v>
      </c>
      <c r="G14" s="13">
        <f t="shared" si="3"/>
        <v>8.9744118548129634</v>
      </c>
      <c r="H14" s="13">
        <f t="shared" si="4"/>
        <v>12.43521854957117</v>
      </c>
      <c r="I14" s="13">
        <f t="shared" si="5"/>
        <v>3.2807613536769553</v>
      </c>
      <c r="J14" s="13">
        <f t="shared" si="6"/>
        <v>0.24559917093920625</v>
      </c>
      <c r="K14" s="13">
        <f t="shared" si="7"/>
        <v>6.0318952766025447E-2</v>
      </c>
      <c r="L14" s="13">
        <f t="shared" si="8"/>
        <v>6.9646642543997768</v>
      </c>
      <c r="M14" s="13">
        <f t="shared" si="9"/>
        <v>0.11591907666335544</v>
      </c>
      <c r="N14" s="13">
        <f t="shared" si="10"/>
        <v>9.0002668284871884E-3</v>
      </c>
      <c r="O14" s="13">
        <f t="shared" si="14"/>
        <v>26.596013966540585</v>
      </c>
      <c r="P14" s="4">
        <f t="shared" si="11"/>
        <v>7.4039860334594145</v>
      </c>
      <c r="Q14" s="4">
        <f t="shared" si="12"/>
        <v>54.819009183662075</v>
      </c>
      <c r="R14" s="4">
        <f t="shared" si="13"/>
        <v>21.776429510174751</v>
      </c>
    </row>
    <row r="15" spans="1:18" x14ac:dyDescent="0.3">
      <c r="A15" s="2">
        <v>8</v>
      </c>
      <c r="B15" s="4">
        <v>32</v>
      </c>
      <c r="C15" s="4">
        <v>35</v>
      </c>
      <c r="D15" s="4">
        <f t="shared" si="0"/>
        <v>3.4657359027997265</v>
      </c>
      <c r="E15" s="4">
        <f t="shared" si="1"/>
        <v>3.5553480614894135</v>
      </c>
      <c r="F15" s="13">
        <f t="shared" si="2"/>
        <v>12.321897423653271</v>
      </c>
      <c r="G15" s="13">
        <f t="shared" si="3"/>
        <v>12.011325347955035</v>
      </c>
      <c r="H15" s="13">
        <f t="shared" si="4"/>
        <v>12.640499838336531</v>
      </c>
      <c r="I15" s="13">
        <f t="shared" si="5"/>
        <v>3.5833444889720831</v>
      </c>
      <c r="J15" s="13">
        <f t="shared" si="6"/>
        <v>-2.7996427482669617E-2</v>
      </c>
      <c r="K15" s="13">
        <f t="shared" si="7"/>
        <v>7.8379995179237859E-4</v>
      </c>
      <c r="L15" s="13">
        <f t="shared" si="8"/>
        <v>0.78744547646176999</v>
      </c>
      <c r="M15" s="13">
        <f t="shared" si="9"/>
        <v>1.4353317009653036E-3</v>
      </c>
      <c r="N15" s="13">
        <f t="shared" si="10"/>
        <v>4.3404641755109422E-3</v>
      </c>
      <c r="O15" s="13">
        <f t="shared" si="14"/>
        <v>35.993720366330386</v>
      </c>
      <c r="P15" s="4">
        <f t="shared" si="11"/>
        <v>-0.99372036633038618</v>
      </c>
      <c r="Q15" s="4">
        <f t="shared" si="12"/>
        <v>0.98748016645979697</v>
      </c>
      <c r="R15" s="4">
        <f t="shared" si="13"/>
        <v>2.8392010466582462</v>
      </c>
    </row>
    <row r="16" spans="1:18" x14ac:dyDescent="0.3">
      <c r="A16" s="2">
        <v>9</v>
      </c>
      <c r="B16" s="4">
        <v>46</v>
      </c>
      <c r="C16" s="4">
        <v>42</v>
      </c>
      <c r="D16" s="4">
        <f t="shared" si="0"/>
        <v>3.8286413964890951</v>
      </c>
      <c r="E16" s="4">
        <f t="shared" si="1"/>
        <v>3.7376696182833684</v>
      </c>
      <c r="F16" s="13">
        <f t="shared" si="2"/>
        <v>14.310196626959298</v>
      </c>
      <c r="G16" s="13">
        <f t="shared" si="3"/>
        <v>14.658494942909968</v>
      </c>
      <c r="H16" s="13">
        <f t="shared" si="4"/>
        <v>13.97017417543854</v>
      </c>
      <c r="I16" s="13">
        <f t="shared" si="5"/>
        <v>3.8169790297788793</v>
      </c>
      <c r="J16" s="13">
        <f t="shared" si="6"/>
        <v>-7.9309411495510851E-2</v>
      </c>
      <c r="K16" s="13">
        <f t="shared" si="7"/>
        <v>6.2899827517642684E-3</v>
      </c>
      <c r="L16" s="13">
        <f t="shared" si="8"/>
        <v>2.1218946454645704</v>
      </c>
      <c r="M16" s="13">
        <f t="shared" si="9"/>
        <v>3.8317580587911196E-2</v>
      </c>
      <c r="N16" s="13">
        <f t="shared" si="10"/>
        <v>1.3558123989677611E-2</v>
      </c>
      <c r="O16" s="13">
        <f t="shared" si="14"/>
        <v>45.466647254114932</v>
      </c>
      <c r="P16" s="4">
        <f t="shared" si="11"/>
        <v>-3.4666472541149318</v>
      </c>
      <c r="Q16" s="4">
        <f t="shared" si="12"/>
        <v>12.017643184462596</v>
      </c>
      <c r="R16" s="4">
        <f t="shared" si="13"/>
        <v>8.2539220336069814</v>
      </c>
    </row>
    <row r="17" spans="1:18" x14ac:dyDescent="0.3">
      <c r="A17" s="2">
        <v>10</v>
      </c>
      <c r="B17" s="4">
        <v>24</v>
      </c>
      <c r="C17" s="4">
        <v>24</v>
      </c>
      <c r="D17" s="4">
        <f t="shared" si="0"/>
        <v>3.1780538303479458</v>
      </c>
      <c r="E17" s="4">
        <f t="shared" si="1"/>
        <v>3.1780538303479458</v>
      </c>
      <c r="F17" s="13">
        <f t="shared" si="2"/>
        <v>10.100026148589249</v>
      </c>
      <c r="G17" s="13">
        <f t="shared" si="3"/>
        <v>10.100026148589249</v>
      </c>
      <c r="H17" s="13">
        <f t="shared" si="4"/>
        <v>10.100026148589249</v>
      </c>
      <c r="I17" s="13">
        <f t="shared" si="5"/>
        <v>3.3981379543111601</v>
      </c>
      <c r="J17" s="13">
        <f t="shared" si="6"/>
        <v>-0.22008412396321431</v>
      </c>
      <c r="K17" s="13">
        <f t="shared" si="7"/>
        <v>4.8437021620655482E-2</v>
      </c>
      <c r="L17" s="13">
        <f t="shared" si="8"/>
        <v>6.9251225974079444</v>
      </c>
      <c r="M17" s="13">
        <f t="shared" si="9"/>
        <v>4.9770177178992667E-2</v>
      </c>
      <c r="N17" s="13">
        <f t="shared" si="10"/>
        <v>0.19640534843766774</v>
      </c>
      <c r="O17" s="13">
        <f t="shared" si="14"/>
        <v>29.908357437832663</v>
      </c>
      <c r="P17" s="4">
        <f t="shared" si="11"/>
        <v>-5.9083574378326631</v>
      </c>
      <c r="Q17" s="4">
        <f t="shared" si="12"/>
        <v>34.908687613192548</v>
      </c>
      <c r="R17" s="4">
        <f t="shared" si="13"/>
        <v>24.618155990969427</v>
      </c>
    </row>
    <row r="18" spans="1:18" x14ac:dyDescent="0.3">
      <c r="A18" s="4" t="s">
        <v>6</v>
      </c>
      <c r="B18" s="4">
        <f>SUM(B8:B17)</f>
        <v>356</v>
      </c>
      <c r="C18" s="4">
        <f t="shared" ref="C18:H18" si="15">SUM(C8:C17)</f>
        <v>384</v>
      </c>
      <c r="D18" s="4">
        <f t="shared" si="15"/>
        <v>35.245840279641222</v>
      </c>
      <c r="E18" s="4">
        <f t="shared" si="15"/>
        <v>36.212302607203966</v>
      </c>
      <c r="F18" s="4">
        <f t="shared" si="15"/>
        <v>128.27796432530292</v>
      </c>
      <c r="G18" s="4">
        <f t="shared" si="15"/>
        <v>125.22828019304259</v>
      </c>
      <c r="H18" s="4">
        <f t="shared" si="15"/>
        <v>131.69717380937823</v>
      </c>
      <c r="I18" s="4">
        <f>SUM(I8:I17)</f>
        <v>36.212302607203966</v>
      </c>
      <c r="J18" s="14">
        <f>SUM(J8:J17)</f>
        <v>1.7763568394002505E-15</v>
      </c>
      <c r="K18" s="4">
        <f t="shared" ref="K18:L18" si="16">SUM(K8:K17)</f>
        <v>0.14906221856762558</v>
      </c>
      <c r="L18" s="4">
        <f t="shared" si="16"/>
        <v>26.88133106219442</v>
      </c>
      <c r="M18" s="4">
        <f t="shared" ref="M18" si="17">SUM(M8:M17)</f>
        <v>0.41502557923949168</v>
      </c>
      <c r="N18" s="4">
        <f t="shared" ref="N18:O18" si="18">SUM(N8:N17)</f>
        <v>0.56408779780713447</v>
      </c>
      <c r="O18" s="4">
        <f t="shared" si="18"/>
        <v>381.45603540638848</v>
      </c>
      <c r="P18" s="65">
        <f t="shared" ref="P18" si="19">SUM(P8:P17)</f>
        <v>2.5439645936115056</v>
      </c>
      <c r="Q18" s="4">
        <f t="shared" ref="Q18" si="20">SUM(Q8:Q17)</f>
        <v>154.40046226409845</v>
      </c>
      <c r="R18" s="4">
        <f t="shared" ref="R18" si="21">SUM(R8:R17)</f>
        <v>93.772591894633806</v>
      </c>
    </row>
    <row r="19" spans="1:18" x14ac:dyDescent="0.3">
      <c r="A19" s="4" t="s">
        <v>7</v>
      </c>
      <c r="B19" s="4">
        <f>AVERAGE(B8:B17)</f>
        <v>35.6</v>
      </c>
      <c r="C19" s="4">
        <f t="shared" ref="C19:R19" si="22">AVERAGE(C8:C17)</f>
        <v>38.4</v>
      </c>
      <c r="D19" s="4">
        <f t="shared" si="22"/>
        <v>3.5245840279641221</v>
      </c>
      <c r="E19" s="4">
        <f t="shared" si="22"/>
        <v>3.6212302607203966</v>
      </c>
      <c r="F19" s="4">
        <f t="shared" si="22"/>
        <v>12.827796432530292</v>
      </c>
      <c r="G19" s="4">
        <f t="shared" si="22"/>
        <v>12.52282801930426</v>
      </c>
      <c r="H19" s="4">
        <f t="shared" si="22"/>
        <v>13.169717380937822</v>
      </c>
      <c r="I19" s="4">
        <f t="shared" si="22"/>
        <v>3.6212302607203966</v>
      </c>
      <c r="J19" s="14">
        <f t="shared" si="22"/>
        <v>1.7763568394002506E-16</v>
      </c>
      <c r="K19" s="4">
        <f t="shared" si="22"/>
        <v>1.4906221856762557E-2</v>
      </c>
      <c r="L19" s="4">
        <f t="shared" si="22"/>
        <v>2.6881331062194418</v>
      </c>
      <c r="M19" s="4">
        <f t="shared" si="22"/>
        <v>4.150255792394917E-2</v>
      </c>
      <c r="N19" s="4">
        <f t="shared" si="22"/>
        <v>5.6408779780713444E-2</v>
      </c>
      <c r="O19" s="4">
        <f t="shared" si="22"/>
        <v>38.145603540638845</v>
      </c>
      <c r="P19" s="65">
        <f t="shared" si="22"/>
        <v>0.25439645936115057</v>
      </c>
      <c r="Q19" s="4">
        <f t="shared" si="22"/>
        <v>15.440046226409844</v>
      </c>
      <c r="R19" s="4">
        <f t="shared" si="22"/>
        <v>9.3772591894633806</v>
      </c>
    </row>
    <row r="20" spans="1:18" x14ac:dyDescent="0.3">
      <c r="A20" s="4" t="s">
        <v>8</v>
      </c>
      <c r="B20" s="4">
        <f>SQRT(B21)</f>
        <v>10.499523798725349</v>
      </c>
      <c r="C20" s="4">
        <f t="shared" ref="C20:E20" si="23">SQRT(C21)</f>
        <v>8.4994117443503114</v>
      </c>
      <c r="D20" s="4">
        <f t="shared" si="23"/>
        <v>0.31644185741533243</v>
      </c>
      <c r="E20" s="4">
        <f t="shared" si="23"/>
        <v>0.23750532579441971</v>
      </c>
      <c r="F20" s="13"/>
      <c r="G20" s="13"/>
      <c r="H20" s="13"/>
      <c r="I20" s="13"/>
      <c r="J20" s="13"/>
      <c r="K20" s="13"/>
      <c r="L20" s="13"/>
      <c r="M20" s="13"/>
      <c r="N20" s="13"/>
      <c r="O20" s="12"/>
      <c r="P20" s="12"/>
      <c r="Q20" s="12"/>
      <c r="R20" s="12"/>
    </row>
    <row r="21" spans="1:18" x14ac:dyDescent="0.3">
      <c r="A21" s="4" t="s">
        <v>9</v>
      </c>
      <c r="B21" s="4">
        <f>_xlfn.VAR.P(B8:B17)</f>
        <v>110.24</v>
      </c>
      <c r="C21" s="4">
        <f t="shared" ref="C21:E21" si="24">_xlfn.VAR.P(C8:C17)</f>
        <v>72.239999999999995</v>
      </c>
      <c r="D21" s="4">
        <f t="shared" si="24"/>
        <v>0.10013544912446556</v>
      </c>
      <c r="E21" s="4">
        <f t="shared" si="24"/>
        <v>5.6408779780713444E-2</v>
      </c>
      <c r="F21" s="13"/>
      <c r="G21" s="13"/>
      <c r="H21" s="13"/>
      <c r="I21" s="13"/>
      <c r="J21" s="13"/>
      <c r="K21" s="13"/>
      <c r="L21" s="13"/>
      <c r="M21" s="13"/>
      <c r="N21" s="13"/>
      <c r="O21" s="12"/>
      <c r="P21" s="12"/>
      <c r="Q21" s="12"/>
      <c r="R21" s="12"/>
    </row>
    <row r="22" spans="1:18" x14ac:dyDescent="0.3">
      <c r="A22" s="4" t="s">
        <v>124</v>
      </c>
      <c r="B22" s="4">
        <f>F19-D19*E19</f>
        <v>6.4466094014829167E-2</v>
      </c>
      <c r="C22" s="4"/>
      <c r="D22" s="4"/>
      <c r="E22" s="4"/>
      <c r="F22" s="4"/>
      <c r="G22" s="13"/>
      <c r="H22" s="13"/>
      <c r="I22" s="13"/>
      <c r="J22" s="13"/>
      <c r="K22" s="13"/>
      <c r="L22" s="13"/>
      <c r="M22" s="13"/>
      <c r="N22" s="13"/>
      <c r="O22" s="13"/>
      <c r="P22" s="12"/>
      <c r="Q22" s="12"/>
      <c r="R22" s="12"/>
    </row>
    <row r="23" spans="1:18" ht="35.4" customHeight="1" x14ac:dyDescent="0.3">
      <c r="A23" s="12"/>
      <c r="B23" s="4">
        <f>B22/D21</f>
        <v>0.64378893367422374</v>
      </c>
      <c r="C23" s="12"/>
      <c r="D23" s="5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ht="24" customHeight="1" x14ac:dyDescent="0.3">
      <c r="A24" s="12"/>
      <c r="B24" s="4">
        <f>E19-B23*D19</f>
        <v>1.3521420677121738</v>
      </c>
      <c r="C24" s="12"/>
      <c r="D24" s="5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24" customHeight="1" x14ac:dyDescent="0.3">
      <c r="A25" s="4" t="s">
        <v>125</v>
      </c>
      <c r="B25" s="4">
        <f>EXP(B24)</f>
        <v>3.8656972535107088</v>
      </c>
      <c r="C25" s="12"/>
      <c r="D25" s="5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34.799999999999997" customHeight="1" x14ac:dyDescent="0.3">
      <c r="A26" s="182" t="s">
        <v>180</v>
      </c>
      <c r="B26" s="182"/>
      <c r="C26" s="101"/>
      <c r="D26" s="101"/>
    </row>
    <row r="27" spans="1:18" ht="15.6" x14ac:dyDescent="0.3">
      <c r="A27" s="64" t="s">
        <v>126</v>
      </c>
      <c r="D27" s="128" t="s">
        <v>127</v>
      </c>
    </row>
    <row r="28" spans="1:18" ht="15" thickBot="1" x14ac:dyDescent="0.35"/>
    <row r="29" spans="1:18" x14ac:dyDescent="0.3">
      <c r="A29" s="42" t="s">
        <v>33</v>
      </c>
      <c r="B29" s="4">
        <f t="array" ref="B29:C33">LINEST(E8:E17,D8:D17,1,1)</f>
        <v>0.64378893367423751</v>
      </c>
      <c r="C29" s="4">
        <v>1.3521420677121254</v>
      </c>
      <c r="E29" s="16"/>
      <c r="F29" s="46" t="s">
        <v>77</v>
      </c>
      <c r="G29" s="46" t="s">
        <v>68</v>
      </c>
      <c r="H29" s="46" t="s">
        <v>78</v>
      </c>
      <c r="I29" s="46" t="s">
        <v>79</v>
      </c>
      <c r="K29" s="164" t="s">
        <v>188</v>
      </c>
      <c r="L29" s="165"/>
    </row>
    <row r="30" spans="1:18" x14ac:dyDescent="0.3">
      <c r="B30" s="4">
        <v>0.13640958003574594</v>
      </c>
      <c r="C30" s="4">
        <v>0.48272087495441235</v>
      </c>
      <c r="E30" t="s">
        <v>84</v>
      </c>
      <c r="F30" s="90">
        <v>1.3521420677121254</v>
      </c>
      <c r="G30" s="90">
        <v>0.48272087495441235</v>
      </c>
      <c r="H30" s="90">
        <v>2.8010847217655965</v>
      </c>
      <c r="I30" s="90">
        <v>2.3159084020229367E-2</v>
      </c>
      <c r="K30" s="4" t="s">
        <v>186</v>
      </c>
      <c r="L30" s="4" t="s">
        <v>187</v>
      </c>
    </row>
    <row r="31" spans="1:18" ht="15" thickBot="1" x14ac:dyDescent="0.35">
      <c r="B31" s="4">
        <v>0.73574642254787614</v>
      </c>
      <c r="C31" s="4">
        <v>0.13650193156491666</v>
      </c>
      <c r="E31" s="15" t="s">
        <v>131</v>
      </c>
      <c r="F31" s="126">
        <v>0.64378893367423751</v>
      </c>
      <c r="G31" s="126">
        <v>0.13640958003574594</v>
      </c>
      <c r="H31" s="126">
        <v>4.7195287420834635</v>
      </c>
      <c r="I31" s="126">
        <v>1.503078196836212E-3</v>
      </c>
      <c r="K31" s="4">
        <f>_xlfn.T.INV.2T(0.05,8)</f>
        <v>2.3060041352041671</v>
      </c>
      <c r="L31" s="4">
        <f>_xlfn.T.INV.2T(0.1,8)</f>
        <v>1.8595480375308981</v>
      </c>
    </row>
    <row r="32" spans="1:18" x14ac:dyDescent="0.3">
      <c r="B32" s="4">
        <v>22.273951547351906</v>
      </c>
      <c r="C32" s="4">
        <v>8</v>
      </c>
    </row>
    <row r="33" spans="1:12" x14ac:dyDescent="0.3">
      <c r="B33" s="4">
        <v>0.41502557923950889</v>
      </c>
      <c r="C33" s="4">
        <v>0.14906221856762555</v>
      </c>
    </row>
    <row r="34" spans="1:12" x14ac:dyDescent="0.3">
      <c r="B34" s="42"/>
      <c r="C34" s="42"/>
    </row>
    <row r="35" spans="1:12" ht="16.2" thickBot="1" x14ac:dyDescent="0.35">
      <c r="A35" s="48" t="s">
        <v>128</v>
      </c>
    </row>
    <row r="36" spans="1:12" ht="28.8" x14ac:dyDescent="0.3">
      <c r="A36" s="49" t="s">
        <v>66</v>
      </c>
      <c r="B36" s="44">
        <v>0.85775662197844682</v>
      </c>
      <c r="D36" s="16" t="s">
        <v>38</v>
      </c>
      <c r="E36" s="46" t="s">
        <v>39</v>
      </c>
      <c r="G36" s="57" t="s">
        <v>40</v>
      </c>
      <c r="H36" s="4">
        <f>_xlfn.F.INV.RT(0.05,1,8)</f>
        <v>5.3176550715787174</v>
      </c>
      <c r="J36" s="4" t="s">
        <v>102</v>
      </c>
      <c r="L36" s="61"/>
    </row>
    <row r="37" spans="1:12" x14ac:dyDescent="0.3">
      <c r="A37" s="45" t="s">
        <v>35</v>
      </c>
      <c r="B37" s="45">
        <v>0.73574642254787614</v>
      </c>
      <c r="D37" s="43">
        <v>22.273951547351906</v>
      </c>
      <c r="E37" s="43">
        <v>1.5030781968362146E-3</v>
      </c>
      <c r="G37" s="102" t="s">
        <v>41</v>
      </c>
      <c r="H37" s="4">
        <f>_xlfn.F.INV.RT(0.1,1,8)</f>
        <v>3.4579189038850133</v>
      </c>
      <c r="J37" s="4">
        <v>9.3772591894633806</v>
      </c>
      <c r="L37" s="4">
        <f>B23</f>
        <v>0.64378893367422374</v>
      </c>
    </row>
    <row r="38" spans="1:12" x14ac:dyDescent="0.3">
      <c r="A38" s="180" t="s">
        <v>129</v>
      </c>
      <c r="B38" s="180"/>
      <c r="D38" s="154" t="s">
        <v>105</v>
      </c>
      <c r="E38" s="154"/>
      <c r="F38" s="154"/>
    </row>
    <row r="39" spans="1:12" x14ac:dyDescent="0.3">
      <c r="A39" s="154"/>
      <c r="B39" s="154"/>
      <c r="D39" s="154"/>
      <c r="E39" s="154"/>
      <c r="F39" s="154"/>
    </row>
    <row r="40" spans="1:12" x14ac:dyDescent="0.3">
      <c r="A40" s="154"/>
      <c r="B40" s="154"/>
      <c r="D40" s="154"/>
      <c r="E40" s="154"/>
      <c r="F40" s="154"/>
    </row>
    <row r="41" spans="1:12" x14ac:dyDescent="0.3">
      <c r="A41" s="154"/>
      <c r="B41" s="154"/>
      <c r="D41" s="154"/>
      <c r="E41" s="154"/>
      <c r="F41" s="154"/>
    </row>
    <row r="42" spans="1:12" x14ac:dyDescent="0.3">
      <c r="A42" s="154"/>
      <c r="B42" s="154"/>
      <c r="D42" s="154"/>
      <c r="E42" s="154"/>
      <c r="F42" s="154"/>
    </row>
    <row r="43" spans="1:12" x14ac:dyDescent="0.3">
      <c r="A43" s="154"/>
      <c r="B43" s="154"/>
      <c r="D43" s="154"/>
      <c r="E43" s="154"/>
      <c r="F43" s="154"/>
    </row>
    <row r="44" spans="1:12" x14ac:dyDescent="0.3">
      <c r="A44" s="154"/>
      <c r="B44" s="154"/>
      <c r="D44" s="154"/>
      <c r="E44" s="154"/>
      <c r="F44" s="154"/>
    </row>
    <row r="45" spans="1:12" x14ac:dyDescent="0.3">
      <c r="A45" s="50"/>
      <c r="B45" s="50"/>
      <c r="D45" s="50"/>
      <c r="E45" s="50"/>
      <c r="F45" s="50"/>
    </row>
    <row r="46" spans="1:12" ht="15.6" x14ac:dyDescent="0.3">
      <c r="A46" s="23" t="s">
        <v>44</v>
      </c>
    </row>
    <row r="47" spans="1:12" ht="15.6" x14ac:dyDescent="0.3">
      <c r="A47" s="26" t="s">
        <v>45</v>
      </c>
    </row>
    <row r="48" spans="1:12" ht="15.6" x14ac:dyDescent="0.3">
      <c r="A48" s="26" t="s">
        <v>46</v>
      </c>
    </row>
    <row r="49" spans="1:2" ht="15.6" x14ac:dyDescent="0.3">
      <c r="A49" s="26" t="s">
        <v>47</v>
      </c>
    </row>
    <row r="50" spans="1:2" ht="15.6" x14ac:dyDescent="0.3">
      <c r="A50" s="26" t="s">
        <v>48</v>
      </c>
    </row>
    <row r="51" spans="1:2" ht="15.6" x14ac:dyDescent="0.3">
      <c r="A51" s="26" t="s">
        <v>49</v>
      </c>
    </row>
    <row r="53" spans="1:2" ht="15.6" x14ac:dyDescent="0.3">
      <c r="A53" s="23" t="s">
        <v>45</v>
      </c>
    </row>
    <row r="54" spans="1:2" ht="15.6" x14ac:dyDescent="0.3">
      <c r="A54" s="26" t="s">
        <v>50</v>
      </c>
    </row>
    <row r="56" spans="1:2" x14ac:dyDescent="0.3">
      <c r="A56" s="80" t="s">
        <v>130</v>
      </c>
      <c r="B56" s="81" t="s">
        <v>52</v>
      </c>
    </row>
    <row r="57" spans="1:2" x14ac:dyDescent="0.3">
      <c r="A57" s="13">
        <v>35.265495747515139</v>
      </c>
      <c r="B57" s="12">
        <v>2.7345042524848608</v>
      </c>
    </row>
    <row r="58" spans="1:2" x14ac:dyDescent="0.3">
      <c r="A58" s="13">
        <v>29.100010806271012</v>
      </c>
      <c r="B58" s="12">
        <v>-3.1000108062710119</v>
      </c>
    </row>
    <row r="59" spans="1:2" x14ac:dyDescent="0.3">
      <c r="A59" s="13">
        <v>40.204534293323505</v>
      </c>
      <c r="B59" s="12">
        <v>-0.20453429332350481</v>
      </c>
    </row>
    <row r="60" spans="1:2" x14ac:dyDescent="0.3">
      <c r="A60" s="13">
        <v>46.100531845069689</v>
      </c>
      <c r="B60" s="12">
        <v>-1.100531845069689</v>
      </c>
    </row>
    <row r="61" spans="1:2" x14ac:dyDescent="0.3">
      <c r="A61" s="13">
        <v>45.466647254114932</v>
      </c>
      <c r="B61" s="12">
        <v>5.5333527458850682</v>
      </c>
    </row>
    <row r="62" spans="1:2" x14ac:dyDescent="0.3">
      <c r="A62" s="13">
        <v>47.354076435275651</v>
      </c>
      <c r="B62" s="12">
        <v>1.6459235647243489</v>
      </c>
    </row>
    <row r="63" spans="1:2" x14ac:dyDescent="0.3">
      <c r="A63" s="13">
        <v>26.596013966540585</v>
      </c>
      <c r="B63" s="12">
        <v>7.4039860334594145</v>
      </c>
    </row>
    <row r="64" spans="1:2" x14ac:dyDescent="0.3">
      <c r="A64" s="13">
        <v>35.993720366330386</v>
      </c>
      <c r="B64" s="12">
        <v>-0.99372036633038618</v>
      </c>
    </row>
    <row r="65" spans="1:2" x14ac:dyDescent="0.3">
      <c r="A65" s="13">
        <v>45.466647254114932</v>
      </c>
      <c r="B65" s="12">
        <v>-3.4666472541149318</v>
      </c>
    </row>
    <row r="66" spans="1:2" x14ac:dyDescent="0.3">
      <c r="A66" s="13">
        <v>29.908357437832663</v>
      </c>
      <c r="B66" s="12">
        <v>-5.9083574378326631</v>
      </c>
    </row>
    <row r="69" spans="1:2" ht="15.6" x14ac:dyDescent="0.3">
      <c r="A69" s="23" t="s">
        <v>46</v>
      </c>
    </row>
    <row r="70" spans="1:2" ht="15.6" x14ac:dyDescent="0.3">
      <c r="A70" s="30" t="s">
        <v>53</v>
      </c>
    </row>
    <row r="87" spans="1:1" ht="15.6" x14ac:dyDescent="0.3">
      <c r="A87" s="23" t="s">
        <v>47</v>
      </c>
    </row>
    <row r="88" spans="1:1" ht="15.6" x14ac:dyDescent="0.3">
      <c r="A88" s="26" t="s">
        <v>107</v>
      </c>
    </row>
    <row r="104" spans="1:6" ht="15.6" x14ac:dyDescent="0.3">
      <c r="A104" s="23" t="s">
        <v>48</v>
      </c>
    </row>
    <row r="109" spans="1:6" x14ac:dyDescent="0.3">
      <c r="A109" s="32" t="s">
        <v>55</v>
      </c>
      <c r="B109" s="76" t="s">
        <v>56</v>
      </c>
      <c r="C109" s="32" t="s">
        <v>57</v>
      </c>
      <c r="D109" s="33" t="s">
        <v>58</v>
      </c>
      <c r="E109" s="32" t="s">
        <v>55</v>
      </c>
      <c r="F109" s="32" t="s">
        <v>55</v>
      </c>
    </row>
    <row r="110" spans="1:6" x14ac:dyDescent="0.3">
      <c r="A110" s="74">
        <v>1</v>
      </c>
      <c r="B110" s="12">
        <v>2.7345042524848608</v>
      </c>
      <c r="C110" s="75" t="s">
        <v>55</v>
      </c>
      <c r="D110" s="32">
        <f>B110^2</f>
        <v>7.4775135068577878</v>
      </c>
      <c r="E110" s="32" t="s">
        <v>55</v>
      </c>
      <c r="F110" s="32" t="s">
        <v>55</v>
      </c>
    </row>
    <row r="111" spans="1:6" x14ac:dyDescent="0.3">
      <c r="A111" s="74">
        <v>2</v>
      </c>
      <c r="B111" s="12">
        <v>-3.1000108062710119</v>
      </c>
      <c r="C111" s="75">
        <f>B110</f>
        <v>2.7345042524848608</v>
      </c>
      <c r="D111" s="32">
        <f t="shared" ref="D111:D119" si="25">B111^2</f>
        <v>9.6100669989970484</v>
      </c>
      <c r="E111" s="32">
        <f>D110</f>
        <v>7.4775135068577878</v>
      </c>
      <c r="F111" s="32">
        <f>B111*C111</f>
        <v>-8.4769927324971039</v>
      </c>
    </row>
    <row r="112" spans="1:6" x14ac:dyDescent="0.3">
      <c r="A112" s="74">
        <v>3</v>
      </c>
      <c r="B112" s="12">
        <v>-0.20453429332350481</v>
      </c>
      <c r="C112" s="75">
        <f t="shared" ref="C112:C119" si="26">B111</f>
        <v>-3.1000108062710119</v>
      </c>
      <c r="D112" s="32">
        <f t="shared" si="25"/>
        <v>4.1834277145345503E-2</v>
      </c>
      <c r="E112" s="32">
        <f t="shared" ref="E112:E119" si="27">D111</f>
        <v>9.6100669989970484</v>
      </c>
      <c r="F112" s="32">
        <f t="shared" ref="F112:F119" si="28">B112*C112</f>
        <v>0.63405851955586978</v>
      </c>
    </row>
    <row r="113" spans="1:6" x14ac:dyDescent="0.3">
      <c r="A113" s="74">
        <v>4</v>
      </c>
      <c r="B113" s="12">
        <v>-1.100531845069689</v>
      </c>
      <c r="C113" s="75">
        <f t="shared" si="26"/>
        <v>-0.20453429332350481</v>
      </c>
      <c r="D113" s="32">
        <f t="shared" si="25"/>
        <v>1.211170342012494</v>
      </c>
      <c r="E113" s="32">
        <f t="shared" si="27"/>
        <v>4.1834277145345503E-2</v>
      </c>
      <c r="F113" s="32">
        <f t="shared" si="28"/>
        <v>0.22509650321134173</v>
      </c>
    </row>
    <row r="114" spans="1:6" x14ac:dyDescent="0.3">
      <c r="A114" s="74">
        <v>5</v>
      </c>
      <c r="B114" s="12">
        <v>5.5333527458850682</v>
      </c>
      <c r="C114" s="75">
        <f t="shared" si="26"/>
        <v>-1.100531845069689</v>
      </c>
      <c r="D114" s="32">
        <f t="shared" si="25"/>
        <v>30.617992610393824</v>
      </c>
      <c r="E114" s="32">
        <f t="shared" si="27"/>
        <v>1.211170342012494</v>
      </c>
      <c r="F114" s="32">
        <f t="shared" si="28"/>
        <v>-6.0896309068503243</v>
      </c>
    </row>
    <row r="115" spans="1:6" x14ac:dyDescent="0.3">
      <c r="A115" s="74">
        <v>6</v>
      </c>
      <c r="B115" s="12">
        <v>1.6459235647243489</v>
      </c>
      <c r="C115" s="75">
        <f t="shared" si="26"/>
        <v>5.5333527458850682</v>
      </c>
      <c r="D115" s="32">
        <f t="shared" si="25"/>
        <v>2.7090643809149078</v>
      </c>
      <c r="E115" s="32">
        <f t="shared" si="27"/>
        <v>30.617992610393824</v>
      </c>
      <c r="F115" s="32">
        <f t="shared" si="28"/>
        <v>9.107475676384416</v>
      </c>
    </row>
    <row r="116" spans="1:6" x14ac:dyDescent="0.3">
      <c r="A116" s="74">
        <v>7</v>
      </c>
      <c r="B116" s="12">
        <v>7.4039860334594145</v>
      </c>
      <c r="C116" s="75">
        <f t="shared" si="26"/>
        <v>1.6459235647243489</v>
      </c>
      <c r="D116" s="32">
        <f t="shared" si="25"/>
        <v>54.819009183662075</v>
      </c>
      <c r="E116" s="32">
        <f t="shared" si="27"/>
        <v>2.7090643809149078</v>
      </c>
      <c r="F116" s="32">
        <f t="shared" si="28"/>
        <v>12.186395085360811</v>
      </c>
    </row>
    <row r="117" spans="1:6" x14ac:dyDescent="0.3">
      <c r="A117" s="74">
        <v>8</v>
      </c>
      <c r="B117" s="12">
        <v>-0.99372036633038618</v>
      </c>
      <c r="C117" s="75">
        <f t="shared" si="26"/>
        <v>7.4039860334594145</v>
      </c>
      <c r="D117" s="32">
        <f t="shared" si="25"/>
        <v>0.98748016645979697</v>
      </c>
      <c r="E117" s="32">
        <f t="shared" si="27"/>
        <v>54.819009183662075</v>
      </c>
      <c r="F117" s="32">
        <f t="shared" si="28"/>
        <v>-7.357491713474352</v>
      </c>
    </row>
    <row r="118" spans="1:6" x14ac:dyDescent="0.3">
      <c r="A118" s="74">
        <v>9</v>
      </c>
      <c r="B118" s="12">
        <v>-3.4666472541149318</v>
      </c>
      <c r="C118" s="75">
        <f t="shared" si="26"/>
        <v>-0.99372036633038618</v>
      </c>
      <c r="D118" s="32">
        <f t="shared" si="25"/>
        <v>12.017643184462596</v>
      </c>
      <c r="E118" s="32">
        <f t="shared" si="27"/>
        <v>0.98748016645979697</v>
      </c>
      <c r="F118" s="32">
        <f t="shared" si="28"/>
        <v>3.4448779792973174</v>
      </c>
    </row>
    <row r="119" spans="1:6" x14ac:dyDescent="0.3">
      <c r="A119" s="74">
        <v>10</v>
      </c>
      <c r="B119" s="12">
        <v>-5.9083574378326631</v>
      </c>
      <c r="C119" s="75">
        <f t="shared" si="26"/>
        <v>-3.4666472541149318</v>
      </c>
      <c r="D119" s="32">
        <f t="shared" si="25"/>
        <v>34.908687613192548</v>
      </c>
      <c r="E119" s="32">
        <f t="shared" si="27"/>
        <v>12.017643184462596</v>
      </c>
      <c r="F119" s="32">
        <f t="shared" si="28"/>
        <v>20.482191088192135</v>
      </c>
    </row>
    <row r="120" spans="1:6" x14ac:dyDescent="0.3">
      <c r="A120" s="32" t="s">
        <v>7</v>
      </c>
      <c r="B120" s="77">
        <f>AVERAGE(B111:B119)</f>
        <v>-2.1171073208150579E-2</v>
      </c>
      <c r="C120" s="32">
        <f t="shared" ref="C120:F120" si="29">AVERAGE(C111:C119)</f>
        <v>0.93914689238268545</v>
      </c>
      <c r="D120" s="32">
        <f t="shared" si="29"/>
        <v>16.324772084137848</v>
      </c>
      <c r="E120" s="32">
        <f t="shared" si="29"/>
        <v>13.276863850100655</v>
      </c>
      <c r="F120" s="32">
        <f t="shared" si="29"/>
        <v>2.6839977221311231</v>
      </c>
    </row>
    <row r="121" spans="1:6" ht="15.6" x14ac:dyDescent="0.3">
      <c r="A121" s="35" t="s">
        <v>59</v>
      </c>
      <c r="B121" s="32">
        <f>_xlfn.VAR.P(B111:B119)</f>
        <v>16.324323869797066</v>
      </c>
      <c r="C121" s="32">
        <f>_xlfn.VAR.P(C111:C119)</f>
        <v>12.394866964628601</v>
      </c>
      <c r="D121" s="32" t="s">
        <v>55</v>
      </c>
      <c r="E121" s="32" t="s">
        <v>55</v>
      </c>
      <c r="F121" s="32" t="s">
        <v>55</v>
      </c>
    </row>
    <row r="122" spans="1:6" x14ac:dyDescent="0.3">
      <c r="A122" s="36" t="s">
        <v>9</v>
      </c>
      <c r="B122" s="32">
        <f>D120-B120^2</f>
        <v>16.324323869797063</v>
      </c>
      <c r="C122" s="32">
        <f>E120-C120^2</f>
        <v>12.3948669646286</v>
      </c>
      <c r="D122" s="32" t="s">
        <v>55</v>
      </c>
      <c r="E122" s="32" t="s">
        <v>55</v>
      </c>
      <c r="F122" s="32" t="s">
        <v>55</v>
      </c>
    </row>
    <row r="123" spans="1:6" ht="15.6" x14ac:dyDescent="0.3">
      <c r="A123" s="35" t="s">
        <v>8</v>
      </c>
      <c r="B123" s="32">
        <f>SQRT(B121)</f>
        <v>4.0403370985348568</v>
      </c>
      <c r="C123" s="32">
        <f>SQRT(C121)</f>
        <v>3.5206344548431328</v>
      </c>
      <c r="D123" s="32" t="s">
        <v>55</v>
      </c>
      <c r="E123" s="32" t="s">
        <v>55</v>
      </c>
      <c r="F123" s="32" t="s">
        <v>55</v>
      </c>
    </row>
    <row r="124" spans="1:6" x14ac:dyDescent="0.3">
      <c r="A124" s="32" t="s">
        <v>55</v>
      </c>
      <c r="B124" s="32">
        <f>F120-C120*B120</f>
        <v>2.7038804697429639</v>
      </c>
      <c r="C124" s="32" t="s">
        <v>55</v>
      </c>
      <c r="D124" s="32" t="s">
        <v>55</v>
      </c>
      <c r="E124" s="32" t="s">
        <v>55</v>
      </c>
      <c r="F124" s="32" t="s">
        <v>55</v>
      </c>
    </row>
    <row r="125" spans="1:6" x14ac:dyDescent="0.3">
      <c r="A125" s="32" t="s">
        <v>60</v>
      </c>
      <c r="B125" s="32">
        <f>_xlfn.COVARIANCE.P(B111:B119,C111:C119)</f>
        <v>2.7038804697429644</v>
      </c>
      <c r="C125" s="32" t="s">
        <v>55</v>
      </c>
      <c r="D125" s="32" t="s">
        <v>55</v>
      </c>
      <c r="E125" s="32" t="s">
        <v>55</v>
      </c>
      <c r="F125" s="32" t="s">
        <v>55</v>
      </c>
    </row>
    <row r="126" spans="1:6" x14ac:dyDescent="0.3">
      <c r="A126" s="162"/>
      <c r="B126" s="162"/>
      <c r="C126" s="31"/>
      <c r="D126" s="31"/>
      <c r="E126" s="31"/>
      <c r="F126" s="31"/>
    </row>
    <row r="127" spans="1:6" ht="18" x14ac:dyDescent="0.3">
      <c r="A127" s="38" t="s">
        <v>61</v>
      </c>
      <c r="B127" s="39">
        <f>CORREL(B111:B119,C111:C119)</f>
        <v>0.19008548390419305</v>
      </c>
      <c r="C127" s="31"/>
      <c r="D127" s="31"/>
      <c r="E127" s="31"/>
      <c r="F127" s="31"/>
    </row>
    <row r="128" spans="1:6" ht="45" customHeight="1" x14ac:dyDescent="0.3">
      <c r="A128" s="156"/>
      <c r="B128" s="156"/>
      <c r="C128" s="78">
        <f>B125/(B123*C123)</f>
        <v>0.190085483904193</v>
      </c>
    </row>
    <row r="130" spans="1:11" ht="15.6" x14ac:dyDescent="0.3">
      <c r="A130" s="53" t="s">
        <v>62</v>
      </c>
      <c r="B130" s="54"/>
      <c r="C130" s="54"/>
      <c r="D130" s="54"/>
      <c r="E130" s="54"/>
      <c r="F130" s="54"/>
      <c r="G130" s="54"/>
      <c r="H130" s="54"/>
      <c r="I130" s="54"/>
      <c r="J130" s="54"/>
      <c r="K130" s="79"/>
    </row>
    <row r="132" spans="1:11" ht="15.6" x14ac:dyDescent="0.3">
      <c r="A132" s="23" t="s">
        <v>49</v>
      </c>
    </row>
    <row r="144" spans="1:11" ht="15.6" x14ac:dyDescent="0.3">
      <c r="A144" s="52" t="s">
        <v>63</v>
      </c>
      <c r="B144" s="28"/>
      <c r="C144" s="28"/>
      <c r="D144" s="28"/>
    </row>
  </sheetData>
  <mergeCells count="8">
    <mergeCell ref="A128:B128"/>
    <mergeCell ref="A1:L1"/>
    <mergeCell ref="A38:B44"/>
    <mergeCell ref="D38:F44"/>
    <mergeCell ref="A4:D4"/>
    <mergeCell ref="A126:B126"/>
    <mergeCell ref="A26:B26"/>
    <mergeCell ref="K29:L2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H14" sqref="H14"/>
    </sheetView>
  </sheetViews>
  <sheetFormatPr defaultRowHeight="14.4" x14ac:dyDescent="0.3"/>
  <cols>
    <col min="1" max="1" width="24.88671875" bestFit="1" customWidth="1"/>
    <col min="2" max="2" width="20.332031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0.85775662197844682</v>
      </c>
    </row>
    <row r="5" spans="1:9" x14ac:dyDescent="0.3">
      <c r="A5" t="s">
        <v>35</v>
      </c>
      <c r="B5">
        <v>0.73574642254787614</v>
      </c>
    </row>
    <row r="6" spans="1:9" x14ac:dyDescent="0.3">
      <c r="A6" t="s">
        <v>67</v>
      </c>
      <c r="B6">
        <v>0.7027147253663607</v>
      </c>
    </row>
    <row r="7" spans="1:9" x14ac:dyDescent="0.3">
      <c r="A7" t="s">
        <v>68</v>
      </c>
      <c r="B7">
        <v>0.13650193156491666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1</v>
      </c>
      <c r="C12">
        <v>0.41502557923950889</v>
      </c>
      <c r="D12">
        <v>0.41502557923950889</v>
      </c>
      <c r="E12">
        <v>22.273951547351906</v>
      </c>
      <c r="F12">
        <v>1.5030781968362146E-3</v>
      </c>
    </row>
    <row r="13" spans="1:9" x14ac:dyDescent="0.3">
      <c r="A13" t="s">
        <v>75</v>
      </c>
      <c r="B13">
        <v>8</v>
      </c>
      <c r="C13">
        <v>0.14906221856762555</v>
      </c>
      <c r="D13">
        <v>1.8632777320953194E-2</v>
      </c>
    </row>
    <row r="14" spans="1:9" ht="15" thickBot="1" x14ac:dyDescent="0.35">
      <c r="A14" s="15" t="s">
        <v>76</v>
      </c>
      <c r="B14" s="15">
        <v>9</v>
      </c>
      <c r="C14" s="15">
        <v>0.56408779780713447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1.3521420677121254</v>
      </c>
      <c r="C17">
        <v>0.48272087495441235</v>
      </c>
      <c r="D17">
        <v>2.8010847217655965</v>
      </c>
      <c r="E17">
        <v>2.3159084020229367E-2</v>
      </c>
      <c r="F17">
        <v>0.23898573391787692</v>
      </c>
      <c r="G17">
        <v>2.4652984015063737</v>
      </c>
      <c r="H17">
        <v>0.45449941201544986</v>
      </c>
      <c r="I17">
        <v>2.2497847234088009</v>
      </c>
    </row>
    <row r="18" spans="1:9" ht="15" thickBot="1" x14ac:dyDescent="0.35">
      <c r="A18" s="15" t="s">
        <v>131</v>
      </c>
      <c r="B18" s="15">
        <v>0.64378893367423751</v>
      </c>
      <c r="C18" s="15">
        <v>0.13640958003574594</v>
      </c>
      <c r="D18" s="15">
        <v>4.7195287420834635</v>
      </c>
      <c r="E18" s="15">
        <v>1.503078196836212E-3</v>
      </c>
      <c r="F18" s="15">
        <v>0.32922787803034359</v>
      </c>
      <c r="G18" s="15">
        <v>0.95834998931813142</v>
      </c>
      <c r="H18" s="15">
        <v>0.39012876681835218</v>
      </c>
      <c r="I18" s="15">
        <v>0.89744910053012283</v>
      </c>
    </row>
    <row r="22" spans="1:9" x14ac:dyDescent="0.3">
      <c r="A22" t="s">
        <v>85</v>
      </c>
      <c r="F22" t="s">
        <v>86</v>
      </c>
    </row>
    <row r="23" spans="1:9" ht="15" thickBot="1" x14ac:dyDescent="0.35"/>
    <row r="24" spans="1:9" x14ac:dyDescent="0.3">
      <c r="A24" s="16" t="s">
        <v>87</v>
      </c>
      <c r="B24" s="16" t="s">
        <v>132</v>
      </c>
      <c r="C24" s="16" t="s">
        <v>52</v>
      </c>
      <c r="D24" s="16" t="s">
        <v>88</v>
      </c>
      <c r="F24" s="16" t="s">
        <v>89</v>
      </c>
      <c r="G24" s="16" t="s">
        <v>133</v>
      </c>
    </row>
    <row r="25" spans="1:9" x14ac:dyDescent="0.3">
      <c r="A25">
        <v>1</v>
      </c>
      <c r="B25">
        <v>3.5629050283385935</v>
      </c>
      <c r="C25">
        <v>7.4681131387792199E-2</v>
      </c>
      <c r="D25">
        <v>0.58029436461722372</v>
      </c>
      <c r="F25">
        <v>5</v>
      </c>
      <c r="G25">
        <v>3.1780538303479458</v>
      </c>
    </row>
    <row r="26" spans="1:9" x14ac:dyDescent="0.3">
      <c r="A26">
        <v>2</v>
      </c>
      <c r="B26">
        <v>3.3707385455268919</v>
      </c>
      <c r="C26">
        <v>-0.11264200750540976</v>
      </c>
      <c r="D26">
        <v>-0.87526154143461887</v>
      </c>
      <c r="F26">
        <v>15</v>
      </c>
      <c r="G26">
        <v>3.2580965380214821</v>
      </c>
    </row>
    <row r="27" spans="1:9" x14ac:dyDescent="0.3">
      <c r="A27">
        <v>3</v>
      </c>
      <c r="B27">
        <v>3.6939797826305401</v>
      </c>
      <c r="C27">
        <v>-5.1003285166038026E-3</v>
      </c>
      <c r="D27">
        <v>-3.9631053264486543E-2</v>
      </c>
      <c r="F27">
        <v>25</v>
      </c>
      <c r="G27">
        <v>3.5263605246161616</v>
      </c>
    </row>
    <row r="28" spans="1:9" x14ac:dyDescent="0.3">
      <c r="A28">
        <v>4</v>
      </c>
      <c r="B28">
        <v>3.8308244867054668</v>
      </c>
      <c r="C28">
        <v>-2.4161996935147201E-2</v>
      </c>
      <c r="D28">
        <v>-0.18774582546906238</v>
      </c>
      <c r="F28">
        <v>35</v>
      </c>
      <c r="G28">
        <v>3.5553480614894135</v>
      </c>
    </row>
    <row r="29" spans="1:9" x14ac:dyDescent="0.3">
      <c r="A29">
        <v>5</v>
      </c>
      <c r="B29">
        <v>3.8169790297788837</v>
      </c>
      <c r="C29">
        <v>0.11484660294544202</v>
      </c>
      <c r="D29">
        <v>0.89239189667078334</v>
      </c>
      <c r="F29">
        <v>45</v>
      </c>
      <c r="G29">
        <v>3.6375861597263857</v>
      </c>
    </row>
    <row r="30" spans="1:9" x14ac:dyDescent="0.3">
      <c r="A30">
        <v>6</v>
      </c>
      <c r="B30">
        <v>3.8576529074845189</v>
      </c>
      <c r="C30">
        <v>3.4167390626107519E-2</v>
      </c>
      <c r="D30">
        <v>0.26549067837564394</v>
      </c>
      <c r="F30">
        <v>55</v>
      </c>
      <c r="G30">
        <v>3.6888794541139363</v>
      </c>
    </row>
    <row r="31" spans="1:9" x14ac:dyDescent="0.3">
      <c r="A31">
        <v>7</v>
      </c>
      <c r="B31">
        <v>3.2807613536769482</v>
      </c>
      <c r="C31">
        <v>0.24559917093921335</v>
      </c>
      <c r="D31">
        <v>1.9083778218440972</v>
      </c>
      <c r="F31">
        <v>65</v>
      </c>
      <c r="G31">
        <v>3.7376696182833684</v>
      </c>
    </row>
    <row r="32" spans="1:9" x14ac:dyDescent="0.3">
      <c r="A32">
        <v>8</v>
      </c>
      <c r="B32">
        <v>3.5833444889720822</v>
      </c>
      <c r="C32">
        <v>-2.7996427482668729E-2</v>
      </c>
      <c r="D32">
        <v>-0.2175404790434538</v>
      </c>
      <c r="F32">
        <v>75</v>
      </c>
      <c r="G32">
        <v>3.8066624897703196</v>
      </c>
    </row>
    <row r="33" spans="1:7" x14ac:dyDescent="0.3">
      <c r="A33">
        <v>9</v>
      </c>
      <c r="B33">
        <v>3.8169790297788837</v>
      </c>
      <c r="C33">
        <v>-7.9309411495515292E-2</v>
      </c>
      <c r="D33">
        <v>-0.61625746285197724</v>
      </c>
      <c r="F33">
        <v>85</v>
      </c>
      <c r="G33">
        <v>3.8918202981106265</v>
      </c>
    </row>
    <row r="34" spans="1:7" ht="15" thickBot="1" x14ac:dyDescent="0.35">
      <c r="A34" s="15">
        <v>10</v>
      </c>
      <c r="B34" s="15">
        <v>3.3981379543111556</v>
      </c>
      <c r="C34" s="15">
        <v>-0.22008412396320987</v>
      </c>
      <c r="D34" s="15">
        <v>-1.710118399444146</v>
      </c>
      <c r="F34" s="15">
        <v>95</v>
      </c>
      <c r="G34" s="15">
        <v>3.9318256327243257</v>
      </c>
    </row>
  </sheetData>
  <sortState ref="G25:G34">
    <sortCondition ref="G25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"/>
  <sheetViews>
    <sheetView topLeftCell="A19" zoomScaleNormal="100" workbookViewId="0">
      <selection activeCell="K105" sqref="K105"/>
    </sheetView>
  </sheetViews>
  <sheetFormatPr defaultRowHeight="14.4" x14ac:dyDescent="0.3"/>
  <cols>
    <col min="1" max="1" width="18.44140625" customWidth="1"/>
    <col min="5" max="5" width="13.44140625" customWidth="1"/>
    <col min="7" max="7" width="13" customWidth="1"/>
    <col min="8" max="8" width="13.88671875" customWidth="1"/>
    <col min="9" max="9" width="10.44140625" bestFit="1" customWidth="1"/>
    <col min="10" max="10" width="9.44140625" bestFit="1" customWidth="1"/>
    <col min="11" max="11" width="21.77734375" customWidth="1"/>
    <col min="12" max="12" width="13.5546875" customWidth="1"/>
    <col min="13" max="13" width="10" customWidth="1"/>
    <col min="14" max="14" width="12.6640625" customWidth="1"/>
    <col min="15" max="15" width="21.44140625" customWidth="1"/>
    <col min="16" max="16" width="11.5546875" bestFit="1" customWidth="1"/>
    <col min="17" max="17" width="11.44140625" customWidth="1"/>
    <col min="18" max="18" width="13.5546875" customWidth="1"/>
  </cols>
  <sheetData>
    <row r="1" spans="1:19" ht="44.4" customHeight="1" x14ac:dyDescent="0.3">
      <c r="A1" s="169" t="s">
        <v>134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</row>
    <row r="2" spans="1:19" ht="52.2" customHeight="1" x14ac:dyDescent="0.3">
      <c r="A2" s="183" t="s">
        <v>135</v>
      </c>
      <c r="B2" s="183"/>
      <c r="C2" s="183"/>
    </row>
    <row r="3" spans="1:19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/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</row>
    <row r="4" spans="1:19" ht="34.200000000000003" customHeight="1" x14ac:dyDescent="0.3">
      <c r="A4" s="3"/>
      <c r="B4" s="57" t="s">
        <v>136</v>
      </c>
      <c r="C4" s="57" t="s">
        <v>21</v>
      </c>
      <c r="D4" s="4" t="s">
        <v>113</v>
      </c>
      <c r="E4" s="4" t="s">
        <v>23</v>
      </c>
      <c r="F4" s="4" t="s">
        <v>116</v>
      </c>
      <c r="G4" s="4" t="s">
        <v>114</v>
      </c>
      <c r="H4" s="4" t="s">
        <v>137</v>
      </c>
      <c r="I4" s="4" t="s">
        <v>138</v>
      </c>
      <c r="J4" s="4" t="s">
        <v>139</v>
      </c>
      <c r="K4" s="4" t="s">
        <v>140</v>
      </c>
      <c r="L4" s="63" t="s">
        <v>121</v>
      </c>
      <c r="M4" s="63" t="s">
        <v>122</v>
      </c>
      <c r="N4" s="103"/>
      <c r="O4" s="4" t="s">
        <v>138</v>
      </c>
      <c r="P4" s="4" t="s">
        <v>141</v>
      </c>
      <c r="Q4" s="4" t="s">
        <v>120</v>
      </c>
      <c r="R4" s="42"/>
      <c r="S4" s="42"/>
    </row>
    <row r="5" spans="1:19" x14ac:dyDescent="0.3">
      <c r="A5" s="2">
        <v>1</v>
      </c>
      <c r="B5" s="4">
        <v>31</v>
      </c>
      <c r="C5" s="4">
        <v>38</v>
      </c>
      <c r="D5" s="4">
        <f>LN(C5)</f>
        <v>3.6375861597263857</v>
      </c>
      <c r="E5" s="4">
        <f>B5^2</f>
        <v>961</v>
      </c>
      <c r="F5" s="4">
        <f>D5^2</f>
        <v>13.232033069432955</v>
      </c>
      <c r="G5" s="4">
        <f>B5*D5</f>
        <v>112.76517095151796</v>
      </c>
      <c r="H5" s="4">
        <f>B$21+B$20*B5</f>
        <v>3.5306757250662795</v>
      </c>
      <c r="I5" s="4">
        <f>D5-H5</f>
        <v>0.10691043466010619</v>
      </c>
      <c r="J5" s="4">
        <f>I5^2</f>
        <v>1.1429841039212836E-2</v>
      </c>
      <c r="K5" s="4">
        <f>ABS((I5/D5)*100)</f>
        <v>2.9390488627806919</v>
      </c>
      <c r="L5" s="4">
        <f>(H5-D$16)^2</f>
        <v>8.2001239275327625E-3</v>
      </c>
      <c r="M5" s="4">
        <f>(D5-D$16)^2</f>
        <v>2.675154322941154E-4</v>
      </c>
      <c r="N5" s="4">
        <f>EXP(H5)</f>
        <v>34.147033827363906</v>
      </c>
      <c r="O5" s="4">
        <f t="shared" ref="O5:O14" si="0">C5-N5</f>
        <v>3.8529661726360942</v>
      </c>
      <c r="P5" s="4">
        <f>O5^2</f>
        <v>14.845348327478032</v>
      </c>
      <c r="Q5" s="4">
        <f>ABS((O5/C5)*100)</f>
        <v>10.139384664831827</v>
      </c>
    </row>
    <row r="6" spans="1:19" x14ac:dyDescent="0.3">
      <c r="A6" s="2">
        <v>2</v>
      </c>
      <c r="B6" s="4">
        <v>23</v>
      </c>
      <c r="C6" s="4">
        <v>26</v>
      </c>
      <c r="D6" s="4">
        <f t="shared" ref="D6:D14" si="1">LN(C6)</f>
        <v>3.2580965380214821</v>
      </c>
      <c r="E6" s="4">
        <f t="shared" ref="E6:E14" si="2">B6^2</f>
        <v>529</v>
      </c>
      <c r="F6" s="4">
        <f t="shared" ref="F6:F14" si="3">D6^2</f>
        <v>10.615193051067568</v>
      </c>
      <c r="G6" s="4">
        <f t="shared" ref="G6:G14" si="4">B6*D6</f>
        <v>74.936220374494084</v>
      </c>
      <c r="H6" s="4">
        <f t="shared" ref="H6:H14" si="5">B$21+B$20*B6</f>
        <v>3.3731895761025985</v>
      </c>
      <c r="I6" s="4">
        <f t="shared" ref="I6:I14" si="6">D6-H6</f>
        <v>-0.11509303808111637</v>
      </c>
      <c r="J6" s="4">
        <f t="shared" ref="J6:J14" si="7">I6^2</f>
        <v>1.3246407414741304E-2</v>
      </c>
      <c r="K6" s="4">
        <f t="shared" ref="K6:K14" si="8">ABS((I6/D6)*100)</f>
        <v>3.5325238751522074</v>
      </c>
      <c r="L6" s="4">
        <f t="shared" ref="L6:L14" si="9">(H6-D$16)^2</f>
        <v>6.1524181225665955E-2</v>
      </c>
      <c r="M6" s="4">
        <f t="shared" ref="M6:M14" si="10">(D6-D$16)^2</f>
        <v>0.13186610056117207</v>
      </c>
      <c r="N6" s="4">
        <f t="shared" ref="N6:N14" si="11">EXP(H6)</f>
        <v>29.171423303866789</v>
      </c>
      <c r="O6" s="4">
        <f t="shared" si="0"/>
        <v>-3.1714233038667885</v>
      </c>
      <c r="P6" s="4">
        <f t="shared" ref="P6:P14" si="12">O6^2</f>
        <v>10.057925772309336</v>
      </c>
      <c r="Q6" s="4">
        <f t="shared" ref="Q6:Q14" si="13">ABS((O6/C6)*100)</f>
        <v>12.197781937949188</v>
      </c>
    </row>
    <row r="7" spans="1:19" x14ac:dyDescent="0.3">
      <c r="A7" s="2">
        <v>3</v>
      </c>
      <c r="B7" s="4">
        <v>38</v>
      </c>
      <c r="C7" s="4">
        <v>40</v>
      </c>
      <c r="D7" s="4">
        <f t="shared" si="1"/>
        <v>3.6888794541139363</v>
      </c>
      <c r="E7" s="4">
        <f t="shared" si="2"/>
        <v>1444</v>
      </c>
      <c r="F7" s="4">
        <f t="shared" si="3"/>
        <v>13.607831626983932</v>
      </c>
      <c r="G7" s="4">
        <f t="shared" si="4"/>
        <v>140.17741925632959</v>
      </c>
      <c r="H7" s="4">
        <f t="shared" si="5"/>
        <v>3.6684761054095008</v>
      </c>
      <c r="I7" s="4">
        <f t="shared" si="6"/>
        <v>2.0403348704435498E-2</v>
      </c>
      <c r="J7" s="4">
        <f t="shared" si="7"/>
        <v>4.1629663835478968E-4</v>
      </c>
      <c r="K7" s="4">
        <f t="shared" si="8"/>
        <v>0.55310424095537047</v>
      </c>
      <c r="L7" s="4">
        <f t="shared" si="9"/>
        <v>2.2321698403869553E-3</v>
      </c>
      <c r="M7" s="4">
        <f t="shared" si="10"/>
        <v>4.5764133667965346E-3</v>
      </c>
      <c r="N7" s="4">
        <f t="shared" si="11"/>
        <v>39.192135646616656</v>
      </c>
      <c r="O7" s="4">
        <f t="shared" si="0"/>
        <v>0.80786435338334428</v>
      </c>
      <c r="P7" s="4">
        <f t="shared" si="12"/>
        <v>0.65264481346748893</v>
      </c>
      <c r="Q7" s="4">
        <f t="shared" si="13"/>
        <v>2.0196608834583607</v>
      </c>
    </row>
    <row r="8" spans="1:19" x14ac:dyDescent="0.3">
      <c r="A8" s="2">
        <v>4</v>
      </c>
      <c r="B8" s="4">
        <v>47</v>
      </c>
      <c r="C8" s="4">
        <v>45</v>
      </c>
      <c r="D8" s="4">
        <f t="shared" si="1"/>
        <v>3.8066624897703196</v>
      </c>
      <c r="E8" s="4">
        <f t="shared" si="2"/>
        <v>2209</v>
      </c>
      <c r="F8" s="4">
        <f t="shared" si="3"/>
        <v>14.490679311024369</v>
      </c>
      <c r="G8" s="4">
        <f t="shared" si="4"/>
        <v>178.91313701920501</v>
      </c>
      <c r="H8" s="4">
        <f t="shared" si="5"/>
        <v>3.8456480229936423</v>
      </c>
      <c r="I8" s="4">
        <f t="shared" si="6"/>
        <v>-3.8985533223322655E-2</v>
      </c>
      <c r="J8" s="4">
        <f t="shared" si="7"/>
        <v>1.5198718007067946E-3</v>
      </c>
      <c r="K8" s="4">
        <f t="shared" si="8"/>
        <v>1.0241394746208483</v>
      </c>
      <c r="L8" s="4">
        <f t="shared" si="9"/>
        <v>5.0363332023731035E-2</v>
      </c>
      <c r="M8" s="4">
        <f t="shared" si="10"/>
        <v>3.4385111570423135E-2</v>
      </c>
      <c r="N8" s="4">
        <f t="shared" si="11"/>
        <v>46.788994873421103</v>
      </c>
      <c r="O8" s="4">
        <f t="shared" si="0"/>
        <v>-1.7889948734211032</v>
      </c>
      <c r="P8" s="4">
        <f t="shared" si="12"/>
        <v>3.200502657126989</v>
      </c>
      <c r="Q8" s="4">
        <f t="shared" si="13"/>
        <v>3.9755441631580068</v>
      </c>
    </row>
    <row r="9" spans="1:19" x14ac:dyDescent="0.3">
      <c r="A9" s="2">
        <v>5</v>
      </c>
      <c r="B9" s="4">
        <v>46</v>
      </c>
      <c r="C9" s="4">
        <v>51</v>
      </c>
      <c r="D9" s="4">
        <f t="shared" si="1"/>
        <v>3.9318256327243257</v>
      </c>
      <c r="E9" s="4">
        <f t="shared" si="2"/>
        <v>2116</v>
      </c>
      <c r="F9" s="4">
        <f t="shared" si="3"/>
        <v>15.459252806148044</v>
      </c>
      <c r="G9" s="4">
        <f t="shared" si="4"/>
        <v>180.86397910531898</v>
      </c>
      <c r="H9" s="4">
        <f t="shared" si="5"/>
        <v>3.8259622543731817</v>
      </c>
      <c r="I9" s="4">
        <f t="shared" si="6"/>
        <v>0.10586337835114401</v>
      </c>
      <c r="J9" s="4">
        <f t="shared" si="7"/>
        <v>1.1207054875917466E-2</v>
      </c>
      <c r="K9" s="4">
        <f t="shared" si="8"/>
        <v>2.6924738846517018</v>
      </c>
      <c r="L9" s="4">
        <f t="shared" si="9"/>
        <v>4.1915189225044065E-2</v>
      </c>
      <c r="M9" s="4">
        <f t="shared" si="10"/>
        <v>9.6469485110259143E-2</v>
      </c>
      <c r="N9" s="4">
        <f t="shared" si="11"/>
        <v>45.876924404790955</v>
      </c>
      <c r="O9" s="4">
        <f t="shared" si="0"/>
        <v>5.1230755952090448</v>
      </c>
      <c r="P9" s="4">
        <f t="shared" si="12"/>
        <v>26.245903554226508</v>
      </c>
      <c r="Q9" s="4">
        <f t="shared" si="13"/>
        <v>10.045246265115775</v>
      </c>
    </row>
    <row r="10" spans="1:19" x14ac:dyDescent="0.3">
      <c r="A10" s="2">
        <v>6</v>
      </c>
      <c r="B10" s="4">
        <v>49</v>
      </c>
      <c r="C10" s="4">
        <v>49</v>
      </c>
      <c r="D10" s="4">
        <f t="shared" si="1"/>
        <v>3.8918202981106265</v>
      </c>
      <c r="E10" s="4">
        <f t="shared" si="2"/>
        <v>2401</v>
      </c>
      <c r="F10" s="4">
        <f t="shared" si="3"/>
        <v>15.146265232785886</v>
      </c>
      <c r="G10" s="4">
        <f t="shared" si="4"/>
        <v>190.69919460742071</v>
      </c>
      <c r="H10" s="4">
        <f t="shared" si="5"/>
        <v>3.8850195602345625</v>
      </c>
      <c r="I10" s="4">
        <f t="shared" si="6"/>
        <v>6.8007378760639448E-3</v>
      </c>
      <c r="J10" s="4">
        <f t="shared" si="7"/>
        <v>4.6250035658930736E-5</v>
      </c>
      <c r="K10" s="4">
        <f t="shared" si="8"/>
        <v>0.17474439607002201</v>
      </c>
      <c r="L10" s="4">
        <f t="shared" si="9"/>
        <v>6.9584794538174358E-2</v>
      </c>
      <c r="M10" s="4">
        <f t="shared" si="10"/>
        <v>7.3218968334846021E-2</v>
      </c>
      <c r="N10" s="4">
        <f t="shared" si="11"/>
        <v>48.667894405610483</v>
      </c>
      <c r="O10" s="4">
        <f t="shared" si="0"/>
        <v>0.33210559438951748</v>
      </c>
      <c r="P10" s="4">
        <f t="shared" si="12"/>
        <v>0.11029412582481471</v>
      </c>
      <c r="Q10" s="4">
        <f t="shared" si="13"/>
        <v>0.67776651916228059</v>
      </c>
    </row>
    <row r="11" spans="1:19" x14ac:dyDescent="0.3">
      <c r="A11" s="2">
        <v>7</v>
      </c>
      <c r="B11" s="4">
        <v>20</v>
      </c>
      <c r="C11" s="4">
        <v>34</v>
      </c>
      <c r="D11" s="4">
        <f t="shared" si="1"/>
        <v>3.5263605246161616</v>
      </c>
      <c r="E11" s="4">
        <f t="shared" si="2"/>
        <v>400</v>
      </c>
      <c r="F11" s="4">
        <f t="shared" si="3"/>
        <v>12.43521854957117</v>
      </c>
      <c r="G11" s="4">
        <f t="shared" si="4"/>
        <v>70.527210492323235</v>
      </c>
      <c r="H11" s="4">
        <f t="shared" si="5"/>
        <v>3.3141322702412177</v>
      </c>
      <c r="I11" s="4">
        <f t="shared" si="6"/>
        <v>0.21222825437494386</v>
      </c>
      <c r="J11" s="4">
        <f t="shared" si="7"/>
        <v>4.504083195503588E-2</v>
      </c>
      <c r="K11" s="4">
        <f t="shared" si="8"/>
        <v>6.0183368346333381</v>
      </c>
      <c r="L11" s="4">
        <f t="shared" si="9"/>
        <v>9.4309175756349825E-2</v>
      </c>
      <c r="M11" s="4">
        <f t="shared" si="10"/>
        <v>9.0002668284871884E-3</v>
      </c>
      <c r="N11" s="4">
        <f t="shared" si="11"/>
        <v>27.498522342839923</v>
      </c>
      <c r="O11" s="4">
        <f t="shared" si="0"/>
        <v>6.501477657160077</v>
      </c>
      <c r="P11" s="4">
        <f t="shared" si="12"/>
        <v>42.269211726551681</v>
      </c>
      <c r="Q11" s="4">
        <f t="shared" si="13"/>
        <v>19.121993109294344</v>
      </c>
    </row>
    <row r="12" spans="1:19" x14ac:dyDescent="0.3">
      <c r="A12" s="2">
        <v>8</v>
      </c>
      <c r="B12" s="4">
        <v>32</v>
      </c>
      <c r="C12" s="4">
        <v>35</v>
      </c>
      <c r="D12" s="4">
        <f t="shared" si="1"/>
        <v>3.5553480614894135</v>
      </c>
      <c r="E12" s="4">
        <f t="shared" si="2"/>
        <v>1024</v>
      </c>
      <c r="F12" s="4">
        <f t="shared" si="3"/>
        <v>12.640499838336531</v>
      </c>
      <c r="G12" s="4">
        <f t="shared" si="4"/>
        <v>113.77113796766123</v>
      </c>
      <c r="H12" s="4">
        <f t="shared" si="5"/>
        <v>3.55036149368674</v>
      </c>
      <c r="I12" s="4">
        <f t="shared" si="6"/>
        <v>4.9865678026734805E-3</v>
      </c>
      <c r="J12" s="4">
        <f t="shared" si="7"/>
        <v>2.4865858450659824E-5</v>
      </c>
      <c r="K12" s="4">
        <f t="shared" si="8"/>
        <v>0.14025540443386289</v>
      </c>
      <c r="L12" s="4">
        <f t="shared" si="9"/>
        <v>5.0223821408706812E-3</v>
      </c>
      <c r="M12" s="4">
        <f t="shared" si="10"/>
        <v>4.3404641755109422E-3</v>
      </c>
      <c r="N12" s="4">
        <f t="shared" si="11"/>
        <v>34.825904557024259</v>
      </c>
      <c r="O12" s="4">
        <f t="shared" si="0"/>
        <v>0.17409544297574087</v>
      </c>
      <c r="P12" s="4">
        <f t="shared" si="12"/>
        <v>3.030922326491944E-2</v>
      </c>
      <c r="Q12" s="4">
        <f t="shared" si="13"/>
        <v>0.49741555135925963</v>
      </c>
    </row>
    <row r="13" spans="1:19" x14ac:dyDescent="0.3">
      <c r="A13" s="2">
        <v>9</v>
      </c>
      <c r="B13" s="4">
        <v>46</v>
      </c>
      <c r="C13" s="4">
        <v>42</v>
      </c>
      <c r="D13" s="4">
        <f t="shared" si="1"/>
        <v>3.7376696182833684</v>
      </c>
      <c r="E13" s="4">
        <f t="shared" si="2"/>
        <v>2116</v>
      </c>
      <c r="F13" s="4">
        <f t="shared" si="3"/>
        <v>13.97017417543854</v>
      </c>
      <c r="G13" s="4">
        <f t="shared" si="4"/>
        <v>171.93280244103494</v>
      </c>
      <c r="H13" s="4">
        <f t="shared" si="5"/>
        <v>3.8259622543731817</v>
      </c>
      <c r="I13" s="4">
        <f t="shared" si="6"/>
        <v>-8.8292636089813303E-2</v>
      </c>
      <c r="J13" s="4">
        <f t="shared" si="7"/>
        <v>7.7955895876882023E-3</v>
      </c>
      <c r="K13" s="4">
        <f t="shared" si="8"/>
        <v>2.3622375733242098</v>
      </c>
      <c r="L13" s="4">
        <f t="shared" si="9"/>
        <v>4.1915189225044065E-2</v>
      </c>
      <c r="M13" s="4">
        <f t="shared" si="10"/>
        <v>1.3558123989677611E-2</v>
      </c>
      <c r="N13" s="4">
        <f t="shared" si="11"/>
        <v>45.876924404790955</v>
      </c>
      <c r="O13" s="4">
        <f t="shared" si="0"/>
        <v>-3.8769244047909552</v>
      </c>
      <c r="P13" s="4">
        <f t="shared" si="12"/>
        <v>15.030542840463703</v>
      </c>
      <c r="Q13" s="4">
        <f t="shared" si="13"/>
        <v>9.230772392359416</v>
      </c>
    </row>
    <row r="14" spans="1:19" x14ac:dyDescent="0.3">
      <c r="A14" s="2">
        <v>10</v>
      </c>
      <c r="B14" s="4">
        <v>24</v>
      </c>
      <c r="C14" s="4">
        <v>24</v>
      </c>
      <c r="D14" s="4">
        <f t="shared" si="1"/>
        <v>3.1780538303479458</v>
      </c>
      <c r="E14" s="4">
        <f t="shared" si="2"/>
        <v>576</v>
      </c>
      <c r="F14" s="4">
        <f t="shared" si="3"/>
        <v>10.100026148589249</v>
      </c>
      <c r="G14" s="4">
        <f t="shared" si="4"/>
        <v>76.273291928350702</v>
      </c>
      <c r="H14" s="4">
        <f t="shared" si="5"/>
        <v>3.3928753447230586</v>
      </c>
      <c r="I14" s="4">
        <f t="shared" si="6"/>
        <v>-0.21482151437511288</v>
      </c>
      <c r="J14" s="4">
        <f t="shared" si="7"/>
        <v>4.614828303841683E-2</v>
      </c>
      <c r="K14" s="4">
        <f t="shared" si="8"/>
        <v>6.7595303869221555</v>
      </c>
      <c r="L14" s="4">
        <f t="shared" si="9"/>
        <v>5.2145967660151261E-2</v>
      </c>
      <c r="M14" s="4">
        <f t="shared" si="10"/>
        <v>0.19640534843766774</v>
      </c>
      <c r="N14" s="4">
        <f t="shared" si="11"/>
        <v>29.751374860527527</v>
      </c>
      <c r="O14" s="4">
        <f t="shared" si="0"/>
        <v>-5.7513748605275268</v>
      </c>
      <c r="P14" s="4">
        <f t="shared" si="12"/>
        <v>33.078312786308025</v>
      </c>
      <c r="Q14" s="4">
        <f t="shared" si="13"/>
        <v>23.964061918864697</v>
      </c>
    </row>
    <row r="15" spans="1:19" x14ac:dyDescent="0.3">
      <c r="A15" s="4" t="s">
        <v>6</v>
      </c>
      <c r="B15" s="4">
        <f>SUM(B5:B14)</f>
        <v>356</v>
      </c>
      <c r="C15" s="4">
        <f>SUM(C5:C14)</f>
        <v>384</v>
      </c>
      <c r="D15" s="4">
        <f>SUM(D5:D14)</f>
        <v>36.212302607203966</v>
      </c>
      <c r="E15" s="4">
        <f t="shared" ref="E15:I15" si="14">SUM(E5:E14)</f>
        <v>13776</v>
      </c>
      <c r="F15" s="4">
        <f t="shared" si="14"/>
        <v>131.69717380937823</v>
      </c>
      <c r="G15" s="4">
        <f t="shared" si="14"/>
        <v>1310.8595641436566</v>
      </c>
      <c r="H15" s="4">
        <f t="shared" si="14"/>
        <v>36.212302607203966</v>
      </c>
      <c r="I15" s="14">
        <f t="shared" si="14"/>
        <v>1.7763568394002505E-15</v>
      </c>
      <c r="J15" s="4">
        <f t="shared" ref="J15" si="15">SUM(J5:J14)</f>
        <v>0.13687529224418368</v>
      </c>
      <c r="K15" s="4">
        <f t="shared" ref="K15:M15" si="16">SUM(K5:K14)</f>
        <v>26.196394933544408</v>
      </c>
      <c r="L15" s="4">
        <f t="shared" si="16"/>
        <v>0.42721250556295098</v>
      </c>
      <c r="M15" s="4">
        <f t="shared" si="16"/>
        <v>0.56408779780713447</v>
      </c>
      <c r="N15" s="4">
        <f t="shared" ref="N15:Q15" si="17">SUM(N5:N14)</f>
        <v>381.79713262685249</v>
      </c>
      <c r="O15" s="65">
        <f t="shared" si="17"/>
        <v>2.2028673731474449</v>
      </c>
      <c r="P15" s="69">
        <f t="shared" si="17"/>
        <v>145.52099582702149</v>
      </c>
      <c r="Q15" s="69">
        <f t="shared" si="17"/>
        <v>91.86962740555316</v>
      </c>
    </row>
    <row r="16" spans="1:19" x14ac:dyDescent="0.3">
      <c r="A16" s="4" t="s">
        <v>7</v>
      </c>
      <c r="B16" s="4">
        <f>AVERAGE(B5:B14)</f>
        <v>35.6</v>
      </c>
      <c r="C16" s="4">
        <f>AVERAGE(C5:C14)</f>
        <v>38.4</v>
      </c>
      <c r="D16" s="4">
        <f t="shared" ref="D16:Q16" si="18">AVERAGE(D5:D14)</f>
        <v>3.6212302607203966</v>
      </c>
      <c r="E16" s="4">
        <f t="shared" si="18"/>
        <v>1377.6</v>
      </c>
      <c r="F16" s="4">
        <f t="shared" si="18"/>
        <v>13.169717380937822</v>
      </c>
      <c r="G16" s="4">
        <f t="shared" si="18"/>
        <v>131.08595641436565</v>
      </c>
      <c r="H16" s="4">
        <f t="shared" si="18"/>
        <v>3.6212302607203966</v>
      </c>
      <c r="I16" s="14">
        <f t="shared" si="18"/>
        <v>1.7763568394002506E-16</v>
      </c>
      <c r="J16" s="4">
        <f t="shared" si="18"/>
        <v>1.3687529224418368E-2</v>
      </c>
      <c r="K16" s="4">
        <f t="shared" si="18"/>
        <v>2.6196394933544407</v>
      </c>
      <c r="L16" s="4">
        <f t="shared" si="18"/>
        <v>4.2721250556295096E-2</v>
      </c>
      <c r="M16" s="4">
        <f t="shared" si="18"/>
        <v>5.6408779780713444E-2</v>
      </c>
      <c r="N16" s="4">
        <f t="shared" si="18"/>
        <v>38.179713262685247</v>
      </c>
      <c r="O16" s="65">
        <f t="shared" si="18"/>
        <v>0.22028673731474449</v>
      </c>
      <c r="P16" s="68">
        <f t="shared" si="18"/>
        <v>14.55209958270215</v>
      </c>
      <c r="Q16" s="68">
        <f t="shared" si="18"/>
        <v>9.186962740555316</v>
      </c>
    </row>
    <row r="17" spans="1:17" x14ac:dyDescent="0.3">
      <c r="A17" s="4" t="s">
        <v>8</v>
      </c>
      <c r="B17" s="4">
        <f>SQRT(B18)</f>
        <v>10.499523798725349</v>
      </c>
      <c r="C17" s="4">
        <f t="shared" ref="C17" si="19">SQRT(C18)</f>
        <v>8.4994117443503114</v>
      </c>
      <c r="D17" s="13"/>
      <c r="E17" s="13"/>
      <c r="F17" s="13"/>
      <c r="G17" s="13"/>
      <c r="H17" s="13"/>
      <c r="I17" s="13"/>
      <c r="J17" s="13"/>
      <c r="K17" s="13"/>
      <c r="L17" s="12"/>
      <c r="M17" s="12"/>
      <c r="N17" s="12"/>
      <c r="O17" s="12"/>
      <c r="P17" s="12"/>
      <c r="Q17" s="12"/>
    </row>
    <row r="18" spans="1:17" x14ac:dyDescent="0.3">
      <c r="A18" s="4" t="s">
        <v>9</v>
      </c>
      <c r="B18" s="4">
        <f>_xlfn.VAR.P(B5:B14)</f>
        <v>110.24</v>
      </c>
      <c r="C18" s="4">
        <f>_xlfn.VAR.P(C5:C14)</f>
        <v>72.239999999999995</v>
      </c>
      <c r="D18" s="13"/>
      <c r="E18" s="13"/>
      <c r="F18" s="13"/>
      <c r="G18" s="13"/>
      <c r="H18" s="13"/>
      <c r="I18" s="13"/>
      <c r="J18" s="13"/>
      <c r="K18" s="13"/>
      <c r="L18" s="12"/>
      <c r="M18" s="12"/>
      <c r="N18" s="12"/>
      <c r="O18" s="12"/>
      <c r="P18" s="12"/>
      <c r="Q18" s="12"/>
    </row>
    <row r="19" spans="1:17" ht="15.6" x14ac:dyDescent="0.3">
      <c r="A19" s="8" t="s">
        <v>31</v>
      </c>
      <c r="B19" s="4">
        <f>_xlfn.COVARIANCE.P(B5:B14,D5:D14)</f>
        <v>2.1701591327195273</v>
      </c>
      <c r="C19" s="13"/>
      <c r="D19" s="13"/>
      <c r="E19" s="13"/>
      <c r="F19" s="13"/>
      <c r="G19" s="13"/>
      <c r="H19" s="13"/>
      <c r="I19" s="13"/>
      <c r="J19" s="13"/>
      <c r="K19" s="13"/>
      <c r="L19" s="12"/>
      <c r="M19" s="12"/>
      <c r="N19" s="12"/>
      <c r="O19" s="12"/>
      <c r="P19" s="12"/>
      <c r="Q19" s="12"/>
    </row>
    <row r="20" spans="1:17" ht="37.950000000000003" customHeight="1" x14ac:dyDescent="0.3">
      <c r="A20" s="9"/>
      <c r="B20" s="109">
        <f>B19/B18</f>
        <v>1.9685768620460155E-2</v>
      </c>
      <c r="C20" s="13"/>
      <c r="D20" s="13"/>
      <c r="E20" s="13"/>
      <c r="F20" s="13"/>
      <c r="G20" s="13"/>
      <c r="H20" s="13"/>
      <c r="I20" s="13"/>
      <c r="J20" s="13"/>
      <c r="K20" s="13"/>
      <c r="L20" s="12"/>
      <c r="M20" s="12"/>
      <c r="N20" s="12"/>
      <c r="O20" s="12"/>
      <c r="P20" s="12"/>
      <c r="Q20" s="12"/>
    </row>
    <row r="21" spans="1:17" ht="30" customHeight="1" x14ac:dyDescent="0.3">
      <c r="A21" s="12"/>
      <c r="B21" s="109">
        <f>D16-B20*B16</f>
        <v>2.9204168978320149</v>
      </c>
      <c r="C21" s="13"/>
      <c r="D21" s="13"/>
      <c r="E21" s="13"/>
      <c r="F21" s="13"/>
      <c r="G21" s="13"/>
      <c r="H21" s="13"/>
      <c r="I21" s="13"/>
      <c r="J21" s="13"/>
      <c r="K21" s="13"/>
      <c r="L21" s="12"/>
      <c r="M21" s="12"/>
      <c r="N21" s="12"/>
      <c r="O21" s="12"/>
      <c r="P21" s="12"/>
      <c r="Q21" s="12"/>
    </row>
    <row r="22" spans="1:17" ht="30.6" customHeight="1" x14ac:dyDescent="0.3">
      <c r="A22" s="183" t="s">
        <v>135</v>
      </c>
      <c r="B22" s="183"/>
      <c r="C22" s="183"/>
    </row>
    <row r="23" spans="1:17" ht="30.6" customHeight="1" x14ac:dyDescent="0.3">
      <c r="A23" s="72" t="s">
        <v>142</v>
      </c>
      <c r="B23" s="67"/>
      <c r="C23" s="67"/>
      <c r="D23" s="67"/>
      <c r="E23" s="128" t="s">
        <v>143</v>
      </c>
      <c r="F23" s="67"/>
      <c r="G23" s="67"/>
      <c r="H23" s="67"/>
      <c r="I23" s="67"/>
      <c r="J23" s="67"/>
    </row>
    <row r="24" spans="1:17" ht="15" thickBot="1" x14ac:dyDescent="0.35"/>
    <row r="25" spans="1:17" ht="15.6" x14ac:dyDescent="0.3">
      <c r="A25" s="107" t="s">
        <v>33</v>
      </c>
      <c r="B25" s="4">
        <f t="array" ref="B25:C29">LINEST(D5:D14,B5:B14,1,1)</f>
        <v>1.9685768620460151E-2</v>
      </c>
      <c r="C25" s="4">
        <v>2.9204168978320153</v>
      </c>
      <c r="E25" s="16"/>
      <c r="F25" s="46" t="s">
        <v>77</v>
      </c>
      <c r="G25" s="46" t="s">
        <v>68</v>
      </c>
      <c r="H25" s="46" t="s">
        <v>78</v>
      </c>
      <c r="I25" s="46" t="s">
        <v>79</v>
      </c>
      <c r="K25" s="164" t="s">
        <v>188</v>
      </c>
      <c r="L25" s="165"/>
    </row>
    <row r="26" spans="1:17" x14ac:dyDescent="0.3">
      <c r="A26" s="42"/>
      <c r="B26" s="4">
        <v>3.9395619477880844E-3</v>
      </c>
      <c r="C26" s="4">
        <v>0.14622091626650915</v>
      </c>
      <c r="E26" t="s">
        <v>84</v>
      </c>
      <c r="F26" s="90">
        <v>2.9204168978320153</v>
      </c>
      <c r="G26" s="90">
        <v>0.14622091626650915</v>
      </c>
      <c r="H26" s="90">
        <v>19.972634369963359</v>
      </c>
      <c r="I26" s="134">
        <v>4.1179908759199852E-8</v>
      </c>
      <c r="K26" s="4" t="s">
        <v>186</v>
      </c>
      <c r="L26" s="4" t="s">
        <v>187</v>
      </c>
    </row>
    <row r="27" spans="1:17" ht="15" thickBot="1" x14ac:dyDescent="0.35">
      <c r="A27" s="42"/>
      <c r="B27" s="4">
        <v>0.75735108474907642</v>
      </c>
      <c r="C27" s="4">
        <v>0.13080294924244992</v>
      </c>
      <c r="E27" s="15" t="s">
        <v>136</v>
      </c>
      <c r="F27" s="126">
        <v>1.9685768620460151E-2</v>
      </c>
      <c r="G27" s="126">
        <v>3.9395619477880844E-3</v>
      </c>
      <c r="H27" s="126">
        <v>4.9969435387386074</v>
      </c>
      <c r="I27" s="126">
        <v>1.0568540732150357E-3</v>
      </c>
      <c r="K27" s="4">
        <f>_xlfn.T.INV.2T(0.05,8)</f>
        <v>2.3060041352041671</v>
      </c>
      <c r="L27" s="4">
        <f>_xlfn.T.INV.2T(0.1,8)</f>
        <v>1.8595480375308981</v>
      </c>
    </row>
    <row r="28" spans="1:17" x14ac:dyDescent="0.3">
      <c r="A28" s="42"/>
      <c r="B28" s="4">
        <v>24.969444729341525</v>
      </c>
      <c r="C28" s="4">
        <v>8</v>
      </c>
    </row>
    <row r="29" spans="1:17" x14ac:dyDescent="0.3">
      <c r="A29" s="42"/>
      <c r="B29" s="4">
        <v>0.42721250556295098</v>
      </c>
      <c r="C29" s="4">
        <v>0.13687529224418346</v>
      </c>
    </row>
    <row r="31" spans="1:17" ht="16.2" thickBot="1" x14ac:dyDescent="0.35">
      <c r="A31" s="23" t="s">
        <v>144</v>
      </c>
    </row>
    <row r="32" spans="1:17" x14ac:dyDescent="0.3">
      <c r="A32" s="51" t="s">
        <v>66</v>
      </c>
      <c r="B32" s="70">
        <v>0.87025920549516533</v>
      </c>
      <c r="C32" s="42"/>
      <c r="D32" s="19" t="s">
        <v>38</v>
      </c>
      <c r="E32" s="19" t="s">
        <v>39</v>
      </c>
      <c r="F32" s="42"/>
      <c r="G32" s="57" t="s">
        <v>40</v>
      </c>
      <c r="H32" s="4">
        <f>_xlfn.F.INV.RT(0.05,1,8)</f>
        <v>5.3176550715787174</v>
      </c>
      <c r="I32" s="42"/>
      <c r="J32" s="4" t="s">
        <v>102</v>
      </c>
    </row>
    <row r="33" spans="1:10" x14ac:dyDescent="0.3">
      <c r="A33" s="71" t="s">
        <v>35</v>
      </c>
      <c r="B33" s="71">
        <v>0.75735108474907642</v>
      </c>
      <c r="C33" s="42"/>
      <c r="D33" s="42">
        <v>24.969444729341525</v>
      </c>
      <c r="E33" s="42">
        <v>1.0568540732150348E-3</v>
      </c>
      <c r="F33" s="42"/>
      <c r="G33" s="4" t="s">
        <v>41</v>
      </c>
      <c r="H33" s="4">
        <f>_xlfn.F.INV.RT(0.1,1,8)</f>
        <v>3.4579189038850133</v>
      </c>
      <c r="I33" s="42"/>
      <c r="J33" s="69">
        <f>Q16</f>
        <v>9.186962740555316</v>
      </c>
    </row>
    <row r="34" spans="1:10" ht="14.4" customHeight="1" x14ac:dyDescent="0.3">
      <c r="A34" s="180" t="s">
        <v>129</v>
      </c>
      <c r="B34" s="180"/>
      <c r="D34" s="154" t="s">
        <v>105</v>
      </c>
      <c r="E34" s="154"/>
      <c r="F34" s="119"/>
    </row>
    <row r="35" spans="1:10" ht="15.6" x14ac:dyDescent="0.3">
      <c r="A35" s="154"/>
      <c r="B35" s="154"/>
      <c r="D35" s="154"/>
      <c r="E35" s="154"/>
      <c r="F35" s="119"/>
      <c r="J35" s="61"/>
    </row>
    <row r="36" spans="1:10" x14ac:dyDescent="0.3">
      <c r="A36" s="154"/>
      <c r="B36" s="154"/>
      <c r="D36" s="154"/>
      <c r="E36" s="154"/>
      <c r="F36" s="119"/>
      <c r="J36" s="12">
        <f>B20*B16</f>
        <v>0.70081336288838159</v>
      </c>
    </row>
    <row r="37" spans="1:10" x14ac:dyDescent="0.3">
      <c r="A37" s="154"/>
      <c r="B37" s="154"/>
      <c r="D37" s="154"/>
      <c r="E37" s="154"/>
      <c r="F37" s="119"/>
    </row>
    <row r="38" spans="1:10" x14ac:dyDescent="0.3">
      <c r="A38" s="154"/>
      <c r="B38" s="154"/>
      <c r="D38" s="154"/>
      <c r="E38" s="154"/>
      <c r="F38" s="119"/>
    </row>
    <row r="39" spans="1:10" x14ac:dyDescent="0.3">
      <c r="A39" s="154"/>
      <c r="B39" s="154"/>
      <c r="D39" s="154"/>
      <c r="E39" s="154"/>
      <c r="F39" s="119"/>
    </row>
    <row r="40" spans="1:10" x14ac:dyDescent="0.3">
      <c r="A40" s="154"/>
      <c r="B40" s="154"/>
      <c r="D40" s="154"/>
      <c r="E40" s="154"/>
      <c r="F40" s="119"/>
    </row>
    <row r="43" spans="1:10" ht="15.6" x14ac:dyDescent="0.3">
      <c r="A43" s="23" t="s">
        <v>44</v>
      </c>
    </row>
    <row r="44" spans="1:10" ht="15.6" x14ac:dyDescent="0.3">
      <c r="A44" s="26" t="s">
        <v>45</v>
      </c>
    </row>
    <row r="45" spans="1:10" ht="15.6" x14ac:dyDescent="0.3">
      <c r="A45" s="26" t="s">
        <v>46</v>
      </c>
    </row>
    <row r="46" spans="1:10" ht="15.6" x14ac:dyDescent="0.3">
      <c r="A46" s="26" t="s">
        <v>47</v>
      </c>
    </row>
    <row r="47" spans="1:10" ht="15.6" x14ac:dyDescent="0.3">
      <c r="A47" s="26" t="s">
        <v>48</v>
      </c>
    </row>
    <row r="48" spans="1:10" ht="15.6" x14ac:dyDescent="0.3">
      <c r="A48" s="26" t="s">
        <v>49</v>
      </c>
    </row>
    <row r="50" spans="1:2" ht="15.6" x14ac:dyDescent="0.3">
      <c r="A50" s="23" t="s">
        <v>45</v>
      </c>
    </row>
    <row r="51" spans="1:2" ht="15.6" x14ac:dyDescent="0.3">
      <c r="A51" s="26" t="s">
        <v>50</v>
      </c>
    </row>
    <row r="53" spans="1:2" x14ac:dyDescent="0.3">
      <c r="A53" s="80" t="s">
        <v>130</v>
      </c>
      <c r="B53" s="81" t="s">
        <v>52</v>
      </c>
    </row>
    <row r="54" spans="1:2" x14ac:dyDescent="0.3">
      <c r="A54" s="13">
        <v>34.147033827363906</v>
      </c>
      <c r="B54" s="4">
        <v>3.8529661726360942</v>
      </c>
    </row>
    <row r="55" spans="1:2" x14ac:dyDescent="0.3">
      <c r="A55" s="13">
        <v>29.171423303866789</v>
      </c>
      <c r="B55" s="4">
        <v>-3.1714233038667885</v>
      </c>
    </row>
    <row r="56" spans="1:2" x14ac:dyDescent="0.3">
      <c r="A56" s="13">
        <v>39.192135646616656</v>
      </c>
      <c r="B56" s="4">
        <v>0.80786435338334428</v>
      </c>
    </row>
    <row r="57" spans="1:2" x14ac:dyDescent="0.3">
      <c r="A57" s="13">
        <v>46.788994873421103</v>
      </c>
      <c r="B57" s="4">
        <v>-1.7889948734211032</v>
      </c>
    </row>
    <row r="58" spans="1:2" x14ac:dyDescent="0.3">
      <c r="A58" s="13">
        <v>45.876924404790955</v>
      </c>
      <c r="B58" s="4">
        <v>5.1230755952090448</v>
      </c>
    </row>
    <row r="59" spans="1:2" x14ac:dyDescent="0.3">
      <c r="A59" s="13">
        <v>48.667894405610483</v>
      </c>
      <c r="B59" s="4">
        <v>0.33210559438951748</v>
      </c>
    </row>
    <row r="60" spans="1:2" x14ac:dyDescent="0.3">
      <c r="A60" s="13">
        <v>27.498522342839923</v>
      </c>
      <c r="B60" s="4">
        <v>6.501477657160077</v>
      </c>
    </row>
    <row r="61" spans="1:2" x14ac:dyDescent="0.3">
      <c r="A61" s="13">
        <v>34.825904557024259</v>
      </c>
      <c r="B61" s="4">
        <v>0.17409544297574087</v>
      </c>
    </row>
    <row r="62" spans="1:2" x14ac:dyDescent="0.3">
      <c r="A62" s="13">
        <v>45.876924404790955</v>
      </c>
      <c r="B62" s="4">
        <v>-3.8769244047909552</v>
      </c>
    </row>
    <row r="63" spans="1:2" x14ac:dyDescent="0.3">
      <c r="A63" s="13">
        <v>29.751374860527527</v>
      </c>
      <c r="B63" s="4">
        <v>-5.7513748605275268</v>
      </c>
    </row>
    <row r="66" spans="1:1" ht="15.6" x14ac:dyDescent="0.3">
      <c r="A66" s="23" t="s">
        <v>46</v>
      </c>
    </row>
    <row r="67" spans="1:1" ht="15.6" x14ac:dyDescent="0.3">
      <c r="A67" s="30" t="s">
        <v>53</v>
      </c>
    </row>
    <row r="84" spans="1:1" ht="15.6" x14ac:dyDescent="0.3">
      <c r="A84" s="23" t="s">
        <v>47</v>
      </c>
    </row>
    <row r="85" spans="1:1" ht="15.6" x14ac:dyDescent="0.3">
      <c r="A85" s="26" t="s">
        <v>107</v>
      </c>
    </row>
    <row r="101" spans="1:6" ht="15.6" x14ac:dyDescent="0.3">
      <c r="A101" s="23" t="s">
        <v>48</v>
      </c>
    </row>
    <row r="106" spans="1:6" x14ac:dyDescent="0.3">
      <c r="A106" s="32" t="s">
        <v>55</v>
      </c>
      <c r="B106" s="76" t="s">
        <v>56</v>
      </c>
      <c r="C106" s="32" t="s">
        <v>57</v>
      </c>
      <c r="D106" s="33" t="s">
        <v>58</v>
      </c>
      <c r="E106" s="32" t="s">
        <v>55</v>
      </c>
      <c r="F106" s="32" t="s">
        <v>55</v>
      </c>
    </row>
    <row r="107" spans="1:6" x14ac:dyDescent="0.3">
      <c r="A107" s="74">
        <v>1</v>
      </c>
      <c r="B107" s="4">
        <v>3.8529661726360942</v>
      </c>
      <c r="C107" s="75" t="s">
        <v>55</v>
      </c>
      <c r="D107" s="32">
        <f>B107^2</f>
        <v>14.845348327478032</v>
      </c>
      <c r="E107" s="32" t="s">
        <v>55</v>
      </c>
      <c r="F107" s="32" t="s">
        <v>55</v>
      </c>
    </row>
    <row r="108" spans="1:6" x14ac:dyDescent="0.3">
      <c r="A108" s="74">
        <v>2</v>
      </c>
      <c r="B108" s="4">
        <v>-3.1714233038667885</v>
      </c>
      <c r="C108" s="75">
        <f>B107</f>
        <v>3.8529661726360942</v>
      </c>
      <c r="D108" s="32">
        <f t="shared" ref="D108:D116" si="20">B108^2</f>
        <v>10.057925772309336</v>
      </c>
      <c r="E108" s="32">
        <f>D107</f>
        <v>14.845348327478032</v>
      </c>
      <c r="F108" s="32">
        <f>B108*C108</f>
        <v>-12.219386708908537</v>
      </c>
    </row>
    <row r="109" spans="1:6" x14ac:dyDescent="0.3">
      <c r="A109" s="74">
        <v>3</v>
      </c>
      <c r="B109" s="4">
        <v>0.80786435338334428</v>
      </c>
      <c r="C109" s="75">
        <f t="shared" ref="C109:C116" si="21">B108</f>
        <v>-3.1714233038667885</v>
      </c>
      <c r="D109" s="32">
        <f t="shared" si="20"/>
        <v>0.65264481346748893</v>
      </c>
      <c r="E109" s="32">
        <f t="shared" ref="E109:E116" si="22">D108</f>
        <v>10.057925772309336</v>
      </c>
      <c r="F109" s="32">
        <f t="shared" ref="F109:F116" si="23">B109*C109</f>
        <v>-2.5620798366832123</v>
      </c>
    </row>
    <row r="110" spans="1:6" x14ac:dyDescent="0.3">
      <c r="A110" s="74">
        <v>4</v>
      </c>
      <c r="B110" s="4">
        <v>-1.7889948734211032</v>
      </c>
      <c r="C110" s="75">
        <f t="shared" si="21"/>
        <v>0.80786435338334428</v>
      </c>
      <c r="D110" s="32">
        <f t="shared" si="20"/>
        <v>3.200502657126989</v>
      </c>
      <c r="E110" s="32">
        <f t="shared" si="22"/>
        <v>0.65264481346748893</v>
      </c>
      <c r="F110" s="32">
        <f t="shared" si="23"/>
        <v>-1.4452651866224573</v>
      </c>
    </row>
    <row r="111" spans="1:6" x14ac:dyDescent="0.3">
      <c r="A111" s="74">
        <v>5</v>
      </c>
      <c r="B111" s="4">
        <v>5.1230755952090448</v>
      </c>
      <c r="C111" s="75">
        <f t="shared" si="21"/>
        <v>-1.7889948734211032</v>
      </c>
      <c r="D111" s="32">
        <f t="shared" si="20"/>
        <v>26.245903554226508</v>
      </c>
      <c r="E111" s="32">
        <f t="shared" si="22"/>
        <v>3.200502657126989</v>
      </c>
      <c r="F111" s="32">
        <f t="shared" si="23"/>
        <v>-9.1651559759777488</v>
      </c>
    </row>
    <row r="112" spans="1:6" x14ac:dyDescent="0.3">
      <c r="A112" s="74">
        <v>6</v>
      </c>
      <c r="B112" s="4">
        <v>0.33210559438951748</v>
      </c>
      <c r="C112" s="75">
        <f t="shared" si="21"/>
        <v>5.1230755952090448</v>
      </c>
      <c r="D112" s="32">
        <f t="shared" si="20"/>
        <v>0.11029412582481471</v>
      </c>
      <c r="E112" s="32">
        <f t="shared" si="22"/>
        <v>26.245903554226508</v>
      </c>
      <c r="F112" s="32">
        <f t="shared" si="23"/>
        <v>1.7014020656493309</v>
      </c>
    </row>
    <row r="113" spans="1:11" x14ac:dyDescent="0.3">
      <c r="A113" s="74">
        <v>7</v>
      </c>
      <c r="B113" s="4">
        <v>6.501477657160077</v>
      </c>
      <c r="C113" s="75">
        <f t="shared" si="21"/>
        <v>0.33210559438951748</v>
      </c>
      <c r="D113" s="32">
        <f t="shared" si="20"/>
        <v>42.269211726551681</v>
      </c>
      <c r="E113" s="32">
        <f t="shared" si="22"/>
        <v>0.11029412582481471</v>
      </c>
      <c r="F113" s="32">
        <f t="shared" si="23"/>
        <v>2.1591771017413151</v>
      </c>
    </row>
    <row r="114" spans="1:11" x14ac:dyDescent="0.3">
      <c r="A114" s="74">
        <v>8</v>
      </c>
      <c r="B114" s="4">
        <v>0.17409544297574087</v>
      </c>
      <c r="C114" s="75">
        <f t="shared" si="21"/>
        <v>6.501477657160077</v>
      </c>
      <c r="D114" s="32">
        <f t="shared" si="20"/>
        <v>3.030922326491944E-2</v>
      </c>
      <c r="E114" s="32">
        <f t="shared" si="22"/>
        <v>42.269211726551681</v>
      </c>
      <c r="F114" s="32">
        <f t="shared" si="23"/>
        <v>1.1318776327201656</v>
      </c>
    </row>
    <row r="115" spans="1:11" x14ac:dyDescent="0.3">
      <c r="A115" s="74">
        <v>9</v>
      </c>
      <c r="B115" s="4">
        <v>-3.8769244047909552</v>
      </c>
      <c r="C115" s="75">
        <f t="shared" si="21"/>
        <v>0.17409544297574087</v>
      </c>
      <c r="D115" s="32">
        <f t="shared" si="20"/>
        <v>15.030542840463703</v>
      </c>
      <c r="E115" s="32">
        <f t="shared" si="22"/>
        <v>3.030922326491944E-2</v>
      </c>
      <c r="F115" s="32">
        <f t="shared" si="23"/>
        <v>-0.6749548716355418</v>
      </c>
    </row>
    <row r="116" spans="1:11" x14ac:dyDescent="0.3">
      <c r="A116" s="74">
        <v>10</v>
      </c>
      <c r="B116" s="4">
        <v>-5.7513748605275268</v>
      </c>
      <c r="C116" s="75">
        <f t="shared" si="21"/>
        <v>-3.8769244047909552</v>
      </c>
      <c r="D116" s="32">
        <f t="shared" si="20"/>
        <v>33.078312786308025</v>
      </c>
      <c r="E116" s="32">
        <f t="shared" si="22"/>
        <v>15.030542840463703</v>
      </c>
      <c r="F116" s="32">
        <f t="shared" si="23"/>
        <v>22.297645557880344</v>
      </c>
    </row>
    <row r="117" spans="1:11" x14ac:dyDescent="0.3">
      <c r="A117" s="32" t="s">
        <v>7</v>
      </c>
      <c r="B117" s="77">
        <f>AVERAGE(B108:B116)</f>
        <v>-0.18334431105429438</v>
      </c>
      <c r="C117" s="32">
        <f t="shared" ref="C117:F117" si="24">AVERAGE(C108:C116)</f>
        <v>0.88380469263055239</v>
      </c>
      <c r="D117" s="32">
        <f t="shared" si="24"/>
        <v>14.519516388838165</v>
      </c>
      <c r="E117" s="32">
        <f t="shared" si="24"/>
        <v>12.493631448968163</v>
      </c>
      <c r="F117" s="32">
        <f t="shared" si="24"/>
        <v>0.13591775312929461</v>
      </c>
    </row>
    <row r="118" spans="1:11" ht="15.6" x14ac:dyDescent="0.3">
      <c r="A118" s="35" t="s">
        <v>59</v>
      </c>
      <c r="B118" s="32">
        <f>_xlfn.VAR.P(B108:B116)</f>
        <v>14.485901252442192</v>
      </c>
      <c r="C118" s="32">
        <f>_xlfn.VAR.P(C108:C116)</f>
        <v>11.712520714252378</v>
      </c>
      <c r="D118" s="32" t="s">
        <v>55</v>
      </c>
      <c r="E118" s="32" t="s">
        <v>55</v>
      </c>
      <c r="F118" s="32" t="s">
        <v>55</v>
      </c>
    </row>
    <row r="119" spans="1:11" x14ac:dyDescent="0.3">
      <c r="A119" s="36" t="s">
        <v>9</v>
      </c>
      <c r="B119" s="32">
        <f>D117-B117^2</f>
        <v>14.48590125244219</v>
      </c>
      <c r="C119" s="32">
        <f>E117-C117^2</f>
        <v>11.712520714252378</v>
      </c>
      <c r="D119" s="32" t="s">
        <v>55</v>
      </c>
      <c r="E119" s="32" t="s">
        <v>55</v>
      </c>
      <c r="F119" s="32" t="s">
        <v>55</v>
      </c>
    </row>
    <row r="120" spans="1:11" ht="15.6" x14ac:dyDescent="0.3">
      <c r="A120" s="35" t="s">
        <v>8</v>
      </c>
      <c r="B120" s="32">
        <f>SQRT(B118)</f>
        <v>3.8060348464566363</v>
      </c>
      <c r="C120" s="32">
        <f>SQRT(C118)</f>
        <v>3.4223560180455186</v>
      </c>
      <c r="D120" s="32" t="s">
        <v>55</v>
      </c>
      <c r="E120" s="32" t="s">
        <v>55</v>
      </c>
      <c r="F120" s="32" t="s">
        <v>55</v>
      </c>
    </row>
    <row r="121" spans="1:11" x14ac:dyDescent="0.3">
      <c r="A121" s="32" t="s">
        <v>55</v>
      </c>
      <c r="B121" s="32">
        <f>F117-C117*B117</f>
        <v>0.29795831560619568</v>
      </c>
      <c r="C121" s="32" t="s">
        <v>55</v>
      </c>
      <c r="D121" s="32" t="s">
        <v>55</v>
      </c>
      <c r="E121" s="32" t="s">
        <v>55</v>
      </c>
      <c r="F121" s="32" t="s">
        <v>55</v>
      </c>
    </row>
    <row r="122" spans="1:11" x14ac:dyDescent="0.3">
      <c r="A122" s="32" t="s">
        <v>60</v>
      </c>
      <c r="B122" s="32">
        <f>_xlfn.COVARIANCE.P(B108:B116,C108:C116)</f>
        <v>0.29795831560619646</v>
      </c>
      <c r="C122" s="32" t="s">
        <v>55</v>
      </c>
      <c r="D122" s="32" t="s">
        <v>55</v>
      </c>
      <c r="E122" s="32" t="s">
        <v>55</v>
      </c>
      <c r="F122" s="32" t="s">
        <v>55</v>
      </c>
    </row>
    <row r="123" spans="1:11" x14ac:dyDescent="0.3">
      <c r="A123" s="162"/>
      <c r="B123" s="162"/>
      <c r="C123" s="31"/>
      <c r="D123" s="31"/>
      <c r="E123" s="31"/>
      <c r="F123" s="31"/>
    </row>
    <row r="124" spans="1:11" ht="18" x14ac:dyDescent="0.3">
      <c r="A124" s="38" t="s">
        <v>61</v>
      </c>
      <c r="B124" s="129">
        <f>CORREL(B108:B116,C108:C116)</f>
        <v>2.2874813626385677E-2</v>
      </c>
      <c r="C124" s="31"/>
      <c r="D124" s="31"/>
      <c r="E124" s="31"/>
      <c r="F124" s="31"/>
    </row>
    <row r="125" spans="1:11" ht="39" customHeight="1" x14ac:dyDescent="0.3">
      <c r="A125" s="156"/>
      <c r="B125" s="156"/>
      <c r="C125" s="78">
        <f>B122/(B120*C120)</f>
        <v>2.287481362638568E-2</v>
      </c>
    </row>
    <row r="127" spans="1:11" ht="15.6" x14ac:dyDescent="0.3">
      <c r="A127" s="123" t="s">
        <v>62</v>
      </c>
      <c r="B127" s="54"/>
      <c r="C127" s="54"/>
      <c r="D127" s="54"/>
      <c r="E127" s="54"/>
      <c r="F127" s="54"/>
      <c r="G127" s="54"/>
      <c r="H127" s="54"/>
      <c r="I127" s="54"/>
      <c r="J127" s="54"/>
      <c r="K127" s="79"/>
    </row>
    <row r="129" spans="1:4" ht="15.6" x14ac:dyDescent="0.3">
      <c r="A129" s="23" t="s">
        <v>49</v>
      </c>
    </row>
    <row r="141" spans="1:4" ht="15.6" x14ac:dyDescent="0.3">
      <c r="A141" s="124" t="s">
        <v>63</v>
      </c>
      <c r="B141" s="28"/>
      <c r="C141" s="28"/>
      <c r="D141" s="28"/>
    </row>
  </sheetData>
  <mergeCells count="8">
    <mergeCell ref="A125:B125"/>
    <mergeCell ref="A1:M1"/>
    <mergeCell ref="A2:C2"/>
    <mergeCell ref="A34:B40"/>
    <mergeCell ref="A123:B123"/>
    <mergeCell ref="A22:C22"/>
    <mergeCell ref="D34:E40"/>
    <mergeCell ref="K25:L2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16" sqref="A16:E18"/>
    </sheetView>
  </sheetViews>
  <sheetFormatPr defaultRowHeight="14.4" x14ac:dyDescent="0.3"/>
  <cols>
    <col min="1" max="1" width="24.88671875" bestFit="1" customWidth="1"/>
    <col min="2" max="2" width="21.441406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0.87025920549516533</v>
      </c>
    </row>
    <row r="5" spans="1:9" x14ac:dyDescent="0.3">
      <c r="A5" t="s">
        <v>35</v>
      </c>
      <c r="B5">
        <v>0.75735108474907642</v>
      </c>
    </row>
    <row r="6" spans="1:9" x14ac:dyDescent="0.3">
      <c r="A6" t="s">
        <v>67</v>
      </c>
      <c r="B6">
        <v>0.72701997034271093</v>
      </c>
    </row>
    <row r="7" spans="1:9" x14ac:dyDescent="0.3">
      <c r="A7" t="s">
        <v>68</v>
      </c>
      <c r="B7">
        <v>0.13080294924244992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1</v>
      </c>
      <c r="C12">
        <v>0.42721250556295098</v>
      </c>
      <c r="D12">
        <v>0.42721250556295098</v>
      </c>
      <c r="E12">
        <v>24.969444729341525</v>
      </c>
      <c r="F12">
        <v>1.0568540732150348E-3</v>
      </c>
    </row>
    <row r="13" spans="1:9" x14ac:dyDescent="0.3">
      <c r="A13" t="s">
        <v>75</v>
      </c>
      <c r="B13">
        <v>8</v>
      </c>
      <c r="C13">
        <v>0.13687529224418346</v>
      </c>
      <c r="D13">
        <v>1.7109411530522933E-2</v>
      </c>
    </row>
    <row r="14" spans="1:9" ht="15" thickBot="1" x14ac:dyDescent="0.35">
      <c r="A14" s="15" t="s">
        <v>76</v>
      </c>
      <c r="B14" s="15">
        <v>9</v>
      </c>
      <c r="C14" s="15">
        <v>0.56408779780713447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2.9204168978320153</v>
      </c>
      <c r="C17">
        <v>0.14622091626650915</v>
      </c>
      <c r="D17">
        <v>19.972634369963359</v>
      </c>
      <c r="E17">
        <v>4.1179908759199852E-8</v>
      </c>
      <c r="F17">
        <v>2.5832308602681029</v>
      </c>
      <c r="G17">
        <v>3.2576029353959277</v>
      </c>
      <c r="H17">
        <v>2.6485120799426585</v>
      </c>
      <c r="I17">
        <v>3.1923217157213721</v>
      </c>
    </row>
    <row r="18" spans="1:9" ht="15" thickBot="1" x14ac:dyDescent="0.35">
      <c r="A18" s="15" t="s">
        <v>136</v>
      </c>
      <c r="B18" s="15">
        <v>1.9685768620460151E-2</v>
      </c>
      <c r="C18" s="15">
        <v>3.9395619477880844E-3</v>
      </c>
      <c r="D18" s="15">
        <v>4.9969435387386074</v>
      </c>
      <c r="E18" s="15">
        <v>1.0568540732150357E-3</v>
      </c>
      <c r="F18" s="15">
        <v>1.0601122477967845E-2</v>
      </c>
      <c r="G18" s="15">
        <v>2.8770414762952459E-2</v>
      </c>
      <c r="H18" s="15">
        <v>1.2359963931719417E-2</v>
      </c>
      <c r="I18" s="15">
        <v>2.7011573309200884E-2</v>
      </c>
    </row>
    <row r="22" spans="1:9" x14ac:dyDescent="0.3">
      <c r="A22" t="s">
        <v>85</v>
      </c>
      <c r="F22" t="s">
        <v>86</v>
      </c>
    </row>
    <row r="23" spans="1:9" ht="15" thickBot="1" x14ac:dyDescent="0.35"/>
    <row r="24" spans="1:9" x14ac:dyDescent="0.3">
      <c r="A24" s="16" t="s">
        <v>87</v>
      </c>
      <c r="B24" s="16" t="s">
        <v>145</v>
      </c>
      <c r="C24" s="16" t="s">
        <v>52</v>
      </c>
      <c r="D24" s="16" t="s">
        <v>88</v>
      </c>
      <c r="F24" s="16" t="s">
        <v>89</v>
      </c>
      <c r="G24" s="16" t="s">
        <v>113</v>
      </c>
    </row>
    <row r="25" spans="1:9" x14ac:dyDescent="0.3">
      <c r="A25">
        <v>1</v>
      </c>
      <c r="B25">
        <v>3.5306757250662799</v>
      </c>
      <c r="C25">
        <v>0.10691043466010575</v>
      </c>
      <c r="D25">
        <v>0.8669195966022023</v>
      </c>
      <c r="F25">
        <v>5</v>
      </c>
      <c r="G25">
        <v>3.1780538303479458</v>
      </c>
    </row>
    <row r="26" spans="1:9" x14ac:dyDescent="0.3">
      <c r="A26">
        <v>2</v>
      </c>
      <c r="B26">
        <v>3.373189576102599</v>
      </c>
      <c r="C26">
        <v>-0.11509303808111682</v>
      </c>
      <c r="D26">
        <v>-0.93327101757856623</v>
      </c>
      <c r="F26">
        <v>15</v>
      </c>
      <c r="G26">
        <v>3.2580965380214821</v>
      </c>
    </row>
    <row r="27" spans="1:9" x14ac:dyDescent="0.3">
      <c r="A27">
        <v>3</v>
      </c>
      <c r="B27">
        <v>3.6684761054095012</v>
      </c>
      <c r="C27">
        <v>2.0403348704435054E-2</v>
      </c>
      <c r="D27">
        <v>0.16544748774446158</v>
      </c>
      <c r="F27">
        <v>25</v>
      </c>
      <c r="G27">
        <v>3.5263605246161616</v>
      </c>
    </row>
    <row r="28" spans="1:9" x14ac:dyDescent="0.3">
      <c r="A28">
        <v>4</v>
      </c>
      <c r="B28">
        <v>3.8456480229936423</v>
      </c>
      <c r="C28">
        <v>-3.8985533223322655E-2</v>
      </c>
      <c r="D28">
        <v>-0.31612744670559556</v>
      </c>
      <c r="F28">
        <v>35</v>
      </c>
      <c r="G28">
        <v>3.5553480614894135</v>
      </c>
    </row>
    <row r="29" spans="1:9" x14ac:dyDescent="0.3">
      <c r="A29">
        <v>5</v>
      </c>
      <c r="B29">
        <v>3.8259622543731822</v>
      </c>
      <c r="C29">
        <v>0.10586337835114357</v>
      </c>
      <c r="D29">
        <v>0.85842918464315343</v>
      </c>
      <c r="F29">
        <v>45</v>
      </c>
      <c r="G29">
        <v>3.6375861597263857</v>
      </c>
    </row>
    <row r="30" spans="1:9" x14ac:dyDescent="0.3">
      <c r="A30">
        <v>6</v>
      </c>
      <c r="B30">
        <v>3.8850195602345625</v>
      </c>
      <c r="C30">
        <v>6.8007378760639448E-3</v>
      </c>
      <c r="D30">
        <v>5.5146094530983007E-2</v>
      </c>
      <c r="F30">
        <v>55</v>
      </c>
      <c r="G30">
        <v>3.6888794541139363</v>
      </c>
    </row>
    <row r="31" spans="1:9" x14ac:dyDescent="0.3">
      <c r="A31">
        <v>7</v>
      </c>
      <c r="B31">
        <v>3.3141322702412181</v>
      </c>
      <c r="C31">
        <v>0.21222825437494341</v>
      </c>
      <c r="D31">
        <v>1.7209249336161436</v>
      </c>
      <c r="F31">
        <v>65</v>
      </c>
      <c r="G31">
        <v>3.7376696182833684</v>
      </c>
    </row>
    <row r="32" spans="1:9" x14ac:dyDescent="0.3">
      <c r="A32">
        <v>8</v>
      </c>
      <c r="B32">
        <v>3.55036149368674</v>
      </c>
      <c r="C32">
        <v>4.9865678026734805E-3</v>
      </c>
      <c r="D32">
        <v>4.0435279883268116E-2</v>
      </c>
      <c r="F32">
        <v>75</v>
      </c>
      <c r="G32">
        <v>3.8066624897703196</v>
      </c>
    </row>
    <row r="33" spans="1:7" x14ac:dyDescent="0.3">
      <c r="A33">
        <v>9</v>
      </c>
      <c r="B33">
        <v>3.8259622543731822</v>
      </c>
      <c r="C33">
        <v>-8.8292636089813747E-2</v>
      </c>
      <c r="D33">
        <v>-0.71595084900060468</v>
      </c>
      <c r="F33">
        <v>85</v>
      </c>
      <c r="G33">
        <v>3.8918202981106265</v>
      </c>
    </row>
    <row r="34" spans="1:7" ht="15" thickBot="1" x14ac:dyDescent="0.35">
      <c r="A34" s="15">
        <v>10</v>
      </c>
      <c r="B34" s="15">
        <v>3.3928753447230591</v>
      </c>
      <c r="C34" s="15">
        <v>-0.21482151437511332</v>
      </c>
      <c r="D34" s="15">
        <v>-1.7419532637354562</v>
      </c>
      <c r="F34" s="15">
        <v>95</v>
      </c>
      <c r="G34" s="15">
        <v>3.9318256327243257</v>
      </c>
    </row>
  </sheetData>
  <sortState ref="G25:G34">
    <sortCondition ref="G25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zoomScale="85" zoomScaleNormal="85" workbookViewId="0">
      <selection activeCell="J29" sqref="J29"/>
    </sheetView>
  </sheetViews>
  <sheetFormatPr defaultRowHeight="14.4" x14ac:dyDescent="0.3"/>
  <cols>
    <col min="1" max="1" width="15.5546875" customWidth="1"/>
    <col min="5" max="5" width="21.6640625" customWidth="1"/>
    <col min="7" max="7" width="10.33203125" customWidth="1"/>
    <col min="8" max="8" width="28" customWidth="1"/>
  </cols>
  <sheetData>
    <row r="1" spans="1:12" ht="37.200000000000003" customHeight="1" x14ac:dyDescent="0.3">
      <c r="A1" s="184" t="s">
        <v>190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</row>
    <row r="3" spans="1:12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</row>
    <row r="4" spans="1:12" ht="29.4" customHeight="1" x14ac:dyDescent="0.3">
      <c r="A4" s="3"/>
      <c r="B4" s="5" t="s">
        <v>21</v>
      </c>
      <c r="C4" s="5" t="s">
        <v>111</v>
      </c>
      <c r="D4" s="87" t="s">
        <v>146</v>
      </c>
      <c r="E4" s="87" t="s">
        <v>147</v>
      </c>
      <c r="F4" s="6" t="s">
        <v>26</v>
      </c>
      <c r="G4" s="6" t="s">
        <v>148</v>
      </c>
      <c r="H4" s="10" t="s">
        <v>149</v>
      </c>
      <c r="I4" s="87" t="s">
        <v>29</v>
      </c>
      <c r="J4" s="87" t="s">
        <v>30</v>
      </c>
    </row>
    <row r="5" spans="1:12" x14ac:dyDescent="0.3">
      <c r="A5" s="2">
        <v>1</v>
      </c>
      <c r="B5" s="4">
        <v>38</v>
      </c>
      <c r="C5" s="4">
        <v>31</v>
      </c>
      <c r="D5" s="4">
        <f>C5^2</f>
        <v>961</v>
      </c>
      <c r="E5" s="4">
        <f>D$23+C$23*C5+B$23*D5</f>
        <v>34.237215655930072</v>
      </c>
      <c r="F5" s="4">
        <f>B5-E5</f>
        <v>3.762784344069928</v>
      </c>
      <c r="G5" s="4">
        <f>F5^2</f>
        <v>14.158546019977758</v>
      </c>
      <c r="H5" s="4">
        <f>ABS((F5/B5)*100)</f>
        <v>9.9020640633419159</v>
      </c>
      <c r="I5" s="4">
        <f>(E5-B$16)^2</f>
        <v>17.32877349523369</v>
      </c>
      <c r="J5" s="4">
        <f>(B5-B$16)^2</f>
        <v>0.15999999999999887</v>
      </c>
    </row>
    <row r="6" spans="1:12" x14ac:dyDescent="0.3">
      <c r="A6" s="2">
        <v>2</v>
      </c>
      <c r="B6" s="4">
        <v>26</v>
      </c>
      <c r="C6" s="4">
        <v>23</v>
      </c>
      <c r="D6" s="4">
        <f t="shared" ref="D6:D14" si="0">C6^2</f>
        <v>529</v>
      </c>
      <c r="E6" s="4">
        <f t="shared" ref="E6:E14" si="1">D$23+C$23*C6+B$23*D6</f>
        <v>29.601059012303484</v>
      </c>
      <c r="F6" s="4">
        <f t="shared" ref="F6:F14" si="2">B6-E6</f>
        <v>-3.6010590123034838</v>
      </c>
      <c r="G6" s="4">
        <f t="shared" ref="G6:G14" si="3">F6^2</f>
        <v>12.967626010092141</v>
      </c>
      <c r="H6" s="4">
        <f t="shared" ref="H6:H14" si="4">ABS((F6/B6)*100)</f>
        <v>13.850226970398014</v>
      </c>
      <c r="I6" s="4">
        <f t="shared" ref="I6:I14" si="5">(E6-B$16)^2</f>
        <v>77.421362504965714</v>
      </c>
      <c r="J6" s="4">
        <f t="shared" ref="J6:J14" si="6">(B6-B$16)^2</f>
        <v>153.75999999999996</v>
      </c>
    </row>
    <row r="7" spans="1:12" x14ac:dyDescent="0.3">
      <c r="A7" s="2">
        <v>3</v>
      </c>
      <c r="B7" s="4">
        <v>40</v>
      </c>
      <c r="C7" s="4">
        <v>38</v>
      </c>
      <c r="D7" s="4">
        <f t="shared" si="0"/>
        <v>1444</v>
      </c>
      <c r="E7" s="4">
        <f t="shared" si="1"/>
        <v>39.228361629735836</v>
      </c>
      <c r="F7" s="4">
        <f t="shared" si="2"/>
        <v>0.7716383702641636</v>
      </c>
      <c r="G7" s="4">
        <f t="shared" si="3"/>
        <v>0.59542577446393441</v>
      </c>
      <c r="H7" s="4">
        <f t="shared" si="4"/>
        <v>1.9290959256604088</v>
      </c>
      <c r="I7" s="4">
        <f t="shared" si="5"/>
        <v>0.68618298961861324</v>
      </c>
      <c r="J7" s="4">
        <f t="shared" si="6"/>
        <v>2.5600000000000045</v>
      </c>
    </row>
    <row r="8" spans="1:12" x14ac:dyDescent="0.3">
      <c r="A8" s="2">
        <v>4</v>
      </c>
      <c r="B8" s="4">
        <v>45</v>
      </c>
      <c r="C8" s="4">
        <v>47</v>
      </c>
      <c r="D8" s="4">
        <f t="shared" si="0"/>
        <v>2209</v>
      </c>
      <c r="E8" s="4">
        <f t="shared" si="1"/>
        <v>46.927161530639253</v>
      </c>
      <c r="F8" s="4">
        <f t="shared" si="2"/>
        <v>-1.9271615306392533</v>
      </c>
      <c r="G8" s="4">
        <f t="shared" si="3"/>
        <v>3.7139515651758299</v>
      </c>
      <c r="H8" s="4">
        <f t="shared" si="4"/>
        <v>4.282581179198341</v>
      </c>
      <c r="I8" s="4">
        <f t="shared" si="5"/>
        <v>72.712483769613996</v>
      </c>
      <c r="J8" s="4">
        <f t="shared" si="6"/>
        <v>43.560000000000016</v>
      </c>
    </row>
    <row r="9" spans="1:12" x14ac:dyDescent="0.3">
      <c r="A9" s="2">
        <v>5</v>
      </c>
      <c r="B9" s="4">
        <v>51</v>
      </c>
      <c r="C9" s="4">
        <v>46</v>
      </c>
      <c r="D9" s="4">
        <f t="shared" si="0"/>
        <v>2116</v>
      </c>
      <c r="E9" s="4">
        <f t="shared" si="1"/>
        <v>46.000538640522429</v>
      </c>
      <c r="F9" s="4">
        <f t="shared" si="2"/>
        <v>4.9994613594775714</v>
      </c>
      <c r="G9" s="4">
        <f t="shared" si="3"/>
        <v>24.994613884909327</v>
      </c>
      <c r="H9" s="4">
        <f t="shared" si="4"/>
        <v>9.8028654107403348</v>
      </c>
      <c r="I9" s="4">
        <f t="shared" si="5"/>
        <v>57.76818762607455</v>
      </c>
      <c r="J9" s="4">
        <f t="shared" si="6"/>
        <v>158.76000000000005</v>
      </c>
    </row>
    <row r="10" spans="1:12" x14ac:dyDescent="0.3">
      <c r="A10" s="2">
        <v>6</v>
      </c>
      <c r="B10" s="4">
        <v>49</v>
      </c>
      <c r="C10" s="4">
        <v>49</v>
      </c>
      <c r="D10" s="4">
        <f t="shared" si="0"/>
        <v>2401</v>
      </c>
      <c r="E10" s="4">
        <f t="shared" si="1"/>
        <v>48.833807820051902</v>
      </c>
      <c r="F10" s="4">
        <f t="shared" si="2"/>
        <v>0.16619217994809787</v>
      </c>
      <c r="G10" s="4">
        <f t="shared" si="3"/>
        <v>2.7619840675900946E-2</v>
      </c>
      <c r="H10" s="4">
        <f t="shared" si="4"/>
        <v>0.33916771417979158</v>
      </c>
      <c r="I10" s="4">
        <f t="shared" si="5"/>
        <v>108.86434562577625</v>
      </c>
      <c r="J10" s="4">
        <f t="shared" si="6"/>
        <v>112.36000000000003</v>
      </c>
    </row>
    <row r="11" spans="1:12" x14ac:dyDescent="0.3">
      <c r="A11" s="2">
        <v>7</v>
      </c>
      <c r="B11" s="4">
        <v>34</v>
      </c>
      <c r="C11" s="4">
        <v>20</v>
      </c>
      <c r="D11" s="4">
        <f t="shared" si="0"/>
        <v>400</v>
      </c>
      <c r="E11" s="4">
        <f t="shared" si="1"/>
        <v>28.15620307142801</v>
      </c>
      <c r="F11" s="4">
        <f t="shared" si="2"/>
        <v>5.8437969285719902</v>
      </c>
      <c r="G11" s="4">
        <f t="shared" si="3"/>
        <v>34.149962542387428</v>
      </c>
      <c r="H11" s="4">
        <f t="shared" si="4"/>
        <v>17.187638025211736</v>
      </c>
      <c r="I11" s="4">
        <f t="shared" si="5"/>
        <v>104.93537551382092</v>
      </c>
      <c r="J11" s="4">
        <f t="shared" si="6"/>
        <v>19.359999999999989</v>
      </c>
    </row>
    <row r="12" spans="1:12" x14ac:dyDescent="0.3">
      <c r="A12" s="2">
        <v>8</v>
      </c>
      <c r="B12" s="4">
        <v>35</v>
      </c>
      <c r="C12" s="4">
        <v>32</v>
      </c>
      <c r="D12" s="4">
        <f t="shared" si="0"/>
        <v>1024</v>
      </c>
      <c r="E12" s="4">
        <f t="shared" si="1"/>
        <v>34.8968360001519</v>
      </c>
      <c r="F12" s="4">
        <f t="shared" si="2"/>
        <v>0.10316399984809976</v>
      </c>
      <c r="G12" s="4">
        <f t="shared" si="3"/>
        <v>1.0642810864658727E-2</v>
      </c>
      <c r="H12" s="4">
        <f t="shared" si="4"/>
        <v>0.29475428528028508</v>
      </c>
      <c r="I12" s="4">
        <f t="shared" si="5"/>
        <v>12.272158009831728</v>
      </c>
      <c r="J12" s="4">
        <f t="shared" si="6"/>
        <v>11.55999999999999</v>
      </c>
    </row>
    <row r="13" spans="1:12" x14ac:dyDescent="0.3">
      <c r="A13" s="2">
        <v>9</v>
      </c>
      <c r="B13" s="4">
        <v>42</v>
      </c>
      <c r="C13" s="4">
        <v>46</v>
      </c>
      <c r="D13" s="4">
        <f t="shared" si="0"/>
        <v>2116</v>
      </c>
      <c r="E13" s="4">
        <f t="shared" si="1"/>
        <v>46.000538640522429</v>
      </c>
      <c r="F13" s="4">
        <f t="shared" si="2"/>
        <v>-4.0005386405224286</v>
      </c>
      <c r="G13" s="4">
        <f t="shared" si="3"/>
        <v>16.004309414313042</v>
      </c>
      <c r="H13" s="4">
        <f t="shared" si="4"/>
        <v>9.5250920012438769</v>
      </c>
      <c r="I13" s="4">
        <f t="shared" si="5"/>
        <v>57.76818762607455</v>
      </c>
      <c r="J13" s="4">
        <f t="shared" si="6"/>
        <v>12.96000000000001</v>
      </c>
    </row>
    <row r="14" spans="1:12" x14ac:dyDescent="0.3">
      <c r="A14" s="2">
        <v>10</v>
      </c>
      <c r="B14" s="4">
        <v>24</v>
      </c>
      <c r="C14" s="4">
        <v>24</v>
      </c>
      <c r="D14" s="4">
        <f t="shared" si="0"/>
        <v>576</v>
      </c>
      <c r="E14" s="4">
        <f t="shared" si="1"/>
        <v>30.118277998714643</v>
      </c>
      <c r="F14" s="4">
        <f t="shared" si="2"/>
        <v>-6.1182779987146425</v>
      </c>
      <c r="G14" s="4">
        <f t="shared" si="3"/>
        <v>37.43332566955565</v>
      </c>
      <c r="H14" s="4">
        <f t="shared" si="4"/>
        <v>25.492824994644341</v>
      </c>
      <c r="I14" s="4">
        <f t="shared" si="5"/>
        <v>68.586919306573918</v>
      </c>
      <c r="J14" s="4">
        <f t="shared" si="6"/>
        <v>207.35999999999996</v>
      </c>
    </row>
    <row r="15" spans="1:12" x14ac:dyDescent="0.3">
      <c r="A15" s="4" t="s">
        <v>6</v>
      </c>
      <c r="B15" s="4">
        <f>SUM(B5:B14)</f>
        <v>384</v>
      </c>
      <c r="C15" s="4">
        <f>SUM(C5:C14)</f>
        <v>356</v>
      </c>
      <c r="D15" s="4">
        <f t="shared" ref="D15:J15" si="7">SUM(D5:D14)</f>
        <v>13776</v>
      </c>
      <c r="E15" s="4">
        <f t="shared" si="7"/>
        <v>383.99999999999994</v>
      </c>
      <c r="F15" s="14">
        <f t="shared" si="7"/>
        <v>4.2632564145606011E-14</v>
      </c>
      <c r="G15" s="4">
        <f t="shared" si="7"/>
        <v>144.05602353241565</v>
      </c>
      <c r="H15" s="4">
        <f t="shared" si="7"/>
        <v>92.606310569899051</v>
      </c>
      <c r="I15" s="4">
        <f t="shared" si="7"/>
        <v>578.34397646758396</v>
      </c>
      <c r="J15" s="4">
        <f t="shared" si="7"/>
        <v>722.40000000000009</v>
      </c>
    </row>
    <row r="16" spans="1:12" x14ac:dyDescent="0.3">
      <c r="A16" s="4" t="s">
        <v>7</v>
      </c>
      <c r="B16" s="4">
        <f>AVERAGE(B5:B14)</f>
        <v>38.4</v>
      </c>
      <c r="C16" s="4">
        <f>AVERAGE(C5:C14)</f>
        <v>35.6</v>
      </c>
      <c r="D16" s="4">
        <f t="shared" ref="D16:J16" si="8">AVERAGE(D5:D14)</f>
        <v>1377.6</v>
      </c>
      <c r="E16" s="4">
        <f t="shared" si="8"/>
        <v>38.399999999999991</v>
      </c>
      <c r="F16" s="14">
        <f t="shared" si="8"/>
        <v>4.263256414560601E-15</v>
      </c>
      <c r="G16" s="4">
        <f t="shared" si="8"/>
        <v>14.405602353241566</v>
      </c>
      <c r="H16" s="4">
        <f t="shared" si="8"/>
        <v>9.2606310569899044</v>
      </c>
      <c r="I16" s="4">
        <f t="shared" si="8"/>
        <v>57.834397646758397</v>
      </c>
      <c r="J16" s="4">
        <f t="shared" si="8"/>
        <v>72.240000000000009</v>
      </c>
    </row>
    <row r="17" spans="1:15" x14ac:dyDescent="0.3">
      <c r="A17" s="4" t="s">
        <v>8</v>
      </c>
      <c r="B17" s="4">
        <f>SQRT(B18)</f>
        <v>2.8722813232690143</v>
      </c>
      <c r="C17" s="4">
        <f t="shared" ref="C17:D17" si="9">SQRT(C18)</f>
        <v>8.4994117443503114</v>
      </c>
      <c r="D17" s="4">
        <f t="shared" si="9"/>
        <v>10.499523798725349</v>
      </c>
      <c r="E17" s="4"/>
      <c r="F17" s="4"/>
      <c r="G17" s="4"/>
      <c r="H17" s="4"/>
      <c r="I17" s="4"/>
      <c r="J17" s="4"/>
    </row>
    <row r="18" spans="1:15" x14ac:dyDescent="0.3">
      <c r="A18" s="4" t="s">
        <v>9</v>
      </c>
      <c r="B18" s="4">
        <f>_xlfn.VAR.P(A5:A14)</f>
        <v>8.25</v>
      </c>
      <c r="C18" s="4">
        <f>_xlfn.VAR.P(B5:B14)</f>
        <v>72.239999999999995</v>
      </c>
      <c r="D18" s="4">
        <f>_xlfn.VAR.P(C5:C14)</f>
        <v>110.24</v>
      </c>
      <c r="E18" s="4"/>
      <c r="F18" s="4"/>
      <c r="G18" s="4"/>
      <c r="H18" s="4"/>
      <c r="I18" s="4"/>
      <c r="J18" s="4"/>
    </row>
    <row r="21" spans="1:15" x14ac:dyDescent="0.3">
      <c r="A21" s="82" t="s">
        <v>33</v>
      </c>
    </row>
    <row r="22" spans="1:15" ht="15" thickBot="1" x14ac:dyDescent="0.35">
      <c r="B22" s="47" t="s">
        <v>150</v>
      </c>
      <c r="C22" t="s">
        <v>151</v>
      </c>
      <c r="D22" t="s">
        <v>152</v>
      </c>
    </row>
    <row r="23" spans="1:15" x14ac:dyDescent="0.3">
      <c r="B23" s="4">
        <f t="array" ref="B23:D27">LINEST(B5:B14,C5:D14,1,1)</f>
        <v>8.9000848631666536E-3</v>
      </c>
      <c r="C23" s="4">
        <v>9.891499784232459E-2</v>
      </c>
      <c r="D23" s="4">
        <v>22.617869169314858</v>
      </c>
      <c r="H23" s="16"/>
      <c r="I23" s="46" t="s">
        <v>77</v>
      </c>
      <c r="J23" s="46" t="s">
        <v>68</v>
      </c>
      <c r="K23" s="46" t="s">
        <v>78</v>
      </c>
      <c r="L23" s="46" t="s">
        <v>79</v>
      </c>
      <c r="N23" s="164" t="s">
        <v>188</v>
      </c>
      <c r="O23" s="165"/>
    </row>
    <row r="24" spans="1:15" x14ac:dyDescent="0.3">
      <c r="A24" s="93" t="s">
        <v>181</v>
      </c>
      <c r="B24" s="4">
        <v>1.9793117088228347E-2</v>
      </c>
      <c r="C24" s="4">
        <v>1.3917455176280433</v>
      </c>
      <c r="D24" s="4">
        <v>22.615701848614762</v>
      </c>
      <c r="E24" t="s">
        <v>182</v>
      </c>
      <c r="H24" t="s">
        <v>84</v>
      </c>
      <c r="I24" s="42">
        <v>22.617869169314858</v>
      </c>
      <c r="J24" s="42">
        <v>22.615701848614762</v>
      </c>
      <c r="K24" s="42">
        <v>1.0000958325642337</v>
      </c>
      <c r="L24" s="131">
        <v>0.35057341088017624</v>
      </c>
      <c r="N24" s="4" t="s">
        <v>186</v>
      </c>
      <c r="O24" s="4" t="s">
        <v>187</v>
      </c>
    </row>
    <row r="25" spans="1:15" x14ac:dyDescent="0.3">
      <c r="A25" s="93" t="s">
        <v>183</v>
      </c>
      <c r="B25" s="4">
        <v>0.80058689987207166</v>
      </c>
      <c r="C25" s="4">
        <v>4.5364558780177964</v>
      </c>
      <c r="D25" s="4" t="e">
        <v>#N/A</v>
      </c>
      <c r="H25" t="s">
        <v>111</v>
      </c>
      <c r="I25" s="42">
        <v>9.891499784232459E-2</v>
      </c>
      <c r="J25" s="42">
        <v>1.3917455176280433</v>
      </c>
      <c r="K25" s="42">
        <v>7.1072618226143636E-2</v>
      </c>
      <c r="L25" s="131">
        <v>0.94532789593339817</v>
      </c>
      <c r="N25" s="4">
        <f>_xlfn.T.INV.2T(0.05,7)</f>
        <v>2.3646242515927849</v>
      </c>
      <c r="O25" s="4">
        <f>_xlfn.T.INV.2T(0.1,7)</f>
        <v>1.8945786050900073</v>
      </c>
    </row>
    <row r="26" spans="1:15" ht="15" thickBot="1" x14ac:dyDescent="0.35">
      <c r="A26" s="93" t="s">
        <v>38</v>
      </c>
      <c r="B26" s="4">
        <v>14.051504879843222</v>
      </c>
      <c r="C26" s="4">
        <v>7</v>
      </c>
      <c r="D26" s="4" t="e">
        <v>#N/A</v>
      </c>
      <c r="H26" s="15" t="s">
        <v>23</v>
      </c>
      <c r="I26" s="132">
        <v>8.9000848631666536E-3</v>
      </c>
      <c r="J26" s="132">
        <v>1.9793117088228347E-2</v>
      </c>
      <c r="K26" s="132">
        <v>0.44965554558659399</v>
      </c>
      <c r="L26" s="133">
        <v>0.6665521737287522</v>
      </c>
    </row>
    <row r="27" spans="1:15" x14ac:dyDescent="0.3">
      <c r="B27" s="4">
        <v>578.34397646758464</v>
      </c>
      <c r="C27" s="4">
        <v>144.05602353241548</v>
      </c>
      <c r="D27" s="4" t="e">
        <v>#N/A</v>
      </c>
    </row>
    <row r="28" spans="1:15" x14ac:dyDescent="0.3">
      <c r="B28" s="93" t="s">
        <v>153</v>
      </c>
      <c r="C28" t="s">
        <v>154</v>
      </c>
    </row>
    <row r="29" spans="1:15" x14ac:dyDescent="0.3">
      <c r="B29" s="42"/>
    </row>
    <row r="30" spans="1:15" ht="30" customHeight="1" x14ac:dyDescent="0.3">
      <c r="A30" s="26"/>
      <c r="B30" s="186" t="s">
        <v>155</v>
      </c>
      <c r="C30" s="186"/>
      <c r="D30" s="186"/>
      <c r="E30" s="186"/>
    </row>
    <row r="31" spans="1:15" x14ac:dyDescent="0.3">
      <c r="B31" s="42"/>
    </row>
    <row r="32" spans="1:15" ht="15.6" x14ac:dyDescent="0.3">
      <c r="A32" s="23" t="s">
        <v>101</v>
      </c>
      <c r="B32" s="42"/>
    </row>
    <row r="33" spans="1:11" ht="15" thickBot="1" x14ac:dyDescent="0.35"/>
    <row r="34" spans="1:11" ht="16.2" customHeight="1" x14ac:dyDescent="0.3">
      <c r="A34" s="44" t="s">
        <v>66</v>
      </c>
      <c r="B34" s="44">
        <v>0.89475521785126888</v>
      </c>
      <c r="D34" s="16" t="s">
        <v>38</v>
      </c>
      <c r="E34" s="16" t="s">
        <v>39</v>
      </c>
      <c r="G34" s="121" t="s">
        <v>40</v>
      </c>
      <c r="H34" s="4">
        <f>_xlfn.F.INV.RT(0.05,1,8)</f>
        <v>5.3176550715787174</v>
      </c>
      <c r="J34" s="4" t="s">
        <v>102</v>
      </c>
      <c r="K34" s="61"/>
    </row>
    <row r="35" spans="1:11" x14ac:dyDescent="0.3">
      <c r="A35" s="120" t="s">
        <v>35</v>
      </c>
      <c r="B35" s="120">
        <v>0.80058689987207166</v>
      </c>
      <c r="D35">
        <v>14.051504879843222</v>
      </c>
      <c r="E35">
        <v>3.5410976099802299E-3</v>
      </c>
      <c r="G35" s="130" t="s">
        <v>41</v>
      </c>
      <c r="H35" s="4">
        <f>_xlfn.F.INV.RT(0.1,1,8)</f>
        <v>3.4579189038850133</v>
      </c>
      <c r="J35" s="13">
        <f>H16</f>
        <v>9.2606310569899044</v>
      </c>
      <c r="K35" s="12">
        <f>((C23+2*B23*C16)*C16)/(D23+C23*C16+B23*C16^2)</f>
        <v>0.6969907891410404</v>
      </c>
    </row>
    <row r="36" spans="1:11" x14ac:dyDescent="0.3">
      <c r="A36" s="45" t="s">
        <v>67</v>
      </c>
      <c r="B36" s="45">
        <v>0.74361172840694933</v>
      </c>
    </row>
    <row r="38" spans="1:11" ht="15.6" x14ac:dyDescent="0.3">
      <c r="A38" s="23" t="s">
        <v>44</v>
      </c>
    </row>
    <row r="39" spans="1:11" ht="15.6" x14ac:dyDescent="0.3">
      <c r="A39" s="26" t="s">
        <v>45</v>
      </c>
    </row>
    <row r="40" spans="1:11" ht="15.6" x14ac:dyDescent="0.3">
      <c r="A40" s="26" t="s">
        <v>46</v>
      </c>
    </row>
    <row r="41" spans="1:11" ht="15.6" x14ac:dyDescent="0.3">
      <c r="A41" s="26" t="s">
        <v>47</v>
      </c>
    </row>
    <row r="42" spans="1:11" ht="15.6" x14ac:dyDescent="0.3">
      <c r="A42" s="26" t="s">
        <v>48</v>
      </c>
    </row>
    <row r="43" spans="1:11" ht="15.6" x14ac:dyDescent="0.3">
      <c r="A43" s="26" t="s">
        <v>49</v>
      </c>
    </row>
    <row r="45" spans="1:11" ht="15.6" x14ac:dyDescent="0.3">
      <c r="A45" s="23" t="s">
        <v>45</v>
      </c>
    </row>
    <row r="46" spans="1:11" ht="15.6" x14ac:dyDescent="0.3">
      <c r="A46" s="26" t="s">
        <v>50</v>
      </c>
    </row>
    <row r="47" spans="1:11" ht="15" thickBot="1" x14ac:dyDescent="0.35"/>
    <row r="48" spans="1:11" x14ac:dyDescent="0.3">
      <c r="A48" s="46" t="s">
        <v>51</v>
      </c>
      <c r="B48" s="16" t="s">
        <v>52</v>
      </c>
    </row>
    <row r="49" spans="1:2" x14ac:dyDescent="0.3">
      <c r="A49">
        <v>34.237215655930072</v>
      </c>
      <c r="B49">
        <v>3.762784344069928</v>
      </c>
    </row>
    <row r="50" spans="1:2" x14ac:dyDescent="0.3">
      <c r="A50">
        <v>29.601059012303484</v>
      </c>
      <c r="B50">
        <v>-3.6010590123034838</v>
      </c>
    </row>
    <row r="51" spans="1:2" x14ac:dyDescent="0.3">
      <c r="A51">
        <v>39.228361629735836</v>
      </c>
      <c r="B51">
        <v>0.7716383702641636</v>
      </c>
    </row>
    <row r="52" spans="1:2" x14ac:dyDescent="0.3">
      <c r="A52">
        <v>46.927161530639253</v>
      </c>
      <c r="B52">
        <v>-1.9271615306392533</v>
      </c>
    </row>
    <row r="53" spans="1:2" x14ac:dyDescent="0.3">
      <c r="A53">
        <v>46.000538640522429</v>
      </c>
      <c r="B53">
        <v>4.9994613594775714</v>
      </c>
    </row>
    <row r="54" spans="1:2" x14ac:dyDescent="0.3">
      <c r="A54">
        <v>48.833807820051902</v>
      </c>
      <c r="B54">
        <v>0.16619217994809787</v>
      </c>
    </row>
    <row r="55" spans="1:2" x14ac:dyDescent="0.3">
      <c r="A55">
        <v>28.15620307142801</v>
      </c>
      <c r="B55">
        <v>5.8437969285719902</v>
      </c>
    </row>
    <row r="56" spans="1:2" x14ac:dyDescent="0.3">
      <c r="A56">
        <v>34.8968360001519</v>
      </c>
      <c r="B56">
        <v>0.10316399984809976</v>
      </c>
    </row>
    <row r="57" spans="1:2" x14ac:dyDescent="0.3">
      <c r="A57">
        <v>46.000538640522429</v>
      </c>
      <c r="B57">
        <v>-4.0005386405224286</v>
      </c>
    </row>
    <row r="58" spans="1:2" ht="15" thickBot="1" x14ac:dyDescent="0.35">
      <c r="A58" s="15">
        <v>30.118277998714643</v>
      </c>
      <c r="B58" s="15">
        <v>-6.1182779987146425</v>
      </c>
    </row>
    <row r="61" spans="1:2" ht="15.6" x14ac:dyDescent="0.3">
      <c r="A61" s="23" t="s">
        <v>46</v>
      </c>
    </row>
    <row r="62" spans="1:2" ht="15.6" x14ac:dyDescent="0.3">
      <c r="A62" s="30" t="s">
        <v>53</v>
      </c>
    </row>
    <row r="79" spans="1:1" ht="15.6" x14ac:dyDescent="0.3">
      <c r="A79" s="23" t="s">
        <v>47</v>
      </c>
    </row>
    <row r="80" spans="1:1" ht="15.6" x14ac:dyDescent="0.3">
      <c r="A80" s="26" t="s">
        <v>107</v>
      </c>
    </row>
    <row r="96" spans="1:1" ht="15.6" x14ac:dyDescent="0.3">
      <c r="A96" s="23" t="s">
        <v>48</v>
      </c>
    </row>
    <row r="99" spans="1:6" ht="24" customHeight="1" x14ac:dyDescent="0.3">
      <c r="A99" s="83" t="s">
        <v>55</v>
      </c>
      <c r="B99" s="84" t="s">
        <v>56</v>
      </c>
      <c r="C99" s="83" t="s">
        <v>57</v>
      </c>
      <c r="D99" s="85"/>
      <c r="E99" s="86"/>
      <c r="F99" s="86"/>
    </row>
    <row r="100" spans="1:6" x14ac:dyDescent="0.3">
      <c r="A100" s="83">
        <v>1</v>
      </c>
      <c r="B100" s="12">
        <v>3.762784344069928</v>
      </c>
      <c r="C100" s="83" t="s">
        <v>98</v>
      </c>
      <c r="D100" s="86"/>
      <c r="E100" s="86"/>
      <c r="F100" s="86"/>
    </row>
    <row r="101" spans="1:6" x14ac:dyDescent="0.3">
      <c r="A101" s="83">
        <v>2</v>
      </c>
      <c r="B101" s="12">
        <v>-3.6010590123034838</v>
      </c>
      <c r="C101" s="83">
        <f>B100</f>
        <v>3.762784344069928</v>
      </c>
      <c r="D101" s="86"/>
      <c r="E101" s="86"/>
      <c r="F101" s="86"/>
    </row>
    <row r="102" spans="1:6" x14ac:dyDescent="0.3">
      <c r="A102" s="83">
        <v>3</v>
      </c>
      <c r="B102" s="12">
        <v>0.7716383702641636</v>
      </c>
      <c r="C102" s="83">
        <f t="shared" ref="C102:C109" si="10">B101</f>
        <v>-3.6010590123034838</v>
      </c>
      <c r="D102" s="86"/>
      <c r="E102" s="86"/>
      <c r="F102" s="86"/>
    </row>
    <row r="103" spans="1:6" x14ac:dyDescent="0.3">
      <c r="A103" s="83">
        <v>4</v>
      </c>
      <c r="B103" s="12">
        <v>-1.9271615306392533</v>
      </c>
      <c r="C103" s="83">
        <f t="shared" si="10"/>
        <v>0.7716383702641636</v>
      </c>
      <c r="D103" s="86"/>
      <c r="E103" s="86"/>
      <c r="F103" s="86"/>
    </row>
    <row r="104" spans="1:6" x14ac:dyDescent="0.3">
      <c r="A104" s="83">
        <v>5</v>
      </c>
      <c r="B104" s="12">
        <v>4.9994613594775714</v>
      </c>
      <c r="C104" s="83">
        <f t="shared" si="10"/>
        <v>-1.9271615306392533</v>
      </c>
      <c r="D104" s="86"/>
      <c r="E104" s="86"/>
      <c r="F104" s="86"/>
    </row>
    <row r="105" spans="1:6" x14ac:dyDescent="0.3">
      <c r="A105" s="83">
        <v>6</v>
      </c>
      <c r="B105" s="12">
        <v>0.16619217994809787</v>
      </c>
      <c r="C105" s="83">
        <f t="shared" si="10"/>
        <v>4.9994613594775714</v>
      </c>
      <c r="D105" s="86"/>
      <c r="E105" s="86"/>
      <c r="F105" s="86"/>
    </row>
    <row r="106" spans="1:6" x14ac:dyDescent="0.3">
      <c r="A106" s="83">
        <v>7</v>
      </c>
      <c r="B106" s="12">
        <v>5.8437969285719902</v>
      </c>
      <c r="C106" s="83">
        <f t="shared" si="10"/>
        <v>0.16619217994809787</v>
      </c>
      <c r="D106" s="86"/>
      <c r="E106" s="86"/>
      <c r="F106" s="86"/>
    </row>
    <row r="107" spans="1:6" x14ac:dyDescent="0.3">
      <c r="A107" s="83">
        <v>8</v>
      </c>
      <c r="B107" s="12">
        <v>0.10316399984809976</v>
      </c>
      <c r="C107" s="83">
        <f t="shared" si="10"/>
        <v>5.8437969285719902</v>
      </c>
      <c r="D107" s="86"/>
      <c r="E107" s="86"/>
      <c r="F107" s="86"/>
    </row>
    <row r="108" spans="1:6" x14ac:dyDescent="0.3">
      <c r="A108" s="83">
        <v>9</v>
      </c>
      <c r="B108" s="12">
        <v>-4.0005386405224286</v>
      </c>
      <c r="C108" s="83">
        <f t="shared" si="10"/>
        <v>0.10316399984809976</v>
      </c>
      <c r="D108" s="86"/>
      <c r="E108" s="86"/>
      <c r="F108" s="86"/>
    </row>
    <row r="109" spans="1:6" x14ac:dyDescent="0.3">
      <c r="A109" s="83">
        <v>10</v>
      </c>
      <c r="B109" s="12">
        <v>-6.1182779987146425</v>
      </c>
      <c r="C109" s="83">
        <f t="shared" si="10"/>
        <v>-4.0005386405224286</v>
      </c>
      <c r="D109" s="86"/>
      <c r="E109" s="86"/>
      <c r="F109" s="86"/>
    </row>
    <row r="110" spans="1:6" x14ac:dyDescent="0.3">
      <c r="A110" s="162"/>
      <c r="B110" s="162"/>
      <c r="C110" s="31"/>
      <c r="D110" s="31"/>
      <c r="E110" s="31"/>
      <c r="F110" s="31"/>
    </row>
    <row r="111" spans="1:6" ht="18" x14ac:dyDescent="0.3">
      <c r="A111" s="38" t="s">
        <v>61</v>
      </c>
      <c r="B111" s="39">
        <f>CORREL(B101:B109,C101:C109)</f>
        <v>1.3744466034733642E-2</v>
      </c>
      <c r="C111" s="31"/>
      <c r="D111" s="31"/>
      <c r="E111" s="31"/>
      <c r="F111" s="31"/>
    </row>
    <row r="113" spans="1:11" ht="15.6" x14ac:dyDescent="0.3">
      <c r="A113" s="53" t="s">
        <v>62</v>
      </c>
      <c r="B113" s="54"/>
      <c r="C113" s="54"/>
      <c r="D113" s="54"/>
      <c r="E113" s="54"/>
      <c r="F113" s="54"/>
      <c r="G113" s="54"/>
      <c r="H113" s="54"/>
      <c r="I113" s="54"/>
      <c r="J113" s="54"/>
      <c r="K113" s="79"/>
    </row>
    <row r="115" spans="1:11" ht="15.6" x14ac:dyDescent="0.3">
      <c r="A115" s="23" t="s">
        <v>49</v>
      </c>
    </row>
    <row r="127" spans="1:11" x14ac:dyDescent="0.3">
      <c r="B127" s="28"/>
      <c r="C127" s="28"/>
      <c r="D127" s="28"/>
    </row>
    <row r="131" spans="1:4" ht="15.6" x14ac:dyDescent="0.3">
      <c r="A131" s="52" t="s">
        <v>63</v>
      </c>
      <c r="B131" s="28"/>
      <c r="C131" s="28"/>
      <c r="D131" s="28"/>
    </row>
  </sheetData>
  <mergeCells count="4">
    <mergeCell ref="A1:L1"/>
    <mergeCell ref="A110:B110"/>
    <mergeCell ref="B30:E30"/>
    <mergeCell ref="N23:O23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31" sqref="D31"/>
    </sheetView>
  </sheetViews>
  <sheetFormatPr defaultRowHeight="14.4" x14ac:dyDescent="0.3"/>
  <cols>
    <col min="1" max="1" width="24.88671875" bestFit="1" customWidth="1"/>
    <col min="2" max="2" width="16.332031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0.89475521785126888</v>
      </c>
    </row>
    <row r="5" spans="1:9" x14ac:dyDescent="0.3">
      <c r="A5" t="s">
        <v>35</v>
      </c>
      <c r="B5">
        <v>0.80058689987207166</v>
      </c>
    </row>
    <row r="6" spans="1:9" x14ac:dyDescent="0.3">
      <c r="A6" t="s">
        <v>67</v>
      </c>
      <c r="B6">
        <v>0.74361172840694933</v>
      </c>
    </row>
    <row r="7" spans="1:9" x14ac:dyDescent="0.3">
      <c r="A7" t="s">
        <v>68</v>
      </c>
      <c r="B7">
        <v>4.5364558780177964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2</v>
      </c>
      <c r="C12">
        <v>578.34397646758464</v>
      </c>
      <c r="D12">
        <v>289.17198823379232</v>
      </c>
      <c r="E12">
        <v>14.051504879843222</v>
      </c>
      <c r="F12">
        <v>3.5410976099802299E-3</v>
      </c>
    </row>
    <row r="13" spans="1:9" x14ac:dyDescent="0.3">
      <c r="A13" t="s">
        <v>75</v>
      </c>
      <c r="B13">
        <v>7</v>
      </c>
      <c r="C13">
        <v>144.05602353241548</v>
      </c>
      <c r="D13">
        <v>20.579431933202212</v>
      </c>
    </row>
    <row r="14" spans="1:9" ht="15" thickBot="1" x14ac:dyDescent="0.35">
      <c r="A14" s="15" t="s">
        <v>76</v>
      </c>
      <c r="B14" s="15">
        <v>9</v>
      </c>
      <c r="C14" s="15">
        <v>722.40000000000009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22.617869169314858</v>
      </c>
      <c r="C17">
        <v>22.615701848614762</v>
      </c>
      <c r="D17">
        <v>1.0000958325642337</v>
      </c>
      <c r="E17">
        <v>0.35057341088017624</v>
      </c>
      <c r="F17">
        <v>-30.859767888711389</v>
      </c>
      <c r="G17">
        <v>76.095506227341104</v>
      </c>
      <c r="H17">
        <v>-20.2293556921652</v>
      </c>
      <c r="I17">
        <v>65.465094030794916</v>
      </c>
    </row>
    <row r="18" spans="1:9" x14ac:dyDescent="0.3">
      <c r="A18" t="s">
        <v>111</v>
      </c>
      <c r="B18">
        <v>9.891499784232459E-2</v>
      </c>
      <c r="C18">
        <v>1.3917455176280433</v>
      </c>
      <c r="D18">
        <v>7.1072618226143636E-2</v>
      </c>
      <c r="E18">
        <v>0.94532789593339817</v>
      </c>
      <c r="F18">
        <v>-3.1920402051865007</v>
      </c>
      <c r="G18">
        <v>3.3898702008711497</v>
      </c>
      <c r="H18">
        <v>-2.5378562835856839</v>
      </c>
      <c r="I18">
        <v>2.7356862792703329</v>
      </c>
    </row>
    <row r="19" spans="1:9" ht="15" thickBot="1" x14ac:dyDescent="0.35">
      <c r="A19" s="15" t="s">
        <v>23</v>
      </c>
      <c r="B19" s="15">
        <v>8.9000848631666536E-3</v>
      </c>
      <c r="C19" s="15">
        <v>1.9793117088228347E-2</v>
      </c>
      <c r="D19" s="15">
        <v>0.44965554558659399</v>
      </c>
      <c r="E19" s="15">
        <v>0.6665521737287522</v>
      </c>
      <c r="F19" s="15">
        <v>-3.7903199818273663E-2</v>
      </c>
      <c r="G19" s="15">
        <v>5.5703369544606966E-2</v>
      </c>
      <c r="H19" s="15">
        <v>-2.8599531300232198E-2</v>
      </c>
      <c r="I19" s="15">
        <v>4.6399701026565501E-2</v>
      </c>
    </row>
    <row r="23" spans="1:9" x14ac:dyDescent="0.3">
      <c r="A23" t="s">
        <v>85</v>
      </c>
      <c r="F23" t="s">
        <v>86</v>
      </c>
    </row>
    <row r="24" spans="1:9" ht="15" thickBot="1" x14ac:dyDescent="0.35"/>
    <row r="25" spans="1:9" x14ac:dyDescent="0.3">
      <c r="A25" s="16" t="s">
        <v>87</v>
      </c>
      <c r="B25" s="16" t="s">
        <v>51</v>
      </c>
      <c r="C25" s="16" t="s">
        <v>52</v>
      </c>
      <c r="D25" s="16" t="s">
        <v>88</v>
      </c>
      <c r="F25" s="16" t="s">
        <v>89</v>
      </c>
      <c r="G25" s="16" t="s">
        <v>21</v>
      </c>
    </row>
    <row r="26" spans="1:9" x14ac:dyDescent="0.3">
      <c r="A26">
        <v>1</v>
      </c>
      <c r="B26">
        <v>34.237215655930072</v>
      </c>
      <c r="C26">
        <v>3.762784344069928</v>
      </c>
      <c r="D26">
        <v>0.94051314940278208</v>
      </c>
      <c r="F26">
        <v>5</v>
      </c>
      <c r="G26">
        <v>24</v>
      </c>
    </row>
    <row r="27" spans="1:9" x14ac:dyDescent="0.3">
      <c r="A27">
        <v>2</v>
      </c>
      <c r="B27">
        <v>29.601059012303484</v>
      </c>
      <c r="C27">
        <v>-3.6010590123034838</v>
      </c>
      <c r="D27">
        <v>-0.90008967911871385</v>
      </c>
      <c r="F27">
        <v>15</v>
      </c>
      <c r="G27">
        <v>26</v>
      </c>
    </row>
    <row r="28" spans="1:9" x14ac:dyDescent="0.3">
      <c r="A28">
        <v>3</v>
      </c>
      <c r="B28">
        <v>39.228361629735836</v>
      </c>
      <c r="C28">
        <v>0.7716383702641636</v>
      </c>
      <c r="D28">
        <v>0.19287207755100924</v>
      </c>
      <c r="F28">
        <v>25</v>
      </c>
      <c r="G28">
        <v>34</v>
      </c>
    </row>
    <row r="29" spans="1:9" x14ac:dyDescent="0.3">
      <c r="A29">
        <v>4</v>
      </c>
      <c r="B29">
        <v>46.927161530639253</v>
      </c>
      <c r="C29">
        <v>-1.9271615306392533</v>
      </c>
      <c r="D29">
        <v>-0.48169668916739977</v>
      </c>
      <c r="F29">
        <v>35</v>
      </c>
      <c r="G29">
        <v>35</v>
      </c>
    </row>
    <row r="30" spans="1:9" x14ac:dyDescent="0.3">
      <c r="A30">
        <v>5</v>
      </c>
      <c r="B30">
        <v>46.000538640522429</v>
      </c>
      <c r="C30">
        <v>4.9994613594775714</v>
      </c>
      <c r="D30">
        <v>1.249622279291694</v>
      </c>
      <c r="F30">
        <v>45</v>
      </c>
      <c r="G30">
        <v>38</v>
      </c>
    </row>
    <row r="31" spans="1:9" x14ac:dyDescent="0.3">
      <c r="A31">
        <v>6</v>
      </c>
      <c r="B31">
        <v>48.833807820051902</v>
      </c>
      <c r="C31">
        <v>0.16619217994809787</v>
      </c>
      <c r="D31">
        <v>4.1539965163146918E-2</v>
      </c>
      <c r="F31">
        <v>55</v>
      </c>
      <c r="G31">
        <v>40</v>
      </c>
    </row>
    <row r="32" spans="1:9" x14ac:dyDescent="0.3">
      <c r="A32">
        <v>7</v>
      </c>
      <c r="B32">
        <v>28.15620307142801</v>
      </c>
      <c r="C32">
        <v>5.8437969285719902</v>
      </c>
      <c r="D32">
        <v>1.4606651222048899</v>
      </c>
      <c r="F32">
        <v>65</v>
      </c>
      <c r="G32">
        <v>42</v>
      </c>
    </row>
    <row r="33" spans="1:7" x14ac:dyDescent="0.3">
      <c r="A33">
        <v>8</v>
      </c>
      <c r="B33">
        <v>34.8968360001519</v>
      </c>
      <c r="C33">
        <v>0.10316399984809976</v>
      </c>
      <c r="D33">
        <v>2.5785984401427944E-2</v>
      </c>
      <c r="F33">
        <v>75</v>
      </c>
      <c r="G33">
        <v>45</v>
      </c>
    </row>
    <row r="34" spans="1:7" x14ac:dyDescent="0.3">
      <c r="A34">
        <v>9</v>
      </c>
      <c r="B34">
        <v>46.000538640522429</v>
      </c>
      <c r="C34">
        <v>-4.0005386405224286</v>
      </c>
      <c r="D34">
        <v>-0.99994016453135059</v>
      </c>
      <c r="F34">
        <v>85</v>
      </c>
      <c r="G34">
        <v>49</v>
      </c>
    </row>
    <row r="35" spans="1:7" ht="15" thickBot="1" x14ac:dyDescent="0.35">
      <c r="A35" s="15">
        <v>10</v>
      </c>
      <c r="B35" s="15">
        <v>30.118277998714643</v>
      </c>
      <c r="C35" s="15">
        <v>-6.1182779987146425</v>
      </c>
      <c r="D35" s="15">
        <v>-1.5292720451974753</v>
      </c>
      <c r="F35" s="15">
        <v>95</v>
      </c>
      <c r="G35" s="15">
        <v>51</v>
      </c>
    </row>
  </sheetData>
  <sortState ref="G26:G35">
    <sortCondition ref="G26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opLeftCell="A103" zoomScale="85" zoomScaleNormal="85" workbookViewId="0">
      <selection activeCell="J47" sqref="J47"/>
    </sheetView>
  </sheetViews>
  <sheetFormatPr defaultRowHeight="14.4" x14ac:dyDescent="0.3"/>
  <cols>
    <col min="1" max="1" width="13.88671875" customWidth="1"/>
    <col min="6" max="6" width="20.109375" customWidth="1"/>
    <col min="8" max="8" width="10.33203125" customWidth="1"/>
    <col min="9" max="9" width="23.44140625" customWidth="1"/>
  </cols>
  <sheetData>
    <row r="1" spans="1:12" ht="21" x14ac:dyDescent="0.3">
      <c r="A1" s="184" t="s">
        <v>157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</row>
    <row r="3" spans="1:12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</row>
    <row r="4" spans="1:12" ht="32.4" customHeight="1" x14ac:dyDescent="0.3">
      <c r="A4" s="3"/>
      <c r="B4" s="5" t="s">
        <v>21</v>
      </c>
      <c r="C4" s="5" t="s">
        <v>111</v>
      </c>
      <c r="D4" s="87" t="s">
        <v>146</v>
      </c>
      <c r="E4" s="87" t="s">
        <v>158</v>
      </c>
      <c r="F4" s="88" t="s">
        <v>159</v>
      </c>
      <c r="G4" s="6" t="s">
        <v>26</v>
      </c>
      <c r="H4" s="6" t="s">
        <v>148</v>
      </c>
      <c r="I4" s="10" t="s">
        <v>149</v>
      </c>
      <c r="J4" s="87" t="s">
        <v>29</v>
      </c>
      <c r="K4" s="87" t="s">
        <v>30</v>
      </c>
    </row>
    <row r="5" spans="1:12" x14ac:dyDescent="0.3">
      <c r="A5" s="2">
        <v>1</v>
      </c>
      <c r="B5" s="4">
        <v>38</v>
      </c>
      <c r="C5" s="4">
        <v>31</v>
      </c>
      <c r="D5" s="4">
        <f>C5^2</f>
        <v>961</v>
      </c>
      <c r="E5" s="4">
        <f>C5^3</f>
        <v>29791</v>
      </c>
      <c r="F5" s="4">
        <f t="shared" ref="F5:F14" si="0">E$21+D$21*C5+C$21*D5+B$21*E5</f>
        <v>33.063703793434911</v>
      </c>
      <c r="G5" s="4">
        <f>B5-F5</f>
        <v>4.9362962065650891</v>
      </c>
      <c r="H5" s="4">
        <f>G5^2</f>
        <v>24.367020238948889</v>
      </c>
      <c r="I5" s="4">
        <f t="shared" ref="I5:I14" si="1">ABS((G5/B5)*100)</f>
        <v>12.990253175171288</v>
      </c>
      <c r="J5" s="4">
        <f t="shared" ref="J5:J14" si="2">(F5-B$16)^2</f>
        <v>28.476057204200945</v>
      </c>
      <c r="K5" s="4">
        <f t="shared" ref="K5:K14" si="3">(B5-B$16)^2</f>
        <v>0.15999999999999887</v>
      </c>
    </row>
    <row r="6" spans="1:12" x14ac:dyDescent="0.3">
      <c r="A6" s="2">
        <v>2</v>
      </c>
      <c r="B6" s="4">
        <v>26</v>
      </c>
      <c r="C6" s="4">
        <v>23</v>
      </c>
      <c r="D6" s="4">
        <f t="shared" ref="D6:D14" si="4">C6^2</f>
        <v>529</v>
      </c>
      <c r="E6" s="4">
        <f t="shared" ref="E6:E14" si="5">C6^3</f>
        <v>12167</v>
      </c>
      <c r="F6" s="4">
        <f t="shared" si="0"/>
        <v>28.705246157684293</v>
      </c>
      <c r="G6" s="4">
        <f t="shared" ref="G6:G14" si="6">B6-F6</f>
        <v>-2.705246157684293</v>
      </c>
      <c r="H6" s="4">
        <f t="shared" ref="H6:H14" si="7">G6^2</f>
        <v>7.3183567736656308</v>
      </c>
      <c r="I6" s="4">
        <f t="shared" si="1"/>
        <v>10.404792914170358</v>
      </c>
      <c r="J6" s="4">
        <f t="shared" si="2"/>
        <v>93.988252063095132</v>
      </c>
      <c r="K6" s="4">
        <f t="shared" si="3"/>
        <v>153.75999999999996</v>
      </c>
    </row>
    <row r="7" spans="1:12" x14ac:dyDescent="0.3">
      <c r="A7" s="2">
        <v>3</v>
      </c>
      <c r="B7" s="4">
        <v>40</v>
      </c>
      <c r="C7" s="4">
        <v>38</v>
      </c>
      <c r="D7" s="4">
        <f t="shared" si="4"/>
        <v>1444</v>
      </c>
      <c r="E7" s="4">
        <f t="shared" si="5"/>
        <v>54872</v>
      </c>
      <c r="F7" s="4">
        <f t="shared" si="0"/>
        <v>41.327783040592124</v>
      </c>
      <c r="G7" s="4">
        <f t="shared" si="6"/>
        <v>-1.3277830405921236</v>
      </c>
      <c r="H7" s="4">
        <f t="shared" si="7"/>
        <v>1.763007802884065</v>
      </c>
      <c r="I7" s="4">
        <f t="shared" si="1"/>
        <v>3.3194576014803094</v>
      </c>
      <c r="J7" s="4">
        <f t="shared" si="2"/>
        <v>8.5719135327788685</v>
      </c>
      <c r="K7" s="4">
        <f t="shared" si="3"/>
        <v>2.5600000000000045</v>
      </c>
    </row>
    <row r="8" spans="1:12" x14ac:dyDescent="0.3">
      <c r="A8" s="2">
        <v>4</v>
      </c>
      <c r="B8" s="4">
        <v>45</v>
      </c>
      <c r="C8" s="4">
        <v>47</v>
      </c>
      <c r="D8" s="4">
        <f t="shared" si="4"/>
        <v>2209</v>
      </c>
      <c r="E8" s="4">
        <f t="shared" si="5"/>
        <v>103823</v>
      </c>
      <c r="F8" s="4">
        <f t="shared" si="0"/>
        <v>47.111081064001951</v>
      </c>
      <c r="G8" s="4">
        <f t="shared" si="6"/>
        <v>-2.1110810640019508</v>
      </c>
      <c r="H8" s="4">
        <f t="shared" si="7"/>
        <v>4.4566632587876089</v>
      </c>
      <c r="I8" s="4">
        <f t="shared" si="1"/>
        <v>4.6912912533376687</v>
      </c>
      <c r="J8" s="4">
        <f t="shared" si="2"/>
        <v>75.882933303613385</v>
      </c>
      <c r="K8" s="4">
        <f t="shared" si="3"/>
        <v>43.560000000000016</v>
      </c>
    </row>
    <row r="9" spans="1:12" x14ac:dyDescent="0.3">
      <c r="A9" s="2">
        <v>5</v>
      </c>
      <c r="B9" s="4">
        <v>51</v>
      </c>
      <c r="C9" s="4">
        <v>46</v>
      </c>
      <c r="D9" s="4">
        <f t="shared" si="4"/>
        <v>2116</v>
      </c>
      <c r="E9" s="4">
        <f t="shared" si="5"/>
        <v>97336</v>
      </c>
      <c r="F9" s="4">
        <f t="shared" si="0"/>
        <v>47.117537766707585</v>
      </c>
      <c r="G9" s="4">
        <f t="shared" si="6"/>
        <v>3.882462233292415</v>
      </c>
      <c r="H9" s="4">
        <f t="shared" si="7"/>
        <v>15.073512992941927</v>
      </c>
      <c r="I9" s="4">
        <f t="shared" si="1"/>
        <v>7.6126710456714015</v>
      </c>
      <c r="J9" s="4">
        <f t="shared" si="2"/>
        <v>75.995464713973092</v>
      </c>
      <c r="K9" s="4">
        <f t="shared" si="3"/>
        <v>158.76000000000005</v>
      </c>
    </row>
    <row r="10" spans="1:12" x14ac:dyDescent="0.3">
      <c r="A10" s="2">
        <v>6</v>
      </c>
      <c r="B10" s="4">
        <v>49</v>
      </c>
      <c r="C10" s="4">
        <v>49</v>
      </c>
      <c r="D10" s="4">
        <f t="shared" si="4"/>
        <v>2401</v>
      </c>
      <c r="E10" s="4">
        <f t="shared" si="5"/>
        <v>117649</v>
      </c>
      <c r="F10" s="4">
        <f t="shared" si="0"/>
        <v>46.402357047115117</v>
      </c>
      <c r="G10" s="4">
        <f t="shared" si="6"/>
        <v>2.5976429528848826</v>
      </c>
      <c r="H10" s="4">
        <f t="shared" si="7"/>
        <v>6.7477489106724926</v>
      </c>
      <c r="I10" s="4">
        <f t="shared" si="1"/>
        <v>5.3013121487446577</v>
      </c>
      <c r="J10" s="4">
        <f t="shared" si="2"/>
        <v>64.037718309513011</v>
      </c>
      <c r="K10" s="4">
        <f t="shared" si="3"/>
        <v>112.36000000000003</v>
      </c>
    </row>
    <row r="11" spans="1:12" x14ac:dyDescent="0.3">
      <c r="A11" s="2">
        <v>7</v>
      </c>
      <c r="B11" s="4">
        <v>34</v>
      </c>
      <c r="C11" s="4">
        <v>20</v>
      </c>
      <c r="D11" s="4">
        <f t="shared" si="4"/>
        <v>400</v>
      </c>
      <c r="E11" s="4">
        <f t="shared" si="5"/>
        <v>8000</v>
      </c>
      <c r="F11" s="4">
        <f t="shared" si="0"/>
        <v>30.350769986013756</v>
      </c>
      <c r="G11" s="4">
        <f t="shared" si="6"/>
        <v>3.6492300139862444</v>
      </c>
      <c r="H11" s="4">
        <f t="shared" si="7"/>
        <v>13.316879694978045</v>
      </c>
      <c r="I11" s="4">
        <f t="shared" si="1"/>
        <v>10.73302945290072</v>
      </c>
      <c r="J11" s="4">
        <f t="shared" si="2"/>
        <v>64.790103818056977</v>
      </c>
      <c r="K11" s="4">
        <f t="shared" si="3"/>
        <v>19.359999999999989</v>
      </c>
    </row>
    <row r="12" spans="1:12" x14ac:dyDescent="0.3">
      <c r="A12" s="2">
        <v>8</v>
      </c>
      <c r="B12" s="4">
        <v>35</v>
      </c>
      <c r="C12" s="4">
        <v>32</v>
      </c>
      <c r="D12" s="4">
        <f t="shared" si="4"/>
        <v>1024</v>
      </c>
      <c r="E12" s="4">
        <f t="shared" si="5"/>
        <v>32768</v>
      </c>
      <c r="F12" s="4">
        <f t="shared" si="0"/>
        <v>34.160998074293403</v>
      </c>
      <c r="G12" s="4">
        <f t="shared" si="6"/>
        <v>0.83900192570659726</v>
      </c>
      <c r="H12" s="4">
        <f t="shared" si="7"/>
        <v>0.70392423133937854</v>
      </c>
      <c r="I12" s="4">
        <f t="shared" si="1"/>
        <v>2.3971483591617067</v>
      </c>
      <c r="J12" s="4">
        <f t="shared" si="2"/>
        <v>17.969137326144228</v>
      </c>
      <c r="K12" s="4">
        <f t="shared" si="3"/>
        <v>11.55999999999999</v>
      </c>
    </row>
    <row r="13" spans="1:12" x14ac:dyDescent="0.3">
      <c r="A13" s="2">
        <v>9</v>
      </c>
      <c r="B13" s="4">
        <v>42</v>
      </c>
      <c r="C13" s="4">
        <v>46</v>
      </c>
      <c r="D13" s="4">
        <f t="shared" si="4"/>
        <v>2116</v>
      </c>
      <c r="E13" s="4">
        <f t="shared" si="5"/>
        <v>97336</v>
      </c>
      <c r="F13" s="4">
        <f t="shared" si="0"/>
        <v>47.117537766707585</v>
      </c>
      <c r="G13" s="4">
        <f t="shared" si="6"/>
        <v>-5.117537766707585</v>
      </c>
      <c r="H13" s="4">
        <f t="shared" si="7"/>
        <v>26.189192793678455</v>
      </c>
      <c r="I13" s="4">
        <f t="shared" si="1"/>
        <v>12.184613730256155</v>
      </c>
      <c r="J13" s="4">
        <f t="shared" si="2"/>
        <v>75.995464713973092</v>
      </c>
      <c r="K13" s="4">
        <f t="shared" si="3"/>
        <v>12.96000000000001</v>
      </c>
    </row>
    <row r="14" spans="1:12" x14ac:dyDescent="0.3">
      <c r="A14" s="2">
        <v>10</v>
      </c>
      <c r="B14" s="4">
        <v>24</v>
      </c>
      <c r="C14" s="4">
        <v>24</v>
      </c>
      <c r="D14" s="4">
        <f t="shared" si="4"/>
        <v>576</v>
      </c>
      <c r="E14" s="4">
        <f t="shared" si="5"/>
        <v>13824</v>
      </c>
      <c r="F14" s="4">
        <f t="shared" si="0"/>
        <v>28.642985303449713</v>
      </c>
      <c r="G14" s="4">
        <f t="shared" si="6"/>
        <v>-4.6429853034497128</v>
      </c>
      <c r="H14" s="4">
        <f t="shared" si="7"/>
        <v>21.557312528050023</v>
      </c>
      <c r="I14" s="4">
        <f t="shared" si="1"/>
        <v>19.345772097707137</v>
      </c>
      <c r="J14" s="4">
        <f t="shared" si="2"/>
        <v>95.199335788698264</v>
      </c>
      <c r="K14" s="4">
        <f t="shared" si="3"/>
        <v>207.35999999999996</v>
      </c>
    </row>
    <row r="15" spans="1:12" x14ac:dyDescent="0.3">
      <c r="A15" s="4" t="s">
        <v>6</v>
      </c>
      <c r="B15" s="4">
        <f>SUM(B5:B14)</f>
        <v>384</v>
      </c>
      <c r="C15" s="4">
        <f>SUM(C5:C14)</f>
        <v>356</v>
      </c>
      <c r="D15" s="4">
        <f t="shared" ref="D15:K15" si="8">SUM(D5:D14)</f>
        <v>13776</v>
      </c>
      <c r="E15" s="4">
        <f t="shared" si="8"/>
        <v>567566</v>
      </c>
      <c r="F15" s="4">
        <f t="shared" si="8"/>
        <v>384.00000000000045</v>
      </c>
      <c r="G15" s="14">
        <f t="shared" si="8"/>
        <v>-4.3698378249246161E-13</v>
      </c>
      <c r="H15" s="4">
        <f t="shared" si="8"/>
        <v>121.4936192259465</v>
      </c>
      <c r="I15" s="4">
        <f t="shared" si="8"/>
        <v>88.980341778601414</v>
      </c>
      <c r="J15" s="4">
        <f t="shared" si="8"/>
        <v>600.90638077404708</v>
      </c>
      <c r="K15" s="4">
        <f t="shared" si="8"/>
        <v>722.40000000000009</v>
      </c>
    </row>
    <row r="16" spans="1:12" x14ac:dyDescent="0.3">
      <c r="A16" s="4" t="s">
        <v>7</v>
      </c>
      <c r="B16" s="4">
        <f>AVERAGE(B5:B14)</f>
        <v>38.4</v>
      </c>
      <c r="C16" s="4">
        <f>AVERAGE(C5:C14)</f>
        <v>35.6</v>
      </c>
      <c r="D16" s="4">
        <f t="shared" ref="D16:K16" si="9">AVERAGE(D5:D14)</f>
        <v>1377.6</v>
      </c>
      <c r="E16" s="4">
        <f t="shared" si="9"/>
        <v>56756.6</v>
      </c>
      <c r="F16" s="4">
        <f t="shared" si="9"/>
        <v>38.400000000000048</v>
      </c>
      <c r="G16" s="14">
        <f>AVERAGE(G5:G14)</f>
        <v>-4.3698378249246164E-14</v>
      </c>
      <c r="H16" s="4">
        <f t="shared" si="9"/>
        <v>12.14936192259465</v>
      </c>
      <c r="I16" s="4">
        <f t="shared" si="9"/>
        <v>8.8980341778601417</v>
      </c>
      <c r="J16" s="4">
        <f t="shared" si="9"/>
        <v>60.090638077404705</v>
      </c>
      <c r="K16" s="4">
        <f t="shared" si="9"/>
        <v>72.240000000000009</v>
      </c>
    </row>
    <row r="19" spans="1:6" x14ac:dyDescent="0.3">
      <c r="A19" s="82" t="s">
        <v>33</v>
      </c>
    </row>
    <row r="20" spans="1:6" x14ac:dyDescent="0.3">
      <c r="B20" s="93" t="s">
        <v>160</v>
      </c>
      <c r="C20" s="93" t="s">
        <v>150</v>
      </c>
      <c r="D20" s="93" t="s">
        <v>151</v>
      </c>
      <c r="E20" s="93" t="s">
        <v>152</v>
      </c>
    </row>
    <row r="21" spans="1:6" x14ac:dyDescent="0.3">
      <c r="B21" s="4">
        <f t="array" ref="B21:E25">LINEST(B5:B14,C5:E14,1,1)</f>
        <v>-3.1670694317522236E-3</v>
      </c>
      <c r="C21" s="4">
        <v>0.33375542406287512</v>
      </c>
      <c r="D21" s="4">
        <v>-10.500931736776279</v>
      </c>
      <c r="E21" s="4">
        <v>132.20379055040706</v>
      </c>
    </row>
    <row r="22" spans="1:6" x14ac:dyDescent="0.3">
      <c r="A22" s="42" t="s">
        <v>181</v>
      </c>
      <c r="B22" s="4">
        <v>3.0003091434400628E-3</v>
      </c>
      <c r="C22" s="4">
        <v>0.30837590549832267</v>
      </c>
      <c r="D22" s="4">
        <v>10.136170027355732</v>
      </c>
      <c r="E22" s="4">
        <v>106.21187749448387</v>
      </c>
      <c r="F22" t="s">
        <v>182</v>
      </c>
    </row>
    <row r="23" spans="1:6" x14ac:dyDescent="0.3">
      <c r="A23" s="42" t="s">
        <v>183</v>
      </c>
      <c r="B23" s="4">
        <v>0.83181946397294559</v>
      </c>
      <c r="C23" s="4">
        <v>4.4998818359660691</v>
      </c>
      <c r="D23" s="4" t="e">
        <v>#N/A</v>
      </c>
      <c r="E23" s="4" t="e">
        <v>#N/A</v>
      </c>
    </row>
    <row r="24" spans="1:6" x14ac:dyDescent="0.3">
      <c r="A24" s="42" t="s">
        <v>38</v>
      </c>
      <c r="B24" s="4">
        <v>9.8919825518826343</v>
      </c>
      <c r="C24" s="4">
        <v>6</v>
      </c>
      <c r="D24" s="4" t="e">
        <v>#N/A</v>
      </c>
      <c r="E24" s="4" t="e">
        <v>#N/A</v>
      </c>
    </row>
    <row r="25" spans="1:6" x14ac:dyDescent="0.3">
      <c r="B25" s="4">
        <v>600.90638077405595</v>
      </c>
      <c r="C25" s="4">
        <v>121.49361922594414</v>
      </c>
      <c r="D25" s="4" t="e">
        <v>#N/A</v>
      </c>
      <c r="E25" s="4" t="e">
        <v>#N/A</v>
      </c>
    </row>
    <row r="26" spans="1:6" x14ac:dyDescent="0.3">
      <c r="B26" s="42" t="s">
        <v>153</v>
      </c>
      <c r="C26" t="s">
        <v>154</v>
      </c>
    </row>
    <row r="29" spans="1:6" ht="29.4" customHeight="1" x14ac:dyDescent="0.3">
      <c r="A29" s="26"/>
      <c r="B29" s="186" t="s">
        <v>161</v>
      </c>
      <c r="C29" s="186"/>
      <c r="D29" s="186"/>
      <c r="E29" s="186"/>
      <c r="F29" s="186"/>
    </row>
    <row r="30" spans="1:6" x14ac:dyDescent="0.3">
      <c r="B30" s="42"/>
    </row>
    <row r="31" spans="1:6" ht="15.6" x14ac:dyDescent="0.3">
      <c r="A31" s="23" t="s">
        <v>101</v>
      </c>
      <c r="B31" s="42"/>
    </row>
    <row r="32" spans="1:6" ht="15" thickBot="1" x14ac:dyDescent="0.35"/>
    <row r="33" spans="1:18" ht="15.6" x14ac:dyDescent="0.3">
      <c r="A33" s="44" t="s">
        <v>66</v>
      </c>
      <c r="B33" s="44">
        <v>0.91204137185379131</v>
      </c>
      <c r="D33" s="16" t="s">
        <v>38</v>
      </c>
      <c r="E33" s="46" t="s">
        <v>39</v>
      </c>
      <c r="G33" s="4" t="s">
        <v>156</v>
      </c>
      <c r="H33" s="4" t="s">
        <v>102</v>
      </c>
      <c r="I33" s="61"/>
      <c r="K33" s="16"/>
      <c r="L33" s="46" t="s">
        <v>77</v>
      </c>
      <c r="M33" s="46" t="s">
        <v>68</v>
      </c>
      <c r="N33" s="46" t="s">
        <v>78</v>
      </c>
      <c r="O33" s="46" t="s">
        <v>79</v>
      </c>
      <c r="Q33" s="164" t="s">
        <v>188</v>
      </c>
      <c r="R33" s="165"/>
    </row>
    <row r="34" spans="1:18" x14ac:dyDescent="0.3">
      <c r="A34" s="120" t="s">
        <v>35</v>
      </c>
      <c r="B34" s="120">
        <v>0.83181946397294559</v>
      </c>
      <c r="D34">
        <v>9.8919825518826343</v>
      </c>
      <c r="E34">
        <v>9.7257485021888801E-3</v>
      </c>
      <c r="G34" s="4">
        <f>_xlfn.F.INV.RT(0.05,3,6)</f>
        <v>4.7570626630894131</v>
      </c>
      <c r="H34" s="4">
        <f>I16</f>
        <v>8.8980341778601417</v>
      </c>
      <c r="I34" s="13">
        <f>((3*B21*C16^2+2*C21*C16+D21)*C16)/(E21+D21*C16+C21*C16^2+B21*C16^3)</f>
        <v>1.1299998534704314</v>
      </c>
      <c r="K34" t="s">
        <v>84</v>
      </c>
      <c r="L34">
        <v>132.20379055040706</v>
      </c>
      <c r="M34">
        <v>106.21187749448387</v>
      </c>
      <c r="N34">
        <v>1.2447175746165779</v>
      </c>
      <c r="O34" s="91">
        <v>0.25964799532778632</v>
      </c>
      <c r="Q34" s="4" t="s">
        <v>186</v>
      </c>
      <c r="R34" s="4" t="s">
        <v>187</v>
      </c>
    </row>
    <row r="35" spans="1:18" x14ac:dyDescent="0.3">
      <c r="A35" s="45" t="s">
        <v>67</v>
      </c>
      <c r="B35" s="45">
        <v>0.74772919595941845</v>
      </c>
      <c r="K35" t="s">
        <v>111</v>
      </c>
      <c r="L35">
        <v>-10.500931736776279</v>
      </c>
      <c r="M35">
        <v>10.136170027355732</v>
      </c>
      <c r="N35">
        <v>-1.0359861474734657</v>
      </c>
      <c r="O35" s="91">
        <v>0.34014554422938903</v>
      </c>
      <c r="Q35" s="4">
        <f>_xlfn.T.INV.2T(0.05,6)</f>
        <v>2.4469118511449697</v>
      </c>
      <c r="R35" s="4">
        <f>_xlfn.T.INV.2T(0.1,6)</f>
        <v>1.9431802805153031</v>
      </c>
    </row>
    <row r="36" spans="1:18" x14ac:dyDescent="0.3">
      <c r="K36" t="s">
        <v>23</v>
      </c>
      <c r="L36">
        <v>0.33375542406287512</v>
      </c>
      <c r="M36">
        <v>0.30837590549832267</v>
      </c>
      <c r="N36">
        <v>1.0823005887037127</v>
      </c>
      <c r="O36" s="91">
        <v>0.32068627868442179</v>
      </c>
    </row>
    <row r="37" spans="1:18" ht="16.2" thickBot="1" x14ac:dyDescent="0.35">
      <c r="A37" s="23" t="s">
        <v>44</v>
      </c>
      <c r="K37" s="15" t="s">
        <v>158</v>
      </c>
      <c r="L37" s="15">
        <v>-3.1670694317522236E-3</v>
      </c>
      <c r="M37" s="15">
        <v>3.0003091434400628E-3</v>
      </c>
      <c r="N37" s="15">
        <v>-1.055581035266572</v>
      </c>
      <c r="O37" s="135">
        <v>0.33179810129299392</v>
      </c>
    </row>
    <row r="38" spans="1:18" ht="15.6" x14ac:dyDescent="0.3">
      <c r="A38" s="26" t="s">
        <v>45</v>
      </c>
    </row>
    <row r="39" spans="1:18" ht="15.6" x14ac:dyDescent="0.3">
      <c r="A39" s="26" t="s">
        <v>46</v>
      </c>
    </row>
    <row r="40" spans="1:18" ht="15.6" x14ac:dyDescent="0.3">
      <c r="A40" s="26" t="s">
        <v>47</v>
      </c>
    </row>
    <row r="41" spans="1:18" ht="15.6" x14ac:dyDescent="0.3">
      <c r="A41" s="26" t="s">
        <v>48</v>
      </c>
    </row>
    <row r="42" spans="1:18" ht="15.6" x14ac:dyDescent="0.3">
      <c r="A42" s="26" t="s">
        <v>49</v>
      </c>
    </row>
    <row r="44" spans="1:18" ht="15.6" x14ac:dyDescent="0.3">
      <c r="A44" s="23" t="s">
        <v>45</v>
      </c>
    </row>
    <row r="45" spans="1:18" ht="15.6" x14ac:dyDescent="0.3">
      <c r="A45" s="26" t="s">
        <v>50</v>
      </c>
    </row>
    <row r="46" spans="1:18" ht="15" thickBot="1" x14ac:dyDescent="0.35"/>
    <row r="47" spans="1:18" x14ac:dyDescent="0.3">
      <c r="A47" s="46" t="s">
        <v>51</v>
      </c>
      <c r="B47" s="16" t="s">
        <v>52</v>
      </c>
    </row>
    <row r="48" spans="1:18" x14ac:dyDescent="0.3">
      <c r="A48">
        <v>33.063703793434911</v>
      </c>
      <c r="B48">
        <v>4.9362962065650891</v>
      </c>
    </row>
    <row r="49" spans="1:2" x14ac:dyDescent="0.3">
      <c r="A49">
        <v>28.705246157684293</v>
      </c>
      <c r="B49">
        <v>-2.705246157684293</v>
      </c>
    </row>
    <row r="50" spans="1:2" x14ac:dyDescent="0.3">
      <c r="A50">
        <v>41.327783040592124</v>
      </c>
      <c r="B50">
        <v>-1.3277830405921236</v>
      </c>
    </row>
    <row r="51" spans="1:2" x14ac:dyDescent="0.3">
      <c r="A51">
        <v>47.111081064001951</v>
      </c>
      <c r="B51">
        <v>-2.1110810640019508</v>
      </c>
    </row>
    <row r="52" spans="1:2" x14ac:dyDescent="0.3">
      <c r="A52">
        <v>47.117537766707585</v>
      </c>
      <c r="B52">
        <v>3.882462233292415</v>
      </c>
    </row>
    <row r="53" spans="1:2" x14ac:dyDescent="0.3">
      <c r="A53">
        <v>46.402357047115117</v>
      </c>
      <c r="B53">
        <v>2.5976429528848826</v>
      </c>
    </row>
    <row r="54" spans="1:2" x14ac:dyDescent="0.3">
      <c r="A54">
        <v>30.350769986013756</v>
      </c>
      <c r="B54">
        <v>3.6492300139862444</v>
      </c>
    </row>
    <row r="55" spans="1:2" x14ac:dyDescent="0.3">
      <c r="A55">
        <v>34.160998074293403</v>
      </c>
      <c r="B55">
        <v>0.83900192570659726</v>
      </c>
    </row>
    <row r="56" spans="1:2" x14ac:dyDescent="0.3">
      <c r="A56">
        <v>47.117537766707585</v>
      </c>
      <c r="B56">
        <v>-5.117537766707585</v>
      </c>
    </row>
    <row r="57" spans="1:2" ht="15" thickBot="1" x14ac:dyDescent="0.35">
      <c r="A57" s="15">
        <v>28.642985303449713</v>
      </c>
      <c r="B57" s="15">
        <v>-4.6429853034497128</v>
      </c>
    </row>
    <row r="60" spans="1:2" ht="15.6" x14ac:dyDescent="0.3">
      <c r="A60" s="23" t="s">
        <v>46</v>
      </c>
    </row>
    <row r="61" spans="1:2" ht="15.6" x14ac:dyDescent="0.3">
      <c r="A61" s="30" t="s">
        <v>53</v>
      </c>
    </row>
    <row r="78" spans="1:1" ht="15.6" x14ac:dyDescent="0.3">
      <c r="A78" s="23" t="s">
        <v>47</v>
      </c>
    </row>
    <row r="79" spans="1:1" ht="15.6" x14ac:dyDescent="0.3">
      <c r="A79" s="26" t="s">
        <v>107</v>
      </c>
    </row>
    <row r="95" spans="1:1" ht="15.6" x14ac:dyDescent="0.3">
      <c r="A95" s="23" t="s">
        <v>48</v>
      </c>
    </row>
    <row r="98" spans="1:11" x14ac:dyDescent="0.3">
      <c r="A98" s="83" t="s">
        <v>55</v>
      </c>
      <c r="B98" s="84" t="s">
        <v>56</v>
      </c>
      <c r="C98" s="83" t="s">
        <v>57</v>
      </c>
      <c r="D98" s="85"/>
      <c r="E98" s="86"/>
      <c r="F98" s="86"/>
    </row>
    <row r="99" spans="1:11" x14ac:dyDescent="0.3">
      <c r="A99" s="83">
        <v>1</v>
      </c>
      <c r="B99" s="4">
        <v>4.9362962065650891</v>
      </c>
      <c r="C99" s="83" t="s">
        <v>98</v>
      </c>
      <c r="D99" s="86"/>
      <c r="E99" s="86"/>
      <c r="F99" s="86"/>
    </row>
    <row r="100" spans="1:11" x14ac:dyDescent="0.3">
      <c r="A100" s="83">
        <v>2</v>
      </c>
      <c r="B100" s="4">
        <v>-2.705246157684293</v>
      </c>
      <c r="C100" s="83">
        <f>B99</f>
        <v>4.9362962065650891</v>
      </c>
      <c r="D100" s="86"/>
      <c r="E100" s="86"/>
      <c r="F100" s="86"/>
    </row>
    <row r="101" spans="1:11" x14ac:dyDescent="0.3">
      <c r="A101" s="83">
        <v>3</v>
      </c>
      <c r="B101" s="4">
        <v>-1.3277830405921236</v>
      </c>
      <c r="C101" s="83">
        <f t="shared" ref="C101:C108" si="10">B100</f>
        <v>-2.705246157684293</v>
      </c>
      <c r="D101" s="86"/>
      <c r="E101" s="86"/>
      <c r="F101" s="86"/>
    </row>
    <row r="102" spans="1:11" x14ac:dyDescent="0.3">
      <c r="A102" s="83">
        <v>4</v>
      </c>
      <c r="B102" s="4">
        <v>-2.1110810640019508</v>
      </c>
      <c r="C102" s="83">
        <f t="shared" si="10"/>
        <v>-1.3277830405921236</v>
      </c>
      <c r="D102" s="86"/>
      <c r="E102" s="86"/>
      <c r="F102" s="86"/>
    </row>
    <row r="103" spans="1:11" x14ac:dyDescent="0.3">
      <c r="A103" s="83">
        <v>5</v>
      </c>
      <c r="B103" s="4">
        <v>3.882462233292415</v>
      </c>
      <c r="C103" s="83">
        <f t="shared" si="10"/>
        <v>-2.1110810640019508</v>
      </c>
      <c r="D103" s="86"/>
      <c r="E103" s="86"/>
      <c r="F103" s="86"/>
    </row>
    <row r="104" spans="1:11" x14ac:dyDescent="0.3">
      <c r="A104" s="83">
        <v>6</v>
      </c>
      <c r="B104" s="4">
        <v>2.5976429528848826</v>
      </c>
      <c r="C104" s="83">
        <f t="shared" si="10"/>
        <v>3.882462233292415</v>
      </c>
      <c r="D104" s="86"/>
      <c r="E104" s="86"/>
      <c r="F104" s="86"/>
    </row>
    <row r="105" spans="1:11" x14ac:dyDescent="0.3">
      <c r="A105" s="83">
        <v>7</v>
      </c>
      <c r="B105" s="4">
        <v>3.6492300139862444</v>
      </c>
      <c r="C105" s="83">
        <f t="shared" si="10"/>
        <v>2.5976429528848826</v>
      </c>
      <c r="D105" s="86"/>
      <c r="E105" s="86"/>
      <c r="F105" s="86"/>
    </row>
    <row r="106" spans="1:11" x14ac:dyDescent="0.3">
      <c r="A106" s="83">
        <v>8</v>
      </c>
      <c r="B106" s="4">
        <v>0.83900192570659726</v>
      </c>
      <c r="C106" s="83">
        <f t="shared" si="10"/>
        <v>3.6492300139862444</v>
      </c>
      <c r="D106" s="86"/>
      <c r="E106" s="86"/>
      <c r="F106" s="86"/>
    </row>
    <row r="107" spans="1:11" x14ac:dyDescent="0.3">
      <c r="A107" s="83">
        <v>9</v>
      </c>
      <c r="B107" s="4">
        <v>-5.117537766707585</v>
      </c>
      <c r="C107" s="83">
        <f t="shared" si="10"/>
        <v>0.83900192570659726</v>
      </c>
      <c r="D107" s="86"/>
      <c r="E107" s="86"/>
      <c r="F107" s="86"/>
    </row>
    <row r="108" spans="1:11" x14ac:dyDescent="0.3">
      <c r="A108" s="83">
        <v>10</v>
      </c>
      <c r="B108" s="4">
        <v>-4.6429853034497128</v>
      </c>
      <c r="C108" s="83">
        <f t="shared" si="10"/>
        <v>-5.117537766707585</v>
      </c>
      <c r="D108" s="86"/>
      <c r="E108" s="86"/>
      <c r="F108" s="86"/>
    </row>
    <row r="109" spans="1:11" x14ac:dyDescent="0.3">
      <c r="A109" s="162"/>
      <c r="B109" s="162"/>
      <c r="C109" s="31"/>
      <c r="D109" s="31"/>
      <c r="E109" s="31"/>
      <c r="F109" s="31"/>
    </row>
    <row r="110" spans="1:11" ht="18" x14ac:dyDescent="0.3">
      <c r="A110" s="89" t="s">
        <v>61</v>
      </c>
      <c r="B110" s="39">
        <f>CORREL(B100:B108,C100:C108)</f>
        <v>0.30723876823177271</v>
      </c>
      <c r="C110" s="31"/>
      <c r="D110" s="31"/>
      <c r="E110" s="31"/>
      <c r="F110" s="31"/>
    </row>
    <row r="112" spans="1:11" ht="15.6" x14ac:dyDescent="0.3">
      <c r="A112" s="53" t="s">
        <v>62</v>
      </c>
      <c r="B112" s="54"/>
      <c r="C112" s="54"/>
      <c r="D112" s="54"/>
      <c r="E112" s="54"/>
      <c r="F112" s="54"/>
      <c r="G112" s="54"/>
      <c r="H112" s="54"/>
      <c r="I112" s="54"/>
      <c r="J112" s="54"/>
      <c r="K112" s="79"/>
    </row>
    <row r="114" spans="1:1" ht="15.6" x14ac:dyDescent="0.3">
      <c r="A114" s="23" t="s">
        <v>49</v>
      </c>
    </row>
    <row r="130" spans="1:4" ht="15.6" x14ac:dyDescent="0.3">
      <c r="A130" s="52" t="s">
        <v>63</v>
      </c>
      <c r="B130" s="28"/>
      <c r="C130" s="28"/>
      <c r="D130" s="28"/>
    </row>
  </sheetData>
  <mergeCells count="4">
    <mergeCell ref="A1:L1"/>
    <mergeCell ref="A109:B109"/>
    <mergeCell ref="B29:F29"/>
    <mergeCell ref="Q33:R3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24" sqref="E24"/>
    </sheetView>
  </sheetViews>
  <sheetFormatPr defaultRowHeight="14.4" x14ac:dyDescent="0.3"/>
  <cols>
    <col min="1" max="1" width="24.88671875" bestFit="1" customWidth="1"/>
    <col min="2" max="2" width="16.332031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0.91204137185379131</v>
      </c>
    </row>
    <row r="5" spans="1:9" x14ac:dyDescent="0.3">
      <c r="A5" t="s">
        <v>35</v>
      </c>
      <c r="B5">
        <v>0.83181946397294559</v>
      </c>
    </row>
    <row r="6" spans="1:9" x14ac:dyDescent="0.3">
      <c r="A6" t="s">
        <v>67</v>
      </c>
      <c r="B6">
        <v>0.74772919595941845</v>
      </c>
    </row>
    <row r="7" spans="1:9" x14ac:dyDescent="0.3">
      <c r="A7" t="s">
        <v>68</v>
      </c>
      <c r="B7">
        <v>4.4998818359660691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3</v>
      </c>
      <c r="C12">
        <v>600.90638077405595</v>
      </c>
      <c r="D12">
        <v>200.30212692468533</v>
      </c>
      <c r="E12">
        <v>9.8919825518826343</v>
      </c>
      <c r="F12">
        <v>9.7257485021888818E-3</v>
      </c>
    </row>
    <row r="13" spans="1:9" x14ac:dyDescent="0.3">
      <c r="A13" t="s">
        <v>75</v>
      </c>
      <c r="B13">
        <v>6</v>
      </c>
      <c r="C13">
        <v>121.49361922594414</v>
      </c>
      <c r="D13">
        <v>20.248936537657357</v>
      </c>
    </row>
    <row r="14" spans="1:9" ht="15" thickBot="1" x14ac:dyDescent="0.35">
      <c r="A14" s="15" t="s">
        <v>76</v>
      </c>
      <c r="B14" s="15">
        <v>9</v>
      </c>
      <c r="C14" s="15">
        <v>722.40000000000009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132.20379055040706</v>
      </c>
      <c r="C17">
        <v>106.21187749448387</v>
      </c>
      <c r="D17">
        <v>1.2447175746165779</v>
      </c>
      <c r="E17">
        <v>0.25964799532778632</v>
      </c>
      <c r="F17">
        <v>-127.68731122320321</v>
      </c>
      <c r="G17">
        <v>392.09489232401734</v>
      </c>
      <c r="H17">
        <v>-74.185035353381124</v>
      </c>
      <c r="I17">
        <v>338.59261645419525</v>
      </c>
    </row>
    <row r="18" spans="1:9" x14ac:dyDescent="0.3">
      <c r="A18" t="s">
        <v>111</v>
      </c>
      <c r="B18">
        <v>-10.500931736776279</v>
      </c>
      <c r="C18">
        <v>10.136170027355732</v>
      </c>
      <c r="D18">
        <v>-1.0359861474734657</v>
      </c>
      <c r="E18">
        <v>0.34014554422938903</v>
      </c>
      <c r="F18">
        <v>-35.303246301933449</v>
      </c>
      <c r="G18">
        <v>14.301382828380893</v>
      </c>
      <c r="H18">
        <v>-30.197337453884195</v>
      </c>
      <c r="I18">
        <v>9.1954739803316397</v>
      </c>
    </row>
    <row r="19" spans="1:9" x14ac:dyDescent="0.3">
      <c r="A19" t="s">
        <v>23</v>
      </c>
      <c r="B19">
        <v>0.33375542406287512</v>
      </c>
      <c r="C19">
        <v>0.30837590549832267</v>
      </c>
      <c r="D19">
        <v>1.0823005887037127</v>
      </c>
      <c r="E19">
        <v>0.32068627868442179</v>
      </c>
      <c r="F19">
        <v>-0.4208132337085318</v>
      </c>
      <c r="G19">
        <v>1.0883240818342821</v>
      </c>
      <c r="H19">
        <v>-0.26547455448751617</v>
      </c>
      <c r="I19">
        <v>0.93298540261326646</v>
      </c>
    </row>
    <row r="20" spans="1:9" ht="15" thickBot="1" x14ac:dyDescent="0.35">
      <c r="A20" s="15" t="s">
        <v>158</v>
      </c>
      <c r="B20" s="15">
        <v>-3.1670694317522236E-3</v>
      </c>
      <c r="C20" s="15">
        <v>3.0003091434400628E-3</v>
      </c>
      <c r="D20" s="15">
        <v>-1.055581035266572</v>
      </c>
      <c r="E20" s="15">
        <v>0.33179810129299392</v>
      </c>
      <c r="F20" s="15">
        <v>-1.0508561431934326E-2</v>
      </c>
      <c r="G20" s="15">
        <v>4.1744225684298784E-3</v>
      </c>
      <c r="H20" s="15">
        <v>-8.9972109947347133E-3</v>
      </c>
      <c r="I20" s="15">
        <v>2.6630721312302665E-3</v>
      </c>
    </row>
    <row r="24" spans="1:9" x14ac:dyDescent="0.3">
      <c r="A24" t="s">
        <v>85</v>
      </c>
      <c r="F24" t="s">
        <v>86</v>
      </c>
    </row>
    <row r="25" spans="1:9" ht="15" thickBot="1" x14ac:dyDescent="0.35"/>
    <row r="26" spans="1:9" x14ac:dyDescent="0.3">
      <c r="A26" s="16" t="s">
        <v>87</v>
      </c>
      <c r="B26" s="16" t="s">
        <v>51</v>
      </c>
      <c r="C26" s="16" t="s">
        <v>52</v>
      </c>
      <c r="D26" s="16" t="s">
        <v>88</v>
      </c>
      <c r="F26" s="16" t="s">
        <v>89</v>
      </c>
      <c r="G26" s="16" t="s">
        <v>21</v>
      </c>
    </row>
    <row r="27" spans="1:9" x14ac:dyDescent="0.3">
      <c r="A27">
        <v>1</v>
      </c>
      <c r="B27">
        <v>33.063703793434911</v>
      </c>
      <c r="C27">
        <v>4.9362962065650891</v>
      </c>
      <c r="D27">
        <v>1.3435249375525775</v>
      </c>
      <c r="F27">
        <v>5</v>
      </c>
      <c r="G27">
        <v>24</v>
      </c>
    </row>
    <row r="28" spans="1:9" x14ac:dyDescent="0.3">
      <c r="A28">
        <v>2</v>
      </c>
      <c r="B28">
        <v>28.705246157684293</v>
      </c>
      <c r="C28">
        <v>-2.705246157684293</v>
      </c>
      <c r="D28">
        <v>-0.73629408021206344</v>
      </c>
      <c r="F28">
        <v>15</v>
      </c>
      <c r="G28">
        <v>26</v>
      </c>
    </row>
    <row r="29" spans="1:9" x14ac:dyDescent="0.3">
      <c r="A29">
        <v>3</v>
      </c>
      <c r="B29">
        <v>41.327783040592124</v>
      </c>
      <c r="C29">
        <v>-1.3277830405921236</v>
      </c>
      <c r="D29">
        <v>-0.36138626047650285</v>
      </c>
      <c r="F29">
        <v>25</v>
      </c>
      <c r="G29">
        <v>34</v>
      </c>
    </row>
    <row r="30" spans="1:9" x14ac:dyDescent="0.3">
      <c r="A30">
        <v>4</v>
      </c>
      <c r="B30">
        <v>47.111081064001951</v>
      </c>
      <c r="C30">
        <v>-2.1110810640019508</v>
      </c>
      <c r="D30">
        <v>-0.57457857794463185</v>
      </c>
      <c r="F30">
        <v>35</v>
      </c>
      <c r="G30">
        <v>35</v>
      </c>
    </row>
    <row r="31" spans="1:9" x14ac:dyDescent="0.3">
      <c r="A31">
        <v>5</v>
      </c>
      <c r="B31">
        <v>47.117537766707585</v>
      </c>
      <c r="C31">
        <v>3.882462233292415</v>
      </c>
      <c r="D31">
        <v>1.0567001272324585</v>
      </c>
      <c r="F31">
        <v>45</v>
      </c>
      <c r="G31">
        <v>38</v>
      </c>
    </row>
    <row r="32" spans="1:9" x14ac:dyDescent="0.3">
      <c r="A32">
        <v>6</v>
      </c>
      <c r="B32">
        <v>46.402357047115117</v>
      </c>
      <c r="C32">
        <v>2.5976429528848826</v>
      </c>
      <c r="D32">
        <v>0.70700742824488294</v>
      </c>
      <c r="F32">
        <v>55</v>
      </c>
      <c r="G32">
        <v>40</v>
      </c>
    </row>
    <row r="33" spans="1:7" x14ac:dyDescent="0.3">
      <c r="A33">
        <v>7</v>
      </c>
      <c r="B33">
        <v>30.350769986013756</v>
      </c>
      <c r="C33">
        <v>3.6492300139862444</v>
      </c>
      <c r="D33">
        <v>0.99322069047138584</v>
      </c>
      <c r="F33">
        <v>65</v>
      </c>
      <c r="G33">
        <v>42</v>
      </c>
    </row>
    <row r="34" spans="1:7" x14ac:dyDescent="0.3">
      <c r="A34">
        <v>8</v>
      </c>
      <c r="B34">
        <v>34.160998074293403</v>
      </c>
      <c r="C34">
        <v>0.83900192570659726</v>
      </c>
      <c r="D34">
        <v>0.22835339750120504</v>
      </c>
      <c r="F34">
        <v>75</v>
      </c>
      <c r="G34">
        <v>45</v>
      </c>
    </row>
    <row r="35" spans="1:7" x14ac:dyDescent="0.3">
      <c r="A35">
        <v>9</v>
      </c>
      <c r="B35">
        <v>47.117537766707585</v>
      </c>
      <c r="C35">
        <v>-5.117537766707585</v>
      </c>
      <c r="D35">
        <v>-1.3928539375928362</v>
      </c>
      <c r="F35">
        <v>85</v>
      </c>
      <c r="G35">
        <v>49</v>
      </c>
    </row>
    <row r="36" spans="1:7" ht="15" thickBot="1" x14ac:dyDescent="0.35">
      <c r="A36" s="15">
        <v>10</v>
      </c>
      <c r="B36" s="15">
        <v>28.642985303449713</v>
      </c>
      <c r="C36" s="15">
        <v>-4.6429853034497128</v>
      </c>
      <c r="D36" s="15">
        <v>-1.2636937247765943</v>
      </c>
      <c r="F36" s="15">
        <v>95</v>
      </c>
      <c r="G36" s="15">
        <v>51</v>
      </c>
    </row>
  </sheetData>
  <sortState ref="G27:G36">
    <sortCondition ref="G27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opLeftCell="A13" zoomScale="85" zoomScaleNormal="85" workbookViewId="0">
      <selection activeCell="M42" sqref="M42"/>
    </sheetView>
  </sheetViews>
  <sheetFormatPr defaultRowHeight="14.4" x14ac:dyDescent="0.3"/>
  <cols>
    <col min="1" max="1" width="15.5546875" customWidth="1"/>
    <col min="7" max="7" width="24.44140625" customWidth="1"/>
    <col min="9" max="9" width="9.88671875" customWidth="1"/>
    <col min="10" max="10" width="23.6640625" customWidth="1"/>
  </cols>
  <sheetData>
    <row r="1" spans="1:12" ht="35.4" customHeight="1" x14ac:dyDescent="0.3">
      <c r="A1" s="184" t="s">
        <v>162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</row>
    <row r="3" spans="1:12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</row>
    <row r="4" spans="1:12" ht="28.2" customHeight="1" x14ac:dyDescent="0.3">
      <c r="A4" s="3"/>
      <c r="B4" s="5" t="s">
        <v>21</v>
      </c>
      <c r="C4" s="5" t="s">
        <v>111</v>
      </c>
      <c r="D4" s="87" t="s">
        <v>146</v>
      </c>
      <c r="E4" s="87" t="s">
        <v>158</v>
      </c>
      <c r="F4" s="87" t="s">
        <v>163</v>
      </c>
      <c r="G4" s="88" t="s">
        <v>164</v>
      </c>
      <c r="H4" s="6" t="s">
        <v>26</v>
      </c>
      <c r="I4" s="6" t="s">
        <v>148</v>
      </c>
      <c r="J4" s="10" t="s">
        <v>149</v>
      </c>
      <c r="K4" s="87" t="s">
        <v>29</v>
      </c>
      <c r="L4" s="87" t="s">
        <v>30</v>
      </c>
    </row>
    <row r="5" spans="1:12" x14ac:dyDescent="0.3">
      <c r="A5" s="2">
        <v>1</v>
      </c>
      <c r="B5" s="4">
        <v>38</v>
      </c>
      <c r="C5" s="4">
        <v>31</v>
      </c>
      <c r="D5" s="4">
        <f>C5^2</f>
        <v>961</v>
      </c>
      <c r="E5" s="4">
        <f>C5^3</f>
        <v>29791</v>
      </c>
      <c r="F5" s="4">
        <f>C5^4</f>
        <v>923521</v>
      </c>
      <c r="G5" s="4">
        <f t="shared" ref="G5:G14" si="0">F$21+E$21*C5+D$21*D5+C$21*E5+B$21*F5</f>
        <v>34.248836258082804</v>
      </c>
      <c r="H5" s="4">
        <f t="shared" ref="H5:H14" si="1">B5-G5</f>
        <v>3.7511637419171961</v>
      </c>
      <c r="I5" s="4">
        <f>H5^2</f>
        <v>14.071229418674221</v>
      </c>
      <c r="J5" s="4">
        <f t="shared" ref="J5:J14" si="2">ABS((H5/B5)*100)</f>
        <v>9.8714835313610436</v>
      </c>
      <c r="K5" s="4">
        <f t="shared" ref="K5:K14" si="3">(G5-B$16)^2</f>
        <v>17.232160412207968</v>
      </c>
      <c r="L5" s="4">
        <f t="shared" ref="L5:L14" si="4">(B5-B$16)^2</f>
        <v>0.15999999999999887</v>
      </c>
    </row>
    <row r="6" spans="1:12" x14ac:dyDescent="0.3">
      <c r="A6" s="2">
        <v>2</v>
      </c>
      <c r="B6" s="4">
        <v>26</v>
      </c>
      <c r="C6" s="4">
        <v>23</v>
      </c>
      <c r="D6" s="4">
        <f t="shared" ref="D6:D14" si="5">C6^2</f>
        <v>529</v>
      </c>
      <c r="E6" s="4">
        <f t="shared" ref="E6:E14" si="6">C6^3</f>
        <v>12167</v>
      </c>
      <c r="F6" s="4">
        <f t="shared" ref="F6:F14" si="7">C6^4</f>
        <v>279841</v>
      </c>
      <c r="G6" s="4">
        <f t="shared" si="0"/>
        <v>26.256727001155753</v>
      </c>
      <c r="H6" s="4">
        <f t="shared" si="1"/>
        <v>-0.25672700115575253</v>
      </c>
      <c r="I6" s="4">
        <f t="shared" ref="I6:I14" si="8">H6^2</f>
        <v>6.5908753122425764E-2</v>
      </c>
      <c r="J6" s="4">
        <f t="shared" si="2"/>
        <v>0.9874115429067406</v>
      </c>
      <c r="K6" s="4">
        <f t="shared" si="3"/>
        <v>147.45907912445972</v>
      </c>
      <c r="L6" s="4">
        <f t="shared" si="4"/>
        <v>153.75999999999996</v>
      </c>
    </row>
    <row r="7" spans="1:12" x14ac:dyDescent="0.3">
      <c r="A7" s="2">
        <v>3</v>
      </c>
      <c r="B7" s="4">
        <v>40</v>
      </c>
      <c r="C7" s="4">
        <v>38</v>
      </c>
      <c r="D7" s="4">
        <f t="shared" si="5"/>
        <v>1444</v>
      </c>
      <c r="E7" s="4">
        <f t="shared" si="6"/>
        <v>54872</v>
      </c>
      <c r="F7" s="4">
        <f t="shared" si="7"/>
        <v>2085136</v>
      </c>
      <c r="G7" s="4">
        <f t="shared" si="0"/>
        <v>42.653926230038223</v>
      </c>
      <c r="H7" s="4">
        <f t="shared" si="1"/>
        <v>-2.6539262300382234</v>
      </c>
      <c r="I7" s="4">
        <f t="shared" si="8"/>
        <v>7.0433244344848971</v>
      </c>
      <c r="J7" s="4">
        <f t="shared" si="2"/>
        <v>6.6348155750955584</v>
      </c>
      <c r="K7" s="4">
        <f t="shared" si="3"/>
        <v>18.095888370607224</v>
      </c>
      <c r="L7" s="4">
        <f t="shared" si="4"/>
        <v>2.5600000000000045</v>
      </c>
    </row>
    <row r="8" spans="1:12" x14ac:dyDescent="0.3">
      <c r="A8" s="2">
        <v>4</v>
      </c>
      <c r="B8" s="4">
        <v>45</v>
      </c>
      <c r="C8" s="4">
        <v>47</v>
      </c>
      <c r="D8" s="4">
        <f t="shared" si="5"/>
        <v>2209</v>
      </c>
      <c r="E8" s="4">
        <f t="shared" si="6"/>
        <v>103823</v>
      </c>
      <c r="F8" s="4">
        <f t="shared" si="7"/>
        <v>4879681</v>
      </c>
      <c r="G8" s="4">
        <f t="shared" si="0"/>
        <v>46.066226434419605</v>
      </c>
      <c r="H8" s="4">
        <f t="shared" si="1"/>
        <v>-1.0662264344196046</v>
      </c>
      <c r="I8" s="4">
        <f t="shared" si="8"/>
        <v>1.1368388094551434</v>
      </c>
      <c r="J8" s="4">
        <f t="shared" si="2"/>
        <v>2.3693920764880105</v>
      </c>
      <c r="K8" s="4">
        <f t="shared" si="3"/>
        <v>58.771027743793944</v>
      </c>
      <c r="L8" s="4">
        <f t="shared" si="4"/>
        <v>43.560000000000016</v>
      </c>
    </row>
    <row r="9" spans="1:12" x14ac:dyDescent="0.3">
      <c r="A9" s="2">
        <v>5</v>
      </c>
      <c r="B9" s="4">
        <v>51</v>
      </c>
      <c r="C9" s="4">
        <v>46</v>
      </c>
      <c r="D9" s="4">
        <f t="shared" si="5"/>
        <v>2116</v>
      </c>
      <c r="E9" s="4">
        <f t="shared" si="6"/>
        <v>97336</v>
      </c>
      <c r="F9" s="4">
        <f t="shared" si="7"/>
        <v>4477456</v>
      </c>
      <c r="G9" s="4">
        <f t="shared" si="0"/>
        <v>45.055959981011256</v>
      </c>
      <c r="H9" s="4">
        <f t="shared" si="1"/>
        <v>5.9440400189887441</v>
      </c>
      <c r="I9" s="4">
        <f t="shared" si="8"/>
        <v>35.331611747339707</v>
      </c>
      <c r="J9" s="4">
        <f t="shared" si="2"/>
        <v>11.654980429389694</v>
      </c>
      <c r="K9" s="4">
        <f t="shared" si="3"/>
        <v>44.301803268823377</v>
      </c>
      <c r="L9" s="4">
        <f t="shared" si="4"/>
        <v>158.76000000000005</v>
      </c>
    </row>
    <row r="10" spans="1:12" x14ac:dyDescent="0.3">
      <c r="A10" s="2">
        <v>6</v>
      </c>
      <c r="B10" s="4">
        <v>49</v>
      </c>
      <c r="C10" s="4">
        <v>49</v>
      </c>
      <c r="D10" s="4">
        <f t="shared" si="5"/>
        <v>2401</v>
      </c>
      <c r="E10" s="4">
        <f t="shared" si="6"/>
        <v>117649</v>
      </c>
      <c r="F10" s="4">
        <f t="shared" si="7"/>
        <v>5764801</v>
      </c>
      <c r="G10" s="4">
        <f t="shared" si="0"/>
        <v>49.721082191520054</v>
      </c>
      <c r="H10" s="4">
        <f t="shared" si="1"/>
        <v>-0.72108219152005404</v>
      </c>
      <c r="I10" s="4">
        <f t="shared" si="8"/>
        <v>0.51995952692736391</v>
      </c>
      <c r="J10" s="4">
        <f t="shared" si="2"/>
        <v>1.4715963092246001</v>
      </c>
      <c r="K10" s="4">
        <f t="shared" si="3"/>
        <v>128.16690198715253</v>
      </c>
      <c r="L10" s="4">
        <f t="shared" si="4"/>
        <v>112.36000000000003</v>
      </c>
    </row>
    <row r="11" spans="1:12" x14ac:dyDescent="0.3">
      <c r="A11" s="2">
        <v>7</v>
      </c>
      <c r="B11" s="4">
        <v>34</v>
      </c>
      <c r="C11" s="4">
        <v>20</v>
      </c>
      <c r="D11" s="4">
        <f t="shared" si="5"/>
        <v>400</v>
      </c>
      <c r="E11" s="4">
        <f t="shared" si="6"/>
        <v>8000</v>
      </c>
      <c r="F11" s="4">
        <f t="shared" si="7"/>
        <v>160000</v>
      </c>
      <c r="G11" s="4">
        <f t="shared" si="0"/>
        <v>33.244210581202907</v>
      </c>
      <c r="H11" s="4">
        <f t="shared" si="1"/>
        <v>0.75578941879709305</v>
      </c>
      <c r="I11" s="4">
        <f t="shared" si="8"/>
        <v>0.57121764556564769</v>
      </c>
      <c r="J11" s="4">
        <f t="shared" si="2"/>
        <v>2.2229100552855678</v>
      </c>
      <c r="K11" s="4">
        <f t="shared" si="3"/>
        <v>26.582164530980052</v>
      </c>
      <c r="L11" s="4">
        <f t="shared" si="4"/>
        <v>19.359999999999989</v>
      </c>
    </row>
    <row r="12" spans="1:12" x14ac:dyDescent="0.3">
      <c r="A12" s="2">
        <v>8</v>
      </c>
      <c r="B12" s="4">
        <v>35</v>
      </c>
      <c r="C12" s="4">
        <v>32</v>
      </c>
      <c r="D12" s="4">
        <f t="shared" si="5"/>
        <v>1024</v>
      </c>
      <c r="E12" s="4">
        <f t="shared" si="6"/>
        <v>32768</v>
      </c>
      <c r="F12" s="4">
        <f t="shared" si="7"/>
        <v>1048576</v>
      </c>
      <c r="G12" s="4">
        <f t="shared" si="0"/>
        <v>35.915530794325036</v>
      </c>
      <c r="H12" s="4">
        <f t="shared" si="1"/>
        <v>-0.91553079432503637</v>
      </c>
      <c r="I12" s="4">
        <f t="shared" si="8"/>
        <v>0.83819663535743205</v>
      </c>
      <c r="J12" s="4">
        <f t="shared" si="2"/>
        <v>2.615802269500104</v>
      </c>
      <c r="K12" s="4">
        <f t="shared" si="3"/>
        <v>6.1725872339471781</v>
      </c>
      <c r="L12" s="4">
        <f t="shared" si="4"/>
        <v>11.55999999999999</v>
      </c>
    </row>
    <row r="13" spans="1:12" x14ac:dyDescent="0.3">
      <c r="A13" s="2">
        <v>9</v>
      </c>
      <c r="B13" s="4">
        <v>42</v>
      </c>
      <c r="C13" s="4">
        <v>46</v>
      </c>
      <c r="D13" s="4">
        <f t="shared" si="5"/>
        <v>2116</v>
      </c>
      <c r="E13" s="4">
        <f t="shared" si="6"/>
        <v>97336</v>
      </c>
      <c r="F13" s="4">
        <f t="shared" si="7"/>
        <v>4477456</v>
      </c>
      <c r="G13" s="4">
        <f t="shared" si="0"/>
        <v>45.055959981011256</v>
      </c>
      <c r="H13" s="4">
        <f t="shared" si="1"/>
        <v>-3.0559599810112559</v>
      </c>
      <c r="I13" s="4">
        <f t="shared" si="8"/>
        <v>9.3388914055423147</v>
      </c>
      <c r="J13" s="4">
        <f t="shared" si="2"/>
        <v>7.2760951928839424</v>
      </c>
      <c r="K13" s="4">
        <f t="shared" si="3"/>
        <v>44.301803268823377</v>
      </c>
      <c r="L13" s="4">
        <f t="shared" si="4"/>
        <v>12.96000000000001</v>
      </c>
    </row>
    <row r="14" spans="1:12" x14ac:dyDescent="0.3">
      <c r="A14" s="2">
        <v>10</v>
      </c>
      <c r="B14" s="4">
        <v>24</v>
      </c>
      <c r="C14" s="4">
        <v>24</v>
      </c>
      <c r="D14" s="4">
        <f t="shared" si="5"/>
        <v>576</v>
      </c>
      <c r="E14" s="4">
        <f t="shared" si="6"/>
        <v>13824</v>
      </c>
      <c r="F14" s="4">
        <f t="shared" si="7"/>
        <v>331776</v>
      </c>
      <c r="G14" s="4">
        <f t="shared" si="0"/>
        <v>25.781540547232453</v>
      </c>
      <c r="H14" s="4">
        <f t="shared" si="1"/>
        <v>-1.7815405472324528</v>
      </c>
      <c r="I14" s="4">
        <f t="shared" si="8"/>
        <v>3.1738867214333073</v>
      </c>
      <c r="J14" s="4">
        <f t="shared" si="2"/>
        <v>7.4230856134685537</v>
      </c>
      <c r="K14" s="4">
        <f t="shared" si="3"/>
        <v>159.22551896113862</v>
      </c>
      <c r="L14" s="4">
        <f t="shared" si="4"/>
        <v>207.35999999999996</v>
      </c>
    </row>
    <row r="15" spans="1:12" x14ac:dyDescent="0.3">
      <c r="A15" s="4" t="s">
        <v>6</v>
      </c>
      <c r="B15" s="4">
        <f>SUM(B5:B14)</f>
        <v>384</v>
      </c>
      <c r="C15" s="4">
        <f>SUM(C5:C14)</f>
        <v>356</v>
      </c>
      <c r="D15" s="4">
        <f t="shared" ref="D15:L15" si="9">SUM(D5:D14)</f>
        <v>13776</v>
      </c>
      <c r="E15" s="4">
        <f t="shared" si="9"/>
        <v>567566</v>
      </c>
      <c r="F15" s="4">
        <f t="shared" si="9"/>
        <v>24428244</v>
      </c>
      <c r="G15" s="4">
        <f t="shared" si="9"/>
        <v>383.99999999999932</v>
      </c>
      <c r="H15" s="14">
        <f t="shared" si="9"/>
        <v>6.5369931689929217E-13</v>
      </c>
      <c r="I15" s="4">
        <f t="shared" si="9"/>
        <v>72.091065097902458</v>
      </c>
      <c r="J15" s="4">
        <f t="shared" si="9"/>
        <v>52.527572595603814</v>
      </c>
      <c r="K15" s="4">
        <f t="shared" si="9"/>
        <v>650.30893490193398</v>
      </c>
      <c r="L15" s="4">
        <f t="shared" si="9"/>
        <v>722.40000000000009</v>
      </c>
    </row>
    <row r="16" spans="1:12" x14ac:dyDescent="0.3">
      <c r="A16" s="4" t="s">
        <v>7</v>
      </c>
      <c r="B16" s="4">
        <f>AVERAGE(B5:B14)</f>
        <v>38.4</v>
      </c>
      <c r="C16" s="4">
        <f>AVERAGE(C5:C14)</f>
        <v>35.6</v>
      </c>
      <c r="D16" s="4">
        <f t="shared" ref="D16:L16" si="10">AVERAGE(D5:D14)</f>
        <v>1377.6</v>
      </c>
      <c r="E16" s="4">
        <f t="shared" si="10"/>
        <v>56756.6</v>
      </c>
      <c r="F16" s="4">
        <f t="shared" si="10"/>
        <v>2442824.4</v>
      </c>
      <c r="G16" s="4">
        <f t="shared" si="10"/>
        <v>38.399999999999935</v>
      </c>
      <c r="H16" s="14">
        <f>AVERAGE(H5:H14)</f>
        <v>6.5369931689929212E-14</v>
      </c>
      <c r="I16" s="4">
        <f t="shared" si="10"/>
        <v>7.2091065097902458</v>
      </c>
      <c r="J16" s="4">
        <f t="shared" si="10"/>
        <v>5.2527572595603811</v>
      </c>
      <c r="K16" s="4">
        <f t="shared" si="10"/>
        <v>65.030893490193392</v>
      </c>
      <c r="L16" s="4">
        <f t="shared" si="10"/>
        <v>72.240000000000009</v>
      </c>
    </row>
    <row r="19" spans="1:18" x14ac:dyDescent="0.3">
      <c r="A19" s="82" t="s">
        <v>33</v>
      </c>
    </row>
    <row r="20" spans="1:18" x14ac:dyDescent="0.3">
      <c r="A20" s="42"/>
      <c r="B20" s="42" t="s">
        <v>165</v>
      </c>
      <c r="C20" s="42" t="s">
        <v>160</v>
      </c>
      <c r="D20" s="42" t="s">
        <v>150</v>
      </c>
      <c r="E20" s="42" t="s">
        <v>151</v>
      </c>
      <c r="F20" s="42" t="s">
        <v>152</v>
      </c>
      <c r="G20" s="42"/>
    </row>
    <row r="21" spans="1:18" x14ac:dyDescent="0.3">
      <c r="A21" s="42"/>
      <c r="B21" s="4">
        <f t="array" ref="B21:F25">LINEST(B5:B14,C5:F14,1,1)</f>
        <v>4.9488975878746774E-4</v>
      </c>
      <c r="C21" s="4">
        <v>-7.1489529906044805E-2</v>
      </c>
      <c r="D21" s="4">
        <v>3.770107581475338</v>
      </c>
      <c r="E21" s="4">
        <v>-84.91419135157534</v>
      </c>
      <c r="F21" s="4">
        <v>716.21888286493822</v>
      </c>
      <c r="G21" s="42"/>
    </row>
    <row r="22" spans="1:18" x14ac:dyDescent="0.3">
      <c r="A22" s="42" t="s">
        <v>181</v>
      </c>
      <c r="B22" s="4">
        <v>2.6735572245774428E-4</v>
      </c>
      <c r="C22" s="4">
        <v>3.699676746714764E-2</v>
      </c>
      <c r="D22" s="4">
        <v>1.8745790674891916</v>
      </c>
      <c r="E22" s="4">
        <v>41.100323355662752</v>
      </c>
      <c r="F22" s="4">
        <v>327.9869817389278</v>
      </c>
      <c r="G22" s="104" t="s">
        <v>182</v>
      </c>
    </row>
    <row r="23" spans="1:18" x14ac:dyDescent="0.3">
      <c r="A23" s="42" t="s">
        <v>183</v>
      </c>
      <c r="B23" s="4">
        <v>0.90020616680800913</v>
      </c>
      <c r="C23" s="4">
        <v>3.797132209915643</v>
      </c>
      <c r="D23" s="4" t="e">
        <v>#N/A</v>
      </c>
      <c r="E23" s="4" t="e">
        <v>#N/A</v>
      </c>
      <c r="F23" s="4" t="e">
        <v>#N/A</v>
      </c>
      <c r="G23" s="42"/>
    </row>
    <row r="24" spans="1:18" x14ac:dyDescent="0.3">
      <c r="A24" s="42" t="s">
        <v>38</v>
      </c>
      <c r="B24" s="4">
        <v>11.275824091706701</v>
      </c>
      <c r="C24" s="4">
        <v>5</v>
      </c>
      <c r="D24" s="4" t="e">
        <v>#N/A</v>
      </c>
      <c r="E24" s="4" t="e">
        <v>#N/A</v>
      </c>
      <c r="F24" s="4" t="e">
        <v>#N/A</v>
      </c>
      <c r="G24" s="42"/>
    </row>
    <row r="25" spans="1:18" x14ac:dyDescent="0.3">
      <c r="A25" s="42"/>
      <c r="B25" s="4">
        <v>650.30893490210588</v>
      </c>
      <c r="C25" s="4">
        <v>72.091065097894273</v>
      </c>
      <c r="D25" s="4" t="e">
        <v>#N/A</v>
      </c>
      <c r="E25" s="4" t="e">
        <v>#N/A</v>
      </c>
      <c r="F25" s="4" t="e">
        <v>#N/A</v>
      </c>
      <c r="G25" s="42"/>
    </row>
    <row r="26" spans="1:18" x14ac:dyDescent="0.3">
      <c r="B26" t="s">
        <v>153</v>
      </c>
      <c r="C26" t="s">
        <v>154</v>
      </c>
    </row>
    <row r="29" spans="1:18" ht="31.2" customHeight="1" thickBot="1" x14ac:dyDescent="0.35">
      <c r="A29" s="26"/>
      <c r="B29" s="186" t="s">
        <v>166</v>
      </c>
      <c r="C29" s="186"/>
      <c r="D29" s="186"/>
      <c r="E29" s="186"/>
      <c r="F29" s="186"/>
      <c r="G29" s="186"/>
    </row>
    <row r="30" spans="1:18" x14ac:dyDescent="0.3">
      <c r="B30" s="42"/>
      <c r="K30" s="16"/>
      <c r="L30" s="46" t="s">
        <v>77</v>
      </c>
      <c r="M30" s="46" t="s">
        <v>68</v>
      </c>
      <c r="N30" s="46" t="s">
        <v>78</v>
      </c>
      <c r="O30" s="46" t="s">
        <v>79</v>
      </c>
      <c r="Q30" s="164" t="s">
        <v>188</v>
      </c>
      <c r="R30" s="165"/>
    </row>
    <row r="31" spans="1:18" ht="15.6" x14ac:dyDescent="0.3">
      <c r="A31" s="23" t="s">
        <v>101</v>
      </c>
      <c r="B31" s="42"/>
      <c r="K31" t="s">
        <v>84</v>
      </c>
      <c r="L31">
        <v>716.21888286493822</v>
      </c>
      <c r="M31">
        <v>327.9869817389278</v>
      </c>
      <c r="N31">
        <v>2.1836808249756587</v>
      </c>
      <c r="O31" s="91">
        <v>8.0737319250732284E-2</v>
      </c>
      <c r="Q31" s="4" t="s">
        <v>186</v>
      </c>
      <c r="R31" s="4" t="s">
        <v>187</v>
      </c>
    </row>
    <row r="32" spans="1:18" ht="15" thickBot="1" x14ac:dyDescent="0.35">
      <c r="K32" t="s">
        <v>111</v>
      </c>
      <c r="L32">
        <v>-84.91419135157534</v>
      </c>
      <c r="M32">
        <v>41.100323355662752</v>
      </c>
      <c r="N32">
        <v>-2.0660224645136758</v>
      </c>
      <c r="O32" s="91">
        <v>9.371247354157157E-2</v>
      </c>
      <c r="Q32" s="4">
        <f>_xlfn.T.INV.2T(0.05,5)</f>
        <v>2.570581835636315</v>
      </c>
      <c r="R32" s="4">
        <f>_xlfn.T.INV.2T(0.1,5)</f>
        <v>2.0150483733330233</v>
      </c>
    </row>
    <row r="33" spans="1:15" ht="15.6" x14ac:dyDescent="0.3">
      <c r="A33" s="44" t="s">
        <v>66</v>
      </c>
      <c r="B33" s="44">
        <v>0.94879195127699578</v>
      </c>
      <c r="D33" s="16" t="s">
        <v>38</v>
      </c>
      <c r="E33" s="46" t="s">
        <v>39</v>
      </c>
      <c r="G33" s="4" t="s">
        <v>156</v>
      </c>
      <c r="H33" s="4" t="s">
        <v>102</v>
      </c>
      <c r="I33" s="61"/>
      <c r="K33" t="s">
        <v>23</v>
      </c>
      <c r="L33">
        <v>3.770107581475338</v>
      </c>
      <c r="M33">
        <v>1.8745790674891916</v>
      </c>
      <c r="N33">
        <v>2.0111755470122765</v>
      </c>
      <c r="O33" s="91">
        <v>0.10049542682085022</v>
      </c>
    </row>
    <row r="34" spans="1:15" x14ac:dyDescent="0.3">
      <c r="A34" s="120" t="s">
        <v>35</v>
      </c>
      <c r="B34" s="120">
        <v>0.90020616680800913</v>
      </c>
      <c r="D34" s="90">
        <v>11.275824091706701</v>
      </c>
      <c r="E34" s="90">
        <v>1.0226134297415665E-2</v>
      </c>
      <c r="G34" s="4">
        <f>_xlfn.F.INV.RT(0.05,4,5)</f>
        <v>5.1921677728039226</v>
      </c>
      <c r="H34" s="4">
        <f>J16</f>
        <v>5.2527572595603811</v>
      </c>
      <c r="I34" s="4">
        <f>((4*B21*C16^3+3*C21*C16^2+2*D21*C16+E21)*C16)/(B21*C16^4+C21*C16^3+D21*C16^2+E21*C16+F21)</f>
        <v>0.89238392251779586</v>
      </c>
      <c r="K34" t="s">
        <v>158</v>
      </c>
      <c r="L34">
        <v>-7.1489529906044805E-2</v>
      </c>
      <c r="M34">
        <v>3.699676746714764E-2</v>
      </c>
      <c r="N34">
        <v>-1.9323182753608412</v>
      </c>
      <c r="O34" s="91">
        <v>0.11115953864479555</v>
      </c>
    </row>
    <row r="35" spans="1:15" ht="15" thickBot="1" x14ac:dyDescent="0.35">
      <c r="A35" s="45" t="s">
        <v>67</v>
      </c>
      <c r="B35" s="45">
        <v>0.8203711002544164</v>
      </c>
      <c r="K35" s="15" t="s">
        <v>163</v>
      </c>
      <c r="L35" s="15">
        <v>4.9488975878746774E-4</v>
      </c>
      <c r="M35" s="15">
        <v>2.6735572245774428E-4</v>
      </c>
      <c r="N35" s="15">
        <v>1.8510535485758504</v>
      </c>
      <c r="O35" s="135">
        <v>0.12338149933517414</v>
      </c>
    </row>
    <row r="37" spans="1:15" ht="15.6" x14ac:dyDescent="0.3">
      <c r="A37" s="23" t="s">
        <v>44</v>
      </c>
    </row>
    <row r="38" spans="1:15" ht="15.6" x14ac:dyDescent="0.3">
      <c r="A38" s="26" t="s">
        <v>45</v>
      </c>
    </row>
    <row r="39" spans="1:15" ht="15.6" x14ac:dyDescent="0.3">
      <c r="A39" s="26" t="s">
        <v>46</v>
      </c>
    </row>
    <row r="40" spans="1:15" ht="15.6" x14ac:dyDescent="0.3">
      <c r="A40" s="26" t="s">
        <v>47</v>
      </c>
    </row>
    <row r="41" spans="1:15" ht="15.6" x14ac:dyDescent="0.3">
      <c r="A41" s="26" t="s">
        <v>48</v>
      </c>
    </row>
    <row r="42" spans="1:15" ht="15.6" x14ac:dyDescent="0.3">
      <c r="A42" s="26" t="s">
        <v>49</v>
      </c>
    </row>
    <row r="44" spans="1:15" ht="15.6" x14ac:dyDescent="0.3">
      <c r="A44" s="23" t="s">
        <v>45</v>
      </c>
    </row>
    <row r="45" spans="1:15" ht="15.6" x14ac:dyDescent="0.3">
      <c r="A45" s="26" t="s">
        <v>50</v>
      </c>
    </row>
    <row r="46" spans="1:15" ht="15" thickBot="1" x14ac:dyDescent="0.35"/>
    <row r="47" spans="1:15" x14ac:dyDescent="0.3">
      <c r="A47" s="46" t="s">
        <v>51</v>
      </c>
      <c r="B47" s="16" t="s">
        <v>52</v>
      </c>
    </row>
    <row r="48" spans="1:15" x14ac:dyDescent="0.3">
      <c r="A48">
        <v>34.248836258082804</v>
      </c>
      <c r="B48">
        <v>3.7511637419171961</v>
      </c>
    </row>
    <row r="49" spans="1:2" x14ac:dyDescent="0.3">
      <c r="A49">
        <v>26.256727001155753</v>
      </c>
      <c r="B49">
        <v>-0.25672700115575253</v>
      </c>
    </row>
    <row r="50" spans="1:2" x14ac:dyDescent="0.3">
      <c r="A50">
        <v>42.653926230038223</v>
      </c>
      <c r="B50">
        <v>-2.6539262300382234</v>
      </c>
    </row>
    <row r="51" spans="1:2" x14ac:dyDescent="0.3">
      <c r="A51">
        <v>46.066226434419605</v>
      </c>
      <c r="B51">
        <v>-1.0662264344196046</v>
      </c>
    </row>
    <row r="52" spans="1:2" x14ac:dyDescent="0.3">
      <c r="A52">
        <v>45.055959981011256</v>
      </c>
      <c r="B52">
        <v>5.9440400189887441</v>
      </c>
    </row>
    <row r="53" spans="1:2" x14ac:dyDescent="0.3">
      <c r="A53">
        <v>49.721082191520054</v>
      </c>
      <c r="B53">
        <v>-0.72108219152005404</v>
      </c>
    </row>
    <row r="54" spans="1:2" x14ac:dyDescent="0.3">
      <c r="A54">
        <v>33.244210581202907</v>
      </c>
      <c r="B54">
        <v>0.75578941879709305</v>
      </c>
    </row>
    <row r="55" spans="1:2" x14ac:dyDescent="0.3">
      <c r="A55">
        <v>35.915530794325036</v>
      </c>
      <c r="B55">
        <v>-0.91553079432503637</v>
      </c>
    </row>
    <row r="56" spans="1:2" x14ac:dyDescent="0.3">
      <c r="A56">
        <v>45.055959981011256</v>
      </c>
      <c r="B56">
        <v>-3.0559599810112559</v>
      </c>
    </row>
    <row r="57" spans="1:2" ht="15" thickBot="1" x14ac:dyDescent="0.35">
      <c r="A57" s="15">
        <v>25.781540547232453</v>
      </c>
      <c r="B57" s="15">
        <v>-1.7815405472324528</v>
      </c>
    </row>
    <row r="60" spans="1:2" ht="15.6" x14ac:dyDescent="0.3">
      <c r="A60" s="23" t="s">
        <v>46</v>
      </c>
    </row>
    <row r="61" spans="1:2" ht="15.6" x14ac:dyDescent="0.3">
      <c r="A61" s="30" t="s">
        <v>53</v>
      </c>
    </row>
    <row r="78" spans="1:1" ht="15.6" x14ac:dyDescent="0.3">
      <c r="A78" s="23" t="s">
        <v>47</v>
      </c>
    </row>
    <row r="79" spans="1:1" ht="15.6" x14ac:dyDescent="0.3">
      <c r="A79" s="26" t="s">
        <v>107</v>
      </c>
    </row>
    <row r="95" spans="1:1" ht="15.6" x14ac:dyDescent="0.3">
      <c r="A95" s="23" t="s">
        <v>48</v>
      </c>
    </row>
    <row r="98" spans="1:11" x14ac:dyDescent="0.3">
      <c r="A98" s="83" t="s">
        <v>55</v>
      </c>
      <c r="B98" s="84" t="s">
        <v>56</v>
      </c>
      <c r="C98" s="83" t="s">
        <v>57</v>
      </c>
      <c r="D98" s="85"/>
      <c r="E98" s="86"/>
      <c r="F98" s="86"/>
    </row>
    <row r="99" spans="1:11" x14ac:dyDescent="0.3">
      <c r="A99" s="83">
        <v>1</v>
      </c>
      <c r="B99" s="12">
        <v>3.7511637419171961</v>
      </c>
      <c r="C99" s="83" t="s">
        <v>98</v>
      </c>
      <c r="D99" s="86"/>
      <c r="E99" s="86"/>
      <c r="F99" s="86"/>
    </row>
    <row r="100" spans="1:11" x14ac:dyDescent="0.3">
      <c r="A100" s="83">
        <v>2</v>
      </c>
      <c r="B100" s="12">
        <v>-0.25672700115575253</v>
      </c>
      <c r="C100" s="83">
        <f>B99</f>
        <v>3.7511637419171961</v>
      </c>
      <c r="D100" s="86"/>
      <c r="E100" s="86"/>
      <c r="F100" s="86"/>
    </row>
    <row r="101" spans="1:11" x14ac:dyDescent="0.3">
      <c r="A101" s="83">
        <v>3</v>
      </c>
      <c r="B101" s="12">
        <v>-2.6539262300382234</v>
      </c>
      <c r="C101" s="83">
        <f t="shared" ref="C101:C108" si="11">B100</f>
        <v>-0.25672700115575253</v>
      </c>
      <c r="D101" s="86"/>
      <c r="E101" s="86"/>
      <c r="F101" s="86"/>
    </row>
    <row r="102" spans="1:11" x14ac:dyDescent="0.3">
      <c r="A102" s="83">
        <v>4</v>
      </c>
      <c r="B102" s="12">
        <v>-1.0662264344196046</v>
      </c>
      <c r="C102" s="83">
        <f t="shared" si="11"/>
        <v>-2.6539262300382234</v>
      </c>
      <c r="D102" s="86"/>
      <c r="E102" s="86"/>
      <c r="F102" s="86"/>
    </row>
    <row r="103" spans="1:11" x14ac:dyDescent="0.3">
      <c r="A103" s="83">
        <v>5</v>
      </c>
      <c r="B103" s="12">
        <v>5.9440400189887441</v>
      </c>
      <c r="C103" s="83">
        <f t="shared" si="11"/>
        <v>-1.0662264344196046</v>
      </c>
      <c r="D103" s="86"/>
      <c r="E103" s="86"/>
      <c r="F103" s="86"/>
    </row>
    <row r="104" spans="1:11" x14ac:dyDescent="0.3">
      <c r="A104" s="83">
        <v>6</v>
      </c>
      <c r="B104" s="12">
        <v>-0.72108219152005404</v>
      </c>
      <c r="C104" s="83">
        <f t="shared" si="11"/>
        <v>5.9440400189887441</v>
      </c>
      <c r="D104" s="86"/>
      <c r="E104" s="86"/>
      <c r="F104" s="86"/>
    </row>
    <row r="105" spans="1:11" x14ac:dyDescent="0.3">
      <c r="A105" s="83">
        <v>7</v>
      </c>
      <c r="B105" s="12">
        <v>0.75578941879709305</v>
      </c>
      <c r="C105" s="83">
        <f t="shared" si="11"/>
        <v>-0.72108219152005404</v>
      </c>
      <c r="D105" s="86"/>
      <c r="E105" s="86"/>
      <c r="F105" s="86"/>
    </row>
    <row r="106" spans="1:11" x14ac:dyDescent="0.3">
      <c r="A106" s="83">
        <v>8</v>
      </c>
      <c r="B106" s="12">
        <v>-0.91553079432503637</v>
      </c>
      <c r="C106" s="83">
        <f t="shared" si="11"/>
        <v>0.75578941879709305</v>
      </c>
      <c r="D106" s="86"/>
      <c r="E106" s="86"/>
      <c r="F106" s="86"/>
    </row>
    <row r="107" spans="1:11" x14ac:dyDescent="0.3">
      <c r="A107" s="83">
        <v>9</v>
      </c>
      <c r="B107" s="12">
        <v>-3.0559599810112559</v>
      </c>
      <c r="C107" s="83">
        <f t="shared" si="11"/>
        <v>-0.91553079432503637</v>
      </c>
      <c r="D107" s="86"/>
      <c r="E107" s="86"/>
      <c r="F107" s="86"/>
    </row>
    <row r="108" spans="1:11" x14ac:dyDescent="0.3">
      <c r="A108" s="83">
        <v>10</v>
      </c>
      <c r="B108" s="12">
        <v>-1.7815405472324528</v>
      </c>
      <c r="C108" s="83">
        <f t="shared" si="11"/>
        <v>-3.0559599810112559</v>
      </c>
      <c r="D108" s="86"/>
      <c r="E108" s="86"/>
      <c r="F108" s="86"/>
    </row>
    <row r="109" spans="1:11" x14ac:dyDescent="0.3">
      <c r="A109" s="162"/>
      <c r="B109" s="162"/>
      <c r="C109" s="31"/>
      <c r="D109" s="31"/>
      <c r="E109" s="31"/>
      <c r="F109" s="31"/>
    </row>
    <row r="110" spans="1:11" ht="18" x14ac:dyDescent="0.3">
      <c r="A110" s="89" t="s">
        <v>61</v>
      </c>
      <c r="B110" s="39">
        <f>CORREL(B100:B108,C100:C108)</f>
        <v>-5.2733840138538216E-3</v>
      </c>
      <c r="C110" s="31"/>
      <c r="D110" s="31"/>
      <c r="E110" s="31"/>
      <c r="F110" s="31"/>
    </row>
    <row r="112" spans="1:11" ht="15.6" x14ac:dyDescent="0.3">
      <c r="A112" s="53" t="s">
        <v>62</v>
      </c>
      <c r="B112" s="54"/>
      <c r="C112" s="54"/>
      <c r="D112" s="54"/>
      <c r="E112" s="54"/>
      <c r="F112" s="54"/>
      <c r="G112" s="54"/>
      <c r="H112" s="54"/>
      <c r="I112" s="54"/>
      <c r="J112" s="54"/>
      <c r="K112" s="79"/>
    </row>
    <row r="114" spans="1:1" ht="15.6" x14ac:dyDescent="0.3">
      <c r="A114" s="23" t="s">
        <v>49</v>
      </c>
    </row>
    <row r="130" spans="1:4" ht="15.6" x14ac:dyDescent="0.3">
      <c r="A130" s="52" t="s">
        <v>63</v>
      </c>
      <c r="B130" s="28"/>
      <c r="C130" s="28"/>
      <c r="D130" s="28"/>
    </row>
  </sheetData>
  <mergeCells count="4">
    <mergeCell ref="A1:L1"/>
    <mergeCell ref="A109:B109"/>
    <mergeCell ref="B29:G29"/>
    <mergeCell ref="Q30:R3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G26" sqref="G26"/>
    </sheetView>
  </sheetViews>
  <sheetFormatPr defaultRowHeight="14.4" x14ac:dyDescent="0.3"/>
  <cols>
    <col min="1" max="1" width="24.88671875" bestFit="1" customWidth="1"/>
    <col min="2" max="2" width="16.332031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0.94879195127699578</v>
      </c>
    </row>
    <row r="5" spans="1:9" x14ac:dyDescent="0.3">
      <c r="A5" t="s">
        <v>35</v>
      </c>
      <c r="B5">
        <v>0.90020616680800913</v>
      </c>
    </row>
    <row r="6" spans="1:9" x14ac:dyDescent="0.3">
      <c r="A6" t="s">
        <v>67</v>
      </c>
      <c r="B6">
        <v>0.8203711002544164</v>
      </c>
    </row>
    <row r="7" spans="1:9" x14ac:dyDescent="0.3">
      <c r="A7" t="s">
        <v>68</v>
      </c>
      <c r="B7">
        <v>3.797132209915643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4</v>
      </c>
      <c r="C12">
        <v>650.30893490210588</v>
      </c>
      <c r="D12">
        <v>162.57723372552647</v>
      </c>
      <c r="E12">
        <v>11.275824091706701</v>
      </c>
      <c r="F12">
        <v>1.0226134297415665E-2</v>
      </c>
    </row>
    <row r="13" spans="1:9" x14ac:dyDescent="0.3">
      <c r="A13" t="s">
        <v>75</v>
      </c>
      <c r="B13">
        <v>5</v>
      </c>
      <c r="C13">
        <v>72.091065097894273</v>
      </c>
      <c r="D13">
        <v>14.418213019578854</v>
      </c>
    </row>
    <row r="14" spans="1:9" ht="15" thickBot="1" x14ac:dyDescent="0.35">
      <c r="A14" s="15" t="s">
        <v>76</v>
      </c>
      <c r="B14" s="15">
        <v>9</v>
      </c>
      <c r="C14" s="15">
        <v>722.40000000000009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716.21888286493822</v>
      </c>
      <c r="C17">
        <v>327.9869817389278</v>
      </c>
      <c r="D17">
        <v>2.1836808249756587</v>
      </c>
      <c r="E17">
        <v>8.0737319250732284E-2</v>
      </c>
      <c r="F17">
        <v>-126.89849471832929</v>
      </c>
      <c r="G17">
        <v>1559.3362604482058</v>
      </c>
      <c r="H17">
        <v>55.309248837503787</v>
      </c>
      <c r="I17">
        <v>1377.1285168923728</v>
      </c>
    </row>
    <row r="18" spans="1:9" x14ac:dyDescent="0.3">
      <c r="A18" t="s">
        <v>111</v>
      </c>
      <c r="B18">
        <v>-84.91419135157534</v>
      </c>
      <c r="C18">
        <v>41.100323355662752</v>
      </c>
      <c r="D18">
        <v>-2.0660224645136758</v>
      </c>
      <c r="E18">
        <v>9.371247354157157E-2</v>
      </c>
      <c r="F18">
        <v>-190.565936008421</v>
      </c>
      <c r="G18">
        <v>20.737553305270325</v>
      </c>
      <c r="H18">
        <v>-167.73333107286484</v>
      </c>
      <c r="I18">
        <v>-2.0950516302858375</v>
      </c>
    </row>
    <row r="19" spans="1:9" x14ac:dyDescent="0.3">
      <c r="A19" t="s">
        <v>23</v>
      </c>
      <c r="B19">
        <v>3.770107581475338</v>
      </c>
      <c r="C19">
        <v>1.8745790674891916</v>
      </c>
      <c r="D19">
        <v>2.0111755470122765</v>
      </c>
      <c r="E19">
        <v>0.10049542682085022</v>
      </c>
      <c r="F19">
        <v>-1.0486513188764399</v>
      </c>
      <c r="G19">
        <v>8.5888664818271163</v>
      </c>
      <c r="H19">
        <v>-7.2599191528932572E-3</v>
      </c>
      <c r="I19">
        <v>7.5474750821035688</v>
      </c>
    </row>
    <row r="20" spans="1:9" x14ac:dyDescent="0.3">
      <c r="A20" t="s">
        <v>158</v>
      </c>
      <c r="B20">
        <v>-7.1489529906044805E-2</v>
      </c>
      <c r="C20">
        <v>3.699676746714764E-2</v>
      </c>
      <c r="D20">
        <v>-1.9323182753608412</v>
      </c>
      <c r="E20">
        <v>0.11115953864479555</v>
      </c>
      <c r="F20">
        <v>-0.16659274833435508</v>
      </c>
      <c r="G20">
        <v>2.3613688522265475E-2</v>
      </c>
      <c r="H20">
        <v>-0.14603980600930078</v>
      </c>
      <c r="I20">
        <v>3.0607461972111671E-3</v>
      </c>
    </row>
    <row r="21" spans="1:9" ht="15" thickBot="1" x14ac:dyDescent="0.35">
      <c r="A21" s="15" t="s">
        <v>163</v>
      </c>
      <c r="B21" s="15">
        <v>4.9488975878746774E-4</v>
      </c>
      <c r="C21" s="15">
        <v>2.6735572245774428E-4</v>
      </c>
      <c r="D21" s="15">
        <v>1.8510535485758504</v>
      </c>
      <c r="E21" s="15">
        <v>0.12338149933517414</v>
      </c>
      <c r="F21" s="15">
        <v>-1.9237000501583375E-4</v>
      </c>
      <c r="G21" s="15">
        <v>1.1821495225907692E-3</v>
      </c>
      <c r="H21" s="15">
        <v>-4.3844954852285153E-5</v>
      </c>
      <c r="I21" s="15">
        <v>1.0336244724272205E-3</v>
      </c>
    </row>
    <row r="25" spans="1:9" x14ac:dyDescent="0.3">
      <c r="A25" t="s">
        <v>85</v>
      </c>
      <c r="F25" t="s">
        <v>86</v>
      </c>
    </row>
    <row r="26" spans="1:9" ht="15" thickBot="1" x14ac:dyDescent="0.35"/>
    <row r="27" spans="1:9" x14ac:dyDescent="0.3">
      <c r="A27" s="16" t="s">
        <v>87</v>
      </c>
      <c r="B27" s="16" t="s">
        <v>51</v>
      </c>
      <c r="C27" s="16" t="s">
        <v>52</v>
      </c>
      <c r="D27" s="16" t="s">
        <v>88</v>
      </c>
      <c r="F27" s="16" t="s">
        <v>89</v>
      </c>
      <c r="G27" s="16" t="s">
        <v>21</v>
      </c>
    </row>
    <row r="28" spans="1:9" x14ac:dyDescent="0.3">
      <c r="A28">
        <v>1</v>
      </c>
      <c r="B28">
        <v>34.248836258082804</v>
      </c>
      <c r="C28">
        <v>3.7511637419171961</v>
      </c>
      <c r="D28">
        <v>1.3253987469420025</v>
      </c>
      <c r="F28">
        <v>5</v>
      </c>
      <c r="G28">
        <v>24</v>
      </c>
    </row>
    <row r="29" spans="1:9" x14ac:dyDescent="0.3">
      <c r="A29">
        <v>2</v>
      </c>
      <c r="B29">
        <v>26.256727001155753</v>
      </c>
      <c r="C29">
        <v>-0.25672700115575253</v>
      </c>
      <c r="D29">
        <v>-9.0709355562310065E-2</v>
      </c>
      <c r="F29">
        <v>15</v>
      </c>
      <c r="G29">
        <v>26</v>
      </c>
    </row>
    <row r="30" spans="1:9" x14ac:dyDescent="0.3">
      <c r="A30">
        <v>3</v>
      </c>
      <c r="B30">
        <v>42.653926230038223</v>
      </c>
      <c r="C30">
        <v>-2.6539262300382234</v>
      </c>
      <c r="D30">
        <v>-0.93771179873139765</v>
      </c>
      <c r="F30">
        <v>25</v>
      </c>
      <c r="G30">
        <v>34</v>
      </c>
    </row>
    <row r="31" spans="1:9" x14ac:dyDescent="0.3">
      <c r="A31">
        <v>4</v>
      </c>
      <c r="B31">
        <v>46.066226434419605</v>
      </c>
      <c r="C31">
        <v>-1.0662264344196046</v>
      </c>
      <c r="D31">
        <v>-0.37672980369924303</v>
      </c>
      <c r="F31">
        <v>35</v>
      </c>
      <c r="G31">
        <v>35</v>
      </c>
    </row>
    <row r="32" spans="1:9" x14ac:dyDescent="0.3">
      <c r="A32">
        <v>5</v>
      </c>
      <c r="B32">
        <v>45.055959981011256</v>
      </c>
      <c r="C32">
        <v>5.9440400189887441</v>
      </c>
      <c r="D32">
        <v>2.1002077581700789</v>
      </c>
      <c r="F32">
        <v>45</v>
      </c>
      <c r="G32">
        <v>38</v>
      </c>
    </row>
    <row r="33" spans="1:7" x14ac:dyDescent="0.3">
      <c r="A33">
        <v>6</v>
      </c>
      <c r="B33">
        <v>49.721082191520054</v>
      </c>
      <c r="C33">
        <v>-0.72108219152005404</v>
      </c>
      <c r="D33">
        <v>-0.25477998264997348</v>
      </c>
      <c r="F33">
        <v>55</v>
      </c>
      <c r="G33">
        <v>40</v>
      </c>
    </row>
    <row r="34" spans="1:7" x14ac:dyDescent="0.3">
      <c r="A34">
        <v>7</v>
      </c>
      <c r="B34">
        <v>33.244210581202907</v>
      </c>
      <c r="C34">
        <v>0.75578941879709305</v>
      </c>
      <c r="D34">
        <v>0.26704308783751401</v>
      </c>
      <c r="F34">
        <v>65</v>
      </c>
      <c r="G34">
        <v>42</v>
      </c>
    </row>
    <row r="35" spans="1:7" x14ac:dyDescent="0.3">
      <c r="A35">
        <v>8</v>
      </c>
      <c r="B35">
        <v>35.915530794325036</v>
      </c>
      <c r="C35">
        <v>-0.91553079432503637</v>
      </c>
      <c r="D35">
        <v>-0.32348451069348316</v>
      </c>
      <c r="F35">
        <v>75</v>
      </c>
      <c r="G35">
        <v>45</v>
      </c>
    </row>
    <row r="36" spans="1:7" x14ac:dyDescent="0.3">
      <c r="A36">
        <v>9</v>
      </c>
      <c r="B36">
        <v>45.055959981011256</v>
      </c>
      <c r="C36">
        <v>-3.0559599810112559</v>
      </c>
      <c r="D36">
        <v>-1.0797623906087097</v>
      </c>
      <c r="F36">
        <v>85</v>
      </c>
      <c r="G36">
        <v>49</v>
      </c>
    </row>
    <row r="37" spans="1:7" ht="15" thickBot="1" x14ac:dyDescent="0.35">
      <c r="A37" s="15">
        <v>10</v>
      </c>
      <c r="B37" s="15">
        <v>25.781540547232453</v>
      </c>
      <c r="C37" s="15">
        <v>-1.7815405472324528</v>
      </c>
      <c r="D37" s="15">
        <v>-0.62947175100424746</v>
      </c>
      <c r="F37" s="15">
        <v>95</v>
      </c>
      <c r="G37" s="15">
        <v>51</v>
      </c>
    </row>
  </sheetData>
  <sortState ref="G28:G37">
    <sortCondition ref="G28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opLeftCell="A4" zoomScale="85" zoomScaleNormal="85" workbookViewId="0">
      <selection activeCell="H30" sqref="H30"/>
    </sheetView>
  </sheetViews>
  <sheetFormatPr defaultRowHeight="14.4" x14ac:dyDescent="0.3"/>
  <cols>
    <col min="1" max="1" width="15.5546875" customWidth="1"/>
    <col min="2" max="2" width="12.6640625" customWidth="1"/>
    <col min="3" max="6" width="9" bestFit="1" customWidth="1"/>
    <col min="7" max="7" width="10.44140625" customWidth="1"/>
    <col min="8" max="8" width="19.109375" customWidth="1"/>
    <col min="9" max="9" width="9.88671875" customWidth="1"/>
    <col min="10" max="10" width="23.6640625" customWidth="1"/>
    <col min="11" max="11" width="25.5546875" customWidth="1"/>
  </cols>
  <sheetData>
    <row r="1" spans="1:13" ht="21" x14ac:dyDescent="0.3">
      <c r="A1" s="184" t="s">
        <v>167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</row>
    <row r="3" spans="1:13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</row>
    <row r="4" spans="1:13" ht="28.2" customHeight="1" x14ac:dyDescent="0.3">
      <c r="A4" s="3"/>
      <c r="B4" s="5" t="s">
        <v>21</v>
      </c>
      <c r="C4" s="5" t="s">
        <v>111</v>
      </c>
      <c r="D4" s="87" t="s">
        <v>146</v>
      </c>
      <c r="E4" s="87" t="s">
        <v>158</v>
      </c>
      <c r="F4" s="87" t="s">
        <v>163</v>
      </c>
      <c r="G4" s="87" t="s">
        <v>168</v>
      </c>
      <c r="H4" s="88" t="s">
        <v>169</v>
      </c>
      <c r="I4" s="6" t="s">
        <v>26</v>
      </c>
      <c r="J4" s="6" t="s">
        <v>148</v>
      </c>
      <c r="K4" s="10" t="s">
        <v>149</v>
      </c>
      <c r="L4" s="87" t="s">
        <v>29</v>
      </c>
      <c r="M4" s="87" t="s">
        <v>30</v>
      </c>
    </row>
    <row r="5" spans="1:13" x14ac:dyDescent="0.3">
      <c r="A5" s="2">
        <v>1</v>
      </c>
      <c r="B5" s="4">
        <v>38</v>
      </c>
      <c r="C5" s="4">
        <v>31</v>
      </c>
      <c r="D5" s="4">
        <f>C5^2</f>
        <v>961</v>
      </c>
      <c r="E5" s="4">
        <f>C5^3</f>
        <v>29791</v>
      </c>
      <c r="F5" s="4">
        <f>C5^4</f>
        <v>923521</v>
      </c>
      <c r="G5" s="4">
        <f>C5^5</f>
        <v>28629151</v>
      </c>
      <c r="H5" s="4">
        <f t="shared" ref="H5:H14" si="0">G$21+F$21*C5+E$21*D5+D$21*E5+C$21*F5+B$21*G5</f>
        <v>35.800293019440005</v>
      </c>
      <c r="I5" s="4">
        <f t="shared" ref="I5:I14" si="1">B5-H5</f>
        <v>2.1997069805599949</v>
      </c>
      <c r="J5" s="4">
        <f>I5^2</f>
        <v>4.8387108003243702</v>
      </c>
      <c r="K5" s="4">
        <f>ABS((I5/B5)*100)</f>
        <v>5.788702580421039</v>
      </c>
      <c r="L5" s="4">
        <f t="shared" ref="L5:L14" si="2">(H5-B$16)^2</f>
        <v>6.7584763847723588</v>
      </c>
      <c r="M5" s="4">
        <f t="shared" ref="M5:M14" si="3">(B5-B$16)^2</f>
        <v>0.15999999999999887</v>
      </c>
    </row>
    <row r="6" spans="1:13" x14ac:dyDescent="0.3">
      <c r="A6" s="2">
        <v>2</v>
      </c>
      <c r="B6" s="4">
        <v>26</v>
      </c>
      <c r="C6" s="4">
        <v>23</v>
      </c>
      <c r="D6" s="4">
        <f t="shared" ref="D6:D14" si="4">C6^2</f>
        <v>529</v>
      </c>
      <c r="E6" s="4">
        <f t="shared" ref="E6:E14" si="5">C6^3</f>
        <v>12167</v>
      </c>
      <c r="F6" s="4">
        <f t="shared" ref="F6:F14" si="6">C6^4</f>
        <v>279841</v>
      </c>
      <c r="G6" s="4">
        <f t="shared" ref="G6:G14" si="7">C6^5</f>
        <v>6436343</v>
      </c>
      <c r="H6" s="4">
        <f t="shared" si="0"/>
        <v>25.108919849601193</v>
      </c>
      <c r="I6" s="4">
        <f t="shared" si="1"/>
        <v>0.89108015039880684</v>
      </c>
      <c r="J6" s="4">
        <f t="shared" ref="J6:J14" si="8">I6^2</f>
        <v>0.79402383443476021</v>
      </c>
      <c r="K6" s="4">
        <f t="shared" ref="K6:K14" si="9">ABS((I6/B6)*100)</f>
        <v>3.427231347687719</v>
      </c>
      <c r="L6" s="4">
        <f t="shared" si="2"/>
        <v>176.65281156432513</v>
      </c>
      <c r="M6" s="4">
        <f t="shared" si="3"/>
        <v>153.75999999999996</v>
      </c>
    </row>
    <row r="7" spans="1:13" x14ac:dyDescent="0.3">
      <c r="A7" s="2">
        <v>3</v>
      </c>
      <c r="B7" s="4">
        <v>40</v>
      </c>
      <c r="C7" s="4">
        <v>38</v>
      </c>
      <c r="D7" s="4">
        <f t="shared" si="4"/>
        <v>1444</v>
      </c>
      <c r="E7" s="4">
        <f t="shared" si="5"/>
        <v>54872</v>
      </c>
      <c r="F7" s="4">
        <f t="shared" si="6"/>
        <v>2085136</v>
      </c>
      <c r="G7" s="4">
        <f t="shared" si="7"/>
        <v>79235168</v>
      </c>
      <c r="H7" s="4">
        <f t="shared" si="0"/>
        <v>40.02847251477624</v>
      </c>
      <c r="I7" s="4">
        <f t="shared" si="1"/>
        <v>-2.8472514776240132E-2</v>
      </c>
      <c r="J7" s="4">
        <f t="shared" si="8"/>
        <v>8.1068409768321264E-4</v>
      </c>
      <c r="K7" s="4">
        <f t="shared" si="9"/>
        <v>7.118128694060033E-2</v>
      </c>
      <c r="L7" s="4">
        <f t="shared" si="2"/>
        <v>2.6519227313816565</v>
      </c>
      <c r="M7" s="4">
        <f t="shared" si="3"/>
        <v>2.5600000000000045</v>
      </c>
    </row>
    <row r="8" spans="1:13" x14ac:dyDescent="0.3">
      <c r="A8" s="2">
        <v>4</v>
      </c>
      <c r="B8" s="4">
        <v>45</v>
      </c>
      <c r="C8" s="4">
        <v>47</v>
      </c>
      <c r="D8" s="4">
        <f t="shared" si="4"/>
        <v>2209</v>
      </c>
      <c r="E8" s="4">
        <f t="shared" si="5"/>
        <v>103823</v>
      </c>
      <c r="F8" s="4">
        <f t="shared" si="6"/>
        <v>4879681</v>
      </c>
      <c r="G8" s="4">
        <f t="shared" si="7"/>
        <v>229345007</v>
      </c>
      <c r="H8" s="4">
        <f t="shared" si="0"/>
        <v>46.885827533187694</v>
      </c>
      <c r="I8" s="4">
        <f t="shared" si="1"/>
        <v>-1.8858275331876939</v>
      </c>
      <c r="J8" s="4">
        <f t="shared" si="8"/>
        <v>3.5563454849287828</v>
      </c>
      <c r="K8" s="4">
        <f t="shared" si="9"/>
        <v>4.1907278515282087</v>
      </c>
      <c r="L8" s="4">
        <f t="shared" si="2"/>
        <v>72.00926892300636</v>
      </c>
      <c r="M8" s="4">
        <f t="shared" si="3"/>
        <v>43.560000000000016</v>
      </c>
    </row>
    <row r="9" spans="1:13" x14ac:dyDescent="0.3">
      <c r="A9" s="2">
        <v>5</v>
      </c>
      <c r="B9" s="4">
        <v>51</v>
      </c>
      <c r="C9" s="4">
        <v>46</v>
      </c>
      <c r="D9" s="4">
        <f t="shared" si="4"/>
        <v>2116</v>
      </c>
      <c r="E9" s="4">
        <f t="shared" si="5"/>
        <v>97336</v>
      </c>
      <c r="F9" s="4">
        <f t="shared" si="6"/>
        <v>4477456</v>
      </c>
      <c r="G9" s="4">
        <f t="shared" si="7"/>
        <v>205962976</v>
      </c>
      <c r="H9" s="4">
        <f t="shared" si="0"/>
        <v>45.708504465976148</v>
      </c>
      <c r="I9" s="4">
        <f t="shared" si="1"/>
        <v>5.2914955340238521</v>
      </c>
      <c r="J9" s="4">
        <f t="shared" si="8"/>
        <v>27.999924986594372</v>
      </c>
      <c r="K9" s="4">
        <f t="shared" si="9"/>
        <v>10.375481439262455</v>
      </c>
      <c r="L9" s="4">
        <f t="shared" si="2"/>
        <v>53.414237529193322</v>
      </c>
      <c r="M9" s="4">
        <f t="shared" si="3"/>
        <v>158.76000000000005</v>
      </c>
    </row>
    <row r="10" spans="1:13" x14ac:dyDescent="0.3">
      <c r="A10" s="2">
        <v>6</v>
      </c>
      <c r="B10" s="4">
        <v>49</v>
      </c>
      <c r="C10" s="4">
        <v>49</v>
      </c>
      <c r="D10" s="4">
        <f t="shared" si="4"/>
        <v>2401</v>
      </c>
      <c r="E10" s="4">
        <f t="shared" si="5"/>
        <v>117649</v>
      </c>
      <c r="F10" s="4">
        <f t="shared" si="6"/>
        <v>5764801</v>
      </c>
      <c r="G10" s="4">
        <f t="shared" si="7"/>
        <v>282475249</v>
      </c>
      <c r="H10" s="4">
        <f t="shared" si="0"/>
        <v>48.587970814227447</v>
      </c>
      <c r="I10" s="4">
        <f t="shared" si="1"/>
        <v>0.41202918577255332</v>
      </c>
      <c r="J10" s="4">
        <f t="shared" si="8"/>
        <v>0.16976804992839326</v>
      </c>
      <c r="K10" s="4">
        <f t="shared" si="9"/>
        <v>0.84087588933174151</v>
      </c>
      <c r="L10" s="4">
        <f t="shared" si="2"/>
        <v>103.79474931155029</v>
      </c>
      <c r="M10" s="4">
        <f t="shared" si="3"/>
        <v>112.36000000000003</v>
      </c>
    </row>
    <row r="11" spans="1:13" x14ac:dyDescent="0.3">
      <c r="A11" s="2">
        <v>7</v>
      </c>
      <c r="B11" s="4">
        <v>34</v>
      </c>
      <c r="C11" s="4">
        <v>20</v>
      </c>
      <c r="D11" s="4">
        <f t="shared" si="4"/>
        <v>400</v>
      </c>
      <c r="E11" s="4">
        <f t="shared" si="5"/>
        <v>8000</v>
      </c>
      <c r="F11" s="4">
        <f t="shared" si="6"/>
        <v>160000</v>
      </c>
      <c r="G11" s="4">
        <f t="shared" si="7"/>
        <v>3200000</v>
      </c>
      <c r="H11" s="4">
        <f t="shared" si="0"/>
        <v>34.047775733448077</v>
      </c>
      <c r="I11" s="4">
        <f t="shared" si="1"/>
        <v>-4.7775733448077062E-2</v>
      </c>
      <c r="J11" s="4">
        <f t="shared" si="8"/>
        <v>2.2825207065017093E-3</v>
      </c>
      <c r="K11" s="4">
        <f t="shared" si="9"/>
        <v>0.1405168630825796</v>
      </c>
      <c r="L11" s="4">
        <f t="shared" si="2"/>
        <v>18.94185606636341</v>
      </c>
      <c r="M11" s="4">
        <f t="shared" si="3"/>
        <v>19.359999999999989</v>
      </c>
    </row>
    <row r="12" spans="1:13" x14ac:dyDescent="0.3">
      <c r="A12" s="2">
        <v>8</v>
      </c>
      <c r="B12" s="4">
        <v>35</v>
      </c>
      <c r="C12" s="4">
        <v>32</v>
      </c>
      <c r="D12" s="4">
        <f t="shared" si="4"/>
        <v>1024</v>
      </c>
      <c r="E12" s="4">
        <f t="shared" si="5"/>
        <v>32768</v>
      </c>
      <c r="F12" s="4">
        <f t="shared" si="6"/>
        <v>1048576</v>
      </c>
      <c r="G12" s="4">
        <f t="shared" si="7"/>
        <v>33554432</v>
      </c>
      <c r="H12" s="4">
        <f t="shared" si="0"/>
        <v>37.006482039764023</v>
      </c>
      <c r="I12" s="4">
        <f t="shared" si="1"/>
        <v>-2.0064820397640233</v>
      </c>
      <c r="J12" s="4">
        <f t="shared" si="8"/>
        <v>4.0259701758955959</v>
      </c>
      <c r="K12" s="4">
        <f t="shared" si="9"/>
        <v>5.7328058278972094</v>
      </c>
      <c r="L12" s="4">
        <f t="shared" si="2"/>
        <v>1.9418923055002333</v>
      </c>
      <c r="M12" s="4">
        <f t="shared" si="3"/>
        <v>11.55999999999999</v>
      </c>
    </row>
    <row r="13" spans="1:13" x14ac:dyDescent="0.3">
      <c r="A13" s="2">
        <v>9</v>
      </c>
      <c r="B13" s="4">
        <v>42</v>
      </c>
      <c r="C13" s="4">
        <v>46</v>
      </c>
      <c r="D13" s="4">
        <f t="shared" si="4"/>
        <v>2116</v>
      </c>
      <c r="E13" s="4">
        <f t="shared" si="5"/>
        <v>97336</v>
      </c>
      <c r="F13" s="4">
        <f t="shared" si="6"/>
        <v>4477456</v>
      </c>
      <c r="G13" s="4">
        <f t="shared" si="7"/>
        <v>205962976</v>
      </c>
      <c r="H13" s="4">
        <f t="shared" si="0"/>
        <v>45.708504465976148</v>
      </c>
      <c r="I13" s="4">
        <f t="shared" si="1"/>
        <v>-3.7085044659761479</v>
      </c>
      <c r="J13" s="4">
        <f t="shared" si="8"/>
        <v>13.753005374165035</v>
      </c>
      <c r="K13" s="4">
        <f t="shared" si="9"/>
        <v>8.829772538038446</v>
      </c>
      <c r="L13" s="4">
        <f t="shared" si="2"/>
        <v>53.414237529193322</v>
      </c>
      <c r="M13" s="4">
        <f t="shared" si="3"/>
        <v>12.96000000000001</v>
      </c>
    </row>
    <row r="14" spans="1:13" x14ac:dyDescent="0.3">
      <c r="A14" s="2">
        <v>10</v>
      </c>
      <c r="B14" s="4">
        <v>24</v>
      </c>
      <c r="C14" s="4">
        <v>24</v>
      </c>
      <c r="D14" s="4">
        <f t="shared" si="4"/>
        <v>576</v>
      </c>
      <c r="E14" s="4">
        <f t="shared" si="5"/>
        <v>13824</v>
      </c>
      <c r="F14" s="4">
        <f t="shared" si="6"/>
        <v>331776</v>
      </c>
      <c r="G14" s="4">
        <f t="shared" si="7"/>
        <v>7962624</v>
      </c>
      <c r="H14" s="4">
        <f t="shared" si="0"/>
        <v>25.117249563601206</v>
      </c>
      <c r="I14" s="4">
        <f t="shared" si="1"/>
        <v>-1.1172495636012059</v>
      </c>
      <c r="J14" s="4">
        <f t="shared" si="8"/>
        <v>1.2482465873670849</v>
      </c>
      <c r="K14" s="4">
        <f t="shared" si="9"/>
        <v>4.655206515005025</v>
      </c>
      <c r="L14" s="4">
        <f t="shared" si="2"/>
        <v>176.43145915565231</v>
      </c>
      <c r="M14" s="4">
        <f t="shared" si="3"/>
        <v>207.35999999999996</v>
      </c>
    </row>
    <row r="15" spans="1:13" x14ac:dyDescent="0.3">
      <c r="A15" s="4" t="s">
        <v>6</v>
      </c>
      <c r="B15" s="4">
        <f>SUM(B5:B14)</f>
        <v>384</v>
      </c>
      <c r="C15" s="4">
        <f>SUM(C5:C14)</f>
        <v>356</v>
      </c>
      <c r="D15" s="4">
        <f t="shared" ref="D15:M15" si="10">SUM(D5:D14)</f>
        <v>13776</v>
      </c>
      <c r="E15" s="4">
        <f t="shared" si="10"/>
        <v>567566</v>
      </c>
      <c r="F15" s="4">
        <f t="shared" si="10"/>
        <v>24428244</v>
      </c>
      <c r="G15" s="4">
        <f t="shared" si="10"/>
        <v>1082763926</v>
      </c>
      <c r="H15" s="4">
        <f t="shared" si="10"/>
        <v>383.99999999999818</v>
      </c>
      <c r="I15" s="14">
        <f t="shared" si="10"/>
        <v>1.8189894035458565E-12</v>
      </c>
      <c r="J15" s="4">
        <f t="shared" si="10"/>
        <v>56.389088498442575</v>
      </c>
      <c r="K15" s="4">
        <f t="shared" si="10"/>
        <v>44.052502139195028</v>
      </c>
      <c r="L15" s="4">
        <f t="shared" si="10"/>
        <v>666.01091150093839</v>
      </c>
      <c r="M15" s="4">
        <f t="shared" si="10"/>
        <v>722.40000000000009</v>
      </c>
    </row>
    <row r="16" spans="1:13" x14ac:dyDescent="0.3">
      <c r="A16" s="4" t="s">
        <v>7</v>
      </c>
      <c r="B16" s="4">
        <f>AVERAGE(B5:B14)</f>
        <v>38.4</v>
      </c>
      <c r="C16" s="4">
        <f>AVERAGE(C5:C14)</f>
        <v>35.6</v>
      </c>
      <c r="D16" s="4">
        <f t="shared" ref="D16:M16" si="11">AVERAGE(D5:D14)</f>
        <v>1377.6</v>
      </c>
      <c r="E16" s="4">
        <f t="shared" si="11"/>
        <v>56756.6</v>
      </c>
      <c r="F16" s="4">
        <f t="shared" si="11"/>
        <v>2442824.4</v>
      </c>
      <c r="G16" s="4">
        <f t="shared" si="11"/>
        <v>108276392.59999999</v>
      </c>
      <c r="H16" s="4">
        <f t="shared" si="11"/>
        <v>38.399999999999821</v>
      </c>
      <c r="I16" s="14">
        <f>AVERAGE(I5:I14)</f>
        <v>1.8189894035458566E-13</v>
      </c>
      <c r="J16" s="4">
        <f t="shared" si="11"/>
        <v>5.6389088498442579</v>
      </c>
      <c r="K16" s="4">
        <f>AVERAGE(K5:K14)</f>
        <v>4.4052502139195031</v>
      </c>
      <c r="L16" s="4">
        <f t="shared" si="11"/>
        <v>66.601091150093836</v>
      </c>
      <c r="M16" s="4">
        <f t="shared" si="11"/>
        <v>72.240000000000009</v>
      </c>
    </row>
    <row r="19" spans="1:8" x14ac:dyDescent="0.3">
      <c r="A19" s="82" t="s">
        <v>33</v>
      </c>
    </row>
    <row r="20" spans="1:8" x14ac:dyDescent="0.3">
      <c r="A20" s="42"/>
      <c r="B20" s="42" t="s">
        <v>170</v>
      </c>
      <c r="C20" s="42" t="s">
        <v>165</v>
      </c>
      <c r="D20" s="42" t="s">
        <v>160</v>
      </c>
      <c r="E20" s="42" t="s">
        <v>150</v>
      </c>
      <c r="F20" s="42" t="s">
        <v>151</v>
      </c>
      <c r="G20" s="42" t="s">
        <v>152</v>
      </c>
    </row>
    <row r="21" spans="1:8" x14ac:dyDescent="0.3">
      <c r="A21" s="42"/>
      <c r="B21" s="68">
        <f t="array" ref="B21:G25">LINEST(B5:B14,C5:G14,1,1)</f>
        <v>-3.7800672300193073E-5</v>
      </c>
      <c r="C21" s="4">
        <v>7.0086920538930319E-3</v>
      </c>
      <c r="D21" s="4">
        <v>-0.50938473364044223</v>
      </c>
      <c r="E21" s="4">
        <v>18.099664367463014</v>
      </c>
      <c r="F21" s="4">
        <v>-312.9273658144744</v>
      </c>
      <c r="G21" s="4">
        <v>2127.3786368990018</v>
      </c>
    </row>
    <row r="22" spans="1:8" x14ac:dyDescent="0.3">
      <c r="A22" s="42" t="s">
        <v>181</v>
      </c>
      <c r="B22" s="4">
        <v>3.5817057381630527E-5</v>
      </c>
      <c r="C22" s="4">
        <v>6.1776453899476244E-3</v>
      </c>
      <c r="D22" s="4">
        <v>0.41652597158419524</v>
      </c>
      <c r="E22" s="4">
        <v>13.703545351095917</v>
      </c>
      <c r="F22" s="4">
        <v>219.83718608796565</v>
      </c>
      <c r="G22" s="4">
        <v>1375.8776480426834</v>
      </c>
      <c r="H22" t="s">
        <v>182</v>
      </c>
    </row>
    <row r="23" spans="1:8" x14ac:dyDescent="0.3">
      <c r="A23" s="42" t="s">
        <v>183</v>
      </c>
      <c r="B23" s="4">
        <v>0.92194201481389615</v>
      </c>
      <c r="C23" s="4">
        <v>3.754633420802937</v>
      </c>
      <c r="D23" s="4" t="e">
        <v>#N/A</v>
      </c>
      <c r="E23" s="4" t="e">
        <v>#N/A</v>
      </c>
      <c r="F23" s="4" t="e">
        <v>#N/A</v>
      </c>
      <c r="G23" s="4" t="e">
        <v>#N/A</v>
      </c>
    </row>
    <row r="24" spans="1:8" x14ac:dyDescent="0.3">
      <c r="A24" s="42" t="s">
        <v>38</v>
      </c>
      <c r="B24" s="4">
        <v>9.4487913067786735</v>
      </c>
      <c r="C24" s="4">
        <v>4</v>
      </c>
      <c r="D24" s="4" t="e">
        <v>#N/A</v>
      </c>
      <c r="E24" s="4" t="e">
        <v>#N/A</v>
      </c>
      <c r="F24" s="4" t="e">
        <v>#N/A</v>
      </c>
      <c r="G24" s="4" t="e">
        <v>#N/A</v>
      </c>
    </row>
    <row r="25" spans="1:8" x14ac:dyDescent="0.3">
      <c r="A25" s="42"/>
      <c r="B25" s="4">
        <v>666.01091150155867</v>
      </c>
      <c r="C25" s="4">
        <v>56.38908849844146</v>
      </c>
      <c r="D25" s="4" t="e">
        <v>#N/A</v>
      </c>
      <c r="E25" s="4" t="e">
        <v>#N/A</v>
      </c>
      <c r="F25" s="4" t="e">
        <v>#N/A</v>
      </c>
      <c r="G25" s="4" t="e">
        <v>#N/A</v>
      </c>
    </row>
    <row r="26" spans="1:8" x14ac:dyDescent="0.3">
      <c r="B26" t="s">
        <v>153</v>
      </c>
      <c r="C26" t="s">
        <v>171</v>
      </c>
    </row>
    <row r="29" spans="1:8" ht="30" customHeight="1" x14ac:dyDescent="0.3">
      <c r="A29" s="26"/>
      <c r="B29" s="187" t="s">
        <v>172</v>
      </c>
      <c r="C29" s="188"/>
      <c r="D29" s="188"/>
      <c r="E29" s="188"/>
      <c r="F29" s="188"/>
      <c r="G29" s="188"/>
      <c r="H29" s="189"/>
    </row>
    <row r="30" spans="1:8" x14ac:dyDescent="0.3">
      <c r="B30" s="42"/>
    </row>
    <row r="31" spans="1:8" ht="15.6" x14ac:dyDescent="0.3">
      <c r="A31" s="23" t="s">
        <v>101</v>
      </c>
      <c r="B31" s="42"/>
    </row>
    <row r="32" spans="1:8" ht="15" thickBot="1" x14ac:dyDescent="0.35"/>
    <row r="33" spans="1:18" ht="15.6" x14ac:dyDescent="0.3">
      <c r="A33" s="44" t="s">
        <v>66</v>
      </c>
      <c r="B33" s="44">
        <v>0.9601781161919366</v>
      </c>
      <c r="D33" s="16" t="s">
        <v>38</v>
      </c>
      <c r="E33" s="46" t="s">
        <v>39</v>
      </c>
      <c r="G33" s="4" t="s">
        <v>156</v>
      </c>
      <c r="H33" s="4" t="s">
        <v>102</v>
      </c>
      <c r="I33" s="61"/>
      <c r="K33" s="16"/>
      <c r="L33" s="46" t="s">
        <v>77</v>
      </c>
      <c r="M33" s="46" t="s">
        <v>68</v>
      </c>
      <c r="N33" s="46" t="s">
        <v>78</v>
      </c>
      <c r="O33" s="46" t="s">
        <v>79</v>
      </c>
      <c r="Q33" s="164" t="s">
        <v>188</v>
      </c>
      <c r="R33" s="165"/>
    </row>
    <row r="34" spans="1:18" x14ac:dyDescent="0.3">
      <c r="A34" s="120" t="s">
        <v>35</v>
      </c>
      <c r="B34" s="120">
        <v>0.92194201481389615</v>
      </c>
      <c r="D34">
        <v>9.4487913067786735</v>
      </c>
      <c r="E34">
        <v>2.4607070159705709E-2</v>
      </c>
      <c r="G34" s="4">
        <f>_xlfn.F.INV.RT(0.05,5,4)</f>
        <v>6.2560565021608845</v>
      </c>
      <c r="H34" s="4">
        <f>K16</f>
        <v>4.4052502139195031</v>
      </c>
      <c r="I34" s="12">
        <f>((5*B21*C16^4+4*C21*C16^3+3*D21*C16^2+2*E21*C16+F21)*C16)/(G21+F21*C16+E21*C16^2+D21*C16^3+C21*C16^4+B21*C16^5)</f>
        <v>0.30961866498671797</v>
      </c>
      <c r="K34" t="s">
        <v>84</v>
      </c>
      <c r="L34">
        <v>2127.3786368990018</v>
      </c>
      <c r="M34">
        <v>1375.8776480426834</v>
      </c>
      <c r="N34">
        <v>1.5461975415658507</v>
      </c>
      <c r="O34" s="91">
        <v>0.19695630029839581</v>
      </c>
      <c r="Q34" s="4" t="s">
        <v>186</v>
      </c>
      <c r="R34" s="4" t="s">
        <v>187</v>
      </c>
    </row>
    <row r="35" spans="1:18" x14ac:dyDescent="0.3">
      <c r="A35" s="45" t="s">
        <v>67</v>
      </c>
      <c r="B35" s="45">
        <v>0.82436953333126617</v>
      </c>
      <c r="K35" t="s">
        <v>111</v>
      </c>
      <c r="L35">
        <v>-312.9273658144744</v>
      </c>
      <c r="M35">
        <v>219.83718608796565</v>
      </c>
      <c r="N35">
        <v>-1.4234505607675476</v>
      </c>
      <c r="O35" s="91">
        <v>0.22769929236778588</v>
      </c>
      <c r="Q35" s="4">
        <f>_xlfn.T.INV.2T(0.05,4)</f>
        <v>2.7764451051977934</v>
      </c>
      <c r="R35" s="4">
        <f>_xlfn.T.INV.2T(0.1,4)</f>
        <v>2.1318467863266499</v>
      </c>
    </row>
    <row r="36" spans="1:18" x14ac:dyDescent="0.3">
      <c r="K36" t="s">
        <v>23</v>
      </c>
      <c r="L36">
        <v>18.099664367463014</v>
      </c>
      <c r="M36">
        <v>13.703545351095917</v>
      </c>
      <c r="N36">
        <v>1.3208015811773501</v>
      </c>
      <c r="O36" s="91">
        <v>0.25706357852377892</v>
      </c>
    </row>
    <row r="37" spans="1:18" ht="15.6" x14ac:dyDescent="0.3">
      <c r="A37" s="23" t="s">
        <v>44</v>
      </c>
      <c r="K37" t="s">
        <v>158</v>
      </c>
      <c r="L37">
        <v>-0.50938473364044223</v>
      </c>
      <c r="M37">
        <v>0.41652597158419524</v>
      </c>
      <c r="N37">
        <v>-1.2229363074361783</v>
      </c>
      <c r="O37" s="91">
        <v>0.28847659175937834</v>
      </c>
    </row>
    <row r="38" spans="1:18" ht="15.6" x14ac:dyDescent="0.3">
      <c r="A38" s="26" t="s">
        <v>45</v>
      </c>
      <c r="K38" t="s">
        <v>163</v>
      </c>
      <c r="L38">
        <v>7.0086920538930319E-3</v>
      </c>
      <c r="M38">
        <v>6.1776453899476244E-3</v>
      </c>
      <c r="N38">
        <v>1.1345248248301369</v>
      </c>
      <c r="O38" s="91">
        <v>0.31995213354930463</v>
      </c>
    </row>
    <row r="39" spans="1:18" ht="16.2" thickBot="1" x14ac:dyDescent="0.35">
      <c r="A39" s="26" t="s">
        <v>46</v>
      </c>
      <c r="K39" s="15" t="s">
        <v>168</v>
      </c>
      <c r="L39" s="15">
        <v>-3.7800672300193073E-5</v>
      </c>
      <c r="M39" s="15">
        <v>3.5817057381630527E-5</v>
      </c>
      <c r="N39" s="15">
        <v>-1.0553818505363839</v>
      </c>
      <c r="O39" s="135">
        <v>0.35077741792573253</v>
      </c>
    </row>
    <row r="40" spans="1:18" ht="15.6" x14ac:dyDescent="0.3">
      <c r="A40" s="26" t="s">
        <v>47</v>
      </c>
    </row>
    <row r="41" spans="1:18" ht="15.6" x14ac:dyDescent="0.3">
      <c r="A41" s="26" t="s">
        <v>48</v>
      </c>
    </row>
    <row r="42" spans="1:18" ht="15.6" x14ac:dyDescent="0.3">
      <c r="A42" s="26" t="s">
        <v>49</v>
      </c>
    </row>
    <row r="44" spans="1:18" ht="15.6" x14ac:dyDescent="0.3">
      <c r="A44" s="23" t="s">
        <v>45</v>
      </c>
    </row>
    <row r="45" spans="1:18" ht="15.6" x14ac:dyDescent="0.3">
      <c r="A45" s="26" t="s">
        <v>50</v>
      </c>
    </row>
    <row r="46" spans="1:18" ht="15" thickBot="1" x14ac:dyDescent="0.35"/>
    <row r="47" spans="1:18" x14ac:dyDescent="0.3">
      <c r="A47" s="16" t="s">
        <v>51</v>
      </c>
      <c r="B47" s="16" t="s">
        <v>52</v>
      </c>
    </row>
    <row r="48" spans="1:18" x14ac:dyDescent="0.3">
      <c r="A48">
        <v>35.800293019440005</v>
      </c>
      <c r="B48">
        <v>2.1997069805599949</v>
      </c>
    </row>
    <row r="49" spans="1:2" x14ac:dyDescent="0.3">
      <c r="A49">
        <v>25.108919849601193</v>
      </c>
      <c r="B49">
        <v>0.89108015039880684</v>
      </c>
    </row>
    <row r="50" spans="1:2" x14ac:dyDescent="0.3">
      <c r="A50">
        <v>40.02847251477624</v>
      </c>
      <c r="B50">
        <v>-2.8472514776240132E-2</v>
      </c>
    </row>
    <row r="51" spans="1:2" x14ac:dyDescent="0.3">
      <c r="A51">
        <v>46.885827533187694</v>
      </c>
      <c r="B51">
        <v>-1.8858275331876939</v>
      </c>
    </row>
    <row r="52" spans="1:2" x14ac:dyDescent="0.3">
      <c r="A52">
        <v>45.708504465976148</v>
      </c>
      <c r="B52">
        <v>5.2914955340238521</v>
      </c>
    </row>
    <row r="53" spans="1:2" x14ac:dyDescent="0.3">
      <c r="A53">
        <v>48.587970814227447</v>
      </c>
      <c r="B53">
        <v>0.41202918577255332</v>
      </c>
    </row>
    <row r="54" spans="1:2" x14ac:dyDescent="0.3">
      <c r="A54">
        <v>34.047775733448077</v>
      </c>
      <c r="B54">
        <v>-4.7775733448077062E-2</v>
      </c>
    </row>
    <row r="55" spans="1:2" x14ac:dyDescent="0.3">
      <c r="A55">
        <v>37.006482039764023</v>
      </c>
      <c r="B55">
        <v>-2.0064820397640233</v>
      </c>
    </row>
    <row r="56" spans="1:2" x14ac:dyDescent="0.3">
      <c r="A56">
        <v>45.708504465976148</v>
      </c>
      <c r="B56">
        <v>-3.7085044659761479</v>
      </c>
    </row>
    <row r="57" spans="1:2" ht="15" thickBot="1" x14ac:dyDescent="0.35">
      <c r="A57" s="15">
        <v>25.117249563601206</v>
      </c>
      <c r="B57" s="15">
        <v>-1.1172495636012059</v>
      </c>
    </row>
    <row r="60" spans="1:2" ht="15.6" x14ac:dyDescent="0.3">
      <c r="A60" s="23" t="s">
        <v>46</v>
      </c>
    </row>
    <row r="61" spans="1:2" ht="15.6" x14ac:dyDescent="0.3">
      <c r="A61" s="30" t="s">
        <v>53</v>
      </c>
    </row>
    <row r="96" spans="1:1" ht="15.6" x14ac:dyDescent="0.3">
      <c r="A96" s="23" t="s">
        <v>47</v>
      </c>
    </row>
    <row r="97" spans="1:1" ht="15.6" x14ac:dyDescent="0.3">
      <c r="A97" s="26" t="s">
        <v>107</v>
      </c>
    </row>
    <row r="113" spans="1:6" ht="15.6" x14ac:dyDescent="0.3">
      <c r="A113" s="23" t="s">
        <v>48</v>
      </c>
    </row>
    <row r="116" spans="1:6" x14ac:dyDescent="0.3">
      <c r="A116" s="83" t="s">
        <v>55</v>
      </c>
      <c r="B116" s="84" t="s">
        <v>56</v>
      </c>
      <c r="C116" s="83" t="s">
        <v>57</v>
      </c>
      <c r="D116" s="85"/>
      <c r="E116" s="86"/>
      <c r="F116" s="86"/>
    </row>
    <row r="117" spans="1:6" x14ac:dyDescent="0.3">
      <c r="A117" s="83">
        <v>1</v>
      </c>
      <c r="B117" s="12">
        <v>2.1997069805599949</v>
      </c>
      <c r="C117" s="83" t="s">
        <v>98</v>
      </c>
      <c r="D117" s="86"/>
      <c r="E117" s="86"/>
      <c r="F117" s="86"/>
    </row>
    <row r="118" spans="1:6" x14ac:dyDescent="0.3">
      <c r="A118" s="83">
        <v>2</v>
      </c>
      <c r="B118" s="12">
        <v>0.89108015039880684</v>
      </c>
      <c r="C118" s="83">
        <f>B117</f>
        <v>2.1997069805599949</v>
      </c>
      <c r="D118" s="86"/>
      <c r="E118" s="86"/>
      <c r="F118" s="86"/>
    </row>
    <row r="119" spans="1:6" x14ac:dyDescent="0.3">
      <c r="A119" s="83">
        <v>3</v>
      </c>
      <c r="B119" s="12">
        <v>-2.8472514776240132E-2</v>
      </c>
      <c r="C119" s="83">
        <f t="shared" ref="C119:C126" si="12">B118</f>
        <v>0.89108015039880684</v>
      </c>
      <c r="D119" s="86"/>
      <c r="E119" s="86"/>
      <c r="F119" s="86"/>
    </row>
    <row r="120" spans="1:6" x14ac:dyDescent="0.3">
      <c r="A120" s="83">
        <v>4</v>
      </c>
      <c r="B120" s="12">
        <v>-1.8858275331876939</v>
      </c>
      <c r="C120" s="83">
        <f t="shared" si="12"/>
        <v>-2.8472514776240132E-2</v>
      </c>
      <c r="D120" s="86"/>
      <c r="E120" s="86"/>
      <c r="F120" s="86"/>
    </row>
    <row r="121" spans="1:6" x14ac:dyDescent="0.3">
      <c r="A121" s="83">
        <v>5</v>
      </c>
      <c r="B121" s="12">
        <v>5.2914955340238521</v>
      </c>
      <c r="C121" s="83">
        <f t="shared" si="12"/>
        <v>-1.8858275331876939</v>
      </c>
      <c r="D121" s="86"/>
      <c r="E121" s="86"/>
      <c r="F121" s="86"/>
    </row>
    <row r="122" spans="1:6" x14ac:dyDescent="0.3">
      <c r="A122" s="83">
        <v>6</v>
      </c>
      <c r="B122" s="12">
        <v>0.41202918577255332</v>
      </c>
      <c r="C122" s="83">
        <f t="shared" si="12"/>
        <v>5.2914955340238521</v>
      </c>
      <c r="D122" s="86"/>
      <c r="E122" s="86"/>
      <c r="F122" s="86"/>
    </row>
    <row r="123" spans="1:6" x14ac:dyDescent="0.3">
      <c r="A123" s="83">
        <v>7</v>
      </c>
      <c r="B123" s="12">
        <v>-4.7775733448077062E-2</v>
      </c>
      <c r="C123" s="83">
        <f t="shared" si="12"/>
        <v>0.41202918577255332</v>
      </c>
      <c r="D123" s="86"/>
      <c r="E123" s="86"/>
      <c r="F123" s="86"/>
    </row>
    <row r="124" spans="1:6" x14ac:dyDescent="0.3">
      <c r="A124" s="83">
        <v>8</v>
      </c>
      <c r="B124" s="12">
        <v>-2.0064820397640233</v>
      </c>
      <c r="C124" s="83">
        <f t="shared" si="12"/>
        <v>-4.7775733448077062E-2</v>
      </c>
      <c r="D124" s="86"/>
      <c r="E124" s="86"/>
      <c r="F124" s="86"/>
    </row>
    <row r="125" spans="1:6" x14ac:dyDescent="0.3">
      <c r="A125" s="83">
        <v>9</v>
      </c>
      <c r="B125" s="12">
        <v>-3.7085044659761479</v>
      </c>
      <c r="C125" s="83">
        <f t="shared" si="12"/>
        <v>-2.0064820397640233</v>
      </c>
      <c r="D125" s="86"/>
      <c r="E125" s="86"/>
      <c r="F125" s="86"/>
    </row>
    <row r="126" spans="1:6" x14ac:dyDescent="0.3">
      <c r="A126" s="83">
        <v>10</v>
      </c>
      <c r="B126" s="12">
        <v>-1.1172495636012059</v>
      </c>
      <c r="C126" s="83">
        <f t="shared" si="12"/>
        <v>-3.7085044659761479</v>
      </c>
      <c r="D126" s="86"/>
      <c r="E126" s="86"/>
      <c r="F126" s="86"/>
    </row>
    <row r="127" spans="1:6" x14ac:dyDescent="0.3">
      <c r="A127" s="162"/>
      <c r="B127" s="162"/>
      <c r="C127" s="31"/>
      <c r="D127" s="31"/>
      <c r="E127" s="31"/>
      <c r="F127" s="31"/>
    </row>
    <row r="128" spans="1:6" ht="18" x14ac:dyDescent="0.3">
      <c r="A128" s="89" t="s">
        <v>61</v>
      </c>
      <c r="B128" s="129">
        <f>CORREL(B118:B126,C118:C126)</f>
        <v>0.11560260629584286</v>
      </c>
      <c r="C128" s="31"/>
      <c r="D128" s="31"/>
      <c r="E128" s="31"/>
      <c r="F128" s="31"/>
    </row>
    <row r="130" spans="1:11" ht="15.6" x14ac:dyDescent="0.3">
      <c r="A130" s="53" t="s">
        <v>62</v>
      </c>
      <c r="B130" s="54"/>
      <c r="C130" s="54"/>
      <c r="D130" s="54"/>
      <c r="E130" s="54"/>
      <c r="F130" s="54"/>
      <c r="G130" s="54"/>
      <c r="H130" s="54"/>
      <c r="I130" s="54"/>
      <c r="J130" s="54"/>
      <c r="K130" s="79"/>
    </row>
    <row r="132" spans="1:11" ht="15.6" x14ac:dyDescent="0.3">
      <c r="A132" s="23" t="s">
        <v>49</v>
      </c>
    </row>
    <row r="148" spans="1:4" ht="15.6" x14ac:dyDescent="0.3">
      <c r="A148" s="52" t="s">
        <v>63</v>
      </c>
      <c r="B148" s="28"/>
      <c r="C148" s="28"/>
      <c r="D148" s="28"/>
    </row>
  </sheetData>
  <mergeCells count="4">
    <mergeCell ref="A1:L1"/>
    <mergeCell ref="A127:B127"/>
    <mergeCell ref="B29:H29"/>
    <mergeCell ref="Q33:R3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29" sqref="G29"/>
    </sheetView>
  </sheetViews>
  <sheetFormatPr defaultRowHeight="14.4" x14ac:dyDescent="0.3"/>
  <cols>
    <col min="1" max="1" width="24.88671875" bestFit="1" customWidth="1"/>
    <col min="2" max="2" width="16.332031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0.9601781161919366</v>
      </c>
    </row>
    <row r="5" spans="1:9" x14ac:dyDescent="0.3">
      <c r="A5" t="s">
        <v>35</v>
      </c>
      <c r="B5">
        <v>0.92194201481389615</v>
      </c>
    </row>
    <row r="6" spans="1:9" x14ac:dyDescent="0.3">
      <c r="A6" t="s">
        <v>67</v>
      </c>
      <c r="B6">
        <v>0.82436953333126617</v>
      </c>
    </row>
    <row r="7" spans="1:9" x14ac:dyDescent="0.3">
      <c r="A7" t="s">
        <v>68</v>
      </c>
      <c r="B7">
        <v>3.754633420802937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5</v>
      </c>
      <c r="C12">
        <v>666.01091150155867</v>
      </c>
      <c r="D12">
        <v>133.20218230031173</v>
      </c>
      <c r="E12">
        <v>9.4487913067786735</v>
      </c>
      <c r="F12">
        <v>2.4607070159705709E-2</v>
      </c>
    </row>
    <row r="13" spans="1:9" x14ac:dyDescent="0.3">
      <c r="A13" t="s">
        <v>75</v>
      </c>
      <c r="B13">
        <v>4</v>
      </c>
      <c r="C13">
        <v>56.38908849844146</v>
      </c>
      <c r="D13">
        <v>14.097272124610365</v>
      </c>
    </row>
    <row r="14" spans="1:9" ht="15" thickBot="1" x14ac:dyDescent="0.35">
      <c r="A14" s="15" t="s">
        <v>76</v>
      </c>
      <c r="B14" s="15">
        <v>9</v>
      </c>
      <c r="C14" s="15">
        <v>722.40000000000009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2127.3786368990018</v>
      </c>
      <c r="C17">
        <v>1375.8776480426834</v>
      </c>
      <c r="D17">
        <v>1.5461975415658507</v>
      </c>
      <c r="E17">
        <v>0.19695630029839581</v>
      </c>
      <c r="F17">
        <v>-1692.6701243601588</v>
      </c>
      <c r="G17">
        <v>5947.4273981581628</v>
      </c>
      <c r="H17">
        <v>-805.7817054594625</v>
      </c>
      <c r="I17">
        <v>5060.5389792574661</v>
      </c>
    </row>
    <row r="18" spans="1:9" x14ac:dyDescent="0.3">
      <c r="A18" t="s">
        <v>111</v>
      </c>
      <c r="B18">
        <v>-312.9273658144744</v>
      </c>
      <c r="C18">
        <v>219.83718608796565</v>
      </c>
      <c r="D18">
        <v>-1.4234505607675476</v>
      </c>
      <c r="E18">
        <v>0.22769929236778588</v>
      </c>
      <c r="F18">
        <v>-923.29324506886314</v>
      </c>
      <c r="G18">
        <v>297.43851343991429</v>
      </c>
      <c r="H18">
        <v>-781.58656449119769</v>
      </c>
      <c r="I18">
        <v>155.73183286224889</v>
      </c>
    </row>
    <row r="19" spans="1:9" x14ac:dyDescent="0.3">
      <c r="A19" t="s">
        <v>23</v>
      </c>
      <c r="B19">
        <v>18.099664367463014</v>
      </c>
      <c r="C19">
        <v>13.703545351095917</v>
      </c>
      <c r="D19">
        <v>1.3208015811773501</v>
      </c>
      <c r="E19">
        <v>0.25706357852377892</v>
      </c>
      <c r="F19">
        <v>-19.947477046443225</v>
      </c>
      <c r="G19">
        <v>56.146805781369252</v>
      </c>
      <c r="H19">
        <v>-11.114194750552322</v>
      </c>
      <c r="I19">
        <v>47.313523485478349</v>
      </c>
    </row>
    <row r="20" spans="1:9" x14ac:dyDescent="0.3">
      <c r="A20" t="s">
        <v>158</v>
      </c>
      <c r="B20">
        <v>-0.50938473364044223</v>
      </c>
      <c r="C20">
        <v>0.41652597158419524</v>
      </c>
      <c r="D20">
        <v>-1.2229363074361783</v>
      </c>
      <c r="E20">
        <v>0.28847659175937834</v>
      </c>
      <c r="F20">
        <v>-1.6658462286331364</v>
      </c>
      <c r="G20">
        <v>0.64707676135225189</v>
      </c>
      <c r="H20">
        <v>-1.3973542875837943</v>
      </c>
      <c r="I20">
        <v>0.37858482030290985</v>
      </c>
    </row>
    <row r="21" spans="1:9" x14ac:dyDescent="0.3">
      <c r="A21" t="s">
        <v>163</v>
      </c>
      <c r="B21">
        <v>7.0086920538930319E-3</v>
      </c>
      <c r="C21">
        <v>6.1776453899476244E-3</v>
      </c>
      <c r="D21">
        <v>1.1345248248301369</v>
      </c>
      <c r="E21">
        <v>0.31995213354930463</v>
      </c>
      <c r="F21">
        <v>-1.0143201250674763E-2</v>
      </c>
      <c r="G21">
        <v>2.4160585358460829E-2</v>
      </c>
      <c r="H21">
        <v>-6.1611014177324558E-3</v>
      </c>
      <c r="I21">
        <v>2.0178485525518521E-2</v>
      </c>
    </row>
    <row r="22" spans="1:9" ht="15" thickBot="1" x14ac:dyDescent="0.35">
      <c r="A22" s="15" t="s">
        <v>168</v>
      </c>
      <c r="B22" s="15">
        <v>-3.7800672300193073E-5</v>
      </c>
      <c r="C22" s="15">
        <v>3.5817057381630527E-5</v>
      </c>
      <c r="D22" s="15">
        <v>-1.0553818505363839</v>
      </c>
      <c r="E22" s="15">
        <v>0.35077741792573253</v>
      </c>
      <c r="F22" s="15">
        <v>-1.3724476595000965E-4</v>
      </c>
      <c r="G22" s="15">
        <v>6.1643421349623492E-5</v>
      </c>
      <c r="H22" s="15">
        <v>-1.1415715097489931E-4</v>
      </c>
      <c r="I22" s="15">
        <v>3.8555806374513176E-5</v>
      </c>
    </row>
    <row r="26" spans="1:9" x14ac:dyDescent="0.3">
      <c r="A26" t="s">
        <v>85</v>
      </c>
      <c r="F26" t="s">
        <v>86</v>
      </c>
    </row>
    <row r="27" spans="1:9" ht="15" thickBot="1" x14ac:dyDescent="0.35"/>
    <row r="28" spans="1:9" x14ac:dyDescent="0.3">
      <c r="A28" s="16" t="s">
        <v>87</v>
      </c>
      <c r="B28" s="16" t="s">
        <v>51</v>
      </c>
      <c r="C28" s="16" t="s">
        <v>52</v>
      </c>
      <c r="D28" s="16" t="s">
        <v>88</v>
      </c>
      <c r="F28" s="16" t="s">
        <v>89</v>
      </c>
      <c r="G28" s="16" t="s">
        <v>21</v>
      </c>
    </row>
    <row r="29" spans="1:9" x14ac:dyDescent="0.3">
      <c r="A29">
        <v>1</v>
      </c>
      <c r="B29">
        <v>35.800293019440005</v>
      </c>
      <c r="C29">
        <v>2.1997069805599949</v>
      </c>
      <c r="D29">
        <v>0.87879696924828987</v>
      </c>
      <c r="F29">
        <v>5</v>
      </c>
      <c r="G29">
        <v>24</v>
      </c>
    </row>
    <row r="30" spans="1:9" x14ac:dyDescent="0.3">
      <c r="A30">
        <v>2</v>
      </c>
      <c r="B30">
        <v>25.108919849601193</v>
      </c>
      <c r="C30">
        <v>0.89108015039880684</v>
      </c>
      <c r="D30">
        <v>0.35599220371089058</v>
      </c>
      <c r="F30">
        <v>15</v>
      </c>
      <c r="G30">
        <v>26</v>
      </c>
    </row>
    <row r="31" spans="1:9" x14ac:dyDescent="0.3">
      <c r="A31">
        <v>3</v>
      </c>
      <c r="B31">
        <v>40.02847251477624</v>
      </c>
      <c r="C31">
        <v>-2.8472514776240132E-2</v>
      </c>
      <c r="D31">
        <v>-1.1374951260947974E-2</v>
      </c>
      <c r="F31">
        <v>25</v>
      </c>
      <c r="G31">
        <v>34</v>
      </c>
    </row>
    <row r="32" spans="1:9" x14ac:dyDescent="0.3">
      <c r="A32">
        <v>4</v>
      </c>
      <c r="B32">
        <v>46.885827533187694</v>
      </c>
      <c r="C32">
        <v>-1.8858275331876939</v>
      </c>
      <c r="D32">
        <v>-0.75340012798814859</v>
      </c>
      <c r="F32">
        <v>35</v>
      </c>
      <c r="G32">
        <v>35</v>
      </c>
    </row>
    <row r="33" spans="1:7" x14ac:dyDescent="0.3">
      <c r="A33">
        <v>5</v>
      </c>
      <c r="B33">
        <v>45.708504465976148</v>
      </c>
      <c r="C33">
        <v>5.2914955340238521</v>
      </c>
      <c r="D33">
        <v>2.1139862168856691</v>
      </c>
      <c r="F33">
        <v>45</v>
      </c>
      <c r="G33">
        <v>38</v>
      </c>
    </row>
    <row r="34" spans="1:7" x14ac:dyDescent="0.3">
      <c r="A34">
        <v>6</v>
      </c>
      <c r="B34">
        <v>48.587970814227447</v>
      </c>
      <c r="C34">
        <v>0.41202918577255332</v>
      </c>
      <c r="D34">
        <v>0.16460828778503064</v>
      </c>
      <c r="F34">
        <v>55</v>
      </c>
      <c r="G34">
        <v>40</v>
      </c>
    </row>
    <row r="35" spans="1:7" x14ac:dyDescent="0.3">
      <c r="A35">
        <v>7</v>
      </c>
      <c r="B35">
        <v>34.047775733448077</v>
      </c>
      <c r="C35">
        <v>-4.7775733448077062E-2</v>
      </c>
      <c r="D35">
        <v>-1.9086710243150572E-2</v>
      </c>
      <c r="F35">
        <v>65</v>
      </c>
      <c r="G35">
        <v>42</v>
      </c>
    </row>
    <row r="36" spans="1:7" x14ac:dyDescent="0.3">
      <c r="A36">
        <v>8</v>
      </c>
      <c r="B36">
        <v>37.006482039764023</v>
      </c>
      <c r="C36">
        <v>-2.0064820397640233</v>
      </c>
      <c r="D36">
        <v>-0.80160237294280756</v>
      </c>
      <c r="F36">
        <v>75</v>
      </c>
      <c r="G36">
        <v>45</v>
      </c>
    </row>
    <row r="37" spans="1:7" x14ac:dyDescent="0.3">
      <c r="A37">
        <v>9</v>
      </c>
      <c r="B37">
        <v>45.708504465976148</v>
      </c>
      <c r="C37">
        <v>-3.7085044659761479</v>
      </c>
      <c r="D37">
        <v>-1.4815711883197797</v>
      </c>
      <c r="F37">
        <v>85</v>
      </c>
      <c r="G37">
        <v>49</v>
      </c>
    </row>
    <row r="38" spans="1:7" ht="15" thickBot="1" x14ac:dyDescent="0.35">
      <c r="A38" s="15">
        <v>10</v>
      </c>
      <c r="B38" s="15">
        <v>25.117249563601206</v>
      </c>
      <c r="C38" s="15">
        <v>-1.1172495636012059</v>
      </c>
      <c r="D38" s="15">
        <v>-0.44634832687431913</v>
      </c>
      <c r="F38" s="15">
        <v>95</v>
      </c>
      <c r="G38" s="15">
        <v>51</v>
      </c>
    </row>
  </sheetData>
  <sortState ref="G29:G38">
    <sortCondition ref="G29"/>
  </sortState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opLeftCell="A49" workbookViewId="0">
      <selection activeCell="H97" sqref="H97"/>
    </sheetView>
  </sheetViews>
  <sheetFormatPr defaultRowHeight="14.4" x14ac:dyDescent="0.3"/>
  <cols>
    <col min="1" max="1" width="15.5546875" customWidth="1"/>
    <col min="2" max="2" width="12.6640625" customWidth="1"/>
    <col min="3" max="6" width="9" bestFit="1" customWidth="1"/>
    <col min="7" max="7" width="12.109375" customWidth="1"/>
    <col min="8" max="8" width="12.33203125" customWidth="1"/>
    <col min="9" max="9" width="21.33203125" customWidth="1"/>
    <col min="10" max="10" width="13.6640625" customWidth="1"/>
    <col min="11" max="11" width="15.109375" customWidth="1"/>
    <col min="12" max="12" width="23.6640625" customWidth="1"/>
  </cols>
  <sheetData>
    <row r="1" spans="1:14" ht="34.200000000000003" customHeight="1" x14ac:dyDescent="0.3">
      <c r="A1" s="184" t="s">
        <v>173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</row>
    <row r="3" spans="1:14" x14ac:dyDescent="0.3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</row>
    <row r="4" spans="1:14" ht="55.95" customHeight="1" x14ac:dyDescent="0.3">
      <c r="A4" s="3"/>
      <c r="B4" s="5" t="s">
        <v>21</v>
      </c>
      <c r="C4" s="5" t="s">
        <v>111</v>
      </c>
      <c r="D4" s="87" t="s">
        <v>146</v>
      </c>
      <c r="E4" s="87" t="s">
        <v>158</v>
      </c>
      <c r="F4" s="87" t="s">
        <v>163</v>
      </c>
      <c r="G4" s="87" t="s">
        <v>168</v>
      </c>
      <c r="H4" s="87" t="s">
        <v>174</v>
      </c>
      <c r="I4" s="88" t="s">
        <v>175</v>
      </c>
      <c r="J4" s="6" t="s">
        <v>26</v>
      </c>
      <c r="K4" s="6" t="s">
        <v>148</v>
      </c>
      <c r="L4" s="10" t="s">
        <v>149</v>
      </c>
      <c r="M4" s="87" t="s">
        <v>29</v>
      </c>
      <c r="N4" s="87" t="s">
        <v>30</v>
      </c>
    </row>
    <row r="5" spans="1:14" x14ac:dyDescent="0.3">
      <c r="A5" s="2">
        <v>1</v>
      </c>
      <c r="B5" s="4">
        <v>38</v>
      </c>
      <c r="C5" s="4">
        <v>31</v>
      </c>
      <c r="D5" s="4">
        <f>C5^2</f>
        <v>961</v>
      </c>
      <c r="E5" s="4">
        <f>C5^3</f>
        <v>29791</v>
      </c>
      <c r="F5" s="4">
        <f>C5^4</f>
        <v>923521</v>
      </c>
      <c r="G5" s="4">
        <f>C5^5</f>
        <v>28629151</v>
      </c>
      <c r="H5" s="4">
        <f>C5^6</f>
        <v>887503681</v>
      </c>
      <c r="I5" s="4">
        <f t="shared" ref="I5:I14" si="0">H$21+G$21*C5+F$21*D5+E$21*E5+D$21*F5+C$21*G5+B$21*H5</f>
        <v>36.266562457535656</v>
      </c>
      <c r="J5" s="4">
        <f t="shared" ref="J5:J14" si="1">B5-I5</f>
        <v>1.733437542464344</v>
      </c>
      <c r="K5" s="4">
        <f>J5^2</f>
        <v>3.0048057136248243</v>
      </c>
      <c r="L5" s="4">
        <f t="shared" ref="L5:L14" si="2">ABS((J5/B5)*100)</f>
        <v>4.5616777433272215</v>
      </c>
      <c r="M5" s="4">
        <f t="shared" ref="M5:M14" si="3">(I5-B$16)^2</f>
        <v>4.5515557475962938</v>
      </c>
      <c r="N5" s="4">
        <f t="shared" ref="N5:N14" si="4">(B5-B$16)^2</f>
        <v>0.15999999999999887</v>
      </c>
    </row>
    <row r="6" spans="1:14" x14ac:dyDescent="0.3">
      <c r="A6" s="2">
        <v>2</v>
      </c>
      <c r="B6" s="4">
        <v>26</v>
      </c>
      <c r="C6" s="4">
        <v>23</v>
      </c>
      <c r="D6" s="4">
        <f t="shared" ref="D6:D14" si="5">C6^2</f>
        <v>529</v>
      </c>
      <c r="E6" s="4">
        <f t="shared" ref="E6:E14" si="6">C6^3</f>
        <v>12167</v>
      </c>
      <c r="F6" s="4">
        <f t="shared" ref="F6:F14" si="7">C6^4</f>
        <v>279841</v>
      </c>
      <c r="G6" s="4">
        <f t="shared" ref="G6:G14" si="8">C6^5</f>
        <v>6436343</v>
      </c>
      <c r="H6" s="4">
        <f t="shared" ref="H6:H14" si="9">C6^6</f>
        <v>148035889</v>
      </c>
      <c r="I6" s="4">
        <f t="shared" si="0"/>
        <v>24.273681800689474</v>
      </c>
      <c r="J6" s="4">
        <f t="shared" si="1"/>
        <v>1.7263181993105263</v>
      </c>
      <c r="K6" s="4">
        <f t="shared" ref="K6:K14" si="10">J6^2</f>
        <v>2.9801745252707379</v>
      </c>
      <c r="L6" s="4">
        <f t="shared" si="2"/>
        <v>6.6396853819635631</v>
      </c>
      <c r="M6" s="4">
        <f t="shared" si="3"/>
        <v>199.55286586817175</v>
      </c>
      <c r="N6" s="4">
        <f t="shared" si="4"/>
        <v>153.75999999999996</v>
      </c>
    </row>
    <row r="7" spans="1:14" x14ac:dyDescent="0.3">
      <c r="A7" s="2">
        <v>3</v>
      </c>
      <c r="B7" s="4">
        <v>40</v>
      </c>
      <c r="C7" s="4">
        <v>38</v>
      </c>
      <c r="D7" s="4">
        <f t="shared" si="5"/>
        <v>1444</v>
      </c>
      <c r="E7" s="4">
        <f t="shared" si="6"/>
        <v>54872</v>
      </c>
      <c r="F7" s="4">
        <f t="shared" si="7"/>
        <v>2085136</v>
      </c>
      <c r="G7" s="4">
        <f t="shared" si="8"/>
        <v>79235168</v>
      </c>
      <c r="H7" s="4">
        <f t="shared" si="9"/>
        <v>3010936384</v>
      </c>
      <c r="I7" s="4">
        <f t="shared" si="0"/>
        <v>40.077114183823142</v>
      </c>
      <c r="J7" s="4">
        <f t="shared" si="1"/>
        <v>-7.7114183823141502E-2</v>
      </c>
      <c r="K7" s="4">
        <f t="shared" si="10"/>
        <v>5.9465973467092582E-3</v>
      </c>
      <c r="L7" s="4">
        <f t="shared" si="2"/>
        <v>0.19278545955785376</v>
      </c>
      <c r="M7" s="4">
        <f t="shared" si="3"/>
        <v>2.812711985580767</v>
      </c>
      <c r="N7" s="4">
        <f t="shared" si="4"/>
        <v>2.5600000000000045</v>
      </c>
    </row>
    <row r="8" spans="1:14" x14ac:dyDescent="0.3">
      <c r="A8" s="2">
        <v>4</v>
      </c>
      <c r="B8" s="4">
        <v>45</v>
      </c>
      <c r="C8" s="4">
        <v>47</v>
      </c>
      <c r="D8" s="4">
        <f t="shared" si="5"/>
        <v>2209</v>
      </c>
      <c r="E8" s="4">
        <f t="shared" si="6"/>
        <v>103823</v>
      </c>
      <c r="F8" s="4">
        <f t="shared" si="7"/>
        <v>4879681</v>
      </c>
      <c r="G8" s="4">
        <f t="shared" si="8"/>
        <v>229345007</v>
      </c>
      <c r="H8" s="4">
        <f t="shared" si="9"/>
        <v>10779215329</v>
      </c>
      <c r="I8" s="4">
        <f t="shared" si="0"/>
        <v>45.989025104237953</v>
      </c>
      <c r="J8" s="4">
        <f t="shared" si="1"/>
        <v>-0.9890251042379532</v>
      </c>
      <c r="K8" s="4">
        <f t="shared" si="10"/>
        <v>0.97817065681289417</v>
      </c>
      <c r="L8" s="4">
        <f t="shared" si="2"/>
        <v>2.1978335649732292</v>
      </c>
      <c r="M8" s="4">
        <f t="shared" si="3"/>
        <v>57.593302032753897</v>
      </c>
      <c r="N8" s="4">
        <f t="shared" si="4"/>
        <v>43.560000000000016</v>
      </c>
    </row>
    <row r="9" spans="1:14" x14ac:dyDescent="0.3">
      <c r="A9" s="2">
        <v>5</v>
      </c>
      <c r="B9" s="4">
        <v>51</v>
      </c>
      <c r="C9" s="4">
        <v>46</v>
      </c>
      <c r="D9" s="4">
        <f t="shared" si="5"/>
        <v>2116</v>
      </c>
      <c r="E9" s="4">
        <f t="shared" si="6"/>
        <v>97336</v>
      </c>
      <c r="F9" s="4">
        <f t="shared" si="7"/>
        <v>4477456</v>
      </c>
      <c r="G9" s="4">
        <f t="shared" si="8"/>
        <v>205962976</v>
      </c>
      <c r="H9" s="4">
        <f t="shared" si="9"/>
        <v>9474296896</v>
      </c>
      <c r="I9" s="4">
        <f t="shared" si="0"/>
        <v>46.06504391731869</v>
      </c>
      <c r="J9" s="4">
        <f t="shared" si="1"/>
        <v>4.9349560826813104</v>
      </c>
      <c r="K9" s="4">
        <f t="shared" si="10"/>
        <v>24.353791537993263</v>
      </c>
      <c r="L9" s="4">
        <f t="shared" si="2"/>
        <v>9.6763844758457065</v>
      </c>
      <c r="M9" s="4">
        <f t="shared" si="3"/>
        <v>58.752898254424267</v>
      </c>
      <c r="N9" s="4">
        <f t="shared" si="4"/>
        <v>158.76000000000005</v>
      </c>
    </row>
    <row r="10" spans="1:14" x14ac:dyDescent="0.3">
      <c r="A10" s="2">
        <v>6</v>
      </c>
      <c r="B10" s="4">
        <v>49</v>
      </c>
      <c r="C10" s="4">
        <v>49</v>
      </c>
      <c r="D10" s="4">
        <f t="shared" si="5"/>
        <v>2401</v>
      </c>
      <c r="E10" s="4">
        <f t="shared" si="6"/>
        <v>117649</v>
      </c>
      <c r="F10" s="4">
        <f t="shared" si="7"/>
        <v>5764801</v>
      </c>
      <c r="G10" s="4">
        <f t="shared" si="8"/>
        <v>282475249</v>
      </c>
      <c r="H10" s="4">
        <f t="shared" si="9"/>
        <v>13841287201</v>
      </c>
      <c r="I10" s="4">
        <f t="shared" si="0"/>
        <v>48.801219231070718</v>
      </c>
      <c r="J10" s="4">
        <f t="shared" si="1"/>
        <v>0.1987807689292822</v>
      </c>
      <c r="K10" s="4">
        <f t="shared" si="10"/>
        <v>3.9513794096116682E-2</v>
      </c>
      <c r="L10" s="4">
        <f t="shared" si="2"/>
        <v>0.40567503863118815</v>
      </c>
      <c r="M10" s="4">
        <f t="shared" si="3"/>
        <v>108.18536149279537</v>
      </c>
      <c r="N10" s="4">
        <f t="shared" si="4"/>
        <v>112.36000000000003</v>
      </c>
    </row>
    <row r="11" spans="1:14" x14ac:dyDescent="0.3">
      <c r="A11" s="2">
        <v>7</v>
      </c>
      <c r="B11" s="4">
        <v>34</v>
      </c>
      <c r="C11" s="4">
        <v>20</v>
      </c>
      <c r="D11" s="4">
        <f t="shared" si="5"/>
        <v>400</v>
      </c>
      <c r="E11" s="4">
        <f t="shared" si="6"/>
        <v>8000</v>
      </c>
      <c r="F11" s="4">
        <f t="shared" si="7"/>
        <v>160000</v>
      </c>
      <c r="G11" s="4">
        <f t="shared" si="8"/>
        <v>3200000</v>
      </c>
      <c r="H11" s="4">
        <f t="shared" si="9"/>
        <v>64000000</v>
      </c>
      <c r="I11" s="4">
        <f t="shared" si="0"/>
        <v>34.169298377379789</v>
      </c>
      <c r="J11" s="4">
        <f t="shared" si="1"/>
        <v>-0.16929837737978914</v>
      </c>
      <c r="K11" s="4">
        <f t="shared" si="10"/>
        <v>2.8661940583429499E-2</v>
      </c>
      <c r="L11" s="4">
        <f t="shared" si="2"/>
        <v>0.49793640405820333</v>
      </c>
      <c r="M11" s="4">
        <f t="shared" si="3"/>
        <v>17.898836219641272</v>
      </c>
      <c r="N11" s="4">
        <f t="shared" si="4"/>
        <v>19.359999999999989</v>
      </c>
    </row>
    <row r="12" spans="1:14" x14ac:dyDescent="0.3">
      <c r="A12" s="2">
        <v>8</v>
      </c>
      <c r="B12" s="4">
        <v>35</v>
      </c>
      <c r="C12" s="4">
        <v>32</v>
      </c>
      <c r="D12" s="4">
        <f t="shared" si="5"/>
        <v>1024</v>
      </c>
      <c r="E12" s="4">
        <f t="shared" si="6"/>
        <v>32768</v>
      </c>
      <c r="F12" s="4">
        <f t="shared" si="7"/>
        <v>1048576</v>
      </c>
      <c r="G12" s="4">
        <f t="shared" si="8"/>
        <v>33554432</v>
      </c>
      <c r="H12" s="4">
        <f t="shared" si="9"/>
        <v>1073741824</v>
      </c>
      <c r="I12" s="4">
        <f t="shared" si="0"/>
        <v>36.420668623093661</v>
      </c>
      <c r="J12" s="4">
        <f t="shared" si="1"/>
        <v>-1.4206686230936612</v>
      </c>
      <c r="K12" s="4">
        <f t="shared" si="10"/>
        <v>2.0182993366428392</v>
      </c>
      <c r="L12" s="4">
        <f t="shared" si="2"/>
        <v>4.0590532088390319</v>
      </c>
      <c r="M12" s="4">
        <f t="shared" si="3"/>
        <v>3.9177526996059377</v>
      </c>
      <c r="N12" s="4">
        <f t="shared" si="4"/>
        <v>11.55999999999999</v>
      </c>
    </row>
    <row r="13" spans="1:14" x14ac:dyDescent="0.3">
      <c r="A13" s="2">
        <v>9</v>
      </c>
      <c r="B13" s="4">
        <v>42</v>
      </c>
      <c r="C13" s="4">
        <v>46</v>
      </c>
      <c r="D13" s="4">
        <f t="shared" si="5"/>
        <v>2116</v>
      </c>
      <c r="E13" s="4">
        <f t="shared" si="6"/>
        <v>97336</v>
      </c>
      <c r="F13" s="4">
        <f t="shared" si="7"/>
        <v>4477456</v>
      </c>
      <c r="G13" s="4">
        <f t="shared" si="8"/>
        <v>205962976</v>
      </c>
      <c r="H13" s="4">
        <f t="shared" si="9"/>
        <v>9474296896</v>
      </c>
      <c r="I13" s="4">
        <f t="shared" si="0"/>
        <v>46.06504391731869</v>
      </c>
      <c r="J13" s="4">
        <f t="shared" si="1"/>
        <v>-4.0650439173186896</v>
      </c>
      <c r="K13" s="4">
        <f t="shared" si="10"/>
        <v>16.524582049729677</v>
      </c>
      <c r="L13" s="4">
        <f t="shared" si="2"/>
        <v>9.6786759936159275</v>
      </c>
      <c r="M13" s="4">
        <f t="shared" si="3"/>
        <v>58.752898254424267</v>
      </c>
      <c r="N13" s="4">
        <f t="shared" si="4"/>
        <v>12.96000000000001</v>
      </c>
    </row>
    <row r="14" spans="1:14" x14ac:dyDescent="0.3">
      <c r="A14" s="2">
        <v>10</v>
      </c>
      <c r="B14" s="4">
        <v>24</v>
      </c>
      <c r="C14" s="4">
        <v>24</v>
      </c>
      <c r="D14" s="4">
        <f t="shared" si="5"/>
        <v>576</v>
      </c>
      <c r="E14" s="4">
        <f t="shared" si="6"/>
        <v>13824</v>
      </c>
      <c r="F14" s="4">
        <f t="shared" si="7"/>
        <v>331776</v>
      </c>
      <c r="G14" s="4">
        <f t="shared" si="8"/>
        <v>7962624</v>
      </c>
      <c r="H14" s="4">
        <f t="shared" si="9"/>
        <v>191102976</v>
      </c>
      <c r="I14" s="4">
        <f t="shared" si="0"/>
        <v>25.872342387635854</v>
      </c>
      <c r="J14" s="4">
        <f t="shared" si="1"/>
        <v>-1.8723423876358538</v>
      </c>
      <c r="K14" s="4">
        <f t="shared" si="10"/>
        <v>3.5056660165379299</v>
      </c>
      <c r="L14" s="4">
        <f t="shared" si="2"/>
        <v>7.8014266151493912</v>
      </c>
      <c r="M14" s="4">
        <f t="shared" si="3"/>
        <v>156.94220525262531</v>
      </c>
      <c r="N14" s="4">
        <f t="shared" si="4"/>
        <v>207.35999999999996</v>
      </c>
    </row>
    <row r="15" spans="1:14" x14ac:dyDescent="0.3">
      <c r="A15" s="4" t="s">
        <v>6</v>
      </c>
      <c r="B15" s="4">
        <f>SUM(B5:B14)</f>
        <v>384</v>
      </c>
      <c r="C15" s="4">
        <f>SUM(C5:C14)</f>
        <v>356</v>
      </c>
      <c r="D15" s="4">
        <f t="shared" ref="D15:N15" si="11">SUM(D5:D14)</f>
        <v>13776</v>
      </c>
      <c r="E15" s="4">
        <f t="shared" si="11"/>
        <v>567566</v>
      </c>
      <c r="F15" s="4">
        <f t="shared" si="11"/>
        <v>24428244</v>
      </c>
      <c r="G15" s="4">
        <f t="shared" si="11"/>
        <v>1082763926</v>
      </c>
      <c r="H15" s="4">
        <f t="shared" si="11"/>
        <v>48944417076</v>
      </c>
      <c r="I15" s="4">
        <f t="shared" si="11"/>
        <v>384.00000000010363</v>
      </c>
      <c r="J15" s="14">
        <f t="shared" si="11"/>
        <v>-1.0362555258325301E-10</v>
      </c>
      <c r="K15" s="4">
        <f t="shared" si="11"/>
        <v>53.439612168638419</v>
      </c>
      <c r="L15" s="4">
        <f t="shared" si="11"/>
        <v>45.711133885961317</v>
      </c>
      <c r="M15" s="4">
        <f t="shared" si="11"/>
        <v>668.9603878076191</v>
      </c>
      <c r="N15" s="4">
        <f t="shared" si="11"/>
        <v>722.40000000000009</v>
      </c>
    </row>
    <row r="16" spans="1:14" x14ac:dyDescent="0.3">
      <c r="A16" s="4" t="s">
        <v>7</v>
      </c>
      <c r="B16" s="4">
        <f>AVERAGE(B5:B14)</f>
        <v>38.4</v>
      </c>
      <c r="C16" s="4">
        <f>AVERAGE(C5:C14)</f>
        <v>35.6</v>
      </c>
      <c r="D16" s="4">
        <f t="shared" ref="D16:N16" si="12">AVERAGE(D5:D14)</f>
        <v>1377.6</v>
      </c>
      <c r="E16" s="4">
        <f t="shared" si="12"/>
        <v>56756.6</v>
      </c>
      <c r="F16" s="4">
        <f t="shared" si="12"/>
        <v>2442824.4</v>
      </c>
      <c r="G16" s="4">
        <f t="shared" si="12"/>
        <v>108276392.59999999</v>
      </c>
      <c r="H16" s="4">
        <f t="shared" si="12"/>
        <v>4894441707.6000004</v>
      </c>
      <c r="I16" s="4">
        <f t="shared" si="12"/>
        <v>38.400000000010365</v>
      </c>
      <c r="J16" s="14">
        <f>AVERAGE(J5:J14)</f>
        <v>-1.0362555258325302E-11</v>
      </c>
      <c r="K16" s="4">
        <f t="shared" si="12"/>
        <v>5.3439612168638417</v>
      </c>
      <c r="L16" s="4">
        <f t="shared" si="12"/>
        <v>4.5711133885961317</v>
      </c>
      <c r="M16" s="4">
        <f t="shared" si="12"/>
        <v>66.896038780761913</v>
      </c>
      <c r="N16" s="4">
        <f t="shared" si="12"/>
        <v>72.240000000000009</v>
      </c>
    </row>
    <row r="19" spans="1:15" x14ac:dyDescent="0.3">
      <c r="A19" s="82" t="s">
        <v>33</v>
      </c>
    </row>
    <row r="20" spans="1:15" x14ac:dyDescent="0.3">
      <c r="A20" s="42"/>
      <c r="B20" s="42" t="s">
        <v>176</v>
      </c>
      <c r="C20" s="42" t="s">
        <v>170</v>
      </c>
      <c r="D20" s="42" t="s">
        <v>165</v>
      </c>
      <c r="E20" s="42" t="s">
        <v>160</v>
      </c>
      <c r="F20" s="42" t="s">
        <v>150</v>
      </c>
      <c r="G20" s="42" t="s">
        <v>151</v>
      </c>
      <c r="H20" t="s">
        <v>152</v>
      </c>
    </row>
    <row r="21" spans="1:15" x14ac:dyDescent="0.3">
      <c r="A21" s="42"/>
      <c r="B21" s="68">
        <f t="array" ref="B21:H25">LINEST(B5:B14,C5:H14,1,1)</f>
        <v>7.0140563463330162E-6</v>
      </c>
      <c r="C21" s="4">
        <v>-1.4975524653139938E-3</v>
      </c>
      <c r="D21" s="4">
        <v>0.13114767676822783</v>
      </c>
      <c r="E21" s="4">
        <v>-6.0242583315208789</v>
      </c>
      <c r="F21" s="4">
        <v>152.93933084672642</v>
      </c>
      <c r="G21" s="4">
        <v>-2031.8975274155298</v>
      </c>
      <c r="H21" s="12">
        <v>11050.09416008745</v>
      </c>
    </row>
    <row r="22" spans="1:15" x14ac:dyDescent="0.3">
      <c r="A22" s="42" t="s">
        <v>181</v>
      </c>
      <c r="B22" s="4">
        <v>1.7237243405271752E-5</v>
      </c>
      <c r="C22" s="4">
        <v>3.5876075668761567E-3</v>
      </c>
      <c r="D22" s="4">
        <v>0.30515411765566591</v>
      </c>
      <c r="E22" s="4">
        <v>13.561044392130086</v>
      </c>
      <c r="F22" s="4">
        <v>331.73016666598659</v>
      </c>
      <c r="G22" s="4">
        <v>4231.6399021453717</v>
      </c>
      <c r="H22" s="12">
        <v>21982.303317586586</v>
      </c>
      <c r="I22" t="s">
        <v>182</v>
      </c>
    </row>
    <row r="23" spans="1:15" x14ac:dyDescent="0.3">
      <c r="A23" s="42" t="s">
        <v>183</v>
      </c>
      <c r="B23" s="4">
        <v>0.92602490009798888</v>
      </c>
      <c r="C23" s="4">
        <v>4.2205691626135309</v>
      </c>
      <c r="D23" s="4" t="e">
        <v>#N/A</v>
      </c>
      <c r="E23" s="4" t="e">
        <v>#N/A</v>
      </c>
      <c r="F23" s="4" t="e">
        <v>#N/A</v>
      </c>
      <c r="G23" s="4" t="e">
        <v>#N/A</v>
      </c>
      <c r="H23" s="12" t="e">
        <v>#N/A</v>
      </c>
    </row>
    <row r="24" spans="1:15" x14ac:dyDescent="0.3">
      <c r="A24" s="42" t="s">
        <v>38</v>
      </c>
      <c r="B24" s="4">
        <v>6.2590310883298539</v>
      </c>
      <c r="C24" s="4">
        <v>3</v>
      </c>
      <c r="D24" s="4" t="e">
        <v>#N/A</v>
      </c>
      <c r="E24" s="4" t="e">
        <v>#N/A</v>
      </c>
      <c r="F24" s="4" t="e">
        <v>#N/A</v>
      </c>
      <c r="G24" s="4" t="e">
        <v>#N/A</v>
      </c>
      <c r="H24" s="12" t="e">
        <v>#N/A</v>
      </c>
    </row>
    <row r="25" spans="1:15" x14ac:dyDescent="0.3">
      <c r="A25" s="42"/>
      <c r="B25" s="4">
        <v>668.96038783078723</v>
      </c>
      <c r="C25" s="4">
        <v>53.43961216921285</v>
      </c>
      <c r="D25" s="4" t="e">
        <v>#N/A</v>
      </c>
      <c r="E25" s="4" t="e">
        <v>#N/A</v>
      </c>
      <c r="F25" s="4" t="e">
        <v>#N/A</v>
      </c>
      <c r="G25" s="4" t="e">
        <v>#N/A</v>
      </c>
      <c r="H25" s="12" t="e">
        <v>#N/A</v>
      </c>
    </row>
    <row r="26" spans="1:15" x14ac:dyDescent="0.3">
      <c r="B26" t="s">
        <v>153</v>
      </c>
      <c r="C26" t="s">
        <v>171</v>
      </c>
    </row>
    <row r="29" spans="1:15" ht="28.95" customHeight="1" thickBot="1" x14ac:dyDescent="0.35">
      <c r="A29" s="26"/>
      <c r="B29" s="186" t="s">
        <v>177</v>
      </c>
      <c r="C29" s="186"/>
      <c r="D29" s="186"/>
      <c r="E29" s="186"/>
      <c r="F29" s="186"/>
      <c r="G29" s="186"/>
      <c r="H29" s="186"/>
      <c r="I29" s="186"/>
    </row>
    <row r="30" spans="1:15" x14ac:dyDescent="0.3">
      <c r="B30" s="42"/>
      <c r="K30" s="16"/>
      <c r="L30" s="46" t="s">
        <v>77</v>
      </c>
      <c r="M30" s="46" t="s">
        <v>68</v>
      </c>
      <c r="N30" s="46" t="s">
        <v>78</v>
      </c>
      <c r="O30" s="46" t="s">
        <v>79</v>
      </c>
    </row>
    <row r="31" spans="1:15" ht="15.6" x14ac:dyDescent="0.3">
      <c r="A31" s="23" t="s">
        <v>101</v>
      </c>
      <c r="B31" s="42"/>
      <c r="K31" t="s">
        <v>84</v>
      </c>
      <c r="L31">
        <v>11050.09416008745</v>
      </c>
      <c r="M31">
        <v>21982.303317586586</v>
      </c>
      <c r="N31">
        <v>0.50268136147712061</v>
      </c>
      <c r="O31" s="136">
        <v>0.64976984936507787</v>
      </c>
    </row>
    <row r="32" spans="1:15" ht="15" thickBot="1" x14ac:dyDescent="0.35">
      <c r="K32" t="s">
        <v>111</v>
      </c>
      <c r="L32">
        <v>-2031.8975274155298</v>
      </c>
      <c r="M32">
        <v>4231.6399021453717</v>
      </c>
      <c r="N32">
        <v>-0.48016787212574286</v>
      </c>
      <c r="O32" s="136">
        <v>0.66394530398145579</v>
      </c>
    </row>
    <row r="33" spans="1:15" ht="15.6" x14ac:dyDescent="0.3">
      <c r="A33" s="44" t="s">
        <v>66</v>
      </c>
      <c r="B33" s="44">
        <v>0.96230187576351989</v>
      </c>
      <c r="D33" s="16" t="s">
        <v>38</v>
      </c>
      <c r="E33" s="46" t="s">
        <v>39</v>
      </c>
      <c r="G33" s="4" t="s">
        <v>156</v>
      </c>
      <c r="H33" s="4" t="s">
        <v>102</v>
      </c>
      <c r="I33" s="106"/>
      <c r="K33" t="s">
        <v>23</v>
      </c>
      <c r="L33">
        <v>152.93933084672642</v>
      </c>
      <c r="M33">
        <v>331.73016666598659</v>
      </c>
      <c r="N33">
        <v>0.46103534201855811</v>
      </c>
      <c r="O33" s="136">
        <v>0.67614228938540089</v>
      </c>
    </row>
    <row r="34" spans="1:15" x14ac:dyDescent="0.3">
      <c r="A34" s="120" t="s">
        <v>35</v>
      </c>
      <c r="B34" s="120">
        <v>0.92602490009798888</v>
      </c>
      <c r="D34">
        <v>6.2590310883298539</v>
      </c>
      <c r="E34" s="96">
        <v>8.0417520720502872E-2</v>
      </c>
      <c r="G34" s="4">
        <f>_xlfn.F.INV.RT(0.05,6,3)</f>
        <v>8.9406451207703839</v>
      </c>
      <c r="H34" s="4">
        <f>L16</f>
        <v>4.5711133885961317</v>
      </c>
      <c r="I34" s="13">
        <f>((6*B21*C16^5+5*C21*C16^4+4*D21*C16^3+3*E21*C16^2+2*F21*C16+G21)*C16)/(H21+G21*C16+F21*C16^2+E21*C16^3+D21*C16^4+C21*C16^5+B21*C16^6)</f>
        <v>0.68509368150111261</v>
      </c>
      <c r="K34" t="s">
        <v>158</v>
      </c>
      <c r="L34">
        <v>-6.0242583315208789</v>
      </c>
      <c r="M34">
        <v>13.561044392130086</v>
      </c>
      <c r="N34">
        <v>-0.44423262378058076</v>
      </c>
      <c r="O34" s="136">
        <v>0.68696521666696242</v>
      </c>
    </row>
    <row r="35" spans="1:15" x14ac:dyDescent="0.3">
      <c r="A35" s="45" t="s">
        <v>67</v>
      </c>
      <c r="B35" s="45">
        <v>0.77807470029396641</v>
      </c>
      <c r="K35" t="s">
        <v>163</v>
      </c>
      <c r="L35">
        <v>0.13114767676822783</v>
      </c>
      <c r="M35">
        <v>0.30515411765566591</v>
      </c>
      <c r="N35">
        <v>0.42977521580165629</v>
      </c>
      <c r="O35" s="136">
        <v>0.69635884333563969</v>
      </c>
    </row>
    <row r="36" spans="1:15" x14ac:dyDescent="0.3">
      <c r="K36" t="s">
        <v>168</v>
      </c>
      <c r="L36">
        <v>-1.4975524653139938E-3</v>
      </c>
      <c r="M36">
        <v>3.5876075668761567E-3</v>
      </c>
      <c r="N36">
        <v>-0.41742371131688744</v>
      </c>
      <c r="O36" s="136">
        <v>0.70444252590484102</v>
      </c>
    </row>
    <row r="37" spans="1:15" ht="16.2" thickBot="1" x14ac:dyDescent="0.35">
      <c r="A37" s="23" t="s">
        <v>44</v>
      </c>
      <c r="K37" s="15" t="s">
        <v>174</v>
      </c>
      <c r="L37" s="15">
        <v>7.0140563463330162E-6</v>
      </c>
      <c r="M37" s="15">
        <v>1.7237243405271752E-5</v>
      </c>
      <c r="N37" s="15">
        <v>0.40691287936375442</v>
      </c>
      <c r="O37" s="137">
        <v>0.71136308206916676</v>
      </c>
    </row>
    <row r="38" spans="1:15" ht="15.6" x14ac:dyDescent="0.3">
      <c r="A38" s="26" t="s">
        <v>45</v>
      </c>
    </row>
    <row r="39" spans="1:15" ht="15.6" x14ac:dyDescent="0.3">
      <c r="A39" s="26" t="s">
        <v>46</v>
      </c>
      <c r="M39" s="164" t="s">
        <v>188</v>
      </c>
      <c r="N39" s="165"/>
    </row>
    <row r="40" spans="1:15" ht="15.6" x14ac:dyDescent="0.3">
      <c r="A40" s="26" t="s">
        <v>47</v>
      </c>
      <c r="M40" s="4" t="s">
        <v>186</v>
      </c>
      <c r="N40" s="4" t="s">
        <v>187</v>
      </c>
    </row>
    <row r="41" spans="1:15" ht="15.6" x14ac:dyDescent="0.3">
      <c r="A41" s="26" t="s">
        <v>48</v>
      </c>
      <c r="M41" s="4">
        <f>_xlfn.T.INV.2T(0.05,3)</f>
        <v>3.1824463052837091</v>
      </c>
      <c r="N41" s="4">
        <f>_xlfn.T.INV.2T(0.1,3)</f>
        <v>2.3533634348018233</v>
      </c>
    </row>
    <row r="42" spans="1:15" ht="15.6" x14ac:dyDescent="0.3">
      <c r="A42" s="26" t="s">
        <v>49</v>
      </c>
    </row>
    <row r="44" spans="1:15" ht="15.6" x14ac:dyDescent="0.3">
      <c r="A44" s="23" t="s">
        <v>45</v>
      </c>
    </row>
    <row r="45" spans="1:15" ht="15.6" x14ac:dyDescent="0.3">
      <c r="A45" s="26" t="s">
        <v>50</v>
      </c>
    </row>
    <row r="46" spans="1:15" ht="15" thickBot="1" x14ac:dyDescent="0.35"/>
    <row r="47" spans="1:15" x14ac:dyDescent="0.3">
      <c r="A47" s="16" t="s">
        <v>51</v>
      </c>
      <c r="B47" s="16" t="s">
        <v>52</v>
      </c>
    </row>
    <row r="48" spans="1:15" x14ac:dyDescent="0.3">
      <c r="A48">
        <v>36.266562457535656</v>
      </c>
      <c r="B48">
        <v>1.733437542464344</v>
      </c>
    </row>
    <row r="49" spans="1:2" x14ac:dyDescent="0.3">
      <c r="A49">
        <v>24.273681800689474</v>
      </c>
      <c r="B49">
        <v>1.7263181993105263</v>
      </c>
    </row>
    <row r="50" spans="1:2" x14ac:dyDescent="0.3">
      <c r="A50">
        <v>40.077114183823142</v>
      </c>
      <c r="B50">
        <v>-7.7114183823141502E-2</v>
      </c>
    </row>
    <row r="51" spans="1:2" x14ac:dyDescent="0.3">
      <c r="A51">
        <v>45.989025104237953</v>
      </c>
      <c r="B51">
        <v>-0.9890251042379532</v>
      </c>
    </row>
    <row r="52" spans="1:2" x14ac:dyDescent="0.3">
      <c r="A52">
        <v>46.06504391731869</v>
      </c>
      <c r="B52">
        <v>4.9349560826813104</v>
      </c>
    </row>
    <row r="53" spans="1:2" x14ac:dyDescent="0.3">
      <c r="A53">
        <v>48.801219231070718</v>
      </c>
      <c r="B53">
        <v>0.1987807689292822</v>
      </c>
    </row>
    <row r="54" spans="1:2" x14ac:dyDescent="0.3">
      <c r="A54">
        <v>34.169298377379789</v>
      </c>
      <c r="B54">
        <v>-0.16929837737978914</v>
      </c>
    </row>
    <row r="55" spans="1:2" x14ac:dyDescent="0.3">
      <c r="A55">
        <v>36.420668623093661</v>
      </c>
      <c r="B55">
        <v>-1.4206686230936612</v>
      </c>
    </row>
    <row r="56" spans="1:2" x14ac:dyDescent="0.3">
      <c r="A56">
        <v>46.06504391731869</v>
      </c>
      <c r="B56">
        <v>-4.0650439173186896</v>
      </c>
    </row>
    <row r="57" spans="1:2" ht="15" thickBot="1" x14ac:dyDescent="0.35">
      <c r="A57" s="15">
        <v>25.872342387635854</v>
      </c>
      <c r="B57" s="15">
        <v>-1.8723423876358538</v>
      </c>
    </row>
    <row r="60" spans="1:2" ht="15.6" x14ac:dyDescent="0.3">
      <c r="A60" s="23" t="s">
        <v>46</v>
      </c>
    </row>
    <row r="61" spans="1:2" ht="15.6" x14ac:dyDescent="0.3">
      <c r="A61" s="30" t="s">
        <v>53</v>
      </c>
    </row>
    <row r="86" spans="1:1" ht="15.6" x14ac:dyDescent="0.3">
      <c r="A86" s="23" t="s">
        <v>47</v>
      </c>
    </row>
    <row r="87" spans="1:1" ht="15.6" x14ac:dyDescent="0.3">
      <c r="A87" s="26" t="s">
        <v>107</v>
      </c>
    </row>
    <row r="103" spans="1:6" ht="15.6" x14ac:dyDescent="0.3">
      <c r="A103" s="23" t="s">
        <v>48</v>
      </c>
    </row>
    <row r="106" spans="1:6" x14ac:dyDescent="0.3">
      <c r="A106" s="83" t="s">
        <v>55</v>
      </c>
      <c r="B106" s="84" t="s">
        <v>56</v>
      </c>
      <c r="C106" s="83" t="s">
        <v>57</v>
      </c>
      <c r="D106" s="85"/>
      <c r="E106" s="86"/>
      <c r="F106" s="86"/>
    </row>
    <row r="107" spans="1:6" x14ac:dyDescent="0.3">
      <c r="A107" s="83">
        <v>1</v>
      </c>
      <c r="B107" s="12">
        <v>1.733437542464344</v>
      </c>
      <c r="C107" s="83" t="s">
        <v>98</v>
      </c>
      <c r="D107" s="86"/>
      <c r="E107" s="86"/>
      <c r="F107" s="86"/>
    </row>
    <row r="108" spans="1:6" x14ac:dyDescent="0.3">
      <c r="A108" s="83">
        <v>2</v>
      </c>
      <c r="B108" s="12">
        <v>1.7263181993105263</v>
      </c>
      <c r="C108" s="83">
        <f>B107</f>
        <v>1.733437542464344</v>
      </c>
      <c r="D108" s="86"/>
      <c r="E108" s="86"/>
      <c r="F108" s="86"/>
    </row>
    <row r="109" spans="1:6" x14ac:dyDescent="0.3">
      <c r="A109" s="83">
        <v>3</v>
      </c>
      <c r="B109" s="12">
        <v>-7.7114183823141502E-2</v>
      </c>
      <c r="C109" s="83">
        <f t="shared" ref="C109:C116" si="13">B108</f>
        <v>1.7263181993105263</v>
      </c>
      <c r="D109" s="86"/>
      <c r="E109" s="86"/>
      <c r="F109" s="86"/>
    </row>
    <row r="110" spans="1:6" x14ac:dyDescent="0.3">
      <c r="A110" s="83">
        <v>4</v>
      </c>
      <c r="B110" s="12">
        <v>-0.9890251042379532</v>
      </c>
      <c r="C110" s="83">
        <f t="shared" si="13"/>
        <v>-7.7114183823141502E-2</v>
      </c>
      <c r="D110" s="86"/>
      <c r="E110" s="86"/>
      <c r="F110" s="86"/>
    </row>
    <row r="111" spans="1:6" x14ac:dyDescent="0.3">
      <c r="A111" s="83">
        <v>5</v>
      </c>
      <c r="B111" s="12">
        <v>4.9349560826813104</v>
      </c>
      <c r="C111" s="83">
        <f t="shared" si="13"/>
        <v>-0.9890251042379532</v>
      </c>
      <c r="D111" s="86"/>
      <c r="E111" s="86"/>
      <c r="F111" s="86"/>
    </row>
    <row r="112" spans="1:6" x14ac:dyDescent="0.3">
      <c r="A112" s="83">
        <v>6</v>
      </c>
      <c r="B112" s="12">
        <v>0.1987807689292822</v>
      </c>
      <c r="C112" s="83">
        <f t="shared" si="13"/>
        <v>4.9349560826813104</v>
      </c>
      <c r="D112" s="86"/>
      <c r="E112" s="86"/>
      <c r="F112" s="86"/>
    </row>
    <row r="113" spans="1:11" x14ac:dyDescent="0.3">
      <c r="A113" s="83">
        <v>7</v>
      </c>
      <c r="B113" s="12">
        <v>-0.16929837737978914</v>
      </c>
      <c r="C113" s="83">
        <f t="shared" si="13"/>
        <v>0.1987807689292822</v>
      </c>
      <c r="D113" s="86"/>
      <c r="E113" s="86"/>
      <c r="F113" s="86"/>
    </row>
    <row r="114" spans="1:11" x14ac:dyDescent="0.3">
      <c r="A114" s="83">
        <v>8</v>
      </c>
      <c r="B114" s="12">
        <v>-1.4206686230936612</v>
      </c>
      <c r="C114" s="83">
        <f t="shared" si="13"/>
        <v>-0.16929837737978914</v>
      </c>
      <c r="D114" s="86"/>
      <c r="E114" s="86"/>
      <c r="F114" s="86"/>
    </row>
    <row r="115" spans="1:11" x14ac:dyDescent="0.3">
      <c r="A115" s="83">
        <v>9</v>
      </c>
      <c r="B115" s="12">
        <v>-4.0650439173186896</v>
      </c>
      <c r="C115" s="83">
        <f t="shared" si="13"/>
        <v>-1.4206686230936612</v>
      </c>
      <c r="D115" s="86"/>
      <c r="E115" s="86"/>
      <c r="F115" s="86"/>
    </row>
    <row r="116" spans="1:11" x14ac:dyDescent="0.3">
      <c r="A116" s="83">
        <v>10</v>
      </c>
      <c r="B116" s="12">
        <v>-1.8723423876358538</v>
      </c>
      <c r="C116" s="83">
        <f t="shared" si="13"/>
        <v>-4.0650439173186896</v>
      </c>
      <c r="D116" s="86"/>
      <c r="E116" s="86"/>
      <c r="F116" s="86"/>
    </row>
    <row r="117" spans="1:11" x14ac:dyDescent="0.3">
      <c r="A117" s="162"/>
      <c r="B117" s="162"/>
      <c r="C117" s="31"/>
      <c r="D117" s="31"/>
      <c r="E117" s="31"/>
      <c r="F117" s="31"/>
    </row>
    <row r="118" spans="1:11" ht="18" x14ac:dyDescent="0.3">
      <c r="A118" s="89" t="s">
        <v>61</v>
      </c>
      <c r="B118" s="39">
        <f>CORREL(B108:B116,C108:C116)</f>
        <v>0.26071878483707506</v>
      </c>
      <c r="C118" s="31"/>
      <c r="D118" s="31"/>
      <c r="E118" s="31"/>
      <c r="F118" s="31"/>
    </row>
    <row r="120" spans="1:11" ht="15.6" x14ac:dyDescent="0.3">
      <c r="A120" s="53" t="s">
        <v>62</v>
      </c>
      <c r="B120" s="54"/>
      <c r="C120" s="54"/>
      <c r="D120" s="54"/>
      <c r="E120" s="54"/>
      <c r="F120" s="54"/>
      <c r="G120" s="54"/>
      <c r="H120" s="54"/>
      <c r="I120" s="54"/>
      <c r="J120" s="54"/>
      <c r="K120" s="79"/>
    </row>
    <row r="122" spans="1:11" ht="15.6" x14ac:dyDescent="0.3">
      <c r="A122" s="23" t="s">
        <v>49</v>
      </c>
    </row>
    <row r="138" spans="1:4" ht="15.6" x14ac:dyDescent="0.3">
      <c r="A138" s="52" t="s">
        <v>63</v>
      </c>
      <c r="B138" s="28"/>
      <c r="C138" s="28"/>
      <c r="D138" s="28"/>
    </row>
  </sheetData>
  <mergeCells count="4">
    <mergeCell ref="A1:L1"/>
    <mergeCell ref="A117:B117"/>
    <mergeCell ref="B29:I29"/>
    <mergeCell ref="M39:N3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G28" sqref="G28"/>
    </sheetView>
  </sheetViews>
  <sheetFormatPr defaultRowHeight="14.4" x14ac:dyDescent="0.3"/>
  <cols>
    <col min="1" max="1" width="24.88671875" bestFit="1" customWidth="1"/>
    <col min="2" max="2" width="16.33203125" bestFit="1" customWidth="1"/>
    <col min="3" max="3" width="21" bestFit="1" customWidth="1"/>
    <col min="4" max="4" width="22.6640625" bestFit="1" customWidth="1"/>
    <col min="5" max="5" width="12" bestFit="1" customWidth="1"/>
    <col min="6" max="6" width="20.6640625" bestFit="1" customWidth="1"/>
    <col min="7" max="7" width="12.5546875" bestFit="1" customWidth="1"/>
    <col min="8" max="8" width="13.88671875" bestFit="1" customWidth="1"/>
    <col min="9" max="9" width="14.109375" bestFit="1" customWidth="1"/>
  </cols>
  <sheetData>
    <row r="1" spans="1:9" x14ac:dyDescent="0.3">
      <c r="A1" t="s">
        <v>64</v>
      </c>
    </row>
    <row r="2" spans="1:9" ht="15" thickBot="1" x14ac:dyDescent="0.35"/>
    <row r="3" spans="1:9" x14ac:dyDescent="0.3">
      <c r="A3" s="66" t="s">
        <v>65</v>
      </c>
      <c r="B3" s="66"/>
    </row>
    <row r="4" spans="1:9" x14ac:dyDescent="0.3">
      <c r="A4" t="s">
        <v>66</v>
      </c>
      <c r="B4">
        <v>0.96230187576351989</v>
      </c>
    </row>
    <row r="5" spans="1:9" x14ac:dyDescent="0.3">
      <c r="A5" t="s">
        <v>35</v>
      </c>
      <c r="B5">
        <v>0.92602490009798888</v>
      </c>
    </row>
    <row r="6" spans="1:9" x14ac:dyDescent="0.3">
      <c r="A6" t="s">
        <v>67</v>
      </c>
      <c r="B6">
        <v>0.77807470029396641</v>
      </c>
    </row>
    <row r="7" spans="1:9" x14ac:dyDescent="0.3">
      <c r="A7" t="s">
        <v>68</v>
      </c>
      <c r="B7">
        <v>4.2205691626135309</v>
      </c>
    </row>
    <row r="8" spans="1:9" ht="15" thickBot="1" x14ac:dyDescent="0.35">
      <c r="A8" s="15" t="s">
        <v>69</v>
      </c>
      <c r="B8" s="15">
        <v>10</v>
      </c>
    </row>
    <row r="10" spans="1:9" ht="15" thickBot="1" x14ac:dyDescent="0.35">
      <c r="A10" t="s">
        <v>70</v>
      </c>
    </row>
    <row r="11" spans="1:9" x14ac:dyDescent="0.3">
      <c r="A11" s="16"/>
      <c r="B11" s="16" t="s">
        <v>71</v>
      </c>
      <c r="C11" s="16" t="s">
        <v>72</v>
      </c>
      <c r="D11" s="16" t="s">
        <v>73</v>
      </c>
      <c r="E11" s="16" t="s">
        <v>38</v>
      </c>
      <c r="F11" s="16" t="s">
        <v>39</v>
      </c>
    </row>
    <row r="12" spans="1:9" x14ac:dyDescent="0.3">
      <c r="A12" t="s">
        <v>74</v>
      </c>
      <c r="B12">
        <v>6</v>
      </c>
      <c r="C12">
        <v>668.96038783078723</v>
      </c>
      <c r="D12">
        <v>111.49339797179788</v>
      </c>
      <c r="E12">
        <v>6.2590310883298539</v>
      </c>
      <c r="F12">
        <v>8.0417520720502872E-2</v>
      </c>
    </row>
    <row r="13" spans="1:9" x14ac:dyDescent="0.3">
      <c r="A13" t="s">
        <v>75</v>
      </c>
      <c r="B13">
        <v>3</v>
      </c>
      <c r="C13">
        <v>53.43961216921285</v>
      </c>
      <c r="D13">
        <v>17.813204056404285</v>
      </c>
    </row>
    <row r="14" spans="1:9" ht="15" thickBot="1" x14ac:dyDescent="0.35">
      <c r="A14" s="15" t="s">
        <v>76</v>
      </c>
      <c r="B14" s="15">
        <v>9</v>
      </c>
      <c r="C14" s="15">
        <v>722.40000000000009</v>
      </c>
      <c r="D14" s="15"/>
      <c r="E14" s="15"/>
      <c r="F14" s="15"/>
    </row>
    <row r="15" spans="1:9" ht="15" thickBot="1" x14ac:dyDescent="0.35"/>
    <row r="16" spans="1:9" x14ac:dyDescent="0.3">
      <c r="A16" s="16"/>
      <c r="B16" s="16" t="s">
        <v>77</v>
      </c>
      <c r="C16" s="16" t="s">
        <v>68</v>
      </c>
      <c r="D16" s="16" t="s">
        <v>78</v>
      </c>
      <c r="E16" s="16" t="s">
        <v>79</v>
      </c>
      <c r="F16" s="16" t="s">
        <v>80</v>
      </c>
      <c r="G16" s="16" t="s">
        <v>81</v>
      </c>
      <c r="H16" s="16" t="s">
        <v>82</v>
      </c>
      <c r="I16" s="16" t="s">
        <v>83</v>
      </c>
    </row>
    <row r="17" spans="1:9" x14ac:dyDescent="0.3">
      <c r="A17" t="s">
        <v>84</v>
      </c>
      <c r="B17">
        <v>11050.09416008745</v>
      </c>
      <c r="C17">
        <v>21982.303317586586</v>
      </c>
      <c r="D17">
        <v>0.50268136147712061</v>
      </c>
      <c r="E17">
        <v>0.64976984936507787</v>
      </c>
      <c r="F17">
        <v>-58907.405814591795</v>
      </c>
      <c r="G17">
        <v>81007.594134766696</v>
      </c>
      <c r="H17">
        <v>-40682.254680243634</v>
      </c>
      <c r="I17">
        <v>62782.443000418534</v>
      </c>
    </row>
    <row r="18" spans="1:9" x14ac:dyDescent="0.3">
      <c r="A18" t="s">
        <v>111</v>
      </c>
      <c r="B18">
        <v>-2031.8975274155298</v>
      </c>
      <c r="C18">
        <v>4231.6399021453717</v>
      </c>
      <c r="D18">
        <v>-0.48016787212574286</v>
      </c>
      <c r="E18">
        <v>0.66394530398145579</v>
      </c>
      <c r="F18">
        <v>-15498.864299289184</v>
      </c>
      <c r="G18">
        <v>11435.069244458125</v>
      </c>
      <c r="H18">
        <v>-11990.484142372812</v>
      </c>
      <c r="I18">
        <v>7926.689087541753</v>
      </c>
    </row>
    <row r="19" spans="1:9" x14ac:dyDescent="0.3">
      <c r="A19" t="s">
        <v>23</v>
      </c>
      <c r="B19">
        <v>152.93933084672642</v>
      </c>
      <c r="C19">
        <v>331.73016666598659</v>
      </c>
      <c r="D19">
        <v>0.46103534201855811</v>
      </c>
      <c r="E19">
        <v>0.67614228938540089</v>
      </c>
      <c r="F19">
        <v>-902.77411241059156</v>
      </c>
      <c r="G19">
        <v>1208.6527741040445</v>
      </c>
      <c r="H19">
        <v>-627.74231360572105</v>
      </c>
      <c r="I19">
        <v>933.62097529917389</v>
      </c>
    </row>
    <row r="20" spans="1:9" x14ac:dyDescent="0.3">
      <c r="A20" t="s">
        <v>158</v>
      </c>
      <c r="B20">
        <v>-6.0242583315208789</v>
      </c>
      <c r="C20">
        <v>13.561044392130086</v>
      </c>
      <c r="D20">
        <v>-0.44423262378058076</v>
      </c>
      <c r="E20">
        <v>0.68696521666696242</v>
      </c>
      <c r="F20">
        <v>-49.181553953043633</v>
      </c>
      <c r="G20">
        <v>37.13303729000188</v>
      </c>
      <c r="H20">
        <v>-37.938324341684144</v>
      </c>
      <c r="I20">
        <v>25.889807678642384</v>
      </c>
    </row>
    <row r="21" spans="1:9" x14ac:dyDescent="0.3">
      <c r="A21" t="s">
        <v>163</v>
      </c>
      <c r="B21">
        <v>0.13114767676822783</v>
      </c>
      <c r="C21">
        <v>0.30515411765566591</v>
      </c>
      <c r="D21">
        <v>0.42977521580165629</v>
      </c>
      <c r="E21">
        <v>0.69635884333563969</v>
      </c>
      <c r="F21">
        <v>-0.83998891750715643</v>
      </c>
      <c r="G21">
        <v>1.102284271043612</v>
      </c>
      <c r="H21">
        <v>-0.58699086570182979</v>
      </c>
      <c r="I21">
        <v>0.8492862192382854</v>
      </c>
    </row>
    <row r="22" spans="1:9" x14ac:dyDescent="0.3">
      <c r="A22" t="s">
        <v>168</v>
      </c>
      <c r="B22">
        <v>-1.4975524653139938E-3</v>
      </c>
      <c r="C22">
        <v>3.5876075668761567E-3</v>
      </c>
      <c r="D22">
        <v>-0.41742371131688744</v>
      </c>
      <c r="E22">
        <v>0.70444252590484102</v>
      </c>
      <c r="F22">
        <v>-1.2914920911326896E-2</v>
      </c>
      <c r="G22">
        <v>9.9198159806989095E-3</v>
      </c>
      <c r="H22">
        <v>-9.9404969316186781E-3</v>
      </c>
      <c r="I22">
        <v>6.9453920009906909E-3</v>
      </c>
    </row>
    <row r="23" spans="1:9" ht="15" thickBot="1" x14ac:dyDescent="0.35">
      <c r="A23" s="15" t="s">
        <v>174</v>
      </c>
      <c r="B23" s="15">
        <v>7.0140563463330162E-6</v>
      </c>
      <c r="C23" s="15">
        <v>1.7237243405271752E-5</v>
      </c>
      <c r="D23" s="15">
        <v>0.40691287936375442</v>
      </c>
      <c r="E23" s="15">
        <v>0.71136308206916676</v>
      </c>
      <c r="F23" s="15">
        <v>-4.7842545242050057E-5</v>
      </c>
      <c r="G23" s="15">
        <v>6.1870657934716083E-5</v>
      </c>
      <c r="H23" s="15">
        <v>-3.355144200041239E-5</v>
      </c>
      <c r="I23" s="15">
        <v>4.7579554693078429E-5</v>
      </c>
    </row>
    <row r="27" spans="1:9" x14ac:dyDescent="0.3">
      <c r="A27" t="s">
        <v>85</v>
      </c>
      <c r="F27" t="s">
        <v>86</v>
      </c>
    </row>
    <row r="28" spans="1:9" ht="15" thickBot="1" x14ac:dyDescent="0.35"/>
    <row r="29" spans="1:9" x14ac:dyDescent="0.3">
      <c r="A29" s="16" t="s">
        <v>87</v>
      </c>
      <c r="B29" s="16" t="s">
        <v>51</v>
      </c>
      <c r="C29" s="16" t="s">
        <v>52</v>
      </c>
      <c r="D29" s="16" t="s">
        <v>88</v>
      </c>
      <c r="F29" s="16" t="s">
        <v>89</v>
      </c>
      <c r="G29" s="16" t="s">
        <v>21</v>
      </c>
    </row>
    <row r="30" spans="1:9" x14ac:dyDescent="0.3">
      <c r="A30">
        <v>1</v>
      </c>
      <c r="B30">
        <v>36.266562457535656</v>
      </c>
      <c r="C30">
        <v>1.733437542464344</v>
      </c>
      <c r="D30">
        <v>0.71137369857778043</v>
      </c>
      <c r="F30">
        <v>5</v>
      </c>
      <c r="G30">
        <v>24</v>
      </c>
    </row>
    <row r="31" spans="1:9" x14ac:dyDescent="0.3">
      <c r="A31">
        <v>2</v>
      </c>
      <c r="B31">
        <v>24.273681800689474</v>
      </c>
      <c r="C31">
        <v>1.7263181993105263</v>
      </c>
      <c r="D31">
        <v>0.70845203953515024</v>
      </c>
      <c r="F31">
        <v>15</v>
      </c>
      <c r="G31">
        <v>26</v>
      </c>
    </row>
    <row r="32" spans="1:9" x14ac:dyDescent="0.3">
      <c r="A32">
        <v>3</v>
      </c>
      <c r="B32">
        <v>40.077114183823142</v>
      </c>
      <c r="C32">
        <v>-7.7114183823141502E-2</v>
      </c>
      <c r="D32">
        <v>-3.1646367876103275E-2</v>
      </c>
      <c r="F32">
        <v>25</v>
      </c>
      <c r="G32">
        <v>34</v>
      </c>
    </row>
    <row r="33" spans="1:7" x14ac:dyDescent="0.3">
      <c r="A33">
        <v>4</v>
      </c>
      <c r="B33">
        <v>45.989025104237953</v>
      </c>
      <c r="C33">
        <v>-0.9890251042379532</v>
      </c>
      <c r="D33">
        <v>-0.40587931734061866</v>
      </c>
      <c r="F33">
        <v>35</v>
      </c>
      <c r="G33">
        <v>35</v>
      </c>
    </row>
    <row r="34" spans="1:7" x14ac:dyDescent="0.3">
      <c r="A34">
        <v>5</v>
      </c>
      <c r="B34">
        <v>46.06504391731869</v>
      </c>
      <c r="C34">
        <v>4.9349560826813104</v>
      </c>
      <c r="D34">
        <v>2.0252232196754387</v>
      </c>
      <c r="F34">
        <v>45</v>
      </c>
      <c r="G34">
        <v>38</v>
      </c>
    </row>
    <row r="35" spans="1:7" x14ac:dyDescent="0.3">
      <c r="A35">
        <v>6</v>
      </c>
      <c r="B35">
        <v>48.801219231070718</v>
      </c>
      <c r="C35">
        <v>0.1987807689292822</v>
      </c>
      <c r="D35">
        <v>8.1576294118060111E-2</v>
      </c>
      <c r="F35">
        <v>55</v>
      </c>
      <c r="G35">
        <v>40</v>
      </c>
    </row>
    <row r="36" spans="1:7" x14ac:dyDescent="0.3">
      <c r="A36">
        <v>7</v>
      </c>
      <c r="B36">
        <v>34.169298377379789</v>
      </c>
      <c r="C36">
        <v>-0.16929837737978914</v>
      </c>
      <c r="D36">
        <v>-6.9477215030581199E-2</v>
      </c>
      <c r="F36">
        <v>65</v>
      </c>
      <c r="G36">
        <v>42</v>
      </c>
    </row>
    <row r="37" spans="1:7" x14ac:dyDescent="0.3">
      <c r="A37">
        <v>8</v>
      </c>
      <c r="B37">
        <v>36.420668623093661</v>
      </c>
      <c r="C37">
        <v>-1.4206686230936612</v>
      </c>
      <c r="D37">
        <v>-0.58301857904080134</v>
      </c>
      <c r="F37">
        <v>75</v>
      </c>
      <c r="G37">
        <v>45</v>
      </c>
    </row>
    <row r="38" spans="1:7" x14ac:dyDescent="0.3">
      <c r="A38">
        <v>9</v>
      </c>
      <c r="B38">
        <v>46.06504391731869</v>
      </c>
      <c r="C38">
        <v>-4.0650439173186896</v>
      </c>
      <c r="D38">
        <v>-1.6682258549869775</v>
      </c>
      <c r="F38">
        <v>85</v>
      </c>
      <c r="G38">
        <v>49</v>
      </c>
    </row>
    <row r="39" spans="1:7" ht="15" thickBot="1" x14ac:dyDescent="0.35">
      <c r="A39" s="15">
        <v>10</v>
      </c>
      <c r="B39" s="15">
        <v>25.872342387635854</v>
      </c>
      <c r="C39" s="15">
        <v>-1.8723423876358538</v>
      </c>
      <c r="D39" s="15">
        <v>-0.76837791767387376</v>
      </c>
      <c r="F39" s="15">
        <v>95</v>
      </c>
      <c r="G39" s="15">
        <v>51</v>
      </c>
    </row>
  </sheetData>
  <sortState ref="G30:G39">
    <sortCondition ref="G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ОБЩЕЕ ЗАДАНИЕ</vt:lpstr>
      <vt:lpstr>Линейное уравнение</vt:lpstr>
      <vt:lpstr>АД_РЕГРЕССИЯ_ЛИНЕЙНАЯ</vt:lpstr>
      <vt:lpstr>Полулогарифмическое уравнение</vt:lpstr>
      <vt:lpstr>АД_РЕГРЕССИЯ_ПОЛУЛОГАРИФМИЧ</vt:lpstr>
      <vt:lpstr>Степенное уравнение</vt:lpstr>
      <vt:lpstr>АД_РЕГРЕССИЯ_СТЕПЕНН</vt:lpstr>
      <vt:lpstr>Экспоненциальное уравнение</vt:lpstr>
      <vt:lpstr>АД_РЕГРЕССИЯ_ЭКСПОНЕНЦ</vt:lpstr>
      <vt:lpstr>Полином 2 степени</vt:lpstr>
      <vt:lpstr>АД_РЕГРЕССИЯ_Полином2</vt:lpstr>
      <vt:lpstr>Полином 3 степени</vt:lpstr>
      <vt:lpstr>АД_РЕГРЕССИЯ_Полином3</vt:lpstr>
      <vt:lpstr>Полином 4 степени</vt:lpstr>
      <vt:lpstr>АД_РЕГРЕССИЯ_Полином4</vt:lpstr>
      <vt:lpstr>Полином 5 степени</vt:lpstr>
      <vt:lpstr>АД_РЕГРЕССИЯ_Полином5</vt:lpstr>
      <vt:lpstr>Полином 6 степени</vt:lpstr>
      <vt:lpstr>АД_РЕГРЕССИЯ_Полином6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Натали</dc:creator>
  <cp:keywords/>
  <dc:description/>
  <cp:lastModifiedBy>Натали</cp:lastModifiedBy>
  <cp:revision/>
  <dcterms:created xsi:type="dcterms:W3CDTF">2023-11-02T15:16:10Z</dcterms:created>
  <dcterms:modified xsi:type="dcterms:W3CDTF">2023-11-23T20:50:36Z</dcterms:modified>
  <cp:category/>
  <cp:contentStatus/>
</cp:coreProperties>
</file>