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038ED1B9-6FEB-4E14-9962-2C4C8D5EE9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2" i="1" l="1"/>
  <c r="C111" i="1"/>
  <c r="F43" i="1"/>
  <c r="B96" i="1" a="1"/>
  <c r="B96" i="1"/>
  <c r="C18" i="1"/>
  <c r="C52" i="1"/>
  <c r="B52" i="1"/>
  <c r="B56" i="1"/>
  <c r="B54" i="1"/>
  <c r="D40" i="1"/>
  <c r="D41" i="1"/>
  <c r="D42" i="1"/>
  <c r="D43" i="1"/>
  <c r="D44" i="1"/>
  <c r="D45" i="1"/>
  <c r="D46" i="1"/>
  <c r="D47" i="1"/>
  <c r="D48" i="1"/>
  <c r="C50" i="1"/>
  <c r="B50" i="1"/>
  <c r="C49" i="1"/>
  <c r="B49" i="1"/>
  <c r="F40" i="1"/>
  <c r="F41" i="1"/>
  <c r="F42" i="1"/>
  <c r="F44" i="1"/>
  <c r="F45" i="1"/>
  <c r="F46" i="1"/>
  <c r="F47" i="1"/>
  <c r="F48" i="1"/>
  <c r="F39" i="1"/>
  <c r="E40" i="1"/>
  <c r="E41" i="1"/>
  <c r="E42" i="1"/>
  <c r="E43" i="1"/>
  <c r="E44" i="1"/>
  <c r="E45" i="1"/>
  <c r="E46" i="1"/>
  <c r="E47" i="1"/>
  <c r="E48" i="1"/>
  <c r="E39" i="1"/>
  <c r="D39" i="1"/>
  <c r="B59" i="1" l="1"/>
  <c r="D50" i="1"/>
  <c r="B55" i="1" s="1"/>
  <c r="D49" i="1"/>
  <c r="E50" i="1"/>
  <c r="B53" i="1" s="1"/>
  <c r="B51" i="1" s="1"/>
  <c r="E49" i="1"/>
  <c r="F49" i="1"/>
  <c r="F50" i="1"/>
  <c r="C53" i="1" s="1"/>
  <c r="C51" i="1" s="1"/>
  <c r="B63" i="1"/>
  <c r="B62" i="1" l="1"/>
  <c r="B58" i="1"/>
  <c r="B57" i="1"/>
  <c r="B88" i="1" s="1"/>
  <c r="B106" i="1" s="1"/>
  <c r="B110" i="1" s="1"/>
  <c r="G40" i="1"/>
  <c r="K40" i="1" s="1"/>
  <c r="G41" i="1"/>
  <c r="K41" i="1" s="1"/>
  <c r="G42" i="1"/>
  <c r="K42" i="1" s="1"/>
  <c r="G43" i="1"/>
  <c r="K43" i="1" s="1"/>
  <c r="G44" i="1"/>
  <c r="K44" i="1" s="1"/>
  <c r="G45" i="1"/>
  <c r="K45" i="1" s="1"/>
  <c r="G46" i="1"/>
  <c r="K46" i="1" s="1"/>
  <c r="G47" i="1"/>
  <c r="K47" i="1" s="1"/>
  <c r="G48" i="1"/>
  <c r="K48" i="1" s="1"/>
  <c r="G39" i="1"/>
  <c r="J39" i="1" l="1"/>
  <c r="K39" i="1"/>
  <c r="K49" i="1" s="1"/>
  <c r="B120" i="1" s="1"/>
  <c r="H48" i="1"/>
  <c r="I48" i="1" s="1"/>
  <c r="J48" i="1"/>
  <c r="H47" i="1"/>
  <c r="I47" i="1" s="1"/>
  <c r="J47" i="1"/>
  <c r="H46" i="1"/>
  <c r="I46" i="1" s="1"/>
  <c r="J46" i="1"/>
  <c r="H45" i="1"/>
  <c r="I45" i="1" s="1"/>
  <c r="J45" i="1"/>
  <c r="H44" i="1"/>
  <c r="I44" i="1" s="1"/>
  <c r="J44" i="1"/>
  <c r="H43" i="1"/>
  <c r="I43" i="1" s="1"/>
  <c r="J43" i="1"/>
  <c r="H42" i="1"/>
  <c r="I42" i="1" s="1"/>
  <c r="J42" i="1"/>
  <c r="H41" i="1"/>
  <c r="I41" i="1" s="1"/>
  <c r="J41" i="1"/>
  <c r="H40" i="1"/>
  <c r="I40" i="1" s="1"/>
  <c r="J40" i="1"/>
  <c r="H39" i="1"/>
  <c r="G50" i="1"/>
  <c r="G49" i="1"/>
  <c r="J50" i="1" l="1"/>
  <c r="B126" i="1" s="1"/>
  <c r="J49" i="1"/>
  <c r="H50" i="1"/>
  <c r="H49" i="1"/>
  <c r="I39" i="1"/>
  <c r="I50" i="1" l="1"/>
  <c r="I49" i="1"/>
  <c r="B121" i="1" s="1"/>
  <c r="B119" i="1" s="1"/>
  <c r="B87" i="1" l="1"/>
  <c r="B90" i="1"/>
  <c r="B89" i="1" s="1"/>
  <c r="B118" i="1" s="1"/>
  <c r="B61" i="1"/>
  <c r="B60" i="1" s="1"/>
  <c r="B105" i="1" l="1"/>
  <c r="B109" i="1" s="1"/>
  <c r="B104" i="1"/>
  <c r="B10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<sst xmlns="http://schemas.openxmlformats.org/spreadsheetml/2006/main" count="57" uniqueCount="57">
  <si>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Л.Р №1, Атанова Натали, 221-363, дата выполнения: 15.09.2023, дата проверки: 22.09.2023</t>
  </si>
  <si>
    <t>Вариант 35</t>
  </si>
  <si>
    <t>Задание: По предприятиям легкой промышленности региона получена информация, характеризующая зависимость объема выпуска продукции от объема капиталовложений</t>
  </si>
  <si>
    <t>x (объем капиталовложений (Х, млн. руб.)</t>
  </si>
  <si>
    <t>y (объем выпуска продукции (У, млн. руб.)</t>
  </si>
  <si>
    <t>1.1. Рассчитать коэф. корреляции</t>
  </si>
  <si>
    <r>
      <rPr>
        <b/>
        <sz val="11"/>
        <color rgb="FF000000"/>
        <rFont val="Calibri"/>
      </rPr>
      <t>r</t>
    </r>
    <r>
      <rPr>
        <b/>
        <sz val="9"/>
        <color rgb="FF000000"/>
        <rFont val="Calibri"/>
      </rPr>
      <t>xy</t>
    </r>
    <r>
      <rPr>
        <b/>
        <sz val="11"/>
        <color rgb="FF000000"/>
        <rFont val="Calibri"/>
      </rPr>
      <t xml:space="preserve"> </t>
    </r>
  </si>
  <si>
    <t>вывод: связь между признаками сильная, прямая</t>
  </si>
  <si>
    <t>1.2. Поле корреляции</t>
  </si>
  <si>
    <t>2. Признак-фактор - это объем капиталовложений, а признак-результат - это объем выпуска продукции</t>
  </si>
  <si>
    <t>3. МНК</t>
  </si>
  <si>
    <t>x(объем капиталовлож. (Х,млн.руб.)</t>
  </si>
  <si>
    <t>y(объем выпуска продукции (У, млн. руб.)</t>
  </si>
  <si>
    <t>x*y</t>
  </si>
  <si>
    <t>x²</t>
  </si>
  <si>
    <t>y²</t>
  </si>
  <si>
    <t>ŷₓ = a + b*x</t>
  </si>
  <si>
    <t>ε=y-ŷₓ</t>
  </si>
  <si>
    <t>εₓ²=(y-ŷₓ)²</t>
  </si>
  <si>
    <r>
      <rPr>
        <b/>
        <sz val="12"/>
        <color rgb="FF000000"/>
        <rFont val="Calibri"/>
      </rPr>
      <t>A</t>
    </r>
    <r>
      <rPr>
        <b/>
        <sz val="10"/>
        <color rgb="FF000000"/>
        <rFont val="Calibri"/>
      </rPr>
      <t>i</t>
    </r>
    <r>
      <rPr>
        <b/>
        <sz val="12"/>
        <color rgb="FF000000"/>
        <rFont val="Calibri"/>
      </rPr>
      <t>=ABS((y-ŷₓ)/y)*100 (%)</t>
    </r>
  </si>
  <si>
    <t>(ŷₓ - ȳ)²</t>
  </si>
  <si>
    <t>СУММ</t>
  </si>
  <si>
    <t>s² факторная</t>
  </si>
  <si>
    <t>СРЗНАЧ</t>
  </si>
  <si>
    <t>σ</t>
  </si>
  <si>
    <t>σ² (встроенная ф-ия)</t>
  </si>
  <si>
    <t>cov(x,y) (встроенная ф-ия)</t>
  </si>
  <si>
    <r>
      <rPr>
        <sz val="12"/>
        <color rgb="FF000000"/>
        <rFont val="Calibri"/>
      </rPr>
      <t>r</t>
    </r>
    <r>
      <rPr>
        <sz val="9"/>
        <color rgb="FF000000"/>
        <rFont val="Calibri"/>
      </rPr>
      <t xml:space="preserve"> </t>
    </r>
    <r>
      <rPr>
        <sz val="8"/>
        <color rgb="FF000000"/>
        <rFont val="Calibri"/>
      </rPr>
      <t>xy</t>
    </r>
    <r>
      <rPr>
        <sz val="12"/>
        <color rgb="FF000000"/>
        <rFont val="Calibri"/>
      </rPr>
      <t xml:space="preserve"> (встроенная ф-ия)</t>
    </r>
  </si>
  <si>
    <r>
      <rPr>
        <sz val="11"/>
        <color rgb="FF000000"/>
        <rFont val="Calibri"/>
      </rPr>
      <t xml:space="preserve">  r²</t>
    </r>
    <r>
      <rPr>
        <sz val="7"/>
        <color rgb="FF000000"/>
        <rFont val="Calibri"/>
      </rPr>
      <t>xy</t>
    </r>
  </si>
  <si>
    <t>a = ȳ - b x̅</t>
  </si>
  <si>
    <r>
      <rPr>
        <b/>
        <sz val="11"/>
        <color rgb="FF000000"/>
        <rFont val="Calibri"/>
      </rPr>
      <t>Экономическая интерпретация коэффициентов</t>
    </r>
    <r>
      <rPr>
        <sz val="11"/>
        <color rgb="FF000000"/>
        <rFont val="Calibri"/>
      </rPr>
      <t>: при увеличении объема капиталовложений на 1 млн рублей, объем выпуска продукции увеличится на 1,381 млн рублей. При нулевом капиталовложении, объем выпуска продукции составит 5,431 млн рублей</t>
    </r>
  </si>
  <si>
    <t>4. Построить новое поле корреляции и нанести на него линию регрессии, используя рассчитанные значения Ŷ.</t>
  </si>
  <si>
    <t>5. Определить стандартную ошибку регрессии и коэффициент детерминации. Сделать вывод, какая доля вариации результирующего показателя У объясняется с помощью уравнения регрессии</t>
  </si>
  <si>
    <t xml:space="preserve"> s =</t>
  </si>
  <si>
    <r>
      <rPr>
        <sz val="11"/>
        <color rgb="FF000000"/>
        <rFont val="Calibri"/>
      </rPr>
      <t xml:space="preserve">  r²</t>
    </r>
    <r>
      <rPr>
        <sz val="8"/>
        <color rgb="FF000000"/>
        <rFont val="Calibri"/>
      </rPr>
      <t>xy</t>
    </r>
  </si>
  <si>
    <r>
      <rPr>
        <b/>
        <sz val="11"/>
        <color rgb="FF000000"/>
        <rFont val="Calibri"/>
        <scheme val="minor"/>
      </rPr>
      <t>вывод</t>
    </r>
    <r>
      <rPr>
        <sz val="11"/>
        <color rgb="FF000000"/>
        <rFont val="Calibri"/>
        <scheme val="minor"/>
      </rPr>
      <t>: коэф. детерминации показывает, что уравнением регрессии объясняется 99,3% дисперсии результативного признака, а на долю прочих факторов приходится лишь 0,7%.</t>
    </r>
  </si>
  <si>
    <t>6. Проверка расчетов с помощью функции ЛИНЕЙН</t>
  </si>
  <si>
    <t>b</t>
  </si>
  <si>
    <t>a</t>
  </si>
  <si>
    <r>
      <rPr>
        <sz val="11"/>
        <color rgb="FF000000"/>
        <rFont val="Calibri"/>
        <scheme val="minor"/>
      </rPr>
      <t>m</t>
    </r>
    <r>
      <rPr>
        <sz val="8"/>
        <color rgb="FF000000"/>
        <rFont val="Calibri"/>
        <scheme val="minor"/>
      </rPr>
      <t>b</t>
    </r>
  </si>
  <si>
    <r>
      <rPr>
        <sz val="11"/>
        <color rgb="FF000000"/>
        <rFont val="Calibri"/>
        <scheme val="minor"/>
      </rPr>
      <t>m</t>
    </r>
    <r>
      <rPr>
        <sz val="8"/>
        <color rgb="FF000000"/>
        <rFont val="Calibri"/>
        <scheme val="minor"/>
      </rPr>
      <t>a</t>
    </r>
  </si>
  <si>
    <r>
      <rPr>
        <sz val="11"/>
        <color rgb="FF000000"/>
        <rFont val="Calibri"/>
        <scheme val="minor"/>
      </rPr>
      <t xml:space="preserve">r ² </t>
    </r>
    <r>
      <rPr>
        <sz val="8"/>
        <color rgb="FF000000"/>
        <rFont val="Calibri"/>
        <scheme val="minor"/>
      </rPr>
      <t>xy</t>
    </r>
  </si>
  <si>
    <t>s</t>
  </si>
  <si>
    <r>
      <rPr>
        <sz val="11"/>
        <color rgb="FF000000"/>
        <rFont val="Calibri"/>
        <scheme val="minor"/>
      </rPr>
      <t xml:space="preserve">F </t>
    </r>
    <r>
      <rPr>
        <sz val="8"/>
        <color rgb="FF000000"/>
        <rFont val="Calibri"/>
        <scheme val="minor"/>
      </rPr>
      <t>факт</t>
    </r>
  </si>
  <si>
    <t>n-m-1</t>
  </si>
  <si>
    <t xml:space="preserve"> фактор. сум. квадратов отклонений</t>
  </si>
  <si>
    <t>ост. сумма кв. откл.</t>
  </si>
  <si>
    <t>7.  Осуществить проверку значимости параметров уравнения регрессии с помощью t-критерия Стьюдента (α = 0,05).</t>
  </si>
  <si>
    <t xml:space="preserve"> </t>
  </si>
  <si>
    <r>
      <rPr>
        <sz val="11"/>
        <color rgb="FF000000"/>
        <rFont val="Calibri"/>
      </rPr>
      <t xml:space="preserve">t </t>
    </r>
    <r>
      <rPr>
        <sz val="9"/>
        <color rgb="FF000000"/>
        <rFont val="Calibri"/>
      </rPr>
      <t>табл</t>
    </r>
    <r>
      <rPr>
        <sz val="11"/>
        <color rgb="FF000000"/>
        <rFont val="Calibri"/>
      </rPr>
      <t xml:space="preserve">  (при α = 0,05 и n-m-1=8 степенях свободы)</t>
    </r>
  </si>
  <si>
    <t xml:space="preserve">	2,306</t>
  </si>
  <si>
    <r>
      <rPr>
        <b/>
        <sz val="11"/>
        <color rgb="FF000000"/>
        <rFont val="Calibri"/>
      </rPr>
      <t>вывод</t>
    </r>
    <r>
      <rPr>
        <sz val="11"/>
        <color rgb="FF000000"/>
        <rFont val="Calibri"/>
      </rPr>
      <t xml:space="preserve">: t </t>
    </r>
    <r>
      <rPr>
        <sz val="9"/>
        <color rgb="FF000000"/>
        <rFont val="Calibri"/>
      </rPr>
      <t>a</t>
    </r>
    <r>
      <rPr>
        <sz val="11"/>
        <color rgb="FF000000"/>
        <rFont val="Calibri"/>
      </rPr>
      <t xml:space="preserve"> &gt; t </t>
    </r>
    <r>
      <rPr>
        <sz val="9"/>
        <color rgb="FF000000"/>
        <rFont val="Calibri"/>
      </rPr>
      <t>табл</t>
    </r>
    <r>
      <rPr>
        <sz val="11"/>
        <color rgb="FF000000"/>
        <rFont val="Calibri"/>
      </rPr>
      <t xml:space="preserve">,  t </t>
    </r>
    <r>
      <rPr>
        <sz val="9"/>
        <color rgb="FF000000"/>
        <rFont val="Calibri"/>
      </rPr>
      <t>b</t>
    </r>
    <r>
      <rPr>
        <sz val="11"/>
        <color rgb="FF000000"/>
        <rFont val="Calibri"/>
      </rPr>
      <t xml:space="preserve"> &gt; t</t>
    </r>
    <r>
      <rPr>
        <sz val="9"/>
        <color rgb="FF000000"/>
        <rFont val="Calibri"/>
      </rPr>
      <t xml:space="preserve"> табл</t>
    </r>
    <r>
      <rPr>
        <sz val="11"/>
        <color rgb="FF000000"/>
        <rFont val="Calibri"/>
      </rPr>
      <t xml:space="preserve">, t </t>
    </r>
    <r>
      <rPr>
        <sz val="9"/>
        <color rgb="FF000000"/>
        <rFont val="Calibri"/>
      </rPr>
      <t>r</t>
    </r>
    <r>
      <rPr>
        <sz val="11"/>
        <color rgb="FF000000"/>
        <rFont val="Calibri"/>
      </rPr>
      <t xml:space="preserve"> &gt; t </t>
    </r>
    <r>
      <rPr>
        <sz val="9"/>
        <color rgb="FF000000"/>
        <rFont val="Calibri"/>
      </rPr>
      <t>табл</t>
    </r>
    <r>
      <rPr>
        <sz val="11"/>
        <color rgb="FF000000"/>
        <rFont val="Calibri"/>
      </rPr>
      <t>, следовательно параметры а и b, и коэф. корреляции r статистически значимы</t>
    </r>
  </si>
  <si>
    <t>8. Вычислить коэффициент детерминации, проверить значимость уравнения регрессии с помощью F - критерия Фишера (а = 0,05),  найти среднюю ошибку аппроксимации. Сделать вывод о качестве модели.</t>
  </si>
  <si>
    <r>
      <rPr>
        <sz val="11"/>
        <color rgb="FF000000"/>
        <rFont val="Calibri"/>
        <scheme val="minor"/>
      </rPr>
      <t xml:space="preserve">F </t>
    </r>
    <r>
      <rPr>
        <sz val="9"/>
        <color rgb="FF000000"/>
        <rFont val="Calibri"/>
        <scheme val="minor"/>
      </rPr>
      <t>табл</t>
    </r>
    <r>
      <rPr>
        <sz val="11"/>
        <color rgb="FF000000"/>
        <rFont val="Calibri"/>
        <scheme val="minor"/>
      </rPr>
      <t xml:space="preserve"> (при α = 0,05)</t>
    </r>
  </si>
  <si>
    <r>
      <rPr>
        <b/>
        <sz val="11"/>
        <color rgb="FF000000"/>
        <rFont val="Calibri"/>
      </rPr>
      <t>вывод:</t>
    </r>
    <r>
      <rPr>
        <sz val="11"/>
        <color rgb="FF000000"/>
        <rFont val="Calibri"/>
      </rPr>
      <t xml:space="preserve"> F </t>
    </r>
    <r>
      <rPr>
        <sz val="9"/>
        <color rgb="FF000000"/>
        <rFont val="Calibri"/>
      </rPr>
      <t>факт</t>
    </r>
    <r>
      <rPr>
        <sz val="11"/>
        <color rgb="FF000000"/>
        <rFont val="Calibri"/>
      </rPr>
      <t xml:space="preserve"> &gt; F</t>
    </r>
    <r>
      <rPr>
        <sz val="9"/>
        <color rgb="FF000000"/>
        <rFont val="Calibri"/>
      </rPr>
      <t xml:space="preserve"> табл, </t>
    </r>
    <r>
      <rPr>
        <sz val="11"/>
        <color rgb="FF000000"/>
        <rFont val="Calibri"/>
      </rPr>
      <t>следовательно ур-ие регрессии в целом статистически значимо</t>
    </r>
  </si>
  <si>
    <t>Ā (ср. ошибка аппроксимации)</t>
  </si>
  <si>
    <r>
      <rPr>
        <b/>
        <sz val="11"/>
        <color rgb="FF000000"/>
        <rFont val="Calibri"/>
        <scheme val="minor"/>
      </rPr>
      <t xml:space="preserve">вывод: </t>
    </r>
    <r>
      <rPr>
        <sz val="11"/>
        <color rgb="FF000000"/>
        <rFont val="Calibri"/>
        <scheme val="minor"/>
      </rPr>
      <t>Ā &lt; 8-10%, следовательно качество модели - высокое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</si>
</sst>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7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</font>
    <font>
      <sz val="12"/>
      <color rgb="FF000000"/>
      <name val="Calibri"/>
    </font>
    <font>
      <b/>
      <sz val="12"/>
      <color rgb="FF000000"/>
      <name val="Calibri"/>
      <scheme val="minor"/>
    </font>
    <font>
      <b/>
      <sz val="12"/>
      <color rgb="FF000000"/>
      <name val="Calibri"/>
      <family val="2"/>
      <charset val="204"/>
    </font>
    <font>
      <sz val="11"/>
      <color rgb="FF000000"/>
      <name val="Calibri"/>
      <scheme val="minor"/>
    </font>
    <font>
      <sz val="8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</font>
    <font>
      <b/>
      <sz val="9"/>
      <color rgb="FF000000"/>
      <name val="Calibri"/>
    </font>
    <font>
      <b/>
      <sz val="11"/>
      <color rgb="FFFF0000"/>
      <name val="Calibri"/>
      <family val="2"/>
      <scheme val="minor"/>
    </font>
    <font>
      <sz val="9"/>
      <color rgb="FF000000"/>
      <name val="Calibri"/>
      <scheme val="minor"/>
    </font>
    <font>
      <sz val="9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0" fillId="0" borderId="3" xfId="0" applyBorder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12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right"/>
    </xf>
    <xf numFmtId="0" fontId="13" fillId="0" borderId="3" xfId="0" applyFont="1" applyBorder="1" applyAlignment="1">
      <alignment horizontal="right"/>
    </xf>
    <xf numFmtId="0" fontId="13" fillId="0" borderId="3" xfId="0" applyFont="1" applyBorder="1" applyAlignment="1">
      <alignment horizontal="right" vertical="center"/>
    </xf>
    <xf numFmtId="0" fontId="13" fillId="0" borderId="3" xfId="0" applyFont="1" applyBorder="1"/>
    <xf numFmtId="0" fontId="15" fillId="0" borderId="3" xfId="0" applyFont="1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5" xfId="0" applyBorder="1"/>
    <xf numFmtId="0" fontId="2" fillId="2" borderId="1" xfId="0" applyFont="1" applyFill="1" applyBorder="1" applyAlignment="1">
      <alignment vertical="center"/>
    </xf>
    <xf numFmtId="0" fontId="1" fillId="5" borderId="0" xfId="0" applyFont="1" applyFill="1"/>
    <xf numFmtId="0" fontId="0" fillId="3" borderId="0" xfId="0" applyFill="1"/>
    <xf numFmtId="0" fontId="2" fillId="2" borderId="1" xfId="0" applyFont="1" applyFill="1" applyBorder="1"/>
    <xf numFmtId="0" fontId="2" fillId="3" borderId="1" xfId="0" applyFont="1" applyFill="1" applyBorder="1"/>
    <xf numFmtId="1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1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0" xfId="0" applyFont="1" applyFill="1" applyAlignment="1">
      <alignment horizontal="left"/>
    </xf>
    <xf numFmtId="0" fontId="18" fillId="5" borderId="0" xfId="0" applyFont="1" applyFill="1" applyAlignment="1">
      <alignment horizontal="left"/>
    </xf>
    <xf numFmtId="0" fontId="6" fillId="3" borderId="0" xfId="0" applyFont="1" applyFill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0" xfId="0" applyBorder="1"/>
    <xf numFmtId="0" fontId="0" fillId="7" borderId="11" xfId="0" applyFill="1" applyBorder="1"/>
    <xf numFmtId="0" fontId="0" fillId="0" borderId="12" xfId="0" applyBorder="1"/>
    <xf numFmtId="0" fontId="0" fillId="0" borderId="13" xfId="0" applyBorder="1"/>
    <xf numFmtId="0" fontId="8" fillId="4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/>
    </xf>
    <xf numFmtId="0" fontId="22" fillId="3" borderId="1" xfId="0" applyFont="1" applyFill="1" applyBorder="1"/>
    <xf numFmtId="0" fontId="2" fillId="0" borderId="14" xfId="0" applyFont="1" applyBorder="1"/>
    <xf numFmtId="0" fontId="8" fillId="0" borderId="6" xfId="0" applyFont="1" applyBorder="1"/>
    <xf numFmtId="0" fontId="5" fillId="0" borderId="1" xfId="0" applyFont="1" applyBorder="1" applyAlignment="1">
      <alignment vertical="center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1" fillId="5" borderId="0" xfId="0" applyFont="1" applyFill="1" applyAlignment="1">
      <alignment horizontal="left"/>
    </xf>
    <xf numFmtId="0" fontId="1" fillId="5" borderId="0" xfId="0" applyFont="1" applyFill="1" applyAlignment="1">
      <alignment wrapText="1"/>
    </xf>
    <xf numFmtId="0" fontId="1" fillId="5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7" borderId="15" xfId="0" applyFill="1" applyBorder="1"/>
    <xf numFmtId="0" fontId="6" fillId="0" borderId="16" xfId="0" applyFont="1" applyBorder="1" applyAlignment="1">
      <alignment horizontal="center" vertical="center" wrapText="1"/>
    </xf>
    <xf numFmtId="0" fontId="0" fillId="7" borderId="17" xfId="0" applyFill="1" applyBorder="1"/>
    <xf numFmtId="0" fontId="0" fillId="0" borderId="18" xfId="0" applyBorder="1"/>
    <xf numFmtId="0" fontId="6" fillId="0" borderId="3" xfId="0" applyFont="1" applyBorder="1" applyAlignment="1">
      <alignment horizontal="center" vertical="center" wrapText="1"/>
    </xf>
    <xf numFmtId="0" fontId="13" fillId="6" borderId="0" xfId="0" applyFont="1" applyFill="1" applyAlignment="1">
      <alignment horizontal="center"/>
    </xf>
    <xf numFmtId="0" fontId="5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Поле корреляции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Лист1!$B$7:$B$16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Лист1!$C$7:$C$16</c:f>
              <c:numCache>
                <c:formatCode>General</c:formatCode>
                <c:ptCount val="10"/>
                <c:pt idx="0">
                  <c:v>43</c:v>
                </c:pt>
                <c:pt idx="1">
                  <c:v>28</c:v>
                </c:pt>
                <c:pt idx="2">
                  <c:v>51</c:v>
                </c:pt>
                <c:pt idx="3">
                  <c:v>62</c:v>
                </c:pt>
                <c:pt idx="4">
                  <c:v>63</c:v>
                </c:pt>
                <c:pt idx="5">
                  <c:v>67</c:v>
                </c:pt>
                <c:pt idx="6">
                  <c:v>26</c:v>
                </c:pt>
                <c:pt idx="7">
                  <c:v>43</c:v>
                </c:pt>
                <c:pt idx="8">
                  <c:v>61</c:v>
                </c:pt>
                <c:pt idx="9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84-43A0-BE65-89A31715F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691592"/>
        <c:axId val="1754697736"/>
      </c:scatterChart>
      <c:valAx>
        <c:axId val="175469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697736"/>
        <c:crosses val="autoZero"/>
        <c:crossBetween val="midCat"/>
      </c:valAx>
      <c:valAx>
        <c:axId val="175469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691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Линия регрессии на поле корреляции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17411015322688"/>
                  <c:y val="-0.108808326042578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Лист1!$B$39:$B$48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Лист1!$C$39:$C$48</c:f>
              <c:numCache>
                <c:formatCode>General</c:formatCode>
                <c:ptCount val="10"/>
                <c:pt idx="0">
                  <c:v>43</c:v>
                </c:pt>
                <c:pt idx="1">
                  <c:v>28</c:v>
                </c:pt>
                <c:pt idx="2">
                  <c:v>51</c:v>
                </c:pt>
                <c:pt idx="3">
                  <c:v>62</c:v>
                </c:pt>
                <c:pt idx="4">
                  <c:v>63</c:v>
                </c:pt>
                <c:pt idx="5">
                  <c:v>67</c:v>
                </c:pt>
                <c:pt idx="6">
                  <c:v>26</c:v>
                </c:pt>
                <c:pt idx="7">
                  <c:v>43</c:v>
                </c:pt>
                <c:pt idx="8">
                  <c:v>61</c:v>
                </c:pt>
                <c:pt idx="9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4B-4B87-9671-45CE3B896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154056"/>
        <c:axId val="1833156104"/>
      </c:scatterChart>
      <c:valAx>
        <c:axId val="1833154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56104"/>
        <c:crosses val="autoZero"/>
        <c:crossBetween val="midCat"/>
      </c:valAx>
      <c:valAx>
        <c:axId val="183315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54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Теоретические значения на линии регрессии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фактич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2996786616627"/>
                  <c:y val="-0.104178696412948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Лист1!$B$39:$B$48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Лист1!$C$39:$C$48</c:f>
              <c:numCache>
                <c:formatCode>General</c:formatCode>
                <c:ptCount val="10"/>
                <c:pt idx="0">
                  <c:v>43</c:v>
                </c:pt>
                <c:pt idx="1">
                  <c:v>28</c:v>
                </c:pt>
                <c:pt idx="2">
                  <c:v>51</c:v>
                </c:pt>
                <c:pt idx="3">
                  <c:v>62</c:v>
                </c:pt>
                <c:pt idx="4">
                  <c:v>63</c:v>
                </c:pt>
                <c:pt idx="5">
                  <c:v>67</c:v>
                </c:pt>
                <c:pt idx="6">
                  <c:v>26</c:v>
                </c:pt>
                <c:pt idx="7">
                  <c:v>43</c:v>
                </c:pt>
                <c:pt idx="8">
                  <c:v>61</c:v>
                </c:pt>
                <c:pt idx="9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595-4B51-BA7E-716F0359FC43}"/>
            </c:ext>
          </c:extLst>
        </c:ser>
        <c:ser>
          <c:idx val="1"/>
          <c:order val="1"/>
          <c:tx>
            <c:v>теоретич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Лист1!$B$39:$B$48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Лист1!$G$39:$G$48</c:f>
              <c:numCache>
                <c:formatCode>General</c:formatCode>
                <c:ptCount val="10"/>
                <c:pt idx="0">
                  <c:v>41.345791001451367</c:v>
                </c:pt>
                <c:pt idx="1">
                  <c:v>30.294992743105919</c:v>
                </c:pt>
                <c:pt idx="2">
                  <c:v>51.015239477503634</c:v>
                </c:pt>
                <c:pt idx="3">
                  <c:v>63.447387518142271</c:v>
                </c:pt>
                <c:pt idx="4">
                  <c:v>62.066037735849086</c:v>
                </c:pt>
                <c:pt idx="5">
                  <c:v>66.210087082728634</c:v>
                </c:pt>
                <c:pt idx="6">
                  <c:v>26.150943396226374</c:v>
                </c:pt>
                <c:pt idx="7">
                  <c:v>42.727140783744552</c:v>
                </c:pt>
                <c:pt idx="8">
                  <c:v>62.066037735849086</c:v>
                </c:pt>
                <c:pt idx="9">
                  <c:v>31.6763425253991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595-4B51-BA7E-716F0359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154056"/>
        <c:axId val="1833156104"/>
      </c:scatterChart>
      <c:valAx>
        <c:axId val="1833154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56104"/>
        <c:crosses val="autoZero"/>
        <c:crossBetween val="midCat"/>
      </c:valAx>
      <c:valAx>
        <c:axId val="183315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54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png"/><Relationship Id="rId18" Type="http://schemas.openxmlformats.org/officeDocument/2006/relationships/image" Target="../media/image15.png"/><Relationship Id="rId26" Type="http://schemas.openxmlformats.org/officeDocument/2006/relationships/image" Target="../media/image23.png"/><Relationship Id="rId3" Type="http://schemas.openxmlformats.org/officeDocument/2006/relationships/chart" Target="../charts/chart2.xml"/><Relationship Id="rId21" Type="http://schemas.openxmlformats.org/officeDocument/2006/relationships/image" Target="../media/image18.png"/><Relationship Id="rId7" Type="http://schemas.openxmlformats.org/officeDocument/2006/relationships/image" Target="../media/image4.png"/><Relationship Id="rId12" Type="http://schemas.openxmlformats.org/officeDocument/2006/relationships/image" Target="../media/image9.png"/><Relationship Id="rId17" Type="http://schemas.openxmlformats.org/officeDocument/2006/relationships/image" Target="../media/image14.png"/><Relationship Id="rId25" Type="http://schemas.openxmlformats.org/officeDocument/2006/relationships/image" Target="../media/image22.png"/><Relationship Id="rId2" Type="http://schemas.openxmlformats.org/officeDocument/2006/relationships/image" Target="../media/image1.png"/><Relationship Id="rId16" Type="http://schemas.openxmlformats.org/officeDocument/2006/relationships/image" Target="../media/image13.png"/><Relationship Id="rId20" Type="http://schemas.openxmlformats.org/officeDocument/2006/relationships/image" Target="../media/image17.png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image" Target="../media/image8.png"/><Relationship Id="rId24" Type="http://schemas.openxmlformats.org/officeDocument/2006/relationships/image" Target="../media/image21.png"/><Relationship Id="rId5" Type="http://schemas.openxmlformats.org/officeDocument/2006/relationships/image" Target="../media/image2.png"/><Relationship Id="rId15" Type="http://schemas.openxmlformats.org/officeDocument/2006/relationships/image" Target="../media/image12.png"/><Relationship Id="rId23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image" Target="../media/image16.png"/><Relationship Id="rId4" Type="http://schemas.openxmlformats.org/officeDocument/2006/relationships/chart" Target="../charts/chart3.xml"/><Relationship Id="rId9" Type="http://schemas.openxmlformats.org/officeDocument/2006/relationships/image" Target="../media/image6.png"/><Relationship Id="rId14" Type="http://schemas.openxmlformats.org/officeDocument/2006/relationships/image" Target="../media/image11.png"/><Relationship Id="rId22" Type="http://schemas.openxmlformats.org/officeDocument/2006/relationships/image" Target="../media/image19.png"/><Relationship Id="rId27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2</xdr:col>
      <xdr:colOff>1552575</xdr:colOff>
      <xdr:row>32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9FA3F5F-CC95-6AA9-021C-54BEC74F5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</xdr:row>
      <xdr:rowOff>295275</xdr:rowOff>
    </xdr:from>
    <xdr:to>
      <xdr:col>2</xdr:col>
      <xdr:colOff>9525</xdr:colOff>
      <xdr:row>2</xdr:row>
      <xdr:rowOff>1019175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429744D-B1D2-B300-25C4-2F8DF1491E21}"/>
            </a:ext>
            <a:ext uri="{147F2762-F138-4A5C-976F-8EAC2B608ADB}">
              <a16:predDERef xmlns:a16="http://schemas.microsoft.com/office/drawing/2014/main" pred="{29FA3F5F-CC95-6AA9-021C-54BEC74F5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6275"/>
          <a:ext cx="457200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2505075</xdr:colOff>
      <xdr:row>82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F954846-E587-EBA9-F711-E0E4A4BE1416}"/>
            </a:ext>
            <a:ext uri="{147F2762-F138-4A5C-976F-8EAC2B608ADB}">
              <a16:predDERef xmlns:a16="http://schemas.microsoft.com/office/drawing/2014/main" pred="{A429744D-B1D2-B300-25C4-2F8DF1491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68</xdr:row>
      <xdr:rowOff>0</xdr:rowOff>
    </xdr:from>
    <xdr:to>
      <xdr:col>6</xdr:col>
      <xdr:colOff>152400</xdr:colOff>
      <xdr:row>82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5AC80F4-B8A2-48C4-8A64-CD6881EEE681}"/>
            </a:ext>
            <a:ext uri="{147F2762-F138-4A5C-976F-8EAC2B608ADB}">
              <a16:predDERef xmlns:a16="http://schemas.microsoft.com/office/drawing/2014/main" pred="{3F954846-E587-EBA9-F711-E0E4A4BE1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52</xdr:row>
      <xdr:rowOff>342900</xdr:rowOff>
    </xdr:from>
    <xdr:to>
      <xdr:col>0</xdr:col>
      <xdr:colOff>1800225</xdr:colOff>
      <xdr:row>52</xdr:row>
      <xdr:rowOff>695325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0521AE1-51BC-518E-8B11-88D7B7C35B19}"/>
            </a:ext>
            <a:ext uri="{147F2762-F138-4A5C-976F-8EAC2B608ADB}">
              <a16:predDERef xmlns:a16="http://schemas.microsoft.com/office/drawing/2014/main" pred="{F5AC80F4-B8A2-48C4-8A64-CD6881EE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639425"/>
          <a:ext cx="18002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28575</xdr:rowOff>
    </xdr:from>
    <xdr:to>
      <xdr:col>0</xdr:col>
      <xdr:colOff>885825</xdr:colOff>
      <xdr:row>52</xdr:row>
      <xdr:rowOff>295275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E6137C3-BC5E-7F34-F6EC-8E8808AB315C}"/>
            </a:ext>
            <a:ext uri="{147F2762-F138-4A5C-976F-8EAC2B608ADB}">
              <a16:predDERef xmlns:a16="http://schemas.microsoft.com/office/drawing/2014/main" pred="{40521AE1-51BC-518E-8B11-88D7B7C35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325100"/>
          <a:ext cx="885825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28575</xdr:rowOff>
    </xdr:from>
    <xdr:to>
      <xdr:col>0</xdr:col>
      <xdr:colOff>1419225</xdr:colOff>
      <xdr:row>54</xdr:row>
      <xdr:rowOff>285750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40B6D4A-5DC1-C7E0-9C9F-130B3EACB22D}"/>
            </a:ext>
            <a:ext uri="{147F2762-F138-4A5C-976F-8EAC2B608ADB}">
              <a16:predDERef xmlns:a16="http://schemas.microsoft.com/office/drawing/2014/main" pred="{9E6137C3-BC5E-7F34-F6EC-8E8808AB3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287250"/>
          <a:ext cx="1419225" cy="257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28575</xdr:rowOff>
    </xdr:from>
    <xdr:to>
      <xdr:col>0</xdr:col>
      <xdr:colOff>876300</xdr:colOff>
      <xdr:row>59</xdr:row>
      <xdr:rowOff>457200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8FFF6B9-B376-3FDF-959A-644556DCBF91}"/>
            </a:ext>
            <a:ext uri="{147F2762-F138-4A5C-976F-8EAC2B608ADB}">
              <a16:predDERef xmlns:a16="http://schemas.microsoft.com/office/drawing/2014/main" pred="{A61A4EAF-7500-431F-9AD9-7320733EA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3525500"/>
          <a:ext cx="876300" cy="428625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914400</xdr:colOff>
      <xdr:row>59</xdr:row>
      <xdr:rowOff>104775</xdr:rowOff>
    </xdr:from>
    <xdr:to>
      <xdr:col>0</xdr:col>
      <xdr:colOff>1981200</xdr:colOff>
      <xdr:row>59</xdr:row>
      <xdr:rowOff>361950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24157F89-E887-71C0-F8AC-E49CAC5A14AE}"/>
            </a:ext>
            <a:ext uri="{147F2762-F138-4A5C-976F-8EAC2B608ADB}">
              <a16:predDERef xmlns:a16="http://schemas.microsoft.com/office/drawing/2014/main" pred="{18FFF6B9-B376-3FDF-959A-644556DCB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" y="12696825"/>
          <a:ext cx="1066800" cy="2571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62</xdr:row>
      <xdr:rowOff>57150</xdr:rowOff>
    </xdr:from>
    <xdr:to>
      <xdr:col>0</xdr:col>
      <xdr:colOff>752475</xdr:colOff>
      <xdr:row>62</xdr:row>
      <xdr:rowOff>409575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F1BD933-1FF3-F14E-0CFF-2C1144B17EFC}"/>
            </a:ext>
            <a:ext uri="{147F2762-F138-4A5C-976F-8EAC2B608ADB}">
              <a16:predDERef xmlns:a16="http://schemas.microsoft.com/office/drawing/2014/main" pred="{24157F89-E887-71C0-F8AC-E49CAC5A1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25" y="13696950"/>
          <a:ext cx="742950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86</xdr:row>
      <xdr:rowOff>57150</xdr:rowOff>
    </xdr:from>
    <xdr:to>
      <xdr:col>0</xdr:col>
      <xdr:colOff>962025</xdr:colOff>
      <xdr:row>86</xdr:row>
      <xdr:rowOff>457200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C26C7FB-B3E4-2E03-E18D-4C56B35798D7}"/>
            </a:ext>
            <a:ext uri="{147F2762-F138-4A5C-976F-8EAC2B608ADB}">
              <a16:predDERef xmlns:a16="http://schemas.microsoft.com/office/drawing/2014/main" pred="{3F1BD933-1FF3-F14E-0CFF-2C1144B17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9075" y="18307050"/>
          <a:ext cx="74295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1247775</xdr:colOff>
      <xdr:row>99</xdr:row>
      <xdr:rowOff>171450</xdr:rowOff>
    </xdr:from>
    <xdr:to>
      <xdr:col>0</xdr:col>
      <xdr:colOff>1981200</xdr:colOff>
      <xdr:row>99</xdr:row>
      <xdr:rowOff>504825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E07D7D7B-4215-BD81-0E26-D68367585F3F}"/>
            </a:ext>
            <a:ext uri="{147F2762-F138-4A5C-976F-8EAC2B608ADB}">
              <a16:predDERef xmlns:a16="http://schemas.microsoft.com/office/drawing/2014/main" pred="{0C26C7FB-B3E4-2E03-E18D-4C56B3579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7775" y="20450175"/>
          <a:ext cx="733425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99</xdr:row>
      <xdr:rowOff>238125</xdr:rowOff>
    </xdr:from>
    <xdr:to>
      <xdr:col>3</xdr:col>
      <xdr:colOff>676275</xdr:colOff>
      <xdr:row>99</xdr:row>
      <xdr:rowOff>504825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3EAC8357-7F9D-608C-C7E2-0F1519213CD5}"/>
            </a:ext>
            <a:ext uri="{147F2762-F138-4A5C-976F-8EAC2B608ADB}">
              <a16:predDERef xmlns:a16="http://schemas.microsoft.com/office/drawing/2014/main" pred="{E07D7D7B-4215-BD81-0E26-D68367585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05725" y="20516850"/>
          <a:ext cx="62865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19050</xdr:rowOff>
    </xdr:from>
    <xdr:to>
      <xdr:col>0</xdr:col>
      <xdr:colOff>819150</xdr:colOff>
      <xdr:row>88</xdr:row>
      <xdr:rowOff>419100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E1454172-B7BA-8C15-5D4B-C18947AE5650}"/>
            </a:ext>
            <a:ext uri="{147F2762-F138-4A5C-976F-8EAC2B608ADB}">
              <a16:predDERef xmlns:a16="http://schemas.microsoft.com/office/drawing/2014/main" pred="{3EAC8357-7F9D-608C-C7E2-0F1519213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964275"/>
          <a:ext cx="81915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89</xdr:row>
      <xdr:rowOff>38100</xdr:rowOff>
    </xdr:from>
    <xdr:to>
      <xdr:col>0</xdr:col>
      <xdr:colOff>1247775</xdr:colOff>
      <xdr:row>89</xdr:row>
      <xdr:rowOff>381000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BFECA969-EA15-5AB1-EE19-1F754F6548B7}"/>
            </a:ext>
            <a:ext uri="{147F2762-F138-4A5C-976F-8EAC2B608ADB}">
              <a16:predDERef xmlns:a16="http://schemas.microsoft.com/office/drawing/2014/main" pred="{E1454172-B7BA-8C15-5D4B-C18947AE5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525" y="19602450"/>
          <a:ext cx="1238250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60</xdr:row>
      <xdr:rowOff>9525</xdr:rowOff>
    </xdr:from>
    <xdr:to>
      <xdr:col>0</xdr:col>
      <xdr:colOff>1257300</xdr:colOff>
      <xdr:row>60</xdr:row>
      <xdr:rowOff>342900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FC26E3B1-BF76-7D11-6B07-E8B0BDE7BBC0}"/>
            </a:ext>
            <a:ext uri="{147F2762-F138-4A5C-976F-8EAC2B608ADB}">
              <a16:predDERef xmlns:a16="http://schemas.microsoft.com/office/drawing/2014/main" pred="{BFECA969-EA15-5AB1-EE19-1F754F654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050" y="13106400"/>
          <a:ext cx="1238250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9525</xdr:rowOff>
    </xdr:from>
    <xdr:to>
      <xdr:col>0</xdr:col>
      <xdr:colOff>895350</xdr:colOff>
      <xdr:row>105</xdr:row>
      <xdr:rowOff>485775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1DB3EE4F-D5C8-2811-755D-B632018D9D54}"/>
            </a:ext>
            <a:ext uri="{147F2762-F138-4A5C-976F-8EAC2B608ADB}">
              <a16:predDERef xmlns:a16="http://schemas.microsoft.com/office/drawing/2014/main" pred="{FC26E3B1-BF76-7D11-6B07-E8B0BDE7B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6508075"/>
          <a:ext cx="895350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107</xdr:row>
      <xdr:rowOff>19050</xdr:rowOff>
    </xdr:from>
    <xdr:to>
      <xdr:col>0</xdr:col>
      <xdr:colOff>609600</xdr:colOff>
      <xdr:row>107</xdr:row>
      <xdr:rowOff>476250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3C966050-9933-EA78-F28F-34E910FCEB80}"/>
            </a:ext>
            <a:ext uri="{147F2762-F138-4A5C-976F-8EAC2B608ADB}">
              <a16:predDERef xmlns:a16="http://schemas.microsoft.com/office/drawing/2014/main" pred="{40130787-6CBD-0E9F-8954-FD8770188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6200" y="24317325"/>
          <a:ext cx="5334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108</xdr:row>
      <xdr:rowOff>19050</xdr:rowOff>
    </xdr:from>
    <xdr:to>
      <xdr:col>0</xdr:col>
      <xdr:colOff>647700</xdr:colOff>
      <xdr:row>108</xdr:row>
      <xdr:rowOff>457200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772D2FCB-71AD-91DE-AD8A-9470C9297181}"/>
            </a:ext>
            <a:ext uri="{147F2762-F138-4A5C-976F-8EAC2B608ADB}">
              <a16:predDERef xmlns:a16="http://schemas.microsoft.com/office/drawing/2014/main" pred="{3C966050-9933-EA78-F28F-34E910FCE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7150" y="24841200"/>
          <a:ext cx="590550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109</xdr:row>
      <xdr:rowOff>9525</xdr:rowOff>
    </xdr:from>
    <xdr:to>
      <xdr:col>0</xdr:col>
      <xdr:colOff>561975</xdr:colOff>
      <xdr:row>109</xdr:row>
      <xdr:rowOff>466725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5E579C75-7777-061D-B2E4-115E6FB0DE3A}"/>
            </a:ext>
            <a:ext uri="{147F2762-F138-4A5C-976F-8EAC2B608ADB}">
              <a16:predDERef xmlns:a16="http://schemas.microsoft.com/office/drawing/2014/main" pred="{772D2FCB-71AD-91DE-AD8A-9470C9297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" y="2534602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47625</xdr:rowOff>
    </xdr:from>
    <xdr:to>
      <xdr:col>0</xdr:col>
      <xdr:colOff>1333500</xdr:colOff>
      <xdr:row>117</xdr:row>
      <xdr:rowOff>523875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BF884731-61E4-F7FA-5E96-CD139D67CD89}"/>
            </a:ext>
            <a:ext uri="{147F2762-F138-4A5C-976F-8EAC2B608ADB}">
              <a16:predDERef xmlns:a16="http://schemas.microsoft.com/office/drawing/2014/main" pred="{5E579C75-7777-061D-B2E4-115E6FB0D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9032200"/>
          <a:ext cx="1333500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47625</xdr:rowOff>
    </xdr:from>
    <xdr:to>
      <xdr:col>0</xdr:col>
      <xdr:colOff>2038350</xdr:colOff>
      <xdr:row>118</xdr:row>
      <xdr:rowOff>676275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9E1806A4-24BE-EB93-496F-24F878D21E13}"/>
            </a:ext>
            <a:ext uri="{147F2762-F138-4A5C-976F-8EAC2B608ADB}">
              <a16:predDERef xmlns:a16="http://schemas.microsoft.com/office/drawing/2014/main" pred="{BF884731-61E4-F7FA-5E96-CD139D67C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1489650"/>
          <a:ext cx="203835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9525</xdr:rowOff>
    </xdr:from>
    <xdr:to>
      <xdr:col>0</xdr:col>
      <xdr:colOff>1266825</xdr:colOff>
      <xdr:row>119</xdr:row>
      <xdr:rowOff>476250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C2A87DFD-4DFC-BF88-DE38-2E3CF21D7EF5}"/>
            </a:ext>
            <a:ext uri="{147F2762-F138-4A5C-976F-8EAC2B608ADB}">
              <a16:predDERef xmlns:a16="http://schemas.microsoft.com/office/drawing/2014/main" pred="{9E1806A4-24BE-EB93-496F-24F878D21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9156025"/>
          <a:ext cx="1266825" cy="466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1276350</xdr:colOff>
      <xdr:row>120</xdr:row>
      <xdr:rowOff>476250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57939F49-D64E-EC09-7667-1C03CC58A1FF}"/>
            </a:ext>
            <a:ext uri="{147F2762-F138-4A5C-976F-8EAC2B608ADB}">
              <a16:predDERef xmlns:a16="http://schemas.microsoft.com/office/drawing/2014/main" pred="{C2A87DFD-4DFC-BF88-DE38-2E3CF21D7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9679900"/>
          <a:ext cx="1276350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19050</xdr:rowOff>
    </xdr:from>
    <xdr:to>
      <xdr:col>0</xdr:col>
      <xdr:colOff>1657350</xdr:colOff>
      <xdr:row>103</xdr:row>
      <xdr:rowOff>504825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D80F3D74-4F4C-4CE3-3626-113041092713}"/>
            </a:ext>
            <a:ext uri="{147F2762-F138-4A5C-976F-8EAC2B608ADB}">
              <a16:predDERef xmlns:a16="http://schemas.microsoft.com/office/drawing/2014/main" pred="{57939F49-D64E-EC09-7667-1C03CC58A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5393650"/>
          <a:ext cx="1657350" cy="485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28575</xdr:rowOff>
    </xdr:from>
    <xdr:to>
      <xdr:col>0</xdr:col>
      <xdr:colOff>2238375</xdr:colOff>
      <xdr:row>104</xdr:row>
      <xdr:rowOff>495300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60BA7B7-1416-F2FF-6C72-0DC58D6BEEFE}"/>
            </a:ext>
            <a:ext uri="{147F2762-F138-4A5C-976F-8EAC2B608ADB}">
              <a16:predDERef xmlns:a16="http://schemas.microsoft.com/office/drawing/2014/main" pred="{D80F3D74-4F4C-4CE3-3626-113041092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25307925"/>
          <a:ext cx="2238375" cy="466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57150</xdr:rowOff>
    </xdr:from>
    <xdr:to>
      <xdr:col>0</xdr:col>
      <xdr:colOff>352425</xdr:colOff>
      <xdr:row>56</xdr:row>
      <xdr:rowOff>371475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DA103CCC-985D-835F-E440-2502FDF9C6AB}"/>
            </a:ext>
            <a:ext uri="{147F2762-F138-4A5C-976F-8EAC2B608ADB}">
              <a16:predDERef xmlns:a16="http://schemas.microsoft.com/office/drawing/2014/main" pred="{9A66DF86-444B-72E2-62C5-8E0641E37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2630150"/>
          <a:ext cx="35242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56</xdr:row>
      <xdr:rowOff>9525</xdr:rowOff>
    </xdr:from>
    <xdr:to>
      <xdr:col>0</xdr:col>
      <xdr:colOff>962025</xdr:colOff>
      <xdr:row>56</xdr:row>
      <xdr:rowOff>400050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BEB771D6-F1B7-5CB4-AA6B-8F74BD183A36}"/>
            </a:ext>
            <a:ext uri="{147F2762-F138-4A5C-976F-8EAC2B608ADB}">
              <a16:predDERef xmlns:a16="http://schemas.microsoft.com/office/drawing/2014/main" pred="{DA103CCC-985D-835F-E440-2502FDF9C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9575" y="12582525"/>
          <a:ext cx="552450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9525</xdr:rowOff>
    </xdr:from>
    <xdr:to>
      <xdr:col>0</xdr:col>
      <xdr:colOff>704850</xdr:colOff>
      <xdr:row>57</xdr:row>
      <xdr:rowOff>409575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8482453E-0951-1A46-7453-EC752F9A3B5B}"/>
            </a:ext>
            <a:ext uri="{147F2762-F138-4A5C-976F-8EAC2B608ADB}">
              <a16:predDERef xmlns:a16="http://schemas.microsoft.com/office/drawing/2014/main" pred="{BEB771D6-F1B7-5CB4-AA6B-8F74BD183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13030200"/>
          <a:ext cx="704850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topLeftCell="A90" workbookViewId="0">
      <selection activeCell="B99" sqref="B99"/>
    </sheetView>
  </sheetViews>
  <sheetFormatPr defaultRowHeight="15"/>
  <cols>
    <col min="1" max="1" width="34.7109375" customWidth="1"/>
    <col min="2" max="2" width="33.7109375" customWidth="1"/>
    <col min="3" max="3" width="32.42578125" customWidth="1"/>
    <col min="4" max="4" width="18.140625" customWidth="1"/>
    <col min="7" max="7" width="12" customWidth="1"/>
    <col min="8" max="8" width="11.28515625" customWidth="1"/>
    <col min="9" max="9" width="11.85546875" customWidth="1"/>
    <col min="10" max="10" width="23.7109375" customWidth="1"/>
    <col min="11" max="11" width="11.7109375" customWidth="1"/>
  </cols>
  <sheetData>
    <row r="1" spans="1:16">
      <c r="A1" s="75" t="s">
        <v>0</v>
      </c>
      <c r="B1" s="75"/>
      <c r="C1" s="75"/>
      <c r="D1" s="26"/>
      <c r="E1" s="26"/>
      <c r="F1" s="26"/>
    </row>
    <row r="2" spans="1:16">
      <c r="A2" s="2" t="s">
        <v>1</v>
      </c>
    </row>
    <row r="3" spans="1:16" ht="87.75" customHeight="1">
      <c r="A3" s="59" t="s">
        <v>2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</row>
    <row r="5" spans="1:16">
      <c r="A5" s="42">
        <v>1</v>
      </c>
      <c r="B5" s="78">
        <v>2</v>
      </c>
      <c r="C5" s="43">
        <v>3</v>
      </c>
    </row>
    <row r="6" spans="1:16" ht="32.25" customHeight="1">
      <c r="A6" s="76"/>
      <c r="B6" s="80" t="s">
        <v>3</v>
      </c>
      <c r="C6" s="77" t="s">
        <v>4</v>
      </c>
    </row>
    <row r="7" spans="1:16">
      <c r="A7" s="44">
        <v>1</v>
      </c>
      <c r="B7" s="79">
        <v>26</v>
      </c>
      <c r="C7" s="45">
        <v>43</v>
      </c>
    </row>
    <row r="8" spans="1:16">
      <c r="A8" s="44">
        <v>2</v>
      </c>
      <c r="B8" s="1">
        <v>18</v>
      </c>
      <c r="C8" s="45">
        <v>28</v>
      </c>
    </row>
    <row r="9" spans="1:16">
      <c r="A9" s="44">
        <v>3</v>
      </c>
      <c r="B9" s="1">
        <v>33</v>
      </c>
      <c r="C9" s="45">
        <v>51</v>
      </c>
    </row>
    <row r="10" spans="1:16">
      <c r="A10" s="44">
        <v>4</v>
      </c>
      <c r="B10" s="1">
        <v>42</v>
      </c>
      <c r="C10" s="45">
        <v>62</v>
      </c>
    </row>
    <row r="11" spans="1:16">
      <c r="A11" s="44">
        <v>5</v>
      </c>
      <c r="B11" s="1">
        <v>41</v>
      </c>
      <c r="C11" s="45">
        <v>63</v>
      </c>
    </row>
    <row r="12" spans="1:16">
      <c r="A12" s="44">
        <v>6</v>
      </c>
      <c r="B12" s="1">
        <v>44</v>
      </c>
      <c r="C12" s="45">
        <v>67</v>
      </c>
    </row>
    <row r="13" spans="1:16">
      <c r="A13" s="44">
        <v>7</v>
      </c>
      <c r="B13" s="1">
        <v>15</v>
      </c>
      <c r="C13" s="45">
        <v>26</v>
      </c>
    </row>
    <row r="14" spans="1:16">
      <c r="A14" s="44">
        <v>8</v>
      </c>
      <c r="B14" s="1">
        <v>27</v>
      </c>
      <c r="C14" s="45">
        <v>43</v>
      </c>
    </row>
    <row r="15" spans="1:16">
      <c r="A15" s="44">
        <v>9</v>
      </c>
      <c r="B15" s="1">
        <v>41</v>
      </c>
      <c r="C15" s="45">
        <v>61</v>
      </c>
    </row>
    <row r="16" spans="1:16">
      <c r="A16" s="46">
        <v>10</v>
      </c>
      <c r="B16" s="47">
        <v>19</v>
      </c>
      <c r="C16" s="48">
        <v>33</v>
      </c>
    </row>
    <row r="18" spans="1:8">
      <c r="A18" s="25" t="s">
        <v>5</v>
      </c>
      <c r="B18" s="31" t="s">
        <v>6</v>
      </c>
      <c r="C18" s="32">
        <f>CORREL(B7:B16,C7:C16)</f>
        <v>0.99655216216910536</v>
      </c>
      <c r="D18" s="63" t="s">
        <v>7</v>
      </c>
      <c r="E18" s="64"/>
      <c r="F18" s="64"/>
      <c r="G18" s="64"/>
      <c r="H18" s="64"/>
    </row>
    <row r="20" spans="1:8">
      <c r="A20" s="25" t="s">
        <v>8</v>
      </c>
    </row>
    <row r="33" spans="1:11">
      <c r="A33" s="2"/>
    </row>
    <row r="34" spans="1:11">
      <c r="A34" s="65" t="s">
        <v>9</v>
      </c>
      <c r="B34" s="66"/>
      <c r="C34" s="66"/>
    </row>
    <row r="35" spans="1:11">
      <c r="B35" s="33"/>
      <c r="C35" s="33"/>
    </row>
    <row r="36" spans="1:11">
      <c r="A36" s="25" t="s">
        <v>10</v>
      </c>
      <c r="B36" s="5"/>
    </row>
    <row r="37" spans="1:11" ht="15.75">
      <c r="A37" s="49">
        <v>1</v>
      </c>
      <c r="B37" s="49">
        <v>2</v>
      </c>
      <c r="C37" s="49">
        <v>3</v>
      </c>
      <c r="D37" s="49">
        <v>4</v>
      </c>
      <c r="E37" s="49">
        <v>5</v>
      </c>
      <c r="F37" s="49">
        <v>6</v>
      </c>
      <c r="G37" s="49">
        <v>7</v>
      </c>
      <c r="H37" s="49">
        <v>8</v>
      </c>
      <c r="I37" s="49"/>
      <c r="J37" s="49">
        <v>10</v>
      </c>
    </row>
    <row r="38" spans="1:11" ht="15.75">
      <c r="A38" s="49"/>
      <c r="B38" s="8" t="s">
        <v>11</v>
      </c>
      <c r="C38" s="8" t="s">
        <v>12</v>
      </c>
      <c r="D38" s="73" t="s">
        <v>13</v>
      </c>
      <c r="E38" s="73" t="s">
        <v>14</v>
      </c>
      <c r="F38" s="73" t="s">
        <v>15</v>
      </c>
      <c r="G38" s="74" t="s">
        <v>16</v>
      </c>
      <c r="H38" s="73" t="s">
        <v>17</v>
      </c>
      <c r="I38" s="73" t="s">
        <v>18</v>
      </c>
      <c r="J38" s="52" t="s">
        <v>19</v>
      </c>
      <c r="K38" t="s">
        <v>20</v>
      </c>
    </row>
    <row r="39" spans="1:11" ht="15.75">
      <c r="A39" s="49">
        <v>1</v>
      </c>
      <c r="B39" s="1">
        <v>26</v>
      </c>
      <c r="C39" s="1">
        <v>43</v>
      </c>
      <c r="D39" s="3">
        <f>B39*C39</f>
        <v>1118</v>
      </c>
      <c r="E39" s="3">
        <f>B39^2</f>
        <v>676</v>
      </c>
      <c r="F39" s="3">
        <f>C39^2</f>
        <v>1849</v>
      </c>
      <c r="G39" s="27">
        <f>B$62+B$63*B39</f>
        <v>41.345791001451367</v>
      </c>
      <c r="H39" s="3">
        <f>C39-G39</f>
        <v>1.6542089985486328</v>
      </c>
      <c r="I39" s="3">
        <f>H39^2</f>
        <v>2.7364074108792704</v>
      </c>
      <c r="J39" s="28">
        <f>ABS((C39-G39)/C39*100)</f>
        <v>3.846997671043332</v>
      </c>
      <c r="K39">
        <f>(G39-C$50)^2</f>
        <v>40.375971997236455</v>
      </c>
    </row>
    <row r="40" spans="1:11" ht="15.75">
      <c r="A40" s="49">
        <v>2</v>
      </c>
      <c r="B40" s="1">
        <v>18</v>
      </c>
      <c r="C40" s="1">
        <v>28</v>
      </c>
      <c r="D40" s="3">
        <f t="shared" ref="D40:D48" si="0">B40*C40</f>
        <v>504</v>
      </c>
      <c r="E40" s="3">
        <f t="shared" ref="E40:E48" si="1">B40^2</f>
        <v>324</v>
      </c>
      <c r="F40" s="3">
        <f t="shared" ref="F40:F48" si="2">C40^2</f>
        <v>784</v>
      </c>
      <c r="G40" s="27">
        <f>B$62+B$63*B40</f>
        <v>30.294992743105919</v>
      </c>
      <c r="H40" s="3">
        <f t="shared" ref="H40:H48" si="3">C40-G40</f>
        <v>-2.2949927431059187</v>
      </c>
      <c r="I40" s="3">
        <f t="shared" ref="I40:I48" si="4">H40^2</f>
        <v>5.2669916909088297</v>
      </c>
      <c r="J40" s="28">
        <f t="shared" ref="J40:J48" si="5">ABS((C40-G40)/C40*100)</f>
        <v>8.1964026539497095</v>
      </c>
      <c r="K40">
        <f t="shared" ref="K40:K48" si="6">(G40-C$50)^2</f>
        <v>302.93427761253571</v>
      </c>
    </row>
    <row r="41" spans="1:11" ht="15.75">
      <c r="A41" s="49">
        <v>3</v>
      </c>
      <c r="B41" s="1">
        <v>33</v>
      </c>
      <c r="C41" s="1">
        <v>51</v>
      </c>
      <c r="D41" s="3">
        <f t="shared" si="0"/>
        <v>1683</v>
      </c>
      <c r="E41" s="3">
        <f t="shared" si="1"/>
        <v>1089</v>
      </c>
      <c r="F41" s="3">
        <f t="shared" si="2"/>
        <v>2601</v>
      </c>
      <c r="G41" s="27">
        <f>B$62+B$63*B41</f>
        <v>51.015239477503634</v>
      </c>
      <c r="H41" s="3">
        <f t="shared" si="3"/>
        <v>-1.5239477503634191E-2</v>
      </c>
      <c r="I41" s="3">
        <f t="shared" si="4"/>
        <v>2.3224167458377261E-4</v>
      </c>
      <c r="J41" s="28">
        <f t="shared" si="5"/>
        <v>2.9881328438498413E-2</v>
      </c>
      <c r="K41">
        <f t="shared" si="6"/>
        <v>10.99081279319855</v>
      </c>
    </row>
    <row r="42" spans="1:11" ht="15.75">
      <c r="A42" s="49">
        <v>4</v>
      </c>
      <c r="B42" s="1">
        <v>42</v>
      </c>
      <c r="C42" s="1">
        <v>62</v>
      </c>
      <c r="D42" s="3">
        <f t="shared" si="0"/>
        <v>2604</v>
      </c>
      <c r="E42" s="3">
        <f t="shared" si="1"/>
        <v>1764</v>
      </c>
      <c r="F42" s="3">
        <f t="shared" si="2"/>
        <v>3844</v>
      </c>
      <c r="G42" s="27">
        <f>B$62+B$63*B42</f>
        <v>63.447387518142271</v>
      </c>
      <c r="H42" s="3">
        <f t="shared" si="3"/>
        <v>-1.4473875181422713</v>
      </c>
      <c r="I42" s="3">
        <f t="shared" si="4"/>
        <v>2.0949306276740436</v>
      </c>
      <c r="J42" s="28">
        <f t="shared" si="5"/>
        <v>2.3344959970036632</v>
      </c>
      <c r="K42">
        <f t="shared" si="6"/>
        <v>247.98021364654292</v>
      </c>
    </row>
    <row r="43" spans="1:11" ht="15.75">
      <c r="A43" s="49">
        <v>5</v>
      </c>
      <c r="B43" s="1">
        <v>41</v>
      </c>
      <c r="C43" s="1">
        <v>63</v>
      </c>
      <c r="D43" s="3">
        <f t="shared" si="0"/>
        <v>2583</v>
      </c>
      <c r="E43" s="3">
        <f t="shared" si="1"/>
        <v>1681</v>
      </c>
      <c r="F43" s="3">
        <f t="shared" si="2"/>
        <v>3969</v>
      </c>
      <c r="G43" s="27">
        <f>B$62+B$63*B43</f>
        <v>62.066037735849086</v>
      </c>
      <c r="H43" s="3">
        <f t="shared" si="3"/>
        <v>0.93396226415091377</v>
      </c>
      <c r="I43" s="3">
        <f t="shared" si="4"/>
        <v>0.87228551085790118</v>
      </c>
      <c r="J43" s="28">
        <f t="shared" si="5"/>
        <v>1.4824797843665298</v>
      </c>
      <c r="K43">
        <f t="shared" si="6"/>
        <v>206.38304022783987</v>
      </c>
    </row>
    <row r="44" spans="1:11" ht="15.75">
      <c r="A44" s="49">
        <v>6</v>
      </c>
      <c r="B44" s="1">
        <v>44</v>
      </c>
      <c r="C44" s="1">
        <v>67</v>
      </c>
      <c r="D44" s="3">
        <f t="shared" si="0"/>
        <v>2948</v>
      </c>
      <c r="E44" s="3">
        <f t="shared" si="1"/>
        <v>1936</v>
      </c>
      <c r="F44" s="3">
        <f t="shared" si="2"/>
        <v>4489</v>
      </c>
      <c r="G44" s="27">
        <f>B$62+B$63*B44</f>
        <v>66.210087082728634</v>
      </c>
      <c r="H44" s="3">
        <f t="shared" si="3"/>
        <v>0.7899129172713657</v>
      </c>
      <c r="I44" s="3">
        <f t="shared" si="4"/>
        <v>0.62396241687215948</v>
      </c>
      <c r="J44" s="28">
        <f t="shared" si="5"/>
        <v>1.178974503390098</v>
      </c>
      <c r="K44">
        <f t="shared" si="6"/>
        <v>342.62332381019735</v>
      </c>
    </row>
    <row r="45" spans="1:11" ht="15.75">
      <c r="A45" s="49">
        <v>7</v>
      </c>
      <c r="B45" s="1">
        <v>15</v>
      </c>
      <c r="C45" s="1">
        <v>26</v>
      </c>
      <c r="D45" s="3">
        <f t="shared" si="0"/>
        <v>390</v>
      </c>
      <c r="E45" s="3">
        <f t="shared" si="1"/>
        <v>225</v>
      </c>
      <c r="F45" s="3">
        <f t="shared" si="2"/>
        <v>676</v>
      </c>
      <c r="G45" s="27">
        <f>B$62+B$63*B45</f>
        <v>26.150943396226374</v>
      </c>
      <c r="H45" s="3">
        <f t="shared" si="3"/>
        <v>-0.1509433962263742</v>
      </c>
      <c r="I45" s="3">
        <f t="shared" si="4"/>
        <v>2.2783908864352199E-2</v>
      </c>
      <c r="J45" s="28">
        <f t="shared" si="5"/>
        <v>0.58055152394759313</v>
      </c>
      <c r="K45">
        <f t="shared" si="6"/>
        <v>464.36184051263984</v>
      </c>
    </row>
    <row r="46" spans="1:11" ht="15.75">
      <c r="A46" s="49">
        <v>8</v>
      </c>
      <c r="B46" s="1">
        <v>27</v>
      </c>
      <c r="C46" s="1">
        <v>43</v>
      </c>
      <c r="D46" s="3">
        <f t="shared" si="0"/>
        <v>1161</v>
      </c>
      <c r="E46" s="3">
        <f t="shared" si="1"/>
        <v>729</v>
      </c>
      <c r="F46" s="3">
        <f t="shared" si="2"/>
        <v>1849</v>
      </c>
      <c r="G46" s="27">
        <f>B$62+B$63*B46</f>
        <v>42.727140783744552</v>
      </c>
      <c r="H46" s="3">
        <f t="shared" si="3"/>
        <v>0.27285921625544773</v>
      </c>
      <c r="I46" s="3">
        <f t="shared" si="4"/>
        <v>7.4452151895537194E-2</v>
      </c>
      <c r="J46" s="28">
        <f t="shared" si="5"/>
        <v>0.6345563168731343</v>
      </c>
      <c r="K46">
        <f t="shared" si="6"/>
        <v>24.729328784696776</v>
      </c>
    </row>
    <row r="47" spans="1:11" ht="15.75">
      <c r="A47" s="49">
        <v>9</v>
      </c>
      <c r="B47" s="1">
        <v>41</v>
      </c>
      <c r="C47" s="1">
        <v>61</v>
      </c>
      <c r="D47" s="3">
        <f t="shared" si="0"/>
        <v>2501</v>
      </c>
      <c r="E47" s="3">
        <f t="shared" si="1"/>
        <v>1681</v>
      </c>
      <c r="F47" s="3">
        <f t="shared" si="2"/>
        <v>3721</v>
      </c>
      <c r="G47" s="27">
        <f>B$62+B$63*B47</f>
        <v>62.066037735849086</v>
      </c>
      <c r="H47" s="3">
        <f t="shared" si="3"/>
        <v>-1.0660377358490862</v>
      </c>
      <c r="I47" s="3">
        <f t="shared" si="4"/>
        <v>1.1364364542542462</v>
      </c>
      <c r="J47" s="28">
        <f t="shared" si="5"/>
        <v>1.7476028456542398</v>
      </c>
      <c r="K47">
        <f t="shared" si="6"/>
        <v>206.38304022783987</v>
      </c>
    </row>
    <row r="48" spans="1:11" ht="15.75">
      <c r="A48" s="49">
        <v>10</v>
      </c>
      <c r="B48" s="1">
        <v>19</v>
      </c>
      <c r="C48" s="1">
        <v>33</v>
      </c>
      <c r="D48" s="3">
        <f t="shared" si="0"/>
        <v>627</v>
      </c>
      <c r="E48" s="3">
        <f t="shared" si="1"/>
        <v>361</v>
      </c>
      <c r="F48" s="3">
        <f t="shared" si="2"/>
        <v>1089</v>
      </c>
      <c r="G48" s="27">
        <f>B$62+B$63*B48</f>
        <v>31.6763425253991</v>
      </c>
      <c r="H48" s="3">
        <f t="shared" si="3"/>
        <v>1.3236574746008998</v>
      </c>
      <c r="I48" s="3">
        <f t="shared" si="4"/>
        <v>1.7520691100668315</v>
      </c>
      <c r="J48" s="28">
        <f t="shared" si="5"/>
        <v>4.011083256366363</v>
      </c>
      <c r="K48">
        <f t="shared" si="6"/>
        <v>256.75759886333338</v>
      </c>
    </row>
    <row r="49" spans="1:17" ht="18.75">
      <c r="A49" s="7" t="s">
        <v>21</v>
      </c>
      <c r="B49" s="3">
        <f>SUM(B39:B48)</f>
        <v>306</v>
      </c>
      <c r="C49" s="3">
        <f>SUM(C39:C48)</f>
        <v>477</v>
      </c>
      <c r="D49" s="3">
        <f t="shared" ref="D49:F49" si="7">SUM(D39:D48)</f>
        <v>16119</v>
      </c>
      <c r="E49" s="3">
        <f t="shared" si="7"/>
        <v>10466</v>
      </c>
      <c r="F49" s="3">
        <f>SUM(F39:F48)</f>
        <v>24871</v>
      </c>
      <c r="G49" s="3">
        <f>SUM(G39:G48)</f>
        <v>477</v>
      </c>
      <c r="H49" s="29">
        <f t="shared" ref="H49:K49" si="8">SUM(H39:H48)</f>
        <v>-2.4868995751603507E-14</v>
      </c>
      <c r="I49" s="3">
        <f t="shared" si="8"/>
        <v>14.580551523947753</v>
      </c>
      <c r="J49" s="53">
        <f t="shared" si="8"/>
        <v>24.043025881033163</v>
      </c>
      <c r="K49" s="54">
        <f t="shared" si="8"/>
        <v>2103.5194484760605</v>
      </c>
      <c r="L49" t="s">
        <v>22</v>
      </c>
      <c r="M49" s="6"/>
    </row>
    <row r="50" spans="1:17" ht="15.75">
      <c r="A50" s="7" t="s">
        <v>23</v>
      </c>
      <c r="B50" s="3">
        <f>AVERAGE(B39:B48)</f>
        <v>30.6</v>
      </c>
      <c r="C50" s="3">
        <f>AVERAGE(C39:C48)</f>
        <v>47.7</v>
      </c>
      <c r="D50" s="3">
        <f t="shared" ref="D50:J50" si="9">AVERAGE(D39:D48)</f>
        <v>1611.9</v>
      </c>
      <c r="E50" s="3">
        <f t="shared" si="9"/>
        <v>1046.5999999999999</v>
      </c>
      <c r="F50" s="3">
        <f t="shared" si="9"/>
        <v>2487.1</v>
      </c>
      <c r="G50" s="3">
        <f t="shared" si="9"/>
        <v>47.7</v>
      </c>
      <c r="H50" s="29">
        <f t="shared" si="9"/>
        <v>-2.4868995751603505E-15</v>
      </c>
      <c r="I50" s="3">
        <f t="shared" si="9"/>
        <v>1.4580551523947753</v>
      </c>
      <c r="J50" s="3">
        <f t="shared" si="9"/>
        <v>2.4043025881033162</v>
      </c>
    </row>
    <row r="51" spans="1:17" ht="15.75">
      <c r="A51" s="9" t="s">
        <v>24</v>
      </c>
      <c r="B51" s="3">
        <f>SQRT(B53)</f>
        <v>10.49952379872534</v>
      </c>
      <c r="C51" s="3">
        <f>SQRT(C53)</f>
        <v>14.553693689232279</v>
      </c>
      <c r="D51" s="3"/>
      <c r="E51" s="3"/>
      <c r="F51" s="3"/>
      <c r="G51" s="3"/>
      <c r="H51" s="3"/>
      <c r="I51" s="3"/>
      <c r="J51" s="3"/>
    </row>
    <row r="52" spans="1:17" ht="17.25" customHeight="1">
      <c r="A52" s="9" t="s">
        <v>25</v>
      </c>
      <c r="B52" s="3">
        <f>_xlfn.VAR.P(B39:B48)</f>
        <v>110.24</v>
      </c>
      <c r="C52" s="3">
        <f>_xlfn.VAR.P(C39:C48)</f>
        <v>211.81</v>
      </c>
      <c r="D52" s="3"/>
      <c r="E52" s="3"/>
      <c r="F52" s="3"/>
      <c r="G52" s="3"/>
      <c r="H52" s="3"/>
      <c r="I52" s="3"/>
      <c r="J52" s="3"/>
    </row>
    <row r="53" spans="1:17" ht="57" customHeight="1">
      <c r="A53" s="9"/>
      <c r="B53" s="30">
        <f>E50-B50^2</f>
        <v>110.23999999999978</v>
      </c>
      <c r="C53" s="3">
        <f>F50-C50^2</f>
        <v>211.80999999999949</v>
      </c>
      <c r="D53" s="3"/>
      <c r="E53" s="3"/>
      <c r="F53" s="3"/>
      <c r="G53" s="3"/>
      <c r="H53" s="3"/>
      <c r="I53" s="3"/>
      <c r="J53" s="3"/>
    </row>
    <row r="54" spans="1:17" ht="23.25" customHeight="1">
      <c r="A54" s="13" t="s">
        <v>26</v>
      </c>
      <c r="B54" s="30">
        <f>_xlfn.COVARIANCE.P(B39:B48,C39:C48)</f>
        <v>152.28</v>
      </c>
      <c r="C54" s="3"/>
      <c r="D54" s="3"/>
      <c r="E54" s="3"/>
      <c r="F54" s="3"/>
      <c r="G54" s="3"/>
      <c r="H54" s="3"/>
      <c r="I54" s="3"/>
      <c r="J54" s="3"/>
    </row>
    <row r="55" spans="1:17" ht="24.75" customHeight="1">
      <c r="A55" s="9"/>
      <c r="B55" s="30">
        <f>D50-B50*C50</f>
        <v>152.27999999999997</v>
      </c>
      <c r="C55" s="3"/>
      <c r="D55" s="3"/>
      <c r="E55" s="3"/>
      <c r="F55" s="3"/>
      <c r="G55" s="3"/>
      <c r="H55" s="3"/>
      <c r="I55" s="3"/>
      <c r="J55" s="3"/>
    </row>
    <row r="56" spans="1:17" ht="15.75">
      <c r="A56" s="10" t="s">
        <v>27</v>
      </c>
      <c r="B56" s="24">
        <f>CORREL(B39:B48,C39:C48)</f>
        <v>0.99655216216910536</v>
      </c>
      <c r="C56" s="3"/>
      <c r="D56" s="3"/>
      <c r="E56" s="3"/>
      <c r="F56" s="3"/>
      <c r="G56" s="3"/>
      <c r="H56" s="3"/>
      <c r="I56" s="3"/>
      <c r="J56" s="3"/>
    </row>
    <row r="57" spans="1:17" ht="35.25" customHeight="1">
      <c r="A57" s="9"/>
      <c r="B57" s="24">
        <f>B54/(B51*C51)</f>
        <v>0.99655216216910758</v>
      </c>
      <c r="C57" s="3"/>
      <c r="D57" s="3"/>
      <c r="E57" s="3"/>
      <c r="F57" s="3"/>
      <c r="G57" s="3"/>
      <c r="H57" s="3"/>
      <c r="I57" s="3"/>
      <c r="J57" s="3"/>
    </row>
    <row r="58" spans="1:17" ht="35.25" customHeight="1">
      <c r="A58" s="9"/>
      <c r="B58" s="24">
        <f>B63*B51/C51</f>
        <v>0.99655216216910758</v>
      </c>
      <c r="C58" s="3"/>
      <c r="D58" s="3"/>
      <c r="E58" s="3"/>
      <c r="F58" s="3"/>
      <c r="G58" s="3"/>
      <c r="H58" s="3"/>
      <c r="I58" s="3"/>
      <c r="J58" s="3"/>
    </row>
    <row r="59" spans="1:17" ht="21.75" customHeight="1">
      <c r="A59" s="55" t="s">
        <v>28</v>
      </c>
      <c r="B59" s="30">
        <f>B56^2</f>
        <v>0.99311621192391886</v>
      </c>
      <c r="C59" s="3"/>
      <c r="D59" s="3"/>
      <c r="E59" s="3"/>
      <c r="F59" s="3"/>
      <c r="G59" s="3"/>
      <c r="H59" s="3"/>
      <c r="I59" s="3"/>
      <c r="J59" s="3"/>
    </row>
    <row r="60" spans="1:17" ht="39.75" customHeight="1">
      <c r="A60" s="11"/>
      <c r="B60" s="30">
        <f>1-B61/C52</f>
        <v>0.99311621192391875</v>
      </c>
      <c r="C60" s="3"/>
      <c r="D60" s="3"/>
      <c r="E60" s="3"/>
      <c r="F60" s="3"/>
      <c r="G60" s="3"/>
      <c r="H60" s="3"/>
      <c r="I60" s="3"/>
      <c r="J60" s="3"/>
    </row>
    <row r="61" spans="1:17" ht="30" customHeight="1">
      <c r="A61" s="11"/>
      <c r="B61" s="30">
        <f>I49/10</f>
        <v>1.4580551523947753</v>
      </c>
      <c r="C61" s="3"/>
      <c r="D61" s="3"/>
      <c r="E61" s="3"/>
      <c r="F61" s="3"/>
      <c r="G61" s="3"/>
      <c r="H61" s="3"/>
      <c r="I61" s="3"/>
      <c r="J61" s="3"/>
    </row>
    <row r="62" spans="1:17" ht="26.25" customHeight="1">
      <c r="A62" s="14" t="s">
        <v>29</v>
      </c>
      <c r="B62" s="50">
        <f>C50-B63*B50</f>
        <v>5.4306966618286552</v>
      </c>
      <c r="C62" s="3"/>
      <c r="D62" s="3"/>
      <c r="E62" s="3"/>
      <c r="F62" s="3"/>
      <c r="G62" s="3"/>
      <c r="H62" s="3"/>
      <c r="I62" s="3"/>
      <c r="J62" s="3"/>
      <c r="K62" s="61"/>
      <c r="L62" s="62"/>
      <c r="M62" s="62"/>
      <c r="N62" s="62"/>
      <c r="O62" s="62"/>
      <c r="P62" s="62"/>
      <c r="Q62" s="62"/>
    </row>
    <row r="63" spans="1:17" ht="36" customHeight="1">
      <c r="A63" s="12"/>
      <c r="B63" s="51">
        <f>B54/B53</f>
        <v>1.3813497822931813</v>
      </c>
      <c r="C63" s="3"/>
      <c r="D63" s="3"/>
      <c r="E63" s="3"/>
      <c r="F63" s="3"/>
      <c r="G63" s="3"/>
      <c r="H63" s="3"/>
      <c r="I63" s="3"/>
      <c r="J63" s="3"/>
      <c r="K63" s="61"/>
      <c r="L63" s="62"/>
      <c r="M63" s="62"/>
      <c r="N63" s="62"/>
      <c r="O63" s="62"/>
      <c r="P63" s="62"/>
      <c r="Q63" s="62"/>
    </row>
    <row r="65" spans="1:8" ht="48" customHeight="1">
      <c r="A65" s="67" t="s">
        <v>30</v>
      </c>
      <c r="B65" s="68"/>
      <c r="C65" s="68"/>
    </row>
    <row r="67" spans="1:8" ht="15.75">
      <c r="A67" s="69" t="s">
        <v>31</v>
      </c>
      <c r="B67" s="69"/>
      <c r="C67" s="69"/>
      <c r="D67" s="69"/>
      <c r="E67" s="69"/>
      <c r="F67" s="34"/>
      <c r="G67" s="34"/>
      <c r="H67" s="34"/>
    </row>
    <row r="85" spans="1:12" ht="15" customHeight="1">
      <c r="A85" s="70" t="s">
        <v>32</v>
      </c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</row>
    <row r="87" spans="1:12" ht="39.75" customHeight="1">
      <c r="A87" s="15" t="s">
        <v>33</v>
      </c>
      <c r="B87" s="36">
        <f>SQRT(I49/8)</f>
        <v>1.3500255332746374</v>
      </c>
    </row>
    <row r="88" spans="1:12" ht="27" customHeight="1">
      <c r="A88" s="82" t="s">
        <v>34</v>
      </c>
      <c r="B88" s="37">
        <f>B57^2</f>
        <v>0.9931162119239233</v>
      </c>
    </row>
    <row r="89" spans="1:12" ht="36.75" customHeight="1">
      <c r="A89" s="23"/>
      <c r="B89" s="37">
        <f>1-B90/C52</f>
        <v>0.99311621192391875</v>
      </c>
    </row>
    <row r="90" spans="1:12" ht="36.75" customHeight="1">
      <c r="A90" s="4"/>
      <c r="B90" s="36">
        <f>I49/10</f>
        <v>1.4580551523947753</v>
      </c>
    </row>
    <row r="92" spans="1:12" ht="35.25" customHeight="1">
      <c r="A92" s="72" t="s">
        <v>35</v>
      </c>
      <c r="B92" s="68"/>
      <c r="C92" s="68"/>
      <c r="D92" s="68"/>
      <c r="E92" s="68"/>
      <c r="F92" s="68"/>
    </row>
    <row r="94" spans="1:12">
      <c r="A94" s="65" t="s">
        <v>36</v>
      </c>
      <c r="B94" s="65"/>
    </row>
    <row r="95" spans="1:12">
      <c r="B95" s="16"/>
      <c r="C95" s="16"/>
    </row>
    <row r="96" spans="1:12">
      <c r="A96" s="17" t="s">
        <v>37</v>
      </c>
      <c r="B96" s="32" cm="1">
        <f t="array" ref="B96:C100">LINEST(C39:C48,B39:B48,1,1)</f>
        <v>1.3813497822931782</v>
      </c>
      <c r="C96" s="32">
        <v>5.4306966618287476</v>
      </c>
      <c r="D96" s="4" t="s">
        <v>38</v>
      </c>
    </row>
    <row r="97" spans="1:10">
      <c r="A97" s="18" t="s">
        <v>39</v>
      </c>
      <c r="B97" s="32">
        <v>4.0660468668584381E-2</v>
      </c>
      <c r="C97" s="32">
        <v>1.3154148651069717</v>
      </c>
      <c r="D97" s="20" t="s">
        <v>40</v>
      </c>
    </row>
    <row r="98" spans="1:10">
      <c r="A98" s="19" t="s">
        <v>41</v>
      </c>
      <c r="B98" s="32">
        <v>0.99311621192391875</v>
      </c>
      <c r="C98" s="32">
        <v>1.3500255332746351</v>
      </c>
      <c r="D98" s="4" t="s">
        <v>42</v>
      </c>
    </row>
    <row r="99" spans="1:10">
      <c r="A99" s="19" t="s">
        <v>43</v>
      </c>
      <c r="B99" s="32">
        <v>1154.1508261994861</v>
      </c>
      <c r="C99" s="32">
        <v>8</v>
      </c>
      <c r="D99" s="4" t="s">
        <v>44</v>
      </c>
    </row>
    <row r="100" spans="1:10" ht="47.25" customHeight="1">
      <c r="A100" s="21" t="s">
        <v>45</v>
      </c>
      <c r="B100" s="36">
        <v>2103.5194484760523</v>
      </c>
      <c r="C100" s="36">
        <v>14.580551523947705</v>
      </c>
      <c r="D100" s="22" t="s">
        <v>46</v>
      </c>
    </row>
    <row r="102" spans="1:10">
      <c r="A102" s="71" t="s">
        <v>47</v>
      </c>
      <c r="B102" s="71"/>
      <c r="C102" s="71"/>
      <c r="D102" s="71"/>
      <c r="E102" s="35"/>
      <c r="F102" s="35"/>
      <c r="G102" s="35"/>
      <c r="H102" s="35"/>
      <c r="I102" s="35"/>
      <c r="J102" s="35"/>
    </row>
    <row r="104" spans="1:10" ht="45" customHeight="1">
      <c r="A104" s="4"/>
      <c r="B104" s="36">
        <f>B87/(B51*SQRT(10))</f>
        <v>4.0660468668584485E-2</v>
      </c>
    </row>
    <row r="105" spans="1:10" ht="43.5" customHeight="1">
      <c r="A105" s="4"/>
      <c r="B105" s="36">
        <f>B87*(SQRT(E49)/(B51*10))</f>
        <v>1.3154148651069753</v>
      </c>
    </row>
    <row r="106" spans="1:10" ht="40.5" customHeight="1">
      <c r="A106" s="4"/>
      <c r="B106" s="36">
        <f>SQRT((1-B88)/8)</f>
        <v>2.9333828756396389E-2</v>
      </c>
    </row>
    <row r="108" spans="1:10" ht="41.25" customHeight="1">
      <c r="A108" s="4"/>
      <c r="B108" s="36">
        <f>B96/B104</f>
        <v>33.972795383946249</v>
      </c>
      <c r="G108" t="s">
        <v>48</v>
      </c>
    </row>
    <row r="109" spans="1:10" ht="40.5" customHeight="1">
      <c r="A109" s="4"/>
      <c r="B109" s="36">
        <f>C96/B105</f>
        <v>4.1285048587215867</v>
      </c>
    </row>
    <row r="110" spans="1:10" ht="41.25" customHeight="1">
      <c r="A110" s="23"/>
      <c r="B110" s="37">
        <f>B56/B106</f>
        <v>33.972795383957582</v>
      </c>
    </row>
    <row r="111" spans="1:10" ht="39" customHeight="1">
      <c r="A111" s="38" t="s">
        <v>49</v>
      </c>
      <c r="B111" s="36" t="s">
        <v>50</v>
      </c>
      <c r="C111">
        <f>_xlfn.T.INV.2T(0.05,8)</f>
        <v>2.3060041352041671</v>
      </c>
    </row>
    <row r="113" spans="1:4" ht="21.75" customHeight="1">
      <c r="A113" s="58" t="s">
        <v>51</v>
      </c>
      <c r="B113" s="58"/>
      <c r="C113" s="58"/>
      <c r="D113" s="58"/>
    </row>
    <row r="116" spans="1:4" ht="43.5" customHeight="1">
      <c r="A116" s="56" t="s">
        <v>52</v>
      </c>
      <c r="B116" s="57"/>
      <c r="C116" s="57"/>
      <c r="D116" s="57"/>
    </row>
    <row r="117" spans="1:4" ht="21.75" customHeight="1">
      <c r="A117" s="40"/>
      <c r="B117" s="41"/>
      <c r="C117" s="41"/>
      <c r="D117" s="41"/>
    </row>
    <row r="118" spans="1:4" ht="43.5" customHeight="1">
      <c r="A118" s="4"/>
      <c r="B118" s="36">
        <f>B89/(1-B89)*8</f>
        <v>1154.1508261994861</v>
      </c>
    </row>
    <row r="119" spans="1:4" ht="54.75" customHeight="1">
      <c r="A119" s="4"/>
      <c r="B119" s="36">
        <f>B120/B121</f>
        <v>1154.1508261994868</v>
      </c>
    </row>
    <row r="120" spans="1:4" ht="42" customHeight="1">
      <c r="A120" s="4"/>
      <c r="B120" s="36">
        <f>K49</f>
        <v>2103.5194484760605</v>
      </c>
    </row>
    <row r="121" spans="1:4" ht="41.25" customHeight="1">
      <c r="A121" s="4"/>
      <c r="B121" s="36">
        <f>I49/8</f>
        <v>1.8225689404934691</v>
      </c>
    </row>
    <row r="122" spans="1:4" ht="31.5" customHeight="1">
      <c r="A122" s="39" t="s">
        <v>53</v>
      </c>
      <c r="B122" s="36">
        <v>5.32</v>
      </c>
      <c r="C122">
        <f>_xlfn.F.INV.RT(0.05,1,8)</f>
        <v>5.3176550715787174</v>
      </c>
    </row>
    <row r="124" spans="1:4">
      <c r="A124" s="58" t="s">
        <v>54</v>
      </c>
      <c r="B124" s="58"/>
      <c r="C124" s="58"/>
    </row>
    <row r="126" spans="1:4">
      <c r="A126" s="4" t="s">
        <v>55</v>
      </c>
      <c r="B126" s="36">
        <f>J50</f>
        <v>2.4043025881033162</v>
      </c>
    </row>
    <row r="128" spans="1:4">
      <c r="A128" s="81" t="s">
        <v>56</v>
      </c>
      <c r="B128" s="81"/>
      <c r="C128" s="81"/>
    </row>
  </sheetData>
  <mergeCells count="15">
    <mergeCell ref="A1:C1"/>
    <mergeCell ref="A124:C124"/>
    <mergeCell ref="A128:C128"/>
    <mergeCell ref="A113:D113"/>
    <mergeCell ref="A116:D116"/>
    <mergeCell ref="A3:P3"/>
    <mergeCell ref="K62:Q63"/>
    <mergeCell ref="D18:H18"/>
    <mergeCell ref="A34:C34"/>
    <mergeCell ref="A65:C65"/>
    <mergeCell ref="A67:E67"/>
    <mergeCell ref="A85:L85"/>
    <mergeCell ref="A94:B94"/>
    <mergeCell ref="A102:D102"/>
    <mergeCell ref="A92:F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2023-09-15T08:19:40Z</dcterms:created>
  <dcterms:modified xsi:type="dcterms:W3CDTF">2023-09-22T09:06:01Z</dcterms:modified>
  <cp:category/>
  <cp:contentStatus/>
</cp:coreProperties>
</file>